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tiff" ContentType="image/tif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Hella\Creative Cloud Files\ISPT\Hydrohub\Bestanden in Lay-out\"/>
    </mc:Choice>
  </mc:AlternateContent>
  <bookViews>
    <workbookView xWindow="0" yWindow="0" windowWidth="20490" windowHeight="7770" tabRatio="778"/>
  </bookViews>
  <sheets>
    <sheet name="Overview" sheetId="1" r:id="rId1"/>
    <sheet name="Input" sheetId="16" r:id="rId2"/>
    <sheet name="Country_results_pivot" sheetId="20" r:id="rId3"/>
    <sheet name="Electricity" sheetId="2" r:id="rId4"/>
    <sheet name="HV_DC_Grid" sheetId="5" r:id="rId5"/>
    <sheet name="Pipeline" sheetId="6" r:id="rId6"/>
    <sheet name="Carriers" sheetId="7" r:id="rId7"/>
    <sheet name="Shipping" sheetId="4" r:id="rId8"/>
    <sheet name="Storage" sheetId="13" r:id="rId9"/>
    <sheet name="H2_retrieval" sheetId="14" r:id="rId10"/>
    <sheet name="Country_details" sheetId="3" r:id="rId11"/>
    <sheet name="Country_results" sheetId="15" r:id="rId12"/>
    <sheet name="Carrier_properties" sheetId="18" r:id="rId13"/>
    <sheet name="Sources" sheetId="17" r:id="rId14"/>
    <sheet name="Solar_data" sheetId="8" r:id="rId15"/>
    <sheet name="Onshore_wind_data" sheetId="11" r:id="rId16"/>
    <sheet name="Offshore_wind_data" sheetId="12" r:id="rId17"/>
  </sheets>
  <definedNames>
    <definedName name="alk_el_e_demand">Carriers!$F$41</definedName>
    <definedName name="alk_el_lifetime">Carriers!$F$28</definedName>
    <definedName name="alk_el_opex">Carriers!$F$46</definedName>
    <definedName name="bunker_choice">Input!$B$16</definedName>
    <definedName name="bunker_price_gen">Country_details!$H$5</definedName>
    <definedName name="bunker_price_ROT">Country_details!$H$102</definedName>
    <definedName name="ccharge_factor">Country_details!#REF!</definedName>
    <definedName name="ccharge_factor_nl">Country_details!#REF!</definedName>
    <definedName name="class_flh">Offshore_wind_data!$AJ$8:$AJ$11</definedName>
    <definedName name="co2_density">Carrier_properties!$Y$8</definedName>
    <definedName name="co2_liq_cost">Carriers!$AH$64</definedName>
    <definedName name="co2_liq_e_demand">Carriers!$AH$41</definedName>
    <definedName name="co2_short_st_e_demand">Storage!$AO$73</definedName>
    <definedName name="co2_short_st_invest">Storage!$AO$67</definedName>
    <definedName name="co2_short_st_lifetime">Storage!$AO$24</definedName>
    <definedName name="co2_short_st_opex">Storage!$AO$78</definedName>
    <definedName name="co2_st_e_demand">Storage!$AE$73</definedName>
    <definedName name="co2_st_invest_lev">Storage!$AE$66</definedName>
    <definedName name="co2_st_lifetime">Storage!$AE$24</definedName>
    <definedName name="co2_st_nl_cost">Storage!$AE$50</definedName>
    <definedName name="co2_st_opex_lev">Storage!$AE$80</definedName>
    <definedName name="DAC_e_demand">Carriers!$J$41</definedName>
    <definedName name="DAC_invest">Carriers!$J$32</definedName>
    <definedName name="DAC_lifetime">Carriers!$J$28</definedName>
    <definedName name="DAC_opex">Carriers!$J$44</definedName>
    <definedName name="DAC_prod">Carriers!$J$63</definedName>
    <definedName name="DBT_density">Carrier_properties!$K$8</definedName>
    <definedName name="DBT_e_demand">Carriers!$T$41</definedName>
    <definedName name="DBT_e_density_lhv">Carrier_properties!$K$10</definedName>
    <definedName name="DBT_invest">Carriers!$T$32</definedName>
    <definedName name="DBT_lifetime">Carriers!$T$28</definedName>
    <definedName name="DBT_opex">Carriers!$T$52</definedName>
    <definedName name="DBT_prod">Carriers!$T$63</definedName>
    <definedName name="DBT_st_ab_losses">Storage!$M$88</definedName>
    <definedName name="DBT_st_e_demand">Storage!$M$73</definedName>
    <definedName name="DBT_st_invest">Storage!$M$65</definedName>
    <definedName name="DBT_st_lifetime">Storage!$M$24</definedName>
    <definedName name="DBT_st_nl_cost">Storage!$M$50</definedName>
    <definedName name="DBT_st_nl_demand">Storage!$M$57</definedName>
    <definedName name="DBT_st_opex">Storage!$M$78</definedName>
    <definedName name="Dme_density">Carrier_properties!$O$8</definedName>
    <definedName name="Dme_e_demand">Carriers!$X$41</definedName>
    <definedName name="Dme_e_density_lhv">Carrier_properties!$O$10</definedName>
    <definedName name="Dme_invest">Carriers!$X$32</definedName>
    <definedName name="Dme_lifetime">Carriers!$X$28</definedName>
    <definedName name="Dme_opex">Carriers!$X$52</definedName>
    <definedName name="Dme_prod">Carriers!$X$63</definedName>
    <definedName name="Dme_st_ab_losses">Storage!$Q$88</definedName>
    <definedName name="Dme_st_e_demand">Storage!$Q$73</definedName>
    <definedName name="Dme_st_invest">Storage!$Q$65</definedName>
    <definedName name="Dme_st_lifetime">Storage!$Q$24</definedName>
    <definedName name="Dme_st_nl_cost">Storage!$Q$50</definedName>
    <definedName name="Dme_st_nl_demand">Storage!$Q$57</definedName>
    <definedName name="Dme_st_opex">Storage!$Q$78</definedName>
    <definedName name="electricity_choice">Input!$B$13</definedName>
    <definedName name="eurusd_rate">Input!$B$7</definedName>
    <definedName name="FA_density">Carrier_properties!$G$8</definedName>
    <definedName name="FA_e_demand">Carriers!$P$41</definedName>
    <definedName name="FA_e_density_lhv">Carrier_properties!$G$10</definedName>
    <definedName name="FA_invest">Carriers!$P$32</definedName>
    <definedName name="FA_lifetime">Carriers!$P$28</definedName>
    <definedName name="FA_opex">Carriers!$P$52</definedName>
    <definedName name="FA_prod">Carriers!$P$63</definedName>
    <definedName name="FA_st_ab_losses">Storage!$I$88</definedName>
    <definedName name="FA_st_e_demand">Storage!$I$73</definedName>
    <definedName name="FA_st_invest">Storage!$I$65</definedName>
    <definedName name="FA_st_lifetime">Storage!$I$24</definedName>
    <definedName name="FA_st_nl_cost">Storage!$I$50</definedName>
    <definedName name="FA_st_nl_demand">Storage!$I$57</definedName>
    <definedName name="FA_st_opex">Storage!$I$78</definedName>
    <definedName name="Fut_demand_pc">Country_details!$AQ$5</definedName>
    <definedName name="gh2_short_st_lifetime">Storage!$AK$24</definedName>
    <definedName name="gh2_st_lifetime">Storage!$AC$24</definedName>
    <definedName name="gh2_st_nl_cost">Storage!$AC$50</definedName>
    <definedName name="gh2_st_nl_demand">Storage!$AC$57</definedName>
    <definedName name="h2_demand_e_lhv">Input!$B$4</definedName>
    <definedName name="h2_demand_kt">Input!$B$3</definedName>
    <definedName name="h2_e_density_lhv">Carrier_properties!$W$10</definedName>
    <definedName name="h2_regen_dme">Country_details!$EJ$5</definedName>
    <definedName name="h2_regen_fa">Country_details!$CN$5</definedName>
    <definedName name="h2_regen_lng">Country_details!$FJ$5</definedName>
    <definedName name="h2_regen_lohc">Country_details!$DL$5</definedName>
    <definedName name="h2_regen_meoh">Country_details!$DA$5</definedName>
    <definedName name="h2_regen_nabh4">Country_details!$DW$5</definedName>
    <definedName name="h2_regen_ome">Country_details!$EW$5</definedName>
    <definedName name="h2_short_st_e_demand">Storage!$AK$73</definedName>
    <definedName name="h2_short_st_invest">Storage!$AK$67</definedName>
    <definedName name="h2_short_st_opex">Storage!$AK$78</definedName>
    <definedName name="hfo_e_density_lhv">Carrier_properties!$AA$10</definedName>
    <definedName name="hv_dc_capacity_multiplier">HV_DC_Grid!$E$7</definedName>
    <definedName name="hv_dc_custom">Input!$B$20</definedName>
    <definedName name="hv_dc_flh">Input!$B$19</definedName>
    <definedName name="hv_dc_length_multiplier">HV_DC_Grid!$E$8</definedName>
    <definedName name="hv_dc_lifetime">HV_DC_Grid!$E$42</definedName>
    <definedName name="hv_dc_opex">HV_DC_Grid!$E$48</definedName>
    <definedName name="hv_dc_overhead_invest">HV_DC_Grid!$E$15</definedName>
    <definedName name="hv_dc_overhead_loss">HV_DC_Grid!$E$25</definedName>
    <definedName name="hv_dc_overhead_opex">HV_DC_Grid!$E$20</definedName>
    <definedName name="hv_dc_sea_invest">HV_DC_Grid!$E$16</definedName>
    <definedName name="hv_dc_sea_loss">HV_DC_Grid!$E$26</definedName>
    <definedName name="hv_dc_sea_opex">HV_DC_Grid!$E$21</definedName>
    <definedName name="hv_dc_station_invest">HV_DC_Grid!$E$18</definedName>
    <definedName name="hv_dc_station_loss">HV_DC_Grid!$E$28</definedName>
    <definedName name="hv_dc_station_number">HV_DC_Grid!$E$35</definedName>
    <definedName name="hv_dc_station_opex">HV_DC_Grid!$E$23</definedName>
    <definedName name="hv_dc_under_invest">HV_DC_Grid!$E$17</definedName>
    <definedName name="hv_dc_under_loss">HV_DC_Grid!$E$27</definedName>
    <definedName name="hv_dc_under_opex">HV_DC_Grid!$E$22</definedName>
    <definedName name="import_choice">Input!#REF!</definedName>
    <definedName name="inland_transport">Input!$B$15</definedName>
    <definedName name="inland_transport_to_port">Input!$B$15</definedName>
    <definedName name="lh2_density">Carrier_properties!$U$8</definedName>
    <definedName name="lh2_e_demand">Carriers!$AD$41</definedName>
    <definedName name="lh2_e_density_lhv">Carrier_properties!$U$10</definedName>
    <definedName name="lh2_invest">Carriers!$AD$32</definedName>
    <definedName name="lh2_lifetime">Carriers!$AD$28</definedName>
    <definedName name="lh2_opex">Carriers!$AD$52</definedName>
    <definedName name="lh2_prod">Carriers!$AD$63</definedName>
    <definedName name="lh2_st_ab_losses">Storage!$Y$88</definedName>
    <definedName name="lh2_st_e_demand">Storage!$Y$73</definedName>
    <definedName name="lh2_st_invest">Storage!$Y$65</definedName>
    <definedName name="lh2_st_lifetime">Storage!$Y$24</definedName>
    <definedName name="lh2_st_nl_cost">Storage!$Y$50</definedName>
    <definedName name="lh2_st_nl_demand">Storage!$Y$57</definedName>
    <definedName name="lh2_st_opex">Storage!$Y$78</definedName>
    <definedName name="lng_density">Carrier_properties!$S$8</definedName>
    <definedName name="lng_e_demand">Carriers!$AF$41</definedName>
    <definedName name="lng_e_density_lhv">Carrier_properties!$S$10</definedName>
    <definedName name="lng_invest">Carriers!$AF$32</definedName>
    <definedName name="lng_lifetime">Carriers!$AF$28</definedName>
    <definedName name="lng_opex">Carriers!$AF$52</definedName>
    <definedName name="lng_prod">Carriers!$AF$63</definedName>
    <definedName name="lng_st_ab_losses">Storage!$U$88</definedName>
    <definedName name="lng_st_e_demand">Storage!$U$73</definedName>
    <definedName name="lng_st_invest">Storage!$U$65</definedName>
    <definedName name="lng_st_lifetime">Storage!$U$24</definedName>
    <definedName name="lng_st_nl_cost">Storage!$U$50</definedName>
    <definedName name="lng_st_nl_demand">Storage!$U$57</definedName>
    <definedName name="lng_st_opex">Storage!$U$78</definedName>
    <definedName name="loaded_ship_speed">Shipping!$F$44:$AB$44</definedName>
    <definedName name="meoh_density">Carrier_properties!$I$8</definedName>
    <definedName name="meoh_e_demand">Carriers!$R$41</definedName>
    <definedName name="meoh_e_density_lhv">Carrier_properties!$I$10</definedName>
    <definedName name="meoh_invest">Carriers!$R$32</definedName>
    <definedName name="meoh_lifetime">Carriers!$R$28</definedName>
    <definedName name="meoh_opex">Carriers!$R$52</definedName>
    <definedName name="meoh_prod">Carriers!$R$63</definedName>
    <definedName name="meoh_st_ab_losses">Storage!$K$88</definedName>
    <definedName name="meoh_st_e_demand">Storage!$K$73</definedName>
    <definedName name="meoh_st_invest">Storage!$K$65</definedName>
    <definedName name="meoh_st_lifetime">Storage!$K$24</definedName>
    <definedName name="meoh_st_nl_cost">Storage!$K$50</definedName>
    <definedName name="meoh_st_nl_demand">Storage!$K$57</definedName>
    <definedName name="meoh_st_opex">Storage!$K$78</definedName>
    <definedName name="mh_e_demand">Carriers!#REF!</definedName>
    <definedName name="mh_invest">Carriers!#REF!</definedName>
    <definedName name="mh_lifetime">Carriers!#REF!</definedName>
    <definedName name="mh_opex">Carriers!#REF!</definedName>
    <definedName name="mh_prod">Carriers!#REF!</definedName>
    <definedName name="mh_st_ab_losses">Storage!#REF!</definedName>
    <definedName name="mh_st_e_demand">Storage!#REF!</definedName>
    <definedName name="mh_st_invest">Storage!#REF!</definedName>
    <definedName name="mh_st_lifetime">Storage!#REF!</definedName>
    <definedName name="mh_st_nl_cost">Storage!#REF!</definedName>
    <definedName name="mh_st_nl_demand">Storage!#REF!</definedName>
    <definedName name="mh_st_opex">Storage!#REF!</definedName>
    <definedName name="min_offshore_price_nl">Country_details!$AI$102</definedName>
    <definedName name="n2_e_demand">Carriers!$L$41</definedName>
    <definedName name="n2_invest">Carriers!$L$32</definedName>
    <definedName name="n2_lifetime">Carriers!$L$28</definedName>
    <definedName name="n2_opex">Carriers!$L$52</definedName>
    <definedName name="n2_prod">Carriers!$L$63</definedName>
    <definedName name="n2_short_st_e_demand">Storage!$AM$73</definedName>
    <definedName name="n2_short_st_invest">Storage!$AM$67</definedName>
    <definedName name="n2_short_st_lifetime">Storage!$AM$24</definedName>
    <definedName name="n2_short_st_opex">Storage!$AM$78</definedName>
    <definedName name="nabh4_density">Carrier_properties!$M$8</definedName>
    <definedName name="nabh4_e_demand">Carriers!$V$41</definedName>
    <definedName name="nabh4_e_density_lhv">Carrier_properties!$M$10</definedName>
    <definedName name="nabh4_invest">Carriers!$V$32</definedName>
    <definedName name="nabh4_lifetime">Carriers!$V$28</definedName>
    <definedName name="nabh4_opex">Carriers!$V$52</definedName>
    <definedName name="nabh4_prod">Carriers!$V$63</definedName>
    <definedName name="nabh4_st_ab_losses">Storage!$O$88</definedName>
    <definedName name="nabh4_st_e_demand">Storage!$O$73</definedName>
    <definedName name="nabh4_st_invest">Storage!$O$65</definedName>
    <definedName name="nabh4_st_lifetime">Storage!$O$24</definedName>
    <definedName name="nabh4_st_nl_cost">Storage!$O$50</definedName>
    <definedName name="nabh4_st_nl_demand">Storage!$O$57</definedName>
    <definedName name="nabh4_st_opex">Storage!$O$78</definedName>
    <definedName name="nh3_density">Carrier_properties!$E$8</definedName>
    <definedName name="nh3_e_demand">Carriers!$N$41</definedName>
    <definedName name="nh3_e_density_lhv">Carrier_properties!$E$10</definedName>
    <definedName name="nh3_invest">Carriers!$N$32</definedName>
    <definedName name="nh3_lifetime">Carriers!$N$28</definedName>
    <definedName name="nh3_opex">Carriers!$N$52</definedName>
    <definedName name="nh3_prod">Carriers!$N$63</definedName>
    <definedName name="nh3_st_ab_losses">Storage!$G$88</definedName>
    <definedName name="nh3_st_e_demand">Storage!$G$73</definedName>
    <definedName name="nh3_st_invest">Storage!$G$65</definedName>
    <definedName name="nh3_st_lifetime">Storage!$G$24</definedName>
    <definedName name="nh3_st_nl_cost">Storage!$G$50</definedName>
    <definedName name="nh3_st_nl_demand">Storage!$G$57</definedName>
    <definedName name="nh3_st_opex">Storage!$G$78</definedName>
    <definedName name="nl_ammonia_price">Country_details!$BY$102</definedName>
    <definedName name="nl_crf">Country_details!#REF!</definedName>
    <definedName name="nl_dme_price">Country_details!$EG$102</definedName>
    <definedName name="nl_e_demand">HV_DC_Grid!$E$3</definedName>
    <definedName name="nl_fa_price">Country_details!$CK$102</definedName>
    <definedName name="nl_hydrogen_price">Country_details!$BG$102</definedName>
    <definedName name="nl_lng_price">Country_details!$FG$102</definedName>
    <definedName name="nl_meoh_price">Country_details!$CX$102</definedName>
    <definedName name="nl_min_offshore">Country_details!$AI$102</definedName>
    <definedName name="nl_min_offshore_price_nl">Country_details!$AI$102</definedName>
    <definedName name="nl_nh3_price">Country_details!$BY$102</definedName>
    <definedName name="nl_ome_price">Country_details!$ET$102</definedName>
    <definedName name="o2_st_lifetime">Storage!$AE$24</definedName>
    <definedName name="offshore_invest">Electricity!$H$6</definedName>
    <definedName name="offshore_lifetime">Electricity!$H$7</definedName>
    <definedName name="offshore_opex">Electricity!$H$9</definedName>
    <definedName name="offshore_pr">Electricity!#REF!</definedName>
    <definedName name="ome_density">Carrier_properties!$Q$8</definedName>
    <definedName name="ome_e_demand">Carriers!$Z$41</definedName>
    <definedName name="ome_e_density_lhv">Carrier_properties!$Q$10</definedName>
    <definedName name="ome_invest">Carriers!$Z$32</definedName>
    <definedName name="ome_lifetime">Carriers!$Z$28</definedName>
    <definedName name="ome_opex">Carriers!$Z$52</definedName>
    <definedName name="ome_prod">Carriers!$Z$63</definedName>
    <definedName name="ome_st_ab_losses">Storage!$S$88</definedName>
    <definedName name="ome_st_e_demand">Storage!$S$73</definedName>
    <definedName name="ome_st_invest">Storage!$S$65</definedName>
    <definedName name="ome_st_lifetime">Storage!$S$24</definedName>
    <definedName name="ome_st_nl_cost">Storage!$S$50</definedName>
    <definedName name="ome_st_nl_demand">Storage!$S$57</definedName>
    <definedName name="ome_st_opex">Storage!$S$78</definedName>
    <definedName name="onshore_invest">Electricity!$F$6</definedName>
    <definedName name="onshore_lifetime">Electricity!$F$7</definedName>
    <definedName name="onshore_opex">Electricity!$F$9</definedName>
    <definedName name="onshore_pr">Electricity!#REF!</definedName>
    <definedName name="pem_el_e_demand">Carriers!$H$41</definedName>
    <definedName name="pem_el_lifetime">Carriers!$H$28</definedName>
    <definedName name="pem_el_opex">Carriers!$H$46</definedName>
    <definedName name="pipeline_comp_lifetime">Pipeline!$D$54</definedName>
    <definedName name="pipeline_comp_opex">Pipeline!$D$62</definedName>
    <definedName name="pipeline_lifetime">Pipeline!$D$18</definedName>
    <definedName name="pipeline_opex">Pipeline!$D$31</definedName>
    <definedName name="ship_carriers">Shipping!$F$4:$AB$4</definedName>
    <definedName name="ship_choice">Input!$B$17</definedName>
    <definedName name="short_st_duration_hrs">Storage!$AN$3</definedName>
    <definedName name="sng_e_demand">Carriers!$AB$41</definedName>
    <definedName name="sng_invest">Carriers!$AB$32</definedName>
    <definedName name="sng_lifetime">Carriers!$AB$28</definedName>
    <definedName name="sng_opex">Carriers!$AB$52</definedName>
    <definedName name="sng_prod">Carriers!$AB$63</definedName>
    <definedName name="solar_invest">Electricity!$D$6</definedName>
    <definedName name="solar_lifetime">Electricity!$D$7</definedName>
    <definedName name="solar_module_eff">Solar_data!$O$9</definedName>
    <definedName name="solar_opex">Electricity!$D$9</definedName>
    <definedName name="solar_pr">Electricity!#REF!</definedName>
    <definedName name="storage_multiplier">Storage!$C$5</definedName>
    <definedName name="uniform_wacc">Input!$B$11</definedName>
    <definedName name="unloaded_ship_speed">Shipping!$F$50:$AB$50</definedName>
    <definedName name="wacc">Input!$B$9</definedName>
    <definedName name="wacc_average">Country_details!$L$156</definedName>
    <definedName name="wacc_nl">Country_details!$M$102</definedName>
    <definedName name="wacc_rv_factor">Input!$B$10</definedName>
  </definedNames>
  <calcPr calcId="152511" concurrentCalc="0"/>
  <pivotCaches>
    <pivotCache cacheId="0" r:id="rId18"/>
  </pivotCaches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9" i="2" l="1"/>
  <c r="S123" i="12"/>
  <c r="AJ8" i="12"/>
  <c r="T123" i="12"/>
  <c r="AJ9" i="12"/>
  <c r="U123" i="12"/>
  <c r="AJ10" i="12"/>
  <c r="V123" i="12"/>
  <c r="AJ11" i="12"/>
  <c r="AA123" i="12"/>
  <c r="AF102" i="3"/>
  <c r="L156" i="3"/>
  <c r="M102" i="3"/>
  <c r="AI102" i="3"/>
  <c r="AE41" i="13"/>
  <c r="AE40" i="13"/>
  <c r="AE42" i="13"/>
  <c r="AE10" i="13"/>
  <c r="AE22" i="13"/>
  <c r="AE26" i="13"/>
  <c r="AE18" i="13"/>
  <c r="AE19" i="13"/>
  <c r="AE27" i="13"/>
  <c r="AE45" i="13"/>
  <c r="AE36" i="13"/>
  <c r="AE34" i="13"/>
  <c r="AE35" i="13"/>
  <c r="AE37" i="13"/>
  <c r="AE48" i="13"/>
  <c r="AE49" i="13"/>
  <c r="AE50" i="13"/>
  <c r="O12" i="3"/>
  <c r="D9" i="2"/>
  <c r="M12" i="3"/>
  <c r="G7" i="11"/>
  <c r="J7" i="11"/>
  <c r="X12" i="3"/>
  <c r="I9" i="13"/>
  <c r="I12" i="13"/>
  <c r="AE65" i="13"/>
  <c r="AE79" i="13"/>
  <c r="AE57" i="13"/>
  <c r="AE63" i="13"/>
  <c r="AE80" i="13"/>
  <c r="AE66" i="13"/>
  <c r="J31" i="4"/>
  <c r="I14" i="13"/>
  <c r="J25" i="4"/>
  <c r="J50" i="4"/>
  <c r="J52" i="4"/>
  <c r="J46" i="4"/>
  <c r="J70" i="4"/>
  <c r="J38" i="4"/>
  <c r="J76" i="4"/>
  <c r="I15" i="13"/>
  <c r="I16" i="13"/>
  <c r="I53" i="13"/>
  <c r="I54" i="13"/>
  <c r="I57" i="13"/>
  <c r="CF12" i="3"/>
  <c r="I87" i="13"/>
  <c r="I88" i="13"/>
  <c r="AO67" i="13"/>
  <c r="AZ4" i="3"/>
  <c r="AV102" i="3"/>
  <c r="AU102" i="3"/>
  <c r="BD102" i="3"/>
  <c r="AC41" i="13"/>
  <c r="AC12" i="13"/>
  <c r="AC40" i="13"/>
  <c r="AC42" i="13"/>
  <c r="AC34" i="13"/>
  <c r="AC18" i="13"/>
  <c r="AC19" i="13"/>
  <c r="AC20" i="13"/>
  <c r="AC27" i="13"/>
  <c r="AC35" i="13"/>
  <c r="AC36" i="13"/>
  <c r="AC37" i="13"/>
  <c r="AC45" i="13"/>
  <c r="AC48" i="13"/>
  <c r="AC49" i="13"/>
  <c r="AC50" i="13"/>
  <c r="BE102" i="3"/>
  <c r="AC54" i="13"/>
  <c r="AC57" i="13"/>
  <c r="D3" i="6"/>
  <c r="D10" i="6"/>
  <c r="D12" i="6"/>
  <c r="D13" i="6"/>
  <c r="D14" i="6"/>
  <c r="D15" i="6"/>
  <c r="D16" i="6"/>
  <c r="F24" i="6"/>
  <c r="D21" i="6"/>
  <c r="D22" i="6"/>
  <c r="D39" i="6"/>
  <c r="D48" i="6"/>
  <c r="D50" i="6"/>
  <c r="D52" i="6"/>
  <c r="D56" i="6"/>
  <c r="D57" i="6"/>
  <c r="D45" i="6"/>
  <c r="D75" i="6"/>
  <c r="BF102" i="3"/>
  <c r="BG102" i="3"/>
  <c r="BA4" i="3"/>
  <c r="BG4" i="3"/>
  <c r="N19" i="7"/>
  <c r="L32" i="7"/>
  <c r="L47" i="7"/>
  <c r="L23" i="7"/>
  <c r="L63" i="7"/>
  <c r="L50" i="7"/>
  <c r="L51" i="7"/>
  <c r="L52" i="7"/>
  <c r="L24" i="7"/>
  <c r="L42" i="7"/>
  <c r="L41" i="7"/>
  <c r="BQ102" i="3"/>
  <c r="H31" i="4"/>
  <c r="G14" i="13"/>
  <c r="H25" i="4"/>
  <c r="H44" i="4"/>
  <c r="H50" i="4"/>
  <c r="H52" i="4"/>
  <c r="H46" i="4"/>
  <c r="H70" i="4"/>
  <c r="H38" i="4"/>
  <c r="H76" i="4"/>
  <c r="G15" i="13"/>
  <c r="G9" i="13"/>
  <c r="G12" i="13"/>
  <c r="G16" i="13"/>
  <c r="G53" i="13"/>
  <c r="G54" i="13"/>
  <c r="G57" i="13"/>
  <c r="BT102" i="3"/>
  <c r="N32" i="7"/>
  <c r="N47" i="7"/>
  <c r="N63" i="7"/>
  <c r="N50" i="7"/>
  <c r="N51" i="7"/>
  <c r="N52" i="7"/>
  <c r="G87" i="13"/>
  <c r="G88" i="13"/>
  <c r="N24" i="7"/>
  <c r="N42" i="7"/>
  <c r="N41" i="7"/>
  <c r="N18" i="7"/>
  <c r="BR102" i="3"/>
  <c r="G41" i="13"/>
  <c r="G40" i="13"/>
  <c r="G42" i="13"/>
  <c r="G34" i="13"/>
  <c r="G18" i="13"/>
  <c r="G19" i="13"/>
  <c r="G26" i="13"/>
  <c r="G23" i="13"/>
  <c r="G27" i="13"/>
  <c r="G35" i="13"/>
  <c r="G36" i="13"/>
  <c r="G37" i="13"/>
  <c r="G45" i="13"/>
  <c r="G48" i="13"/>
  <c r="G49" i="13"/>
  <c r="G50" i="13"/>
  <c r="G65" i="13"/>
  <c r="H14" i="4"/>
  <c r="H83" i="4"/>
  <c r="H84" i="4"/>
  <c r="H86" i="4"/>
  <c r="G63" i="13"/>
  <c r="G66" i="13"/>
  <c r="AM67" i="13"/>
  <c r="W10" i="18"/>
  <c r="AK67" i="13"/>
  <c r="BS102" i="3"/>
  <c r="J102" i="3"/>
  <c r="K102" i="3"/>
  <c r="O102" i="3"/>
  <c r="CA4" i="3"/>
  <c r="J42" i="7"/>
  <c r="J44" i="7"/>
  <c r="BP102" i="3"/>
  <c r="CF102" i="3"/>
  <c r="Y9" i="18"/>
  <c r="G9" i="18"/>
  <c r="G19" i="18"/>
  <c r="G20" i="18"/>
  <c r="G21" i="18"/>
  <c r="P48" i="7"/>
  <c r="P49" i="7"/>
  <c r="J36" i="7"/>
  <c r="J35" i="7"/>
  <c r="J37" i="7"/>
  <c r="J47" i="7"/>
  <c r="J50" i="7"/>
  <c r="J51" i="7"/>
  <c r="J62" i="7"/>
  <c r="J64" i="7"/>
  <c r="P15" i="7"/>
  <c r="P23" i="7"/>
  <c r="P63" i="7"/>
  <c r="P50" i="7"/>
  <c r="P32" i="7"/>
  <c r="P47" i="7"/>
  <c r="P51" i="7"/>
  <c r="P52" i="7"/>
  <c r="P41" i="7"/>
  <c r="P18" i="7"/>
  <c r="P20" i="7"/>
  <c r="CC102" i="3"/>
  <c r="I41" i="13"/>
  <c r="I40" i="13"/>
  <c r="I42" i="13"/>
  <c r="I34" i="13"/>
  <c r="I18" i="13"/>
  <c r="I19" i="13"/>
  <c r="M22" i="13"/>
  <c r="I22" i="13"/>
  <c r="I26" i="13"/>
  <c r="I23" i="13"/>
  <c r="I27" i="13"/>
  <c r="I35" i="13"/>
  <c r="I36" i="13"/>
  <c r="I37" i="13"/>
  <c r="I45" i="13"/>
  <c r="I48" i="13"/>
  <c r="I49" i="13"/>
  <c r="I50" i="13"/>
  <c r="I65" i="13"/>
  <c r="J14" i="4"/>
  <c r="J83" i="4"/>
  <c r="J84" i="4"/>
  <c r="J86" i="4"/>
  <c r="I63" i="13"/>
  <c r="CE102" i="3"/>
  <c r="CN4" i="3"/>
  <c r="L31" i="4"/>
  <c r="K14" i="13"/>
  <c r="L25" i="4"/>
  <c r="L44" i="4"/>
  <c r="L50" i="4"/>
  <c r="L52" i="4"/>
  <c r="L46" i="4"/>
  <c r="L70" i="4"/>
  <c r="L38" i="4"/>
  <c r="L76" i="4"/>
  <c r="K15" i="13"/>
  <c r="K9" i="13"/>
  <c r="K12" i="13"/>
  <c r="K16" i="13"/>
  <c r="K53" i="13"/>
  <c r="K54" i="13"/>
  <c r="K57" i="13"/>
  <c r="CS102" i="3"/>
  <c r="I9" i="18"/>
  <c r="I19" i="18"/>
  <c r="I20" i="18"/>
  <c r="I21" i="18"/>
  <c r="R48" i="7"/>
  <c r="R49" i="7"/>
  <c r="R15" i="7"/>
  <c r="R63" i="7"/>
  <c r="R50" i="7"/>
  <c r="R18" i="7"/>
  <c r="R20" i="7"/>
  <c r="R32" i="7"/>
  <c r="R47" i="7"/>
  <c r="R51" i="7"/>
  <c r="R52" i="7"/>
  <c r="K87" i="13"/>
  <c r="K88" i="13"/>
  <c r="CP102" i="3"/>
  <c r="K41" i="13"/>
  <c r="K40" i="13"/>
  <c r="K42" i="13"/>
  <c r="K34" i="13"/>
  <c r="K18" i="13"/>
  <c r="K19" i="13"/>
  <c r="K26" i="13"/>
  <c r="K23" i="13"/>
  <c r="K27" i="13"/>
  <c r="K35" i="13"/>
  <c r="K36" i="13"/>
  <c r="K37" i="13"/>
  <c r="K45" i="13"/>
  <c r="K48" i="13"/>
  <c r="K49" i="13"/>
  <c r="K50" i="13"/>
  <c r="K65" i="13"/>
  <c r="L14" i="4"/>
  <c r="L83" i="4"/>
  <c r="L84" i="4"/>
  <c r="L86" i="4"/>
  <c r="K63" i="13"/>
  <c r="CR102" i="3"/>
  <c r="DA4" i="3"/>
  <c r="DL4" i="3"/>
  <c r="DW4" i="3"/>
  <c r="O9" i="18"/>
  <c r="O7" i="18"/>
  <c r="Q9" i="13"/>
  <c r="Q12" i="13"/>
  <c r="Q57" i="13"/>
  <c r="R40" i="4"/>
  <c r="R44" i="4"/>
  <c r="EB102" i="3"/>
  <c r="X32" i="7"/>
  <c r="X47" i="7"/>
  <c r="X48" i="7"/>
  <c r="X49" i="7"/>
  <c r="X15" i="7"/>
  <c r="X63" i="7"/>
  <c r="X50" i="7"/>
  <c r="X51" i="7"/>
  <c r="X52" i="7"/>
  <c r="R31" i="4"/>
  <c r="Q14" i="13"/>
  <c r="R25" i="4"/>
  <c r="R50" i="4"/>
  <c r="R52" i="4"/>
  <c r="R46" i="4"/>
  <c r="R70" i="4"/>
  <c r="R38" i="4"/>
  <c r="R76" i="4"/>
  <c r="Q15" i="13"/>
  <c r="Q16" i="13"/>
  <c r="Q87" i="13"/>
  <c r="Q88" i="13"/>
  <c r="X41" i="7"/>
  <c r="X21" i="7"/>
  <c r="DY102" i="3"/>
  <c r="Q41" i="13"/>
  <c r="Q40" i="13"/>
  <c r="Q42" i="13"/>
  <c r="Q34" i="13"/>
  <c r="Q18" i="13"/>
  <c r="Q19" i="13"/>
  <c r="Q10" i="13"/>
  <c r="O22" i="13"/>
  <c r="Q22" i="13"/>
  <c r="Q23" i="13"/>
  <c r="Q26" i="13"/>
  <c r="Q27" i="13"/>
  <c r="Q35" i="13"/>
  <c r="Q36" i="13"/>
  <c r="Q37" i="13"/>
  <c r="Q45" i="13"/>
  <c r="Q48" i="13"/>
  <c r="Q49" i="13"/>
  <c r="Q50" i="13"/>
  <c r="Q65" i="13"/>
  <c r="R14" i="4"/>
  <c r="R83" i="4"/>
  <c r="R84" i="4"/>
  <c r="R86" i="4"/>
  <c r="Q63" i="13"/>
  <c r="EA102" i="3"/>
  <c r="EJ4" i="3"/>
  <c r="Q9" i="18"/>
  <c r="Q7" i="18"/>
  <c r="S9" i="13"/>
  <c r="S12" i="13"/>
  <c r="S57" i="13"/>
  <c r="T44" i="4"/>
  <c r="EO102" i="3"/>
  <c r="Z63" i="7"/>
  <c r="Z32" i="7"/>
  <c r="Z47" i="7"/>
  <c r="Z48" i="7"/>
  <c r="Z15" i="7"/>
  <c r="Z50" i="7"/>
  <c r="Z51" i="7"/>
  <c r="Z52" i="7"/>
  <c r="Z21" i="7"/>
  <c r="T17" i="4"/>
  <c r="T31" i="4"/>
  <c r="S14" i="13"/>
  <c r="T25" i="4"/>
  <c r="T50" i="4"/>
  <c r="T52" i="4"/>
  <c r="T46" i="4"/>
  <c r="T70" i="4"/>
  <c r="T38" i="4"/>
  <c r="T76" i="4"/>
  <c r="S15" i="13"/>
  <c r="S16" i="13"/>
  <c r="S87" i="13"/>
  <c r="S88" i="13"/>
  <c r="Z41" i="7"/>
  <c r="EL102" i="3"/>
  <c r="S41" i="13"/>
  <c r="S40" i="13"/>
  <c r="S42" i="13"/>
  <c r="S34" i="13"/>
  <c r="S18" i="13"/>
  <c r="S19" i="13"/>
  <c r="S10" i="13"/>
  <c r="S22" i="13"/>
  <c r="S23" i="13"/>
  <c r="S26" i="13"/>
  <c r="S27" i="13"/>
  <c r="S35" i="13"/>
  <c r="S36" i="13"/>
  <c r="S37" i="13"/>
  <c r="S45" i="13"/>
  <c r="S48" i="13"/>
  <c r="S49" i="13"/>
  <c r="S50" i="13"/>
  <c r="S65" i="13"/>
  <c r="T83" i="4"/>
  <c r="T84" i="4"/>
  <c r="T14" i="4"/>
  <c r="T86" i="4"/>
  <c r="S63" i="13"/>
  <c r="EN102" i="3"/>
  <c r="EW4" i="3"/>
  <c r="V31" i="4"/>
  <c r="U14" i="13"/>
  <c r="V25" i="4"/>
  <c r="V44" i="4"/>
  <c r="V50" i="4"/>
  <c r="V52" i="4"/>
  <c r="V46" i="4"/>
  <c r="V70" i="4"/>
  <c r="V38" i="4"/>
  <c r="V76" i="4"/>
  <c r="U15" i="13"/>
  <c r="U9" i="13"/>
  <c r="U12" i="13"/>
  <c r="U16" i="13"/>
  <c r="U53" i="13"/>
  <c r="U54" i="13"/>
  <c r="U57" i="13"/>
  <c r="FB102" i="3"/>
  <c r="AF63" i="7"/>
  <c r="AF32" i="7"/>
  <c r="S9" i="18"/>
  <c r="S19" i="18"/>
  <c r="S20" i="18"/>
  <c r="S21" i="18"/>
  <c r="AB48" i="7"/>
  <c r="AB49" i="7"/>
  <c r="AB15" i="7"/>
  <c r="AB63" i="7"/>
  <c r="AB50" i="7"/>
  <c r="AB32" i="7"/>
  <c r="AB47" i="7"/>
  <c r="AB51" i="7"/>
  <c r="AB52" i="7"/>
  <c r="AF51" i="7"/>
  <c r="AF52" i="7"/>
  <c r="U87" i="13"/>
  <c r="U88" i="13"/>
  <c r="AF41" i="7"/>
  <c r="AB18" i="7"/>
  <c r="AB20" i="7"/>
  <c r="EY102" i="3"/>
  <c r="U41" i="13"/>
  <c r="U40" i="13"/>
  <c r="U42" i="13"/>
  <c r="U34" i="13"/>
  <c r="U18" i="13"/>
  <c r="U19" i="13"/>
  <c r="U26" i="13"/>
  <c r="U23" i="13"/>
  <c r="U27" i="13"/>
  <c r="U35" i="13"/>
  <c r="U36" i="13"/>
  <c r="U37" i="13"/>
  <c r="U45" i="13"/>
  <c r="U48" i="13"/>
  <c r="U49" i="13"/>
  <c r="U50" i="13"/>
  <c r="U65" i="13"/>
  <c r="V14" i="4"/>
  <c r="V83" i="4"/>
  <c r="V84" i="4"/>
  <c r="V86" i="4"/>
  <c r="U63" i="13"/>
  <c r="FA102" i="3"/>
  <c r="FJ4" i="3"/>
  <c r="FT4" i="3"/>
  <c r="G9" i="11"/>
  <c r="J9" i="11"/>
  <c r="X10" i="3"/>
  <c r="M10" i="3"/>
  <c r="O10" i="3"/>
  <c r="C4" i="20"/>
  <c r="EM102" i="3"/>
  <c r="CV102" i="3"/>
  <c r="ER102" i="3"/>
  <c r="T22" i="4"/>
  <c r="T35" i="4"/>
  <c r="T32" i="4"/>
  <c r="T45" i="4"/>
  <c r="T51" i="4"/>
  <c r="T65" i="4"/>
  <c r="T60" i="4"/>
  <c r="T62" i="4"/>
  <c r="T67" i="4"/>
  <c r="T73" i="4"/>
  <c r="F63" i="7"/>
  <c r="F42" i="7"/>
  <c r="F44" i="7"/>
  <c r="B4" i="16"/>
  <c r="B5" i="16"/>
  <c r="F22" i="6"/>
  <c r="AC26" i="13"/>
  <c r="X19" i="4"/>
  <c r="AB19" i="4"/>
  <c r="X31" i="4"/>
  <c r="X29" i="4"/>
  <c r="AB29" i="4"/>
  <c r="AB31" i="4"/>
  <c r="AB40" i="4"/>
  <c r="AB44" i="4"/>
  <c r="AB50" i="4"/>
  <c r="AB51" i="4"/>
  <c r="R41" i="4"/>
  <c r="H35" i="4"/>
  <c r="R35" i="4"/>
  <c r="R30" i="4"/>
  <c r="H32" i="4"/>
  <c r="R32" i="4"/>
  <c r="R33" i="4"/>
  <c r="R29" i="4"/>
  <c r="R27" i="4"/>
  <c r="R19" i="4"/>
  <c r="R9" i="4"/>
  <c r="R10" i="4"/>
  <c r="R11" i="4"/>
  <c r="R8" i="4"/>
  <c r="AA14" i="13"/>
  <c r="AB46" i="4"/>
  <c r="AB38" i="4"/>
  <c r="AB25" i="4"/>
  <c r="AB52" i="4"/>
  <c r="AB70" i="4"/>
  <c r="AB76" i="4"/>
  <c r="AA15" i="13"/>
  <c r="AA12" i="13"/>
  <c r="AA16" i="13"/>
  <c r="AA87" i="13"/>
  <c r="Z31" i="4"/>
  <c r="Y14" i="13"/>
  <c r="Z25" i="4"/>
  <c r="Z40" i="4"/>
  <c r="Z44" i="4"/>
  <c r="Z50" i="4"/>
  <c r="Z52" i="4"/>
  <c r="Z46" i="4"/>
  <c r="Z70" i="4"/>
  <c r="Z38" i="4"/>
  <c r="Z76" i="4"/>
  <c r="Y15" i="13"/>
  <c r="Y12" i="13"/>
  <c r="Y16" i="13"/>
  <c r="Y87" i="13"/>
  <c r="W14" i="13"/>
  <c r="X25" i="4"/>
  <c r="X44" i="4"/>
  <c r="X50" i="4"/>
  <c r="X52" i="4"/>
  <c r="X46" i="4"/>
  <c r="X70" i="4"/>
  <c r="X38" i="4"/>
  <c r="X76" i="4"/>
  <c r="W15" i="13"/>
  <c r="W9" i="13"/>
  <c r="W12" i="13"/>
  <c r="W16" i="13"/>
  <c r="W87" i="13"/>
  <c r="P30" i="4"/>
  <c r="P31" i="4"/>
  <c r="O14" i="13"/>
  <c r="P25" i="4"/>
  <c r="P44" i="4"/>
  <c r="P50" i="4"/>
  <c r="P52" i="4"/>
  <c r="P46" i="4"/>
  <c r="P70" i="4"/>
  <c r="P38" i="4"/>
  <c r="P76" i="4"/>
  <c r="O15" i="13"/>
  <c r="O9" i="13"/>
  <c r="O12" i="13"/>
  <c r="O16" i="13"/>
  <c r="O87" i="13"/>
  <c r="N30" i="4"/>
  <c r="N27" i="4"/>
  <c r="N31" i="4"/>
  <c r="M14" i="13"/>
  <c r="N25" i="4"/>
  <c r="N40" i="4"/>
  <c r="N44" i="4"/>
  <c r="N50" i="4"/>
  <c r="N52" i="4"/>
  <c r="N46" i="4"/>
  <c r="N70" i="4"/>
  <c r="N38" i="4"/>
  <c r="N76" i="4"/>
  <c r="M15" i="13"/>
  <c r="M12" i="13"/>
  <c r="M16" i="13"/>
  <c r="M87" i="13"/>
  <c r="AA53" i="13"/>
  <c r="Y53" i="13"/>
  <c r="W53" i="13"/>
  <c r="S53" i="13"/>
  <c r="Q53" i="13"/>
  <c r="O53" i="13"/>
  <c r="M53" i="13"/>
  <c r="AA26" i="13"/>
  <c r="Y26" i="13"/>
  <c r="W26" i="13"/>
  <c r="CF10" i="3"/>
  <c r="F31" i="4"/>
  <c r="F44" i="4"/>
  <c r="F50" i="4"/>
  <c r="F51" i="4"/>
  <c r="H51" i="4"/>
  <c r="J29" i="4"/>
  <c r="J51" i="4"/>
  <c r="L51" i="4"/>
  <c r="N29" i="4"/>
  <c r="N51" i="4"/>
  <c r="P29" i="4"/>
  <c r="P51" i="4"/>
  <c r="R51" i="4"/>
  <c r="V51" i="4"/>
  <c r="X51" i="4"/>
  <c r="AD32" i="4"/>
  <c r="AD29" i="4"/>
  <c r="AD17" i="4"/>
  <c r="AD31" i="4"/>
  <c r="AD44" i="4"/>
  <c r="AD50" i="4"/>
  <c r="AD51" i="4"/>
  <c r="AD45" i="4"/>
  <c r="X32" i="4"/>
  <c r="X45" i="4"/>
  <c r="V32" i="4"/>
  <c r="V45" i="4"/>
  <c r="R45" i="4"/>
  <c r="Z32" i="4"/>
  <c r="Z45" i="4"/>
  <c r="P32" i="4"/>
  <c r="P45" i="4"/>
  <c r="N32" i="4"/>
  <c r="N45" i="4"/>
  <c r="L32" i="4"/>
  <c r="L45" i="4"/>
  <c r="J32" i="4"/>
  <c r="J45" i="4"/>
  <c r="H45" i="4"/>
  <c r="F32" i="4"/>
  <c r="F45" i="4"/>
  <c r="AB32" i="4"/>
  <c r="AH23" i="7"/>
  <c r="AH32" i="7"/>
  <c r="AH36" i="7"/>
  <c r="AF36" i="7"/>
  <c r="AD32" i="7"/>
  <c r="AD36" i="7"/>
  <c r="AB36" i="7"/>
  <c r="Z36" i="7"/>
  <c r="X36" i="7"/>
  <c r="V36" i="7"/>
  <c r="T18" i="7"/>
  <c r="T32" i="7"/>
  <c r="T36" i="7"/>
  <c r="R36" i="7"/>
  <c r="P36" i="7"/>
  <c r="N36" i="7"/>
  <c r="L36" i="7"/>
  <c r="E7" i="18"/>
  <c r="Y88" i="13"/>
  <c r="Y54" i="13"/>
  <c r="Y57" i="13"/>
  <c r="FM9" i="3"/>
  <c r="AD18" i="7"/>
  <c r="FP9" i="3"/>
  <c r="FQ9" i="3"/>
  <c r="FS9" i="3"/>
  <c r="FQ5" i="3"/>
  <c r="V27" i="14"/>
  <c r="V37" i="14"/>
  <c r="V26" i="14"/>
  <c r="V28" i="14"/>
  <c r="V21" i="14"/>
  <c r="V19" i="14"/>
  <c r="V22" i="14"/>
  <c r="V23" i="14"/>
  <c r="V31" i="14"/>
  <c r="V36" i="14"/>
  <c r="V38" i="14"/>
  <c r="FT5" i="3"/>
  <c r="G6" i="11"/>
  <c r="V10" i="11"/>
  <c r="V11" i="11"/>
  <c r="V12" i="11"/>
  <c r="V13" i="11"/>
  <c r="J6" i="11"/>
  <c r="X9" i="3"/>
  <c r="T27" i="14"/>
  <c r="T25" i="14"/>
  <c r="T37" i="14"/>
  <c r="T26" i="14"/>
  <c r="T28" i="14"/>
  <c r="T21" i="14"/>
  <c r="T19" i="14"/>
  <c r="T22" i="14"/>
  <c r="T23" i="14"/>
  <c r="T31" i="14"/>
  <c r="T36" i="14"/>
  <c r="T38" i="14"/>
  <c r="FJ5" i="3"/>
  <c r="M54" i="13"/>
  <c r="M57" i="13"/>
  <c r="DD9" i="3"/>
  <c r="M88" i="13"/>
  <c r="T41" i="7"/>
  <c r="DG9" i="3"/>
  <c r="DH9" i="3"/>
  <c r="L25" i="14"/>
  <c r="AH41" i="7"/>
  <c r="DK9" i="3"/>
  <c r="DI5" i="3"/>
  <c r="O88" i="13"/>
  <c r="O57" i="13"/>
  <c r="DO9" i="3"/>
  <c r="V23" i="7"/>
  <c r="V41" i="7"/>
  <c r="DR9" i="3"/>
  <c r="DS9" i="3"/>
  <c r="DV9" i="3"/>
  <c r="DT5" i="3"/>
  <c r="CS9" i="3"/>
  <c r="CV9" i="3"/>
  <c r="CW9" i="3"/>
  <c r="J25" i="14"/>
  <c r="CZ9" i="3"/>
  <c r="CX5" i="3"/>
  <c r="F27" i="14"/>
  <c r="F13" i="14"/>
  <c r="F37" i="14"/>
  <c r="F25" i="14"/>
  <c r="F26" i="14"/>
  <c r="F28" i="14"/>
  <c r="F21" i="14"/>
  <c r="F19" i="14"/>
  <c r="F22" i="14"/>
  <c r="F23" i="14"/>
  <c r="F31" i="14"/>
  <c r="F36" i="14"/>
  <c r="F38" i="14"/>
  <c r="CA5" i="3"/>
  <c r="M9" i="3"/>
  <c r="BX9" i="3"/>
  <c r="BT9" i="3"/>
  <c r="BW9" i="3"/>
  <c r="BZ9" i="3"/>
  <c r="BX5" i="3"/>
  <c r="M11" i="3"/>
  <c r="O11" i="3"/>
  <c r="N14" i="4"/>
  <c r="N84" i="4"/>
  <c r="N83" i="4"/>
  <c r="N86" i="4"/>
  <c r="DE13" i="3"/>
  <c r="M14" i="3"/>
  <c r="O14" i="3"/>
  <c r="K13" i="11"/>
  <c r="Y14" i="3"/>
  <c r="F9" i="2"/>
  <c r="AB14" i="3"/>
  <c r="G13" i="11"/>
  <c r="J13" i="11"/>
  <c r="X14" i="3"/>
  <c r="AA14" i="3"/>
  <c r="DE15" i="3"/>
  <c r="M16" i="3"/>
  <c r="O16" i="3"/>
  <c r="K17" i="11"/>
  <c r="Y16" i="3"/>
  <c r="AB16" i="3"/>
  <c r="G17" i="11"/>
  <c r="J17" i="11"/>
  <c r="X16" i="3"/>
  <c r="AA16" i="3"/>
  <c r="DE17" i="3"/>
  <c r="M18" i="3"/>
  <c r="O18" i="3"/>
  <c r="M19" i="3"/>
  <c r="O19" i="3"/>
  <c r="K21" i="11"/>
  <c r="Y19" i="3"/>
  <c r="AB19" i="3"/>
  <c r="G21" i="11"/>
  <c r="J21" i="11"/>
  <c r="X19" i="3"/>
  <c r="AA19" i="3"/>
  <c r="M20" i="3"/>
  <c r="O20" i="3"/>
  <c r="K30" i="11"/>
  <c r="Y20" i="3"/>
  <c r="AB20" i="3"/>
  <c r="G30" i="11"/>
  <c r="J30" i="11"/>
  <c r="X20" i="3"/>
  <c r="AA20" i="3"/>
  <c r="M21" i="3"/>
  <c r="O21" i="3"/>
  <c r="DE22" i="3"/>
  <c r="DE23" i="3"/>
  <c r="DE24" i="3"/>
  <c r="M25" i="3"/>
  <c r="O25" i="3"/>
  <c r="K33" i="11"/>
  <c r="Y25" i="3"/>
  <c r="AB25" i="3"/>
  <c r="G33" i="11"/>
  <c r="J33" i="11"/>
  <c r="X25" i="3"/>
  <c r="AA25" i="3"/>
  <c r="DE26" i="3"/>
  <c r="DE27" i="3"/>
  <c r="DE28" i="3"/>
  <c r="DE29" i="3"/>
  <c r="M30" i="3"/>
  <c r="O30" i="3"/>
  <c r="M31" i="3"/>
  <c r="O31" i="3"/>
  <c r="K39" i="11"/>
  <c r="Y31" i="3"/>
  <c r="AB31" i="3"/>
  <c r="G39" i="11"/>
  <c r="J39" i="11"/>
  <c r="X31" i="3"/>
  <c r="AA31" i="3"/>
  <c r="DE32" i="3"/>
  <c r="DE33" i="3"/>
  <c r="M34" i="3"/>
  <c r="O34" i="3"/>
  <c r="K41" i="11"/>
  <c r="Y34" i="3"/>
  <c r="AB34" i="3"/>
  <c r="G41" i="11"/>
  <c r="J41" i="11"/>
  <c r="X34" i="3"/>
  <c r="AA34" i="3"/>
  <c r="M35" i="3"/>
  <c r="O35" i="3"/>
  <c r="K42" i="11"/>
  <c r="Y35" i="3"/>
  <c r="AB35" i="3"/>
  <c r="G42" i="11"/>
  <c r="J42" i="11"/>
  <c r="X35" i="3"/>
  <c r="AA35" i="3"/>
  <c r="M36" i="3"/>
  <c r="O36" i="3"/>
  <c r="K46" i="11"/>
  <c r="Y36" i="3"/>
  <c r="AB36" i="3"/>
  <c r="G46" i="11"/>
  <c r="J46" i="11"/>
  <c r="X36" i="3"/>
  <c r="AA36" i="3"/>
  <c r="M37" i="3"/>
  <c r="O37" i="3"/>
  <c r="M38" i="3"/>
  <c r="O38" i="3"/>
  <c r="M39" i="3"/>
  <c r="O39" i="3"/>
  <c r="K49" i="11"/>
  <c r="Y39" i="3"/>
  <c r="AB39" i="3"/>
  <c r="G49" i="11"/>
  <c r="J49" i="11"/>
  <c r="X39" i="3"/>
  <c r="AA39" i="3"/>
  <c r="DE40" i="3"/>
  <c r="M41" i="3"/>
  <c r="O41" i="3"/>
  <c r="K50" i="11"/>
  <c r="Y41" i="3"/>
  <c r="AB41" i="3"/>
  <c r="G50" i="11"/>
  <c r="J50" i="11"/>
  <c r="X41" i="3"/>
  <c r="AA41" i="3"/>
  <c r="M42" i="3"/>
  <c r="O42" i="3"/>
  <c r="M43" i="3"/>
  <c r="O43" i="3"/>
  <c r="K56" i="11"/>
  <c r="Y43" i="3"/>
  <c r="AB43" i="3"/>
  <c r="G56" i="11"/>
  <c r="J56" i="11"/>
  <c r="X43" i="3"/>
  <c r="AA43" i="3"/>
  <c r="M44" i="3"/>
  <c r="O44" i="3"/>
  <c r="M45" i="3"/>
  <c r="O45" i="3"/>
  <c r="K57" i="11"/>
  <c r="Y45" i="3"/>
  <c r="AB45" i="3"/>
  <c r="G57" i="11"/>
  <c r="J57" i="11"/>
  <c r="X45" i="3"/>
  <c r="AA45" i="3"/>
  <c r="M46" i="3"/>
  <c r="O46" i="3"/>
  <c r="K59" i="11"/>
  <c r="Y46" i="3"/>
  <c r="AB46" i="3"/>
  <c r="G59" i="11"/>
  <c r="J59" i="11"/>
  <c r="X46" i="3"/>
  <c r="AA46" i="3"/>
  <c r="M47" i="3"/>
  <c r="O47" i="3"/>
  <c r="M48" i="3"/>
  <c r="O48" i="3"/>
  <c r="K175" i="11"/>
  <c r="Y48" i="3"/>
  <c r="AB48" i="3"/>
  <c r="G175" i="11"/>
  <c r="J175" i="11"/>
  <c r="X48" i="3"/>
  <c r="AA48" i="3"/>
  <c r="M49" i="3"/>
  <c r="O49" i="3"/>
  <c r="DE50" i="3"/>
  <c r="M51" i="3"/>
  <c r="O51" i="3"/>
  <c r="M52" i="3"/>
  <c r="O52" i="3"/>
  <c r="K66" i="11"/>
  <c r="Y52" i="3"/>
  <c r="AB52" i="3"/>
  <c r="G66" i="11"/>
  <c r="J66" i="11"/>
  <c r="X52" i="3"/>
  <c r="AA52" i="3"/>
  <c r="M53" i="3"/>
  <c r="O53" i="3"/>
  <c r="K69" i="11"/>
  <c r="Y53" i="3"/>
  <c r="AB53" i="3"/>
  <c r="G69" i="11"/>
  <c r="J69" i="11"/>
  <c r="X53" i="3"/>
  <c r="AA53" i="3"/>
  <c r="M54" i="3"/>
  <c r="O54" i="3"/>
  <c r="M55" i="3"/>
  <c r="O55" i="3"/>
  <c r="M56" i="3"/>
  <c r="O56" i="3"/>
  <c r="M57" i="3"/>
  <c r="O57" i="3"/>
  <c r="K53" i="11"/>
  <c r="Y57" i="3"/>
  <c r="AB57" i="3"/>
  <c r="G53" i="11"/>
  <c r="J53" i="11"/>
  <c r="X57" i="3"/>
  <c r="AA57" i="3"/>
  <c r="M58" i="3"/>
  <c r="O58" i="3"/>
  <c r="K75" i="11"/>
  <c r="Y58" i="3"/>
  <c r="AB58" i="3"/>
  <c r="G75" i="11"/>
  <c r="J75" i="11"/>
  <c r="X58" i="3"/>
  <c r="AA58" i="3"/>
  <c r="M59" i="3"/>
  <c r="O59" i="3"/>
  <c r="K84" i="11"/>
  <c r="Y59" i="3"/>
  <c r="AB59" i="3"/>
  <c r="G84" i="11"/>
  <c r="J84" i="11"/>
  <c r="X59" i="3"/>
  <c r="AA59" i="3"/>
  <c r="M60" i="3"/>
  <c r="O60" i="3"/>
  <c r="M61" i="3"/>
  <c r="O61" i="3"/>
  <c r="K85" i="11"/>
  <c r="Y61" i="3"/>
  <c r="AB61" i="3"/>
  <c r="G85" i="11"/>
  <c r="J85" i="11"/>
  <c r="X61" i="3"/>
  <c r="AA61" i="3"/>
  <c r="M62" i="3"/>
  <c r="O62" i="3"/>
  <c r="M63" i="3"/>
  <c r="O63" i="3"/>
  <c r="M64" i="3"/>
  <c r="O64" i="3"/>
  <c r="M65" i="3"/>
  <c r="O65" i="3"/>
  <c r="K89" i="11"/>
  <c r="Y65" i="3"/>
  <c r="AB65" i="3"/>
  <c r="G89" i="11"/>
  <c r="J89" i="11"/>
  <c r="X65" i="3"/>
  <c r="AA65" i="3"/>
  <c r="M66" i="3"/>
  <c r="O66" i="3"/>
  <c r="M67" i="3"/>
  <c r="O67" i="3"/>
  <c r="K93" i="11"/>
  <c r="Y67" i="3"/>
  <c r="AB67" i="3"/>
  <c r="G93" i="11"/>
  <c r="J93" i="11"/>
  <c r="X67" i="3"/>
  <c r="AA67" i="3"/>
  <c r="M68" i="3"/>
  <c r="O68" i="3"/>
  <c r="M69" i="3"/>
  <c r="O69" i="3"/>
  <c r="M70" i="3"/>
  <c r="O70" i="3"/>
  <c r="K95" i="11"/>
  <c r="Y70" i="3"/>
  <c r="AB70" i="3"/>
  <c r="G95" i="11"/>
  <c r="J95" i="11"/>
  <c r="X70" i="3"/>
  <c r="AA70" i="3"/>
  <c r="M71" i="3"/>
  <c r="O71" i="3"/>
  <c r="M72" i="3"/>
  <c r="O72" i="3"/>
  <c r="K100" i="11"/>
  <c r="Y72" i="3"/>
  <c r="AB72" i="3"/>
  <c r="G100" i="11"/>
  <c r="J100" i="11"/>
  <c r="X72" i="3"/>
  <c r="AA72" i="3"/>
  <c r="M73" i="3"/>
  <c r="O73" i="3"/>
  <c r="M74" i="3"/>
  <c r="O74" i="3"/>
  <c r="K103" i="11"/>
  <c r="Y74" i="3"/>
  <c r="AB74" i="3"/>
  <c r="G103" i="11"/>
  <c r="J103" i="11"/>
  <c r="X74" i="3"/>
  <c r="AA74" i="3"/>
  <c r="M75" i="3"/>
  <c r="O75" i="3"/>
  <c r="DE76" i="3"/>
  <c r="M77" i="3"/>
  <c r="O77" i="3"/>
  <c r="M78" i="3"/>
  <c r="O78" i="3"/>
  <c r="K159" i="11"/>
  <c r="Y78" i="3"/>
  <c r="AB78" i="3"/>
  <c r="G159" i="11"/>
  <c r="J159" i="11"/>
  <c r="X78" i="3"/>
  <c r="AA78" i="3"/>
  <c r="M79" i="3"/>
  <c r="O79" i="3"/>
  <c r="M80" i="3"/>
  <c r="O80" i="3"/>
  <c r="DE81" i="3"/>
  <c r="DE82" i="3"/>
  <c r="M83" i="3"/>
  <c r="O83" i="3"/>
  <c r="M84" i="3"/>
  <c r="O84" i="3"/>
  <c r="M85" i="3"/>
  <c r="O85" i="3"/>
  <c r="DE86" i="3"/>
  <c r="M87" i="3"/>
  <c r="O87" i="3"/>
  <c r="DE88" i="3"/>
  <c r="M89" i="3"/>
  <c r="O89" i="3"/>
  <c r="DE90" i="3"/>
  <c r="M91" i="3"/>
  <c r="O91" i="3"/>
  <c r="M92" i="3"/>
  <c r="O92" i="3"/>
  <c r="M93" i="3"/>
  <c r="O93" i="3"/>
  <c r="M94" i="3"/>
  <c r="O94" i="3"/>
  <c r="K127" i="11"/>
  <c r="Y94" i="3"/>
  <c r="AB94" i="3"/>
  <c r="G127" i="11"/>
  <c r="J127" i="11"/>
  <c r="X94" i="3"/>
  <c r="AA94" i="3"/>
  <c r="DE95" i="3"/>
  <c r="DE96" i="3"/>
  <c r="M97" i="3"/>
  <c r="O97" i="3"/>
  <c r="K122" i="11"/>
  <c r="Y97" i="3"/>
  <c r="AB97" i="3"/>
  <c r="G122" i="11"/>
  <c r="J122" i="11"/>
  <c r="X97" i="3"/>
  <c r="AA97" i="3"/>
  <c r="M98" i="3"/>
  <c r="O98" i="3"/>
  <c r="M99" i="3"/>
  <c r="O99" i="3"/>
  <c r="M100" i="3"/>
  <c r="O100" i="3"/>
  <c r="DE101" i="3"/>
  <c r="M103" i="3"/>
  <c r="O103" i="3"/>
  <c r="K150" i="11"/>
  <c r="Y103" i="3"/>
  <c r="AB103" i="3"/>
  <c r="G150" i="11"/>
  <c r="J150" i="11"/>
  <c r="X103" i="3"/>
  <c r="AA103" i="3"/>
  <c r="M104" i="3"/>
  <c r="O104" i="3"/>
  <c r="K146" i="11"/>
  <c r="Y104" i="3"/>
  <c r="AB104" i="3"/>
  <c r="G146" i="11"/>
  <c r="J146" i="11"/>
  <c r="X104" i="3"/>
  <c r="AA104" i="3"/>
  <c r="DE105" i="3"/>
  <c r="M106" i="3"/>
  <c r="O106" i="3"/>
  <c r="M107" i="3"/>
  <c r="O107" i="3"/>
  <c r="K148" i="11"/>
  <c r="Y107" i="3"/>
  <c r="AB107" i="3"/>
  <c r="G148" i="11"/>
  <c r="J148" i="11"/>
  <c r="X107" i="3"/>
  <c r="AA107" i="3"/>
  <c r="M108" i="3"/>
  <c r="O108" i="3"/>
  <c r="M109" i="3"/>
  <c r="O109" i="3"/>
  <c r="K152" i="11"/>
  <c r="Y109" i="3"/>
  <c r="AB109" i="3"/>
  <c r="G152" i="11"/>
  <c r="J152" i="11"/>
  <c r="X109" i="3"/>
  <c r="AA109" i="3"/>
  <c r="M110" i="3"/>
  <c r="O110" i="3"/>
  <c r="DE111" i="3"/>
  <c r="M112" i="3"/>
  <c r="O112" i="3"/>
  <c r="K154" i="11"/>
  <c r="Y112" i="3"/>
  <c r="AB112" i="3"/>
  <c r="G154" i="11"/>
  <c r="J154" i="11"/>
  <c r="X112" i="3"/>
  <c r="AA112" i="3"/>
  <c r="M113" i="3"/>
  <c r="O113" i="3"/>
  <c r="K155" i="11"/>
  <c r="Y113" i="3"/>
  <c r="AB113" i="3"/>
  <c r="G155" i="11"/>
  <c r="J155" i="11"/>
  <c r="X113" i="3"/>
  <c r="AA113" i="3"/>
  <c r="M114" i="3"/>
  <c r="O114" i="3"/>
  <c r="K160" i="11"/>
  <c r="Y114" i="3"/>
  <c r="AB114" i="3"/>
  <c r="G160" i="11"/>
  <c r="J160" i="11"/>
  <c r="X114" i="3"/>
  <c r="AA114" i="3"/>
  <c r="M115" i="3"/>
  <c r="O115" i="3"/>
  <c r="K158" i="11"/>
  <c r="Y115" i="3"/>
  <c r="AB115" i="3"/>
  <c r="G158" i="11"/>
  <c r="J158" i="11"/>
  <c r="X115" i="3"/>
  <c r="AA115" i="3"/>
  <c r="M116" i="3"/>
  <c r="O116" i="3"/>
  <c r="M117" i="3"/>
  <c r="O117" i="3"/>
  <c r="K166" i="11"/>
  <c r="Y117" i="3"/>
  <c r="AB117" i="3"/>
  <c r="G166" i="11"/>
  <c r="J166" i="11"/>
  <c r="X117" i="3"/>
  <c r="AA117" i="3"/>
  <c r="DE118" i="3"/>
  <c r="M119" i="3"/>
  <c r="O119" i="3"/>
  <c r="M120" i="3"/>
  <c r="O120" i="3"/>
  <c r="M121" i="3"/>
  <c r="O121" i="3"/>
  <c r="M122" i="3"/>
  <c r="O122" i="3"/>
  <c r="M123" i="3"/>
  <c r="O123" i="3"/>
  <c r="M124" i="3"/>
  <c r="O124" i="3"/>
  <c r="M125" i="3"/>
  <c r="O125" i="3"/>
  <c r="M126" i="3"/>
  <c r="O126" i="3"/>
  <c r="K63" i="11"/>
  <c r="Y126" i="3"/>
  <c r="AB126" i="3"/>
  <c r="G63" i="11"/>
  <c r="J63" i="11"/>
  <c r="X126" i="3"/>
  <c r="AA126" i="3"/>
  <c r="M127" i="3"/>
  <c r="O127" i="3"/>
  <c r="K117" i="11"/>
  <c r="Y127" i="3"/>
  <c r="AB127" i="3"/>
  <c r="G117" i="11"/>
  <c r="J117" i="11"/>
  <c r="X127" i="3"/>
  <c r="AA127" i="3"/>
  <c r="M128" i="3"/>
  <c r="O128" i="3"/>
  <c r="M129" i="3"/>
  <c r="O129" i="3"/>
  <c r="DE130" i="3"/>
  <c r="M131" i="3"/>
  <c r="O131" i="3"/>
  <c r="K184" i="11"/>
  <c r="Y131" i="3"/>
  <c r="AB131" i="3"/>
  <c r="G184" i="11"/>
  <c r="J184" i="11"/>
  <c r="X131" i="3"/>
  <c r="AA131" i="3"/>
  <c r="DE132" i="3"/>
  <c r="M133" i="3"/>
  <c r="O133" i="3"/>
  <c r="DE134" i="3"/>
  <c r="M135" i="3"/>
  <c r="O135" i="3"/>
  <c r="M136" i="3"/>
  <c r="O136" i="3"/>
  <c r="M137" i="3"/>
  <c r="O137" i="3"/>
  <c r="M138" i="3"/>
  <c r="O138" i="3"/>
  <c r="M139" i="3"/>
  <c r="O139" i="3"/>
  <c r="M140" i="3"/>
  <c r="O140" i="3"/>
  <c r="DE141" i="3"/>
  <c r="DE142" i="3"/>
  <c r="M143" i="3"/>
  <c r="O143" i="3"/>
  <c r="M144" i="3"/>
  <c r="O144" i="3"/>
  <c r="K12" i="11"/>
  <c r="Y144" i="3"/>
  <c r="AB144" i="3"/>
  <c r="G12" i="11"/>
  <c r="J12" i="11"/>
  <c r="X144" i="3"/>
  <c r="AA144" i="3"/>
  <c r="M145" i="3"/>
  <c r="O145" i="3"/>
  <c r="K73" i="11"/>
  <c r="Y145" i="3"/>
  <c r="AB145" i="3"/>
  <c r="G73" i="11"/>
  <c r="J73" i="11"/>
  <c r="X145" i="3"/>
  <c r="AA145" i="3"/>
  <c r="M146" i="3"/>
  <c r="O146" i="3"/>
  <c r="K205" i="11"/>
  <c r="Y146" i="3"/>
  <c r="AB146" i="3"/>
  <c r="G205" i="11"/>
  <c r="J205" i="11"/>
  <c r="X146" i="3"/>
  <c r="AA146" i="3"/>
  <c r="M147" i="3"/>
  <c r="O147" i="3"/>
  <c r="K204" i="11"/>
  <c r="Y147" i="3"/>
  <c r="AB147" i="3"/>
  <c r="G204" i="11"/>
  <c r="J204" i="11"/>
  <c r="X147" i="3"/>
  <c r="AA147" i="3"/>
  <c r="DE148" i="3"/>
  <c r="M149" i="3"/>
  <c r="O149" i="3"/>
  <c r="K208" i="11"/>
  <c r="Y149" i="3"/>
  <c r="AB149" i="3"/>
  <c r="G208" i="11"/>
  <c r="J208" i="11"/>
  <c r="X149" i="3"/>
  <c r="AA149" i="3"/>
  <c r="M150" i="3"/>
  <c r="O150" i="3"/>
  <c r="DE151" i="3"/>
  <c r="M152" i="3"/>
  <c r="O152" i="3"/>
  <c r="DE153" i="3"/>
  <c r="DE154" i="3"/>
  <c r="DE9" i="3"/>
  <c r="CT9" i="3"/>
  <c r="H32" i="7"/>
  <c r="F32" i="7"/>
  <c r="P153" i="20"/>
  <c r="E6" i="5"/>
  <c r="E10" i="5"/>
  <c r="E15" i="5"/>
  <c r="D11" i="3"/>
  <c r="E16" i="5"/>
  <c r="E18" i="5"/>
  <c r="AY11" i="3"/>
  <c r="D12" i="3"/>
  <c r="AY12" i="3"/>
  <c r="M13" i="3"/>
  <c r="O13" i="3"/>
  <c r="D13" i="3"/>
  <c r="AY13" i="3"/>
  <c r="D14" i="3"/>
  <c r="AY14" i="3"/>
  <c r="M15" i="3"/>
  <c r="G14" i="11"/>
  <c r="J14" i="11"/>
  <c r="X15" i="3"/>
  <c r="AA15" i="3"/>
  <c r="O15" i="3"/>
  <c r="K14" i="11"/>
  <c r="Y15" i="3"/>
  <c r="AB15" i="3"/>
  <c r="D15" i="3"/>
  <c r="AY15" i="3"/>
  <c r="D16" i="3"/>
  <c r="AY16" i="3"/>
  <c r="M17" i="3"/>
  <c r="O17" i="3"/>
  <c r="D17" i="3"/>
  <c r="AY17" i="3"/>
  <c r="D18" i="3"/>
  <c r="AY18" i="3"/>
  <c r="D19" i="3"/>
  <c r="AY19" i="3"/>
  <c r="D20" i="3"/>
  <c r="AY20" i="3"/>
  <c r="D21" i="3"/>
  <c r="AY21" i="3"/>
  <c r="M22" i="3"/>
  <c r="G32" i="11"/>
  <c r="J32" i="11"/>
  <c r="X22" i="3"/>
  <c r="AA22" i="3"/>
  <c r="O22" i="3"/>
  <c r="K32" i="11"/>
  <c r="Y22" i="3"/>
  <c r="AB22" i="3"/>
  <c r="D22" i="3"/>
  <c r="AY22" i="3"/>
  <c r="M23" i="3"/>
  <c r="O23" i="3"/>
  <c r="D23" i="3"/>
  <c r="AY23" i="3"/>
  <c r="M24" i="3"/>
  <c r="O24" i="3"/>
  <c r="D24" i="3"/>
  <c r="AY24" i="3"/>
  <c r="D25" i="3"/>
  <c r="AY25" i="3"/>
  <c r="M26" i="3"/>
  <c r="O26" i="3"/>
  <c r="D26" i="3"/>
  <c r="AY26" i="3"/>
  <c r="M27" i="3"/>
  <c r="O27" i="3"/>
  <c r="D27" i="3"/>
  <c r="AY27" i="3"/>
  <c r="M28" i="3"/>
  <c r="O28" i="3"/>
  <c r="D28" i="3"/>
  <c r="AY28" i="3"/>
  <c r="M29" i="3"/>
  <c r="O29" i="3"/>
  <c r="D29" i="3"/>
  <c r="AY29" i="3"/>
  <c r="D30" i="3"/>
  <c r="AY30" i="3"/>
  <c r="D31" i="3"/>
  <c r="AY31" i="3"/>
  <c r="M32" i="3"/>
  <c r="O32" i="3"/>
  <c r="D32" i="3"/>
  <c r="AY32" i="3"/>
  <c r="M33" i="3"/>
  <c r="O33" i="3"/>
  <c r="D33" i="3"/>
  <c r="AY33" i="3"/>
  <c r="D34" i="3"/>
  <c r="AY34" i="3"/>
  <c r="D35" i="3"/>
  <c r="AY35" i="3"/>
  <c r="D36" i="3"/>
  <c r="AY36" i="3"/>
  <c r="D37" i="3"/>
  <c r="AY37" i="3"/>
  <c r="D38" i="3"/>
  <c r="AY38" i="3"/>
  <c r="D39" i="3"/>
  <c r="AY39" i="3"/>
  <c r="M40" i="3"/>
  <c r="O40" i="3"/>
  <c r="D40" i="3"/>
  <c r="AY40" i="3"/>
  <c r="D41" i="3"/>
  <c r="AY41" i="3"/>
  <c r="D42" i="3"/>
  <c r="AY42" i="3"/>
  <c r="D43" i="3"/>
  <c r="AY43" i="3"/>
  <c r="D44" i="3"/>
  <c r="AY44" i="3"/>
  <c r="D45" i="3"/>
  <c r="AY45" i="3"/>
  <c r="D46" i="3"/>
  <c r="AY46" i="3"/>
  <c r="D47" i="3"/>
  <c r="AY47" i="3"/>
  <c r="D48" i="3"/>
  <c r="AY48" i="3"/>
  <c r="D49" i="3"/>
  <c r="AY49" i="3"/>
  <c r="M50" i="3"/>
  <c r="O50" i="3"/>
  <c r="D50" i="3"/>
  <c r="AY50" i="3"/>
  <c r="D51" i="3"/>
  <c r="AY51" i="3"/>
  <c r="D52" i="3"/>
  <c r="AY52" i="3"/>
  <c r="D53" i="3"/>
  <c r="AY53" i="3"/>
  <c r="D54" i="3"/>
  <c r="AY54" i="3"/>
  <c r="D55" i="3"/>
  <c r="AY55" i="3"/>
  <c r="D56" i="3"/>
  <c r="AY56" i="3"/>
  <c r="D57" i="3"/>
  <c r="AY57" i="3"/>
  <c r="D58" i="3"/>
  <c r="AY58" i="3"/>
  <c r="D59" i="3"/>
  <c r="AY59" i="3"/>
  <c r="D60" i="3"/>
  <c r="AY60" i="3"/>
  <c r="D61" i="3"/>
  <c r="AY61" i="3"/>
  <c r="D62" i="3"/>
  <c r="AY62" i="3"/>
  <c r="D63" i="3"/>
  <c r="AY63" i="3"/>
  <c r="D64" i="3"/>
  <c r="AY64" i="3"/>
  <c r="D65" i="3"/>
  <c r="AY65" i="3"/>
  <c r="D66" i="3"/>
  <c r="AY66" i="3"/>
  <c r="D67" i="3"/>
  <c r="AY67" i="3"/>
  <c r="D68" i="3"/>
  <c r="AY68" i="3"/>
  <c r="D69" i="3"/>
  <c r="AY69" i="3"/>
  <c r="D70" i="3"/>
  <c r="AY70" i="3"/>
  <c r="D71" i="3"/>
  <c r="AY71" i="3"/>
  <c r="D72" i="3"/>
  <c r="AY72" i="3"/>
  <c r="D73" i="3"/>
  <c r="AY73" i="3"/>
  <c r="D74" i="3"/>
  <c r="AY74" i="3"/>
  <c r="D75" i="3"/>
  <c r="AY75" i="3"/>
  <c r="M76" i="3"/>
  <c r="O76" i="3"/>
  <c r="D76" i="3"/>
  <c r="AY76" i="3"/>
  <c r="D77" i="3"/>
  <c r="AY77" i="3"/>
  <c r="D78" i="3"/>
  <c r="AY78" i="3"/>
  <c r="D79" i="3"/>
  <c r="AY79" i="3"/>
  <c r="D80" i="3"/>
  <c r="AY80" i="3"/>
  <c r="M81" i="3"/>
  <c r="O81" i="3"/>
  <c r="D81" i="3"/>
  <c r="AY81" i="3"/>
  <c r="M82" i="3"/>
  <c r="O82" i="3"/>
  <c r="D82" i="3"/>
  <c r="AY82" i="3"/>
  <c r="D83" i="3"/>
  <c r="AY83" i="3"/>
  <c r="D84" i="3"/>
  <c r="AY84" i="3"/>
  <c r="D85" i="3"/>
  <c r="AY85" i="3"/>
  <c r="M86" i="3"/>
  <c r="O86" i="3"/>
  <c r="D86" i="3"/>
  <c r="AY86" i="3"/>
  <c r="D87" i="3"/>
  <c r="AY87" i="3"/>
  <c r="M88" i="3"/>
  <c r="O88" i="3"/>
  <c r="D88" i="3"/>
  <c r="AY88" i="3"/>
  <c r="D89" i="3"/>
  <c r="AY89" i="3"/>
  <c r="M90" i="3"/>
  <c r="O90" i="3"/>
  <c r="D90" i="3"/>
  <c r="AY90" i="3"/>
  <c r="D91" i="3"/>
  <c r="AY91" i="3"/>
  <c r="D92" i="3"/>
  <c r="AY92" i="3"/>
  <c r="D93" i="3"/>
  <c r="AY93" i="3"/>
  <c r="D94" i="3"/>
  <c r="AY94" i="3"/>
  <c r="M95" i="3"/>
  <c r="O95" i="3"/>
  <c r="D95" i="3"/>
  <c r="AY95" i="3"/>
  <c r="M96" i="3"/>
  <c r="G132" i="11"/>
  <c r="J132" i="11"/>
  <c r="X96" i="3"/>
  <c r="AA96" i="3"/>
  <c r="O96" i="3"/>
  <c r="K132" i="11"/>
  <c r="Y96" i="3"/>
  <c r="AB96" i="3"/>
  <c r="D96" i="3"/>
  <c r="AY96" i="3"/>
  <c r="D97" i="3"/>
  <c r="AY97" i="3"/>
  <c r="D98" i="3"/>
  <c r="AY98" i="3"/>
  <c r="D99" i="3"/>
  <c r="AY99" i="3"/>
  <c r="D100" i="3"/>
  <c r="AY100" i="3"/>
  <c r="M101" i="3"/>
  <c r="G149" i="11"/>
  <c r="J149" i="11"/>
  <c r="X101" i="3"/>
  <c r="AA101" i="3"/>
  <c r="O101" i="3"/>
  <c r="K149" i="11"/>
  <c r="Y101" i="3"/>
  <c r="AB101" i="3"/>
  <c r="D101" i="3"/>
  <c r="AY101" i="3"/>
  <c r="D102" i="3"/>
  <c r="AX102" i="3"/>
  <c r="AW102" i="3"/>
  <c r="AY102" i="3"/>
  <c r="AZ102" i="3"/>
  <c r="BA102" i="3"/>
  <c r="D103" i="3"/>
  <c r="AY103" i="3"/>
  <c r="D104" i="3"/>
  <c r="AY104" i="3"/>
  <c r="M105" i="3"/>
  <c r="O105" i="3"/>
  <c r="D105" i="3"/>
  <c r="AY105" i="3"/>
  <c r="D106" i="3"/>
  <c r="AY106" i="3"/>
  <c r="D107" i="3"/>
  <c r="AY107" i="3"/>
  <c r="D108" i="3"/>
  <c r="AY108" i="3"/>
  <c r="D109" i="3"/>
  <c r="AY109" i="3"/>
  <c r="D110" i="3"/>
  <c r="AY110" i="3"/>
  <c r="M111" i="3"/>
  <c r="O111" i="3"/>
  <c r="D111" i="3"/>
  <c r="AY111" i="3"/>
  <c r="D112" i="3"/>
  <c r="AY112" i="3"/>
  <c r="D113" i="3"/>
  <c r="AY113" i="3"/>
  <c r="D114" i="3"/>
  <c r="AY114" i="3"/>
  <c r="D115" i="3"/>
  <c r="AY115" i="3"/>
  <c r="D116" i="3"/>
  <c r="AY116" i="3"/>
  <c r="D117" i="3"/>
  <c r="AY117" i="3"/>
  <c r="M118" i="3"/>
  <c r="O118" i="3"/>
  <c r="D118" i="3"/>
  <c r="AY118" i="3"/>
  <c r="D119" i="3"/>
  <c r="AY119" i="3"/>
  <c r="D120" i="3"/>
  <c r="AY120" i="3"/>
  <c r="D121" i="3"/>
  <c r="AY121" i="3"/>
  <c r="D122" i="3"/>
  <c r="AY122" i="3"/>
  <c r="D123" i="3"/>
  <c r="AY123" i="3"/>
  <c r="D124" i="3"/>
  <c r="AY124" i="3"/>
  <c r="D125" i="3"/>
  <c r="AY125" i="3"/>
  <c r="D126" i="3"/>
  <c r="AY126" i="3"/>
  <c r="D127" i="3"/>
  <c r="AY127" i="3"/>
  <c r="D128" i="3"/>
  <c r="AY128" i="3"/>
  <c r="D129" i="3"/>
  <c r="AY129" i="3"/>
  <c r="M130" i="3"/>
  <c r="O130" i="3"/>
  <c r="D130" i="3"/>
  <c r="AY130" i="3"/>
  <c r="D131" i="3"/>
  <c r="AY131" i="3"/>
  <c r="M132" i="3"/>
  <c r="G40" i="11"/>
  <c r="J40" i="11"/>
  <c r="X132" i="3"/>
  <c r="AA132" i="3"/>
  <c r="O132" i="3"/>
  <c r="K40" i="11"/>
  <c r="Y132" i="3"/>
  <c r="AB132" i="3"/>
  <c r="D132" i="3"/>
  <c r="AY132" i="3"/>
  <c r="D133" i="3"/>
  <c r="AY133" i="3"/>
  <c r="M134" i="3"/>
  <c r="O134" i="3"/>
  <c r="D134" i="3"/>
  <c r="AY134" i="3"/>
  <c r="D135" i="3"/>
  <c r="AY135" i="3"/>
  <c r="D136" i="3"/>
  <c r="AY136" i="3"/>
  <c r="D137" i="3"/>
  <c r="AY137" i="3"/>
  <c r="D138" i="3"/>
  <c r="AY138" i="3"/>
  <c r="D139" i="3"/>
  <c r="AY139" i="3"/>
  <c r="D140" i="3"/>
  <c r="AY140" i="3"/>
  <c r="M141" i="3"/>
  <c r="O141" i="3"/>
  <c r="D141" i="3"/>
  <c r="AY141" i="3"/>
  <c r="M142" i="3"/>
  <c r="O142" i="3"/>
  <c r="D142" i="3"/>
  <c r="AY142" i="3"/>
  <c r="D143" i="3"/>
  <c r="AY143" i="3"/>
  <c r="D144" i="3"/>
  <c r="AY144" i="3"/>
  <c r="D145" i="3"/>
  <c r="AY145" i="3"/>
  <c r="D146" i="3"/>
  <c r="AY146" i="3"/>
  <c r="D147" i="3"/>
  <c r="AY147" i="3"/>
  <c r="M148" i="3"/>
  <c r="O148" i="3"/>
  <c r="D148" i="3"/>
  <c r="AY148" i="3"/>
  <c r="D149" i="3"/>
  <c r="AY149" i="3"/>
  <c r="D150" i="3"/>
  <c r="AY150" i="3"/>
  <c r="M151" i="3"/>
  <c r="O151" i="3"/>
  <c r="B151" i="3"/>
  <c r="D151" i="3"/>
  <c r="AY151" i="3"/>
  <c r="D152" i="3"/>
  <c r="AY152" i="3"/>
  <c r="M153" i="3"/>
  <c r="O153" i="3"/>
  <c r="D153" i="3"/>
  <c r="AY153" i="3"/>
  <c r="M154" i="3"/>
  <c r="O154" i="3"/>
  <c r="D154" i="3"/>
  <c r="AY154" i="3"/>
  <c r="D10" i="3"/>
  <c r="AY10" i="3"/>
  <c r="AA9" i="3"/>
  <c r="O9" i="3"/>
  <c r="K6" i="11"/>
  <c r="Y9" i="3"/>
  <c r="AB9" i="3"/>
  <c r="D9" i="3"/>
  <c r="AY9" i="3"/>
  <c r="N19" i="14"/>
  <c r="L19" i="14"/>
  <c r="H19" i="14"/>
  <c r="H5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9" i="3"/>
  <c r="A65" i="15"/>
  <c r="AX66" i="3"/>
  <c r="BE66" i="3"/>
  <c r="BT66" i="3"/>
  <c r="H22" i="4"/>
  <c r="H56" i="4"/>
  <c r="CF66" i="3"/>
  <c r="AH43" i="7"/>
  <c r="AH63" i="7"/>
  <c r="AH42" i="7"/>
  <c r="AH44" i="7"/>
  <c r="AH35" i="7"/>
  <c r="AH37" i="7"/>
  <c r="AH51" i="7"/>
  <c r="AH62" i="7"/>
  <c r="AH64" i="7"/>
  <c r="J35" i="4"/>
  <c r="J56" i="4"/>
  <c r="I90" i="13"/>
  <c r="P10" i="7"/>
  <c r="P39" i="7"/>
  <c r="CL66" i="3"/>
  <c r="H25" i="14"/>
  <c r="H37" i="14"/>
  <c r="H26" i="14"/>
  <c r="H27" i="14"/>
  <c r="H28" i="14"/>
  <c r="H21" i="14"/>
  <c r="H22" i="14"/>
  <c r="H23" i="14"/>
  <c r="H31" i="14"/>
  <c r="H36" i="14"/>
  <c r="H38" i="14"/>
  <c r="CN5" i="3"/>
  <c r="H8" i="14"/>
  <c r="CS66" i="3"/>
  <c r="G94" i="11"/>
  <c r="J94" i="11"/>
  <c r="X66" i="3"/>
  <c r="AA66" i="3"/>
  <c r="S85" i="12"/>
  <c r="T85" i="12"/>
  <c r="U85" i="12"/>
  <c r="V85" i="12"/>
  <c r="AA85" i="12"/>
  <c r="AF66" i="3"/>
  <c r="AI66" i="3"/>
  <c r="L35" i="4"/>
  <c r="L56" i="4"/>
  <c r="K90" i="13"/>
  <c r="R10" i="7"/>
  <c r="R39" i="7"/>
  <c r="CY66" i="3"/>
  <c r="J8" i="14"/>
  <c r="J27" i="14"/>
  <c r="J37" i="14"/>
  <c r="J26" i="14"/>
  <c r="J28" i="14"/>
  <c r="J21" i="14"/>
  <c r="J19" i="14"/>
  <c r="J22" i="14"/>
  <c r="J23" i="14"/>
  <c r="J31" i="14"/>
  <c r="J36" i="14"/>
  <c r="J38" i="14"/>
  <c r="DA5" i="3"/>
  <c r="T47" i="7"/>
  <c r="T49" i="7"/>
  <c r="T63" i="7"/>
  <c r="T50" i="7"/>
  <c r="T51" i="7"/>
  <c r="T52" i="7"/>
  <c r="DD66" i="3"/>
  <c r="M18" i="13"/>
  <c r="M19" i="13"/>
  <c r="M26" i="13"/>
  <c r="M23" i="13"/>
  <c r="M27" i="13"/>
  <c r="M45" i="13"/>
  <c r="M36" i="13"/>
  <c r="M34" i="13"/>
  <c r="M35" i="13"/>
  <c r="M37" i="13"/>
  <c r="M40" i="13"/>
  <c r="M41" i="13"/>
  <c r="M42" i="13"/>
  <c r="M48" i="13"/>
  <c r="M49" i="13"/>
  <c r="M50" i="13"/>
  <c r="M65" i="13"/>
  <c r="M63" i="13"/>
  <c r="N35" i="4"/>
  <c r="N56" i="4"/>
  <c r="M90" i="13"/>
  <c r="T10" i="7"/>
  <c r="T39" i="7"/>
  <c r="DJ66" i="3"/>
  <c r="L8" i="14"/>
  <c r="L27" i="14"/>
  <c r="L37" i="14"/>
  <c r="L26" i="14"/>
  <c r="L28" i="14"/>
  <c r="L21" i="14"/>
  <c r="L22" i="14"/>
  <c r="L23" i="14"/>
  <c r="L31" i="14"/>
  <c r="L36" i="14"/>
  <c r="L38" i="14"/>
  <c r="DL5" i="3"/>
  <c r="DO66" i="3"/>
  <c r="O18" i="13"/>
  <c r="O19" i="13"/>
  <c r="O26" i="13"/>
  <c r="O23" i="13"/>
  <c r="O27" i="13"/>
  <c r="O45" i="13"/>
  <c r="O36" i="13"/>
  <c r="O34" i="13"/>
  <c r="O35" i="13"/>
  <c r="O37" i="13"/>
  <c r="O40" i="13"/>
  <c r="O41" i="13"/>
  <c r="O42" i="13"/>
  <c r="O48" i="13"/>
  <c r="O49" i="13"/>
  <c r="O50" i="13"/>
  <c r="O65" i="13"/>
  <c r="P14" i="4"/>
  <c r="P84" i="4"/>
  <c r="P83" i="4"/>
  <c r="P86" i="4"/>
  <c r="O63" i="13"/>
  <c r="P19" i="4"/>
  <c r="P22" i="4"/>
  <c r="P35" i="4"/>
  <c r="P56" i="4"/>
  <c r="O90" i="13"/>
  <c r="V10" i="7"/>
  <c r="V39" i="7"/>
  <c r="DU66" i="3"/>
  <c r="N8" i="14"/>
  <c r="N27" i="14"/>
  <c r="N37" i="14"/>
  <c r="N26" i="14"/>
  <c r="N28" i="14"/>
  <c r="N21" i="14"/>
  <c r="N22" i="14"/>
  <c r="N23" i="14"/>
  <c r="N31" i="14"/>
  <c r="N36" i="14"/>
  <c r="N38" i="14"/>
  <c r="DW5" i="3"/>
  <c r="EB66" i="3"/>
  <c r="R17" i="4"/>
  <c r="R65" i="4"/>
  <c r="R60" i="4"/>
  <c r="R62" i="4"/>
  <c r="R67" i="4"/>
  <c r="R73" i="4"/>
  <c r="R56" i="4"/>
  <c r="Q90" i="13"/>
  <c r="X10" i="7"/>
  <c r="X39" i="7"/>
  <c r="EH66" i="3"/>
  <c r="P8" i="14"/>
  <c r="P27" i="14"/>
  <c r="P25" i="14"/>
  <c r="P37" i="14"/>
  <c r="P26" i="14"/>
  <c r="P28" i="14"/>
  <c r="P21" i="14"/>
  <c r="P19" i="14"/>
  <c r="P22" i="14"/>
  <c r="P23" i="14"/>
  <c r="P31" i="14"/>
  <c r="P36" i="14"/>
  <c r="P38" i="14"/>
  <c r="EJ5" i="3"/>
  <c r="EO66" i="3"/>
  <c r="T56" i="4"/>
  <c r="S90" i="13"/>
  <c r="Z10" i="7"/>
  <c r="Z39" i="7"/>
  <c r="EU66" i="3"/>
  <c r="R8" i="14"/>
  <c r="R27" i="14"/>
  <c r="R25" i="14"/>
  <c r="R37" i="14"/>
  <c r="R26" i="14"/>
  <c r="R28" i="14"/>
  <c r="R21" i="14"/>
  <c r="R19" i="14"/>
  <c r="R22" i="14"/>
  <c r="R23" i="14"/>
  <c r="R31" i="14"/>
  <c r="R36" i="14"/>
  <c r="R38" i="14"/>
  <c r="EW5" i="3"/>
  <c r="FB66" i="3"/>
  <c r="V19" i="4"/>
  <c r="V22" i="4"/>
  <c r="V35" i="4"/>
  <c r="V56" i="4"/>
  <c r="U90" i="13"/>
  <c r="AB10" i="7"/>
  <c r="AB39" i="7"/>
  <c r="FH66" i="3"/>
  <c r="T8" i="14"/>
  <c r="FM66" i="3"/>
  <c r="Y18" i="13"/>
  <c r="Y19" i="13"/>
  <c r="Y23" i="13"/>
  <c r="Y27" i="13"/>
  <c r="Y45" i="13"/>
  <c r="Y36" i="13"/>
  <c r="Y34" i="13"/>
  <c r="Y35" i="13"/>
  <c r="Y37" i="13"/>
  <c r="Y40" i="13"/>
  <c r="Y41" i="13"/>
  <c r="Y42" i="13"/>
  <c r="Y48" i="13"/>
  <c r="Y49" i="13"/>
  <c r="Y50" i="13"/>
  <c r="Y65" i="13"/>
  <c r="Z14" i="4"/>
  <c r="Z84" i="4"/>
  <c r="Z83" i="4"/>
  <c r="Z86" i="4"/>
  <c r="Y63" i="13"/>
  <c r="Z19" i="4"/>
  <c r="Z22" i="4"/>
  <c r="Z35" i="4"/>
  <c r="Z56" i="4"/>
  <c r="FW66" i="3"/>
  <c r="FX66" i="3"/>
  <c r="A66" i="15"/>
  <c r="AX67" i="3"/>
  <c r="BE67" i="3"/>
  <c r="BT67" i="3"/>
  <c r="CF67" i="3"/>
  <c r="CL67" i="3"/>
  <c r="CS67" i="3"/>
  <c r="S86" i="12"/>
  <c r="T86" i="12"/>
  <c r="U86" i="12"/>
  <c r="V86" i="12"/>
  <c r="AA86" i="12"/>
  <c r="AF67" i="3"/>
  <c r="AI67" i="3"/>
  <c r="CY67" i="3"/>
  <c r="DD67" i="3"/>
  <c r="DJ67" i="3"/>
  <c r="DO67" i="3"/>
  <c r="DU67" i="3"/>
  <c r="EB67" i="3"/>
  <c r="EH67" i="3"/>
  <c r="EO67" i="3"/>
  <c r="EU67" i="3"/>
  <c r="FB67" i="3"/>
  <c r="FH67" i="3"/>
  <c r="FM67" i="3"/>
  <c r="FW67" i="3"/>
  <c r="FX67" i="3"/>
  <c r="A67" i="15"/>
  <c r="AX68" i="3"/>
  <c r="BE68" i="3"/>
  <c r="BT68" i="3"/>
  <c r="CF68" i="3"/>
  <c r="CL68" i="3"/>
  <c r="CS68" i="3"/>
  <c r="G96" i="11"/>
  <c r="J96" i="11"/>
  <c r="X68" i="3"/>
  <c r="AA68" i="3"/>
  <c r="AA87" i="12"/>
  <c r="AF68" i="3"/>
  <c r="AI68" i="3"/>
  <c r="CY68" i="3"/>
  <c r="DD68" i="3"/>
  <c r="DJ68" i="3"/>
  <c r="DO68" i="3"/>
  <c r="DU68" i="3"/>
  <c r="EB68" i="3"/>
  <c r="EH68" i="3"/>
  <c r="EO68" i="3"/>
  <c r="EU68" i="3"/>
  <c r="FB68" i="3"/>
  <c r="FH68" i="3"/>
  <c r="FM68" i="3"/>
  <c r="FW68" i="3"/>
  <c r="FX68" i="3"/>
  <c r="A68" i="15"/>
  <c r="AX69" i="3"/>
  <c r="BE69" i="3"/>
  <c r="BT69" i="3"/>
  <c r="CF69" i="3"/>
  <c r="CL69" i="3"/>
  <c r="CS69" i="3"/>
  <c r="G97" i="11"/>
  <c r="J97" i="11"/>
  <c r="X69" i="3"/>
  <c r="AA69" i="3"/>
  <c r="AA88" i="12"/>
  <c r="AF69" i="3"/>
  <c r="AI69" i="3"/>
  <c r="CY69" i="3"/>
  <c r="DD69" i="3"/>
  <c r="DJ69" i="3"/>
  <c r="DO69" i="3"/>
  <c r="DU69" i="3"/>
  <c r="EB69" i="3"/>
  <c r="EH69" i="3"/>
  <c r="EO69" i="3"/>
  <c r="EU69" i="3"/>
  <c r="FB69" i="3"/>
  <c r="FH69" i="3"/>
  <c r="FM69" i="3"/>
  <c r="FW69" i="3"/>
  <c r="FX69" i="3"/>
  <c r="A69" i="15"/>
  <c r="AX70" i="3"/>
  <c r="BE70" i="3"/>
  <c r="BT70" i="3"/>
  <c r="CF70" i="3"/>
  <c r="CL70" i="3"/>
  <c r="CS70" i="3"/>
  <c r="S89" i="12"/>
  <c r="T89" i="12"/>
  <c r="U89" i="12"/>
  <c r="V89" i="12"/>
  <c r="AA89" i="12"/>
  <c r="AF70" i="3"/>
  <c r="AI70" i="3"/>
  <c r="CY70" i="3"/>
  <c r="DD70" i="3"/>
  <c r="DJ70" i="3"/>
  <c r="DO70" i="3"/>
  <c r="DU70" i="3"/>
  <c r="EB70" i="3"/>
  <c r="EH70" i="3"/>
  <c r="EO70" i="3"/>
  <c r="EU70" i="3"/>
  <c r="FB70" i="3"/>
  <c r="FH70" i="3"/>
  <c r="FM70" i="3"/>
  <c r="FW70" i="3"/>
  <c r="FX70" i="3"/>
  <c r="A70" i="15"/>
  <c r="AX71" i="3"/>
  <c r="BE71" i="3"/>
  <c r="BT71" i="3"/>
  <c r="CF71" i="3"/>
  <c r="CL71" i="3"/>
  <c r="CS71" i="3"/>
  <c r="G99" i="11"/>
  <c r="J99" i="11"/>
  <c r="X71" i="3"/>
  <c r="AA71" i="3"/>
  <c r="AA90" i="12"/>
  <c r="AF71" i="3"/>
  <c r="AI71" i="3"/>
  <c r="CY71" i="3"/>
  <c r="DD71" i="3"/>
  <c r="DJ71" i="3"/>
  <c r="DO71" i="3"/>
  <c r="DU71" i="3"/>
  <c r="EB71" i="3"/>
  <c r="EH71" i="3"/>
  <c r="EO71" i="3"/>
  <c r="EU71" i="3"/>
  <c r="FB71" i="3"/>
  <c r="FH71" i="3"/>
  <c r="FM71" i="3"/>
  <c r="FW71" i="3"/>
  <c r="FX71" i="3"/>
  <c r="A71" i="15"/>
  <c r="AX72" i="3"/>
  <c r="BE72" i="3"/>
  <c r="BT72" i="3"/>
  <c r="CF72" i="3"/>
  <c r="CL72" i="3"/>
  <c r="CS72" i="3"/>
  <c r="S91" i="12"/>
  <c r="T91" i="12"/>
  <c r="U91" i="12"/>
  <c r="V91" i="12"/>
  <c r="AA91" i="12"/>
  <c r="AF72" i="3"/>
  <c r="AI72" i="3"/>
  <c r="CY72" i="3"/>
  <c r="DD72" i="3"/>
  <c r="DJ72" i="3"/>
  <c r="DO72" i="3"/>
  <c r="DU72" i="3"/>
  <c r="EB72" i="3"/>
  <c r="EH72" i="3"/>
  <c r="EO72" i="3"/>
  <c r="EU72" i="3"/>
  <c r="FB72" i="3"/>
  <c r="FH72" i="3"/>
  <c r="FM72" i="3"/>
  <c r="FW72" i="3"/>
  <c r="FX72" i="3"/>
  <c r="A72" i="15"/>
  <c r="AX73" i="3"/>
  <c r="BE73" i="3"/>
  <c r="BT73" i="3"/>
  <c r="CF73" i="3"/>
  <c r="CL73" i="3"/>
  <c r="CS73" i="3"/>
  <c r="G101" i="11"/>
  <c r="J101" i="11"/>
  <c r="X73" i="3"/>
  <c r="AA73" i="3"/>
  <c r="S92" i="12"/>
  <c r="T92" i="12"/>
  <c r="U92" i="12"/>
  <c r="V92" i="12"/>
  <c r="AA92" i="12"/>
  <c r="AF73" i="3"/>
  <c r="AI73" i="3"/>
  <c r="CY73" i="3"/>
  <c r="DD73" i="3"/>
  <c r="DJ73" i="3"/>
  <c r="DO73" i="3"/>
  <c r="DU73" i="3"/>
  <c r="EB73" i="3"/>
  <c r="EH73" i="3"/>
  <c r="EO73" i="3"/>
  <c r="EU73" i="3"/>
  <c r="FB73" i="3"/>
  <c r="FH73" i="3"/>
  <c r="FM73" i="3"/>
  <c r="FW73" i="3"/>
  <c r="FX73" i="3"/>
  <c r="A73" i="15"/>
  <c r="AX74" i="3"/>
  <c r="BE74" i="3"/>
  <c r="BT74" i="3"/>
  <c r="CF74" i="3"/>
  <c r="CL74" i="3"/>
  <c r="CS74" i="3"/>
  <c r="S93" i="12"/>
  <c r="T93" i="12"/>
  <c r="U93" i="12"/>
  <c r="V93" i="12"/>
  <c r="AA93" i="12"/>
  <c r="AF74" i="3"/>
  <c r="AI74" i="3"/>
  <c r="CY74" i="3"/>
  <c r="DD74" i="3"/>
  <c r="DJ74" i="3"/>
  <c r="DO74" i="3"/>
  <c r="DU74" i="3"/>
  <c r="EB74" i="3"/>
  <c r="EH74" i="3"/>
  <c r="EO74" i="3"/>
  <c r="EU74" i="3"/>
  <c r="FB74" i="3"/>
  <c r="FH74" i="3"/>
  <c r="FM74" i="3"/>
  <c r="FW74" i="3"/>
  <c r="FX74" i="3"/>
  <c r="A74" i="15"/>
  <c r="AX75" i="3"/>
  <c r="BE75" i="3"/>
  <c r="BT75" i="3"/>
  <c r="CF75" i="3"/>
  <c r="CL75" i="3"/>
  <c r="CS75" i="3"/>
  <c r="G102" i="11"/>
  <c r="J102" i="11"/>
  <c r="X75" i="3"/>
  <c r="AA75" i="3"/>
  <c r="AA94" i="12"/>
  <c r="AF75" i="3"/>
  <c r="AI75" i="3"/>
  <c r="CY75" i="3"/>
  <c r="DD75" i="3"/>
  <c r="DJ75" i="3"/>
  <c r="DO75" i="3"/>
  <c r="DU75" i="3"/>
  <c r="EB75" i="3"/>
  <c r="EH75" i="3"/>
  <c r="EO75" i="3"/>
  <c r="EU75" i="3"/>
  <c r="FB75" i="3"/>
  <c r="FH75" i="3"/>
  <c r="FM75" i="3"/>
  <c r="FW75" i="3"/>
  <c r="FX75" i="3"/>
  <c r="A75" i="15"/>
  <c r="AX76" i="3"/>
  <c r="BE76" i="3"/>
  <c r="BT76" i="3"/>
  <c r="BU76" i="3"/>
  <c r="CF76" i="3"/>
  <c r="CG76" i="3"/>
  <c r="CL76" i="3"/>
  <c r="CS76" i="3"/>
  <c r="G104" i="11"/>
  <c r="J104" i="11"/>
  <c r="X76" i="3"/>
  <c r="AA76" i="3"/>
  <c r="AA95" i="12"/>
  <c r="AF76" i="3"/>
  <c r="AI76" i="3"/>
  <c r="CT76" i="3"/>
  <c r="CY76" i="3"/>
  <c r="DD76" i="3"/>
  <c r="DJ76" i="3"/>
  <c r="DO76" i="3"/>
  <c r="DP76" i="3"/>
  <c r="DU76" i="3"/>
  <c r="EB76" i="3"/>
  <c r="EC76" i="3"/>
  <c r="EH76" i="3"/>
  <c r="EO76" i="3"/>
  <c r="EP76" i="3"/>
  <c r="EU76" i="3"/>
  <c r="FB76" i="3"/>
  <c r="FC76" i="3"/>
  <c r="FH76" i="3"/>
  <c r="FM76" i="3"/>
  <c r="FN76" i="3"/>
  <c r="FW76" i="3"/>
  <c r="FX76" i="3"/>
  <c r="A76" i="15"/>
  <c r="AX77" i="3"/>
  <c r="BE77" i="3"/>
  <c r="BT77" i="3"/>
  <c r="CF77" i="3"/>
  <c r="CL77" i="3"/>
  <c r="CS77" i="3"/>
  <c r="G105" i="11"/>
  <c r="J105" i="11"/>
  <c r="X77" i="3"/>
  <c r="AA77" i="3"/>
  <c r="S96" i="12"/>
  <c r="T96" i="12"/>
  <c r="U96" i="12"/>
  <c r="V96" i="12"/>
  <c r="AA96" i="12"/>
  <c r="AF77" i="3"/>
  <c r="AI77" i="3"/>
  <c r="CY77" i="3"/>
  <c r="DD77" i="3"/>
  <c r="DJ77" i="3"/>
  <c r="DO77" i="3"/>
  <c r="DU77" i="3"/>
  <c r="EB77" i="3"/>
  <c r="EH77" i="3"/>
  <c r="EO77" i="3"/>
  <c r="EU77" i="3"/>
  <c r="FB77" i="3"/>
  <c r="FH77" i="3"/>
  <c r="FM77" i="3"/>
  <c r="FW77" i="3"/>
  <c r="FX77" i="3"/>
  <c r="A77" i="15"/>
  <c r="AX78" i="3"/>
  <c r="BE78" i="3"/>
  <c r="BT78" i="3"/>
  <c r="CF78" i="3"/>
  <c r="CL78" i="3"/>
  <c r="CS78" i="3"/>
  <c r="S52" i="12"/>
  <c r="T52" i="12"/>
  <c r="U52" i="12"/>
  <c r="V52" i="12"/>
  <c r="AA52" i="12"/>
  <c r="AF78" i="3"/>
  <c r="AI78" i="3"/>
  <c r="CY78" i="3"/>
  <c r="DD78" i="3"/>
  <c r="DJ78" i="3"/>
  <c r="DO78" i="3"/>
  <c r="DU78" i="3"/>
  <c r="EB78" i="3"/>
  <c r="EH78" i="3"/>
  <c r="EO78" i="3"/>
  <c r="EU78" i="3"/>
  <c r="FB78" i="3"/>
  <c r="FH78" i="3"/>
  <c r="FM78" i="3"/>
  <c r="FW78" i="3"/>
  <c r="FX78" i="3"/>
  <c r="A78" i="15"/>
  <c r="AX79" i="3"/>
  <c r="BE79" i="3"/>
  <c r="BT79" i="3"/>
  <c r="CF79" i="3"/>
  <c r="CL79" i="3"/>
  <c r="CS79" i="3"/>
  <c r="G109" i="11"/>
  <c r="J109" i="11"/>
  <c r="X79" i="3"/>
  <c r="AA79" i="3"/>
  <c r="S144" i="12"/>
  <c r="T144" i="12"/>
  <c r="U144" i="12"/>
  <c r="V144" i="12"/>
  <c r="AA144" i="12"/>
  <c r="AF79" i="3"/>
  <c r="AI79" i="3"/>
  <c r="CY79" i="3"/>
  <c r="DD79" i="3"/>
  <c r="DJ79" i="3"/>
  <c r="DO79" i="3"/>
  <c r="DU79" i="3"/>
  <c r="EB79" i="3"/>
  <c r="EH79" i="3"/>
  <c r="EO79" i="3"/>
  <c r="EU79" i="3"/>
  <c r="FB79" i="3"/>
  <c r="FH79" i="3"/>
  <c r="FM79" i="3"/>
  <c r="FW79" i="3"/>
  <c r="FX79" i="3"/>
  <c r="A79" i="15"/>
  <c r="AX80" i="3"/>
  <c r="BE80" i="3"/>
  <c r="BT80" i="3"/>
  <c r="CF80" i="3"/>
  <c r="CL80" i="3"/>
  <c r="CS80" i="3"/>
  <c r="G110" i="11"/>
  <c r="J110" i="11"/>
  <c r="X80" i="3"/>
  <c r="AA80" i="3"/>
  <c r="AA97" i="12"/>
  <c r="AF80" i="3"/>
  <c r="AI80" i="3"/>
  <c r="CY80" i="3"/>
  <c r="DD80" i="3"/>
  <c r="DJ80" i="3"/>
  <c r="DO80" i="3"/>
  <c r="DU80" i="3"/>
  <c r="EB80" i="3"/>
  <c r="EH80" i="3"/>
  <c r="EO80" i="3"/>
  <c r="EU80" i="3"/>
  <c r="FB80" i="3"/>
  <c r="FH80" i="3"/>
  <c r="FM80" i="3"/>
  <c r="FW80" i="3"/>
  <c r="FX80" i="3"/>
  <c r="A80" i="15"/>
  <c r="AX81" i="3"/>
  <c r="BE81" i="3"/>
  <c r="BT81" i="3"/>
  <c r="BU81" i="3"/>
  <c r="CF81" i="3"/>
  <c r="CG81" i="3"/>
  <c r="CL81" i="3"/>
  <c r="CS81" i="3"/>
  <c r="G106" i="11"/>
  <c r="J106" i="11"/>
  <c r="X81" i="3"/>
  <c r="AA81" i="3"/>
  <c r="AA98" i="12"/>
  <c r="AF81" i="3"/>
  <c r="AI81" i="3"/>
  <c r="CT81" i="3"/>
  <c r="CY81" i="3"/>
  <c r="DD81" i="3"/>
  <c r="DJ81" i="3"/>
  <c r="DO81" i="3"/>
  <c r="DP81" i="3"/>
  <c r="DU81" i="3"/>
  <c r="EB81" i="3"/>
  <c r="EC81" i="3"/>
  <c r="EH81" i="3"/>
  <c r="EO81" i="3"/>
  <c r="EP81" i="3"/>
  <c r="EU81" i="3"/>
  <c r="FB81" i="3"/>
  <c r="FC81" i="3"/>
  <c r="FH81" i="3"/>
  <c r="FM81" i="3"/>
  <c r="FN81" i="3"/>
  <c r="FW81" i="3"/>
  <c r="FX81" i="3"/>
  <c r="A81" i="15"/>
  <c r="AX82" i="3"/>
  <c r="BE82" i="3"/>
  <c r="BT82" i="3"/>
  <c r="BU82" i="3"/>
  <c r="CF82" i="3"/>
  <c r="CG82" i="3"/>
  <c r="CL82" i="3"/>
  <c r="CS82" i="3"/>
  <c r="G111" i="11"/>
  <c r="J111" i="11"/>
  <c r="X82" i="3"/>
  <c r="AA82" i="3"/>
  <c r="AA99" i="12"/>
  <c r="AF82" i="3"/>
  <c r="AI82" i="3"/>
  <c r="CT82" i="3"/>
  <c r="CY82" i="3"/>
  <c r="DD82" i="3"/>
  <c r="DJ82" i="3"/>
  <c r="DO82" i="3"/>
  <c r="DP82" i="3"/>
  <c r="DU82" i="3"/>
  <c r="EB82" i="3"/>
  <c r="EC82" i="3"/>
  <c r="EH82" i="3"/>
  <c r="EO82" i="3"/>
  <c r="EP82" i="3"/>
  <c r="EU82" i="3"/>
  <c r="FB82" i="3"/>
  <c r="FC82" i="3"/>
  <c r="FH82" i="3"/>
  <c r="FM82" i="3"/>
  <c r="FN82" i="3"/>
  <c r="FW82" i="3"/>
  <c r="FX82" i="3"/>
  <c r="A82" i="15"/>
  <c r="AX83" i="3"/>
  <c r="BE83" i="3"/>
  <c r="BT83" i="3"/>
  <c r="CF83" i="3"/>
  <c r="CL83" i="3"/>
  <c r="CS83" i="3"/>
  <c r="G112" i="11"/>
  <c r="J112" i="11"/>
  <c r="X83" i="3"/>
  <c r="AA83" i="3"/>
  <c r="AA101" i="12"/>
  <c r="AF83" i="3"/>
  <c r="AI83" i="3"/>
  <c r="CY83" i="3"/>
  <c r="DD83" i="3"/>
  <c r="DJ83" i="3"/>
  <c r="DO83" i="3"/>
  <c r="DU83" i="3"/>
  <c r="EB83" i="3"/>
  <c r="EH83" i="3"/>
  <c r="EO83" i="3"/>
  <c r="EU83" i="3"/>
  <c r="FB83" i="3"/>
  <c r="FH83" i="3"/>
  <c r="FM83" i="3"/>
  <c r="FW83" i="3"/>
  <c r="FX83" i="3"/>
  <c r="A83" i="15"/>
  <c r="AX84" i="3"/>
  <c r="BE84" i="3"/>
  <c r="BT84" i="3"/>
  <c r="CF84" i="3"/>
  <c r="CL84" i="3"/>
  <c r="CS84" i="3"/>
  <c r="G113" i="11"/>
  <c r="J113" i="11"/>
  <c r="X84" i="3"/>
  <c r="AA84" i="3"/>
  <c r="AA103" i="12"/>
  <c r="AF84" i="3"/>
  <c r="AI84" i="3"/>
  <c r="CY84" i="3"/>
  <c r="DD84" i="3"/>
  <c r="DJ84" i="3"/>
  <c r="DO84" i="3"/>
  <c r="DU84" i="3"/>
  <c r="EB84" i="3"/>
  <c r="EH84" i="3"/>
  <c r="EO84" i="3"/>
  <c r="EU84" i="3"/>
  <c r="FB84" i="3"/>
  <c r="FH84" i="3"/>
  <c r="FM84" i="3"/>
  <c r="FW84" i="3"/>
  <c r="FX84" i="3"/>
  <c r="A84" i="15"/>
  <c r="AX85" i="3"/>
  <c r="BE85" i="3"/>
  <c r="BT85" i="3"/>
  <c r="CF85" i="3"/>
  <c r="CL85" i="3"/>
  <c r="CS85" i="3"/>
  <c r="G114" i="11"/>
  <c r="J114" i="11"/>
  <c r="X85" i="3"/>
  <c r="AA85" i="3"/>
  <c r="S104" i="12"/>
  <c r="T104" i="12"/>
  <c r="U104" i="12"/>
  <c r="V104" i="12"/>
  <c r="AA104" i="12"/>
  <c r="AF85" i="3"/>
  <c r="AI85" i="3"/>
  <c r="CY85" i="3"/>
  <c r="DD85" i="3"/>
  <c r="DJ85" i="3"/>
  <c r="DO85" i="3"/>
  <c r="DU85" i="3"/>
  <c r="EB85" i="3"/>
  <c r="EH85" i="3"/>
  <c r="EO85" i="3"/>
  <c r="EU85" i="3"/>
  <c r="FB85" i="3"/>
  <c r="FH85" i="3"/>
  <c r="FM85" i="3"/>
  <c r="FW85" i="3"/>
  <c r="FX85" i="3"/>
  <c r="A85" i="15"/>
  <c r="AX86" i="3"/>
  <c r="BE86" i="3"/>
  <c r="BT86" i="3"/>
  <c r="BU86" i="3"/>
  <c r="CF86" i="3"/>
  <c r="CG86" i="3"/>
  <c r="CL86" i="3"/>
  <c r="CS86" i="3"/>
  <c r="G128" i="11"/>
  <c r="J128" i="11"/>
  <c r="X86" i="3"/>
  <c r="AA86" i="3"/>
  <c r="AA169" i="12"/>
  <c r="AF86" i="3"/>
  <c r="AI86" i="3"/>
  <c r="CT86" i="3"/>
  <c r="CY86" i="3"/>
  <c r="DD86" i="3"/>
  <c r="DJ86" i="3"/>
  <c r="DO86" i="3"/>
  <c r="DP86" i="3"/>
  <c r="DU86" i="3"/>
  <c r="EB86" i="3"/>
  <c r="EC86" i="3"/>
  <c r="EH86" i="3"/>
  <c r="EO86" i="3"/>
  <c r="EP86" i="3"/>
  <c r="EU86" i="3"/>
  <c r="FB86" i="3"/>
  <c r="FC86" i="3"/>
  <c r="FH86" i="3"/>
  <c r="FM86" i="3"/>
  <c r="FN86" i="3"/>
  <c r="FW86" i="3"/>
  <c r="FX86" i="3"/>
  <c r="A86" i="15"/>
  <c r="AX87" i="3"/>
  <c r="BE87" i="3"/>
  <c r="BT87" i="3"/>
  <c r="CF87" i="3"/>
  <c r="CL87" i="3"/>
  <c r="CS87" i="3"/>
  <c r="G125" i="11"/>
  <c r="J125" i="11"/>
  <c r="X87" i="3"/>
  <c r="AA87" i="3"/>
  <c r="S107" i="12"/>
  <c r="T107" i="12"/>
  <c r="U107" i="12"/>
  <c r="V107" i="12"/>
  <c r="AA107" i="12"/>
  <c r="AF87" i="3"/>
  <c r="AI87" i="3"/>
  <c r="CY87" i="3"/>
  <c r="DD87" i="3"/>
  <c r="DJ87" i="3"/>
  <c r="DO87" i="3"/>
  <c r="DU87" i="3"/>
  <c r="EB87" i="3"/>
  <c r="EH87" i="3"/>
  <c r="EO87" i="3"/>
  <c r="EU87" i="3"/>
  <c r="FB87" i="3"/>
  <c r="FH87" i="3"/>
  <c r="FM87" i="3"/>
  <c r="FW87" i="3"/>
  <c r="FX87" i="3"/>
  <c r="A87" i="15"/>
  <c r="AX88" i="3"/>
  <c r="BE88" i="3"/>
  <c r="BT88" i="3"/>
  <c r="BU88" i="3"/>
  <c r="CF88" i="3"/>
  <c r="CG88" i="3"/>
  <c r="CL88" i="3"/>
  <c r="CS88" i="3"/>
  <c r="G139" i="11"/>
  <c r="J139" i="11"/>
  <c r="X88" i="3"/>
  <c r="AA88" i="3"/>
  <c r="AA108" i="12"/>
  <c r="AF88" i="3"/>
  <c r="AI88" i="3"/>
  <c r="CT88" i="3"/>
  <c r="CY88" i="3"/>
  <c r="DD88" i="3"/>
  <c r="DJ88" i="3"/>
  <c r="DO88" i="3"/>
  <c r="DP88" i="3"/>
  <c r="DU88" i="3"/>
  <c r="EB88" i="3"/>
  <c r="EC88" i="3"/>
  <c r="EH88" i="3"/>
  <c r="EO88" i="3"/>
  <c r="EP88" i="3"/>
  <c r="EU88" i="3"/>
  <c r="FB88" i="3"/>
  <c r="FC88" i="3"/>
  <c r="FH88" i="3"/>
  <c r="FM88" i="3"/>
  <c r="FN88" i="3"/>
  <c r="FW88" i="3"/>
  <c r="FX88" i="3"/>
  <c r="A88" i="15"/>
  <c r="AX89" i="3"/>
  <c r="BE89" i="3"/>
  <c r="BT89" i="3"/>
  <c r="CF89" i="3"/>
  <c r="CL89" i="3"/>
  <c r="CS89" i="3"/>
  <c r="G140" i="11"/>
  <c r="J140" i="11"/>
  <c r="X89" i="3"/>
  <c r="AA89" i="3"/>
  <c r="AA109" i="12"/>
  <c r="AF89" i="3"/>
  <c r="AI89" i="3"/>
  <c r="CY89" i="3"/>
  <c r="DD89" i="3"/>
  <c r="DJ89" i="3"/>
  <c r="DO89" i="3"/>
  <c r="DU89" i="3"/>
  <c r="EB89" i="3"/>
  <c r="EH89" i="3"/>
  <c r="EO89" i="3"/>
  <c r="EU89" i="3"/>
  <c r="FB89" i="3"/>
  <c r="FH89" i="3"/>
  <c r="FM89" i="3"/>
  <c r="FW89" i="3"/>
  <c r="FX89" i="3"/>
  <c r="A89" i="15"/>
  <c r="AX90" i="3"/>
  <c r="BE90" i="3"/>
  <c r="BT90" i="3"/>
  <c r="BU90" i="3"/>
  <c r="CF90" i="3"/>
  <c r="CG90" i="3"/>
  <c r="CL90" i="3"/>
  <c r="CS90" i="3"/>
  <c r="G129" i="11"/>
  <c r="J129" i="11"/>
  <c r="X90" i="3"/>
  <c r="AA90" i="3"/>
  <c r="AA111" i="12"/>
  <c r="AF90" i="3"/>
  <c r="AI90" i="3"/>
  <c r="CT90" i="3"/>
  <c r="CY90" i="3"/>
  <c r="DD90" i="3"/>
  <c r="DJ90" i="3"/>
  <c r="DO90" i="3"/>
  <c r="DP90" i="3"/>
  <c r="DU90" i="3"/>
  <c r="EB90" i="3"/>
  <c r="EC90" i="3"/>
  <c r="EH90" i="3"/>
  <c r="EO90" i="3"/>
  <c r="EP90" i="3"/>
  <c r="EU90" i="3"/>
  <c r="FB90" i="3"/>
  <c r="FC90" i="3"/>
  <c r="FH90" i="3"/>
  <c r="FM90" i="3"/>
  <c r="FN90" i="3"/>
  <c r="FW90" i="3"/>
  <c r="FX90" i="3"/>
  <c r="A90" i="15"/>
  <c r="AX91" i="3"/>
  <c r="BE91" i="3"/>
  <c r="BT91" i="3"/>
  <c r="CF91" i="3"/>
  <c r="CL91" i="3"/>
  <c r="CS91" i="3"/>
  <c r="G130" i="11"/>
  <c r="J130" i="11"/>
  <c r="X91" i="3"/>
  <c r="AA91" i="3"/>
  <c r="S112" i="12"/>
  <c r="T112" i="12"/>
  <c r="U112" i="12"/>
  <c r="V112" i="12"/>
  <c r="AA112" i="12"/>
  <c r="AF91" i="3"/>
  <c r="AI91" i="3"/>
  <c r="CY91" i="3"/>
  <c r="DD91" i="3"/>
  <c r="DJ91" i="3"/>
  <c r="DO91" i="3"/>
  <c r="DU91" i="3"/>
  <c r="EB91" i="3"/>
  <c r="EH91" i="3"/>
  <c r="EO91" i="3"/>
  <c r="EU91" i="3"/>
  <c r="FB91" i="3"/>
  <c r="FH91" i="3"/>
  <c r="FM91" i="3"/>
  <c r="FW91" i="3"/>
  <c r="FX91" i="3"/>
  <c r="A91" i="15"/>
  <c r="AX92" i="3"/>
  <c r="BE92" i="3"/>
  <c r="BT92" i="3"/>
  <c r="CF92" i="3"/>
  <c r="CL92" i="3"/>
  <c r="CS92" i="3"/>
  <c r="G135" i="11"/>
  <c r="J135" i="11"/>
  <c r="X92" i="3"/>
  <c r="AA92" i="3"/>
  <c r="S114" i="12"/>
  <c r="T114" i="12"/>
  <c r="U114" i="12"/>
  <c r="V114" i="12"/>
  <c r="AA114" i="12"/>
  <c r="AF92" i="3"/>
  <c r="AI92" i="3"/>
  <c r="CY92" i="3"/>
  <c r="DD92" i="3"/>
  <c r="DJ92" i="3"/>
  <c r="DO92" i="3"/>
  <c r="DU92" i="3"/>
  <c r="EB92" i="3"/>
  <c r="EH92" i="3"/>
  <c r="EO92" i="3"/>
  <c r="EU92" i="3"/>
  <c r="FB92" i="3"/>
  <c r="FH92" i="3"/>
  <c r="FM92" i="3"/>
  <c r="FW92" i="3"/>
  <c r="FX92" i="3"/>
  <c r="A92" i="15"/>
  <c r="AX93" i="3"/>
  <c r="BE93" i="3"/>
  <c r="BT93" i="3"/>
  <c r="CF93" i="3"/>
  <c r="CL93" i="3"/>
  <c r="CS93" i="3"/>
  <c r="G138" i="11"/>
  <c r="J138" i="11"/>
  <c r="X93" i="3"/>
  <c r="AA93" i="3"/>
  <c r="S115" i="12"/>
  <c r="T115" i="12"/>
  <c r="U115" i="12"/>
  <c r="V115" i="12"/>
  <c r="AA115" i="12"/>
  <c r="AF93" i="3"/>
  <c r="AI93" i="3"/>
  <c r="CY93" i="3"/>
  <c r="DD93" i="3"/>
  <c r="DJ93" i="3"/>
  <c r="DO93" i="3"/>
  <c r="DU93" i="3"/>
  <c r="EB93" i="3"/>
  <c r="EH93" i="3"/>
  <c r="EO93" i="3"/>
  <c r="EU93" i="3"/>
  <c r="FB93" i="3"/>
  <c r="FH93" i="3"/>
  <c r="FM93" i="3"/>
  <c r="FW93" i="3"/>
  <c r="FX93" i="3"/>
  <c r="A93" i="15"/>
  <c r="AX94" i="3"/>
  <c r="BE94" i="3"/>
  <c r="BT94" i="3"/>
  <c r="H55" i="4"/>
  <c r="CF94" i="3"/>
  <c r="J55" i="4"/>
  <c r="CL94" i="3"/>
  <c r="CS94" i="3"/>
  <c r="S116" i="12"/>
  <c r="T116" i="12"/>
  <c r="U116" i="12"/>
  <c r="V116" i="12"/>
  <c r="AA116" i="12"/>
  <c r="AF94" i="3"/>
  <c r="AI94" i="3"/>
  <c r="L55" i="4"/>
  <c r="CY94" i="3"/>
  <c r="DD94" i="3"/>
  <c r="N55" i="4"/>
  <c r="DJ94" i="3"/>
  <c r="DO94" i="3"/>
  <c r="P55" i="4"/>
  <c r="DU94" i="3"/>
  <c r="EB94" i="3"/>
  <c r="R55" i="4"/>
  <c r="EH94" i="3"/>
  <c r="EO94" i="3"/>
  <c r="T55" i="4"/>
  <c r="EU94" i="3"/>
  <c r="FB94" i="3"/>
  <c r="FH94" i="3"/>
  <c r="FM94" i="3"/>
  <c r="FW94" i="3"/>
  <c r="FX94" i="3"/>
  <c r="A94" i="15"/>
  <c r="AX95" i="3"/>
  <c r="BE95" i="3"/>
  <c r="BT95" i="3"/>
  <c r="BU95" i="3"/>
  <c r="CF95" i="3"/>
  <c r="CG95" i="3"/>
  <c r="CL95" i="3"/>
  <c r="CS95" i="3"/>
  <c r="G124" i="11"/>
  <c r="J124" i="11"/>
  <c r="X95" i="3"/>
  <c r="AA95" i="3"/>
  <c r="AA145" i="12"/>
  <c r="AF95" i="3"/>
  <c r="AI95" i="3"/>
  <c r="CT95" i="3"/>
  <c r="CY95" i="3"/>
  <c r="DD95" i="3"/>
  <c r="DJ95" i="3"/>
  <c r="DO95" i="3"/>
  <c r="DP95" i="3"/>
  <c r="DU95" i="3"/>
  <c r="EB95" i="3"/>
  <c r="EC95" i="3"/>
  <c r="EH95" i="3"/>
  <c r="EO95" i="3"/>
  <c r="EP95" i="3"/>
  <c r="EU95" i="3"/>
  <c r="FB95" i="3"/>
  <c r="FC95" i="3"/>
  <c r="FH95" i="3"/>
  <c r="FM95" i="3"/>
  <c r="FN95" i="3"/>
  <c r="FW95" i="3"/>
  <c r="FX95" i="3"/>
  <c r="A95" i="15"/>
  <c r="AX96" i="3"/>
  <c r="BE96" i="3"/>
  <c r="BT96" i="3"/>
  <c r="BU96" i="3"/>
  <c r="CF96" i="3"/>
  <c r="CG96" i="3"/>
  <c r="CL96" i="3"/>
  <c r="CS96" i="3"/>
  <c r="AA117" i="12"/>
  <c r="AF96" i="3"/>
  <c r="AI96" i="3"/>
  <c r="CT96" i="3"/>
  <c r="CY96" i="3"/>
  <c r="DD96" i="3"/>
  <c r="DJ96" i="3"/>
  <c r="DO96" i="3"/>
  <c r="DP96" i="3"/>
  <c r="DU96" i="3"/>
  <c r="EB96" i="3"/>
  <c r="EC96" i="3"/>
  <c r="EH96" i="3"/>
  <c r="EO96" i="3"/>
  <c r="EP96" i="3"/>
  <c r="EU96" i="3"/>
  <c r="FB96" i="3"/>
  <c r="FC96" i="3"/>
  <c r="FH96" i="3"/>
  <c r="FM96" i="3"/>
  <c r="FN96" i="3"/>
  <c r="FW96" i="3"/>
  <c r="FX96" i="3"/>
  <c r="A96" i="15"/>
  <c r="AX97" i="3"/>
  <c r="BE97" i="3"/>
  <c r="BT97" i="3"/>
  <c r="CF97" i="3"/>
  <c r="CL97" i="3"/>
  <c r="CS97" i="3"/>
  <c r="S118" i="12"/>
  <c r="T118" i="12"/>
  <c r="U118" i="12"/>
  <c r="V118" i="12"/>
  <c r="AA118" i="12"/>
  <c r="AF97" i="3"/>
  <c r="AI97" i="3"/>
  <c r="CY97" i="3"/>
  <c r="DD97" i="3"/>
  <c r="DJ97" i="3"/>
  <c r="DO97" i="3"/>
  <c r="DU97" i="3"/>
  <c r="EB97" i="3"/>
  <c r="EH97" i="3"/>
  <c r="EO97" i="3"/>
  <c r="EU97" i="3"/>
  <c r="FB97" i="3"/>
  <c r="FH97" i="3"/>
  <c r="FM97" i="3"/>
  <c r="FW97" i="3"/>
  <c r="FX97" i="3"/>
  <c r="A97" i="15"/>
  <c r="AX98" i="3"/>
  <c r="BE98" i="3"/>
  <c r="BT98" i="3"/>
  <c r="CF98" i="3"/>
  <c r="CL98" i="3"/>
  <c r="CS98" i="3"/>
  <c r="G134" i="11"/>
  <c r="J134" i="11"/>
  <c r="X98" i="3"/>
  <c r="AA98" i="3"/>
  <c r="S119" i="12"/>
  <c r="T119" i="12"/>
  <c r="U119" i="12"/>
  <c r="V119" i="12"/>
  <c r="AA119" i="12"/>
  <c r="AF98" i="3"/>
  <c r="AI98" i="3"/>
  <c r="CY98" i="3"/>
  <c r="DD98" i="3"/>
  <c r="DJ98" i="3"/>
  <c r="DO98" i="3"/>
  <c r="DU98" i="3"/>
  <c r="EB98" i="3"/>
  <c r="EH98" i="3"/>
  <c r="EO98" i="3"/>
  <c r="EU98" i="3"/>
  <c r="FB98" i="3"/>
  <c r="FH98" i="3"/>
  <c r="FM98" i="3"/>
  <c r="FW98" i="3"/>
  <c r="FX98" i="3"/>
  <c r="A98" i="15"/>
  <c r="AX99" i="3"/>
  <c r="BE99" i="3"/>
  <c r="BT99" i="3"/>
  <c r="CF99" i="3"/>
  <c r="CL99" i="3"/>
  <c r="CS99" i="3"/>
  <c r="G131" i="11"/>
  <c r="J131" i="11"/>
  <c r="X99" i="3"/>
  <c r="AA99" i="3"/>
  <c r="AA120" i="12"/>
  <c r="AF99" i="3"/>
  <c r="AI99" i="3"/>
  <c r="CY99" i="3"/>
  <c r="DD99" i="3"/>
  <c r="DJ99" i="3"/>
  <c r="DO99" i="3"/>
  <c r="DU99" i="3"/>
  <c r="EB99" i="3"/>
  <c r="EH99" i="3"/>
  <c r="EO99" i="3"/>
  <c r="EU99" i="3"/>
  <c r="FB99" i="3"/>
  <c r="FH99" i="3"/>
  <c r="FM99" i="3"/>
  <c r="FW99" i="3"/>
  <c r="FX99" i="3"/>
  <c r="A99" i="15"/>
  <c r="AX100" i="3"/>
  <c r="BE100" i="3"/>
  <c r="BT100" i="3"/>
  <c r="CF100" i="3"/>
  <c r="CL100" i="3"/>
  <c r="CS100" i="3"/>
  <c r="G142" i="11"/>
  <c r="J142" i="11"/>
  <c r="X100" i="3"/>
  <c r="AA100" i="3"/>
  <c r="S121" i="12"/>
  <c r="T121" i="12"/>
  <c r="U121" i="12"/>
  <c r="V121" i="12"/>
  <c r="AA121" i="12"/>
  <c r="AF100" i="3"/>
  <c r="AI100" i="3"/>
  <c r="CY100" i="3"/>
  <c r="DD100" i="3"/>
  <c r="DJ100" i="3"/>
  <c r="DO100" i="3"/>
  <c r="DU100" i="3"/>
  <c r="EB100" i="3"/>
  <c r="EH100" i="3"/>
  <c r="EO100" i="3"/>
  <c r="EU100" i="3"/>
  <c r="FB100" i="3"/>
  <c r="FH100" i="3"/>
  <c r="FM100" i="3"/>
  <c r="FW100" i="3"/>
  <c r="FX100" i="3"/>
  <c r="A100" i="15"/>
  <c r="AX101" i="3"/>
  <c r="BE101" i="3"/>
  <c r="BT101" i="3"/>
  <c r="BU101" i="3"/>
  <c r="CF101" i="3"/>
  <c r="CG101" i="3"/>
  <c r="CL101" i="3"/>
  <c r="CS101" i="3"/>
  <c r="AA122" i="12"/>
  <c r="AF101" i="3"/>
  <c r="AI101" i="3"/>
  <c r="CT101" i="3"/>
  <c r="CY101" i="3"/>
  <c r="DD101" i="3"/>
  <c r="DJ101" i="3"/>
  <c r="DO101" i="3"/>
  <c r="DP101" i="3"/>
  <c r="DU101" i="3"/>
  <c r="EB101" i="3"/>
  <c r="EC101" i="3"/>
  <c r="EH101" i="3"/>
  <c r="EO101" i="3"/>
  <c r="EP101" i="3"/>
  <c r="EU101" i="3"/>
  <c r="FB101" i="3"/>
  <c r="FC101" i="3"/>
  <c r="FH101" i="3"/>
  <c r="FM101" i="3"/>
  <c r="FN101" i="3"/>
  <c r="FW101" i="3"/>
  <c r="FX101" i="3"/>
  <c r="A101" i="15"/>
  <c r="D101" i="15"/>
  <c r="E101" i="15"/>
  <c r="CB102" i="3"/>
  <c r="CD102" i="3"/>
  <c r="CL102" i="3"/>
  <c r="CO102" i="3"/>
  <c r="G147" i="11"/>
  <c r="J147" i="11"/>
  <c r="X102" i="3"/>
  <c r="AA102" i="3"/>
  <c r="CY102" i="3"/>
  <c r="DD102" i="3"/>
  <c r="DB102" i="3"/>
  <c r="DC102" i="3"/>
  <c r="DJ102" i="3"/>
  <c r="DO102" i="3"/>
  <c r="V63" i="7"/>
  <c r="V47" i="7"/>
  <c r="V49" i="7"/>
  <c r="V50" i="7"/>
  <c r="V51" i="7"/>
  <c r="V52" i="7"/>
  <c r="DM102" i="3"/>
  <c r="DN102" i="3"/>
  <c r="DU102" i="3"/>
  <c r="DX102" i="3"/>
  <c r="DZ102" i="3"/>
  <c r="EH102" i="3"/>
  <c r="EK102" i="3"/>
  <c r="EU102" i="3"/>
  <c r="EX102" i="3"/>
  <c r="EZ102" i="3"/>
  <c r="FH102" i="3"/>
  <c r="FM102" i="3"/>
  <c r="AD63" i="7"/>
  <c r="AD51" i="7"/>
  <c r="AD52" i="7"/>
  <c r="FK102" i="3"/>
  <c r="FL102" i="3"/>
  <c r="O101" i="15"/>
  <c r="FW102" i="3"/>
  <c r="FX102" i="3"/>
  <c r="FZ102" i="3"/>
  <c r="W101" i="15"/>
  <c r="GA102" i="3"/>
  <c r="X101" i="15"/>
  <c r="GB102" i="3"/>
  <c r="Y101" i="15"/>
  <c r="GC102" i="3"/>
  <c r="Z101" i="15"/>
  <c r="GD102" i="3"/>
  <c r="AA101" i="15"/>
  <c r="GE102" i="3"/>
  <c r="AB101" i="15"/>
  <c r="GF102" i="3"/>
  <c r="AC101" i="15"/>
  <c r="A102" i="15"/>
  <c r="AX103" i="3"/>
  <c r="BE103" i="3"/>
  <c r="BT103" i="3"/>
  <c r="CF103" i="3"/>
  <c r="CL103" i="3"/>
  <c r="CS103" i="3"/>
  <c r="S126" i="12"/>
  <c r="T126" i="12"/>
  <c r="U126" i="12"/>
  <c r="V126" i="12"/>
  <c r="AA126" i="12"/>
  <c r="AF103" i="3"/>
  <c r="AI103" i="3"/>
  <c r="CY103" i="3"/>
  <c r="DD103" i="3"/>
  <c r="DJ103" i="3"/>
  <c r="DO103" i="3"/>
  <c r="DU103" i="3"/>
  <c r="EB103" i="3"/>
  <c r="EH103" i="3"/>
  <c r="EO103" i="3"/>
  <c r="EU103" i="3"/>
  <c r="FB103" i="3"/>
  <c r="FH103" i="3"/>
  <c r="FM103" i="3"/>
  <c r="FW103" i="3"/>
  <c r="FX103" i="3"/>
  <c r="A103" i="15"/>
  <c r="AX104" i="3"/>
  <c r="BE104" i="3"/>
  <c r="BT104" i="3"/>
  <c r="CF104" i="3"/>
  <c r="CL104" i="3"/>
  <c r="CS104" i="3"/>
  <c r="S127" i="12"/>
  <c r="T127" i="12"/>
  <c r="U127" i="12"/>
  <c r="V127" i="12"/>
  <c r="AA127" i="12"/>
  <c r="AF104" i="3"/>
  <c r="AI104" i="3"/>
  <c r="CY104" i="3"/>
  <c r="DD104" i="3"/>
  <c r="DJ104" i="3"/>
  <c r="DO104" i="3"/>
  <c r="DU104" i="3"/>
  <c r="EB104" i="3"/>
  <c r="EH104" i="3"/>
  <c r="EO104" i="3"/>
  <c r="EU104" i="3"/>
  <c r="FB104" i="3"/>
  <c r="FH104" i="3"/>
  <c r="FM104" i="3"/>
  <c r="FW104" i="3"/>
  <c r="FX104" i="3"/>
  <c r="A104" i="15"/>
  <c r="AX105" i="3"/>
  <c r="BE105" i="3"/>
  <c r="BT105" i="3"/>
  <c r="BU105" i="3"/>
  <c r="CF105" i="3"/>
  <c r="CG105" i="3"/>
  <c r="CL105" i="3"/>
  <c r="CS105" i="3"/>
  <c r="G144" i="11"/>
  <c r="J144" i="11"/>
  <c r="X105" i="3"/>
  <c r="AA105" i="3"/>
  <c r="AA128" i="12"/>
  <c r="AF105" i="3"/>
  <c r="AI105" i="3"/>
  <c r="CT105" i="3"/>
  <c r="CY105" i="3"/>
  <c r="DD105" i="3"/>
  <c r="DJ105" i="3"/>
  <c r="DO105" i="3"/>
  <c r="DP105" i="3"/>
  <c r="DU105" i="3"/>
  <c r="EB105" i="3"/>
  <c r="EC105" i="3"/>
  <c r="EH105" i="3"/>
  <c r="EO105" i="3"/>
  <c r="EP105" i="3"/>
  <c r="EU105" i="3"/>
  <c r="FB105" i="3"/>
  <c r="FC105" i="3"/>
  <c r="FH105" i="3"/>
  <c r="FM105" i="3"/>
  <c r="FN105" i="3"/>
  <c r="FW105" i="3"/>
  <c r="FX105" i="3"/>
  <c r="A105" i="15"/>
  <c r="AX106" i="3"/>
  <c r="BE106" i="3"/>
  <c r="BT106" i="3"/>
  <c r="CF106" i="3"/>
  <c r="CL106" i="3"/>
  <c r="CS106" i="3"/>
  <c r="G145" i="11"/>
  <c r="J145" i="11"/>
  <c r="X106" i="3"/>
  <c r="AA106" i="3"/>
  <c r="AA129" i="12"/>
  <c r="AF106" i="3"/>
  <c r="AI106" i="3"/>
  <c r="CY106" i="3"/>
  <c r="DD106" i="3"/>
  <c r="DJ106" i="3"/>
  <c r="DO106" i="3"/>
  <c r="DU106" i="3"/>
  <c r="EB106" i="3"/>
  <c r="EH106" i="3"/>
  <c r="EO106" i="3"/>
  <c r="EU106" i="3"/>
  <c r="FB106" i="3"/>
  <c r="FH106" i="3"/>
  <c r="FM106" i="3"/>
  <c r="FW106" i="3"/>
  <c r="FX106" i="3"/>
  <c r="A106" i="15"/>
  <c r="AX107" i="3"/>
  <c r="BE107" i="3"/>
  <c r="BT107" i="3"/>
  <c r="CF107" i="3"/>
  <c r="CL107" i="3"/>
  <c r="CS107" i="3"/>
  <c r="S130" i="12"/>
  <c r="T130" i="12"/>
  <c r="U130" i="12"/>
  <c r="V130" i="12"/>
  <c r="AA130" i="12"/>
  <c r="AF107" i="3"/>
  <c r="AI107" i="3"/>
  <c r="CY107" i="3"/>
  <c r="DD107" i="3"/>
  <c r="DJ107" i="3"/>
  <c r="DO107" i="3"/>
  <c r="DU107" i="3"/>
  <c r="EB107" i="3"/>
  <c r="EH107" i="3"/>
  <c r="EO107" i="3"/>
  <c r="EU107" i="3"/>
  <c r="FB107" i="3"/>
  <c r="FH107" i="3"/>
  <c r="FM107" i="3"/>
  <c r="FW107" i="3"/>
  <c r="FX107" i="3"/>
  <c r="A107" i="15"/>
  <c r="AX108" i="3"/>
  <c r="BE108" i="3"/>
  <c r="BT108" i="3"/>
  <c r="CF108" i="3"/>
  <c r="CL108" i="3"/>
  <c r="CS108" i="3"/>
  <c r="G151" i="11"/>
  <c r="J151" i="11"/>
  <c r="X108" i="3"/>
  <c r="AA108" i="3"/>
  <c r="S132" i="12"/>
  <c r="T132" i="12"/>
  <c r="U132" i="12"/>
  <c r="V132" i="12"/>
  <c r="AA132" i="12"/>
  <c r="AF108" i="3"/>
  <c r="AI108" i="3"/>
  <c r="CY108" i="3"/>
  <c r="DD108" i="3"/>
  <c r="DJ108" i="3"/>
  <c r="DO108" i="3"/>
  <c r="DU108" i="3"/>
  <c r="EB108" i="3"/>
  <c r="EH108" i="3"/>
  <c r="EO108" i="3"/>
  <c r="EU108" i="3"/>
  <c r="FB108" i="3"/>
  <c r="FH108" i="3"/>
  <c r="FM108" i="3"/>
  <c r="FW108" i="3"/>
  <c r="FX108" i="3"/>
  <c r="A108" i="15"/>
  <c r="AX109" i="3"/>
  <c r="BE109" i="3"/>
  <c r="BT109" i="3"/>
  <c r="CF109" i="3"/>
  <c r="CL109" i="3"/>
  <c r="CS109" i="3"/>
  <c r="AA133" i="12"/>
  <c r="AF109" i="3"/>
  <c r="AI109" i="3"/>
  <c r="CY109" i="3"/>
  <c r="DD109" i="3"/>
  <c r="DJ109" i="3"/>
  <c r="DO109" i="3"/>
  <c r="DU109" i="3"/>
  <c r="EB109" i="3"/>
  <c r="EH109" i="3"/>
  <c r="EO109" i="3"/>
  <c r="EU109" i="3"/>
  <c r="FB109" i="3"/>
  <c r="FH109" i="3"/>
  <c r="FM109" i="3"/>
  <c r="FW109" i="3"/>
  <c r="FX109" i="3"/>
  <c r="A109" i="15"/>
  <c r="AX110" i="3"/>
  <c r="BE110" i="3"/>
  <c r="BT110" i="3"/>
  <c r="CF110" i="3"/>
  <c r="CL110" i="3"/>
  <c r="CS110" i="3"/>
  <c r="G153" i="11"/>
  <c r="J153" i="11"/>
  <c r="X110" i="3"/>
  <c r="AA110" i="3"/>
  <c r="S134" i="12"/>
  <c r="T134" i="12"/>
  <c r="U134" i="12"/>
  <c r="V134" i="12"/>
  <c r="AA134" i="12"/>
  <c r="AF110" i="3"/>
  <c r="AI110" i="3"/>
  <c r="CY110" i="3"/>
  <c r="DD110" i="3"/>
  <c r="DJ110" i="3"/>
  <c r="DO110" i="3"/>
  <c r="DU110" i="3"/>
  <c r="EB110" i="3"/>
  <c r="EH110" i="3"/>
  <c r="EO110" i="3"/>
  <c r="EU110" i="3"/>
  <c r="FB110" i="3"/>
  <c r="FH110" i="3"/>
  <c r="FM110" i="3"/>
  <c r="FW110" i="3"/>
  <c r="FX110" i="3"/>
  <c r="A110" i="15"/>
  <c r="AX111" i="3"/>
  <c r="BE111" i="3"/>
  <c r="BT111" i="3"/>
  <c r="BU111" i="3"/>
  <c r="CF111" i="3"/>
  <c r="CG111" i="3"/>
  <c r="CL111" i="3"/>
  <c r="CS111" i="3"/>
  <c r="G161" i="11"/>
  <c r="J161" i="11"/>
  <c r="X111" i="3"/>
  <c r="AA111" i="3"/>
  <c r="AA136" i="12"/>
  <c r="AF111" i="3"/>
  <c r="AI111" i="3"/>
  <c r="CT111" i="3"/>
  <c r="CY111" i="3"/>
  <c r="DD111" i="3"/>
  <c r="DJ111" i="3"/>
  <c r="DO111" i="3"/>
  <c r="DP111" i="3"/>
  <c r="DU111" i="3"/>
  <c r="EB111" i="3"/>
  <c r="EC111" i="3"/>
  <c r="EH111" i="3"/>
  <c r="EO111" i="3"/>
  <c r="EP111" i="3"/>
  <c r="EU111" i="3"/>
  <c r="FB111" i="3"/>
  <c r="FC111" i="3"/>
  <c r="FH111" i="3"/>
  <c r="FM111" i="3"/>
  <c r="FN111" i="3"/>
  <c r="FW111" i="3"/>
  <c r="FX111" i="3"/>
  <c r="A111" i="15"/>
  <c r="AX112" i="3"/>
  <c r="BE112" i="3"/>
  <c r="BT112" i="3"/>
  <c r="CF112" i="3"/>
  <c r="CL112" i="3"/>
  <c r="CS112" i="3"/>
  <c r="S137" i="12"/>
  <c r="T137" i="12"/>
  <c r="U137" i="12"/>
  <c r="V137" i="12"/>
  <c r="AA137" i="12"/>
  <c r="AF112" i="3"/>
  <c r="AI112" i="3"/>
  <c r="CY112" i="3"/>
  <c r="DD112" i="3"/>
  <c r="DJ112" i="3"/>
  <c r="DO112" i="3"/>
  <c r="DU112" i="3"/>
  <c r="EB112" i="3"/>
  <c r="EH112" i="3"/>
  <c r="EO112" i="3"/>
  <c r="EU112" i="3"/>
  <c r="FB112" i="3"/>
  <c r="FH112" i="3"/>
  <c r="FM112" i="3"/>
  <c r="FW112" i="3"/>
  <c r="FX112" i="3"/>
  <c r="A112" i="15"/>
  <c r="AX113" i="3"/>
  <c r="BE113" i="3"/>
  <c r="BT113" i="3"/>
  <c r="CF113" i="3"/>
  <c r="CL113" i="3"/>
  <c r="CS113" i="3"/>
  <c r="S138" i="12"/>
  <c r="T138" i="12"/>
  <c r="U138" i="12"/>
  <c r="V138" i="12"/>
  <c r="AA138" i="12"/>
  <c r="AF113" i="3"/>
  <c r="AI113" i="3"/>
  <c r="CY113" i="3"/>
  <c r="DD113" i="3"/>
  <c r="DJ113" i="3"/>
  <c r="DO113" i="3"/>
  <c r="DU113" i="3"/>
  <c r="EB113" i="3"/>
  <c r="EH113" i="3"/>
  <c r="EO113" i="3"/>
  <c r="EU113" i="3"/>
  <c r="FB113" i="3"/>
  <c r="FH113" i="3"/>
  <c r="FM113" i="3"/>
  <c r="FW113" i="3"/>
  <c r="FX113" i="3"/>
  <c r="A113" i="15"/>
  <c r="AX114" i="3"/>
  <c r="BE114" i="3"/>
  <c r="BT114" i="3"/>
  <c r="CF114" i="3"/>
  <c r="CL114" i="3"/>
  <c r="CS114" i="3"/>
  <c r="S140" i="12"/>
  <c r="T140" i="12"/>
  <c r="U140" i="12"/>
  <c r="V140" i="12"/>
  <c r="AA140" i="12"/>
  <c r="AF114" i="3"/>
  <c r="AI114" i="3"/>
  <c r="CY114" i="3"/>
  <c r="DD114" i="3"/>
  <c r="DJ114" i="3"/>
  <c r="DO114" i="3"/>
  <c r="DU114" i="3"/>
  <c r="EB114" i="3"/>
  <c r="EH114" i="3"/>
  <c r="EO114" i="3"/>
  <c r="EU114" i="3"/>
  <c r="FB114" i="3"/>
  <c r="FH114" i="3"/>
  <c r="FM114" i="3"/>
  <c r="FW114" i="3"/>
  <c r="FX114" i="3"/>
  <c r="A114" i="15"/>
  <c r="AX115" i="3"/>
  <c r="BE115" i="3"/>
  <c r="BT115" i="3"/>
  <c r="CF115" i="3"/>
  <c r="CL115" i="3"/>
  <c r="CS115" i="3"/>
  <c r="S141" i="12"/>
  <c r="T141" i="12"/>
  <c r="U141" i="12"/>
  <c r="V141" i="12"/>
  <c r="AA141" i="12"/>
  <c r="AF115" i="3"/>
  <c r="AI115" i="3"/>
  <c r="CY115" i="3"/>
  <c r="DD115" i="3"/>
  <c r="DJ115" i="3"/>
  <c r="DO115" i="3"/>
  <c r="DU115" i="3"/>
  <c r="EB115" i="3"/>
  <c r="EH115" i="3"/>
  <c r="EO115" i="3"/>
  <c r="EU115" i="3"/>
  <c r="FB115" i="3"/>
  <c r="FH115" i="3"/>
  <c r="FM115" i="3"/>
  <c r="FW115" i="3"/>
  <c r="FX115" i="3"/>
  <c r="A115" i="15"/>
  <c r="AX116" i="3"/>
  <c r="BE116" i="3"/>
  <c r="BT116" i="3"/>
  <c r="CF116" i="3"/>
  <c r="CL116" i="3"/>
  <c r="CS116" i="3"/>
  <c r="G163" i="11"/>
  <c r="J163" i="11"/>
  <c r="X116" i="3"/>
  <c r="AA116" i="3"/>
  <c r="AA142" i="12"/>
  <c r="AF116" i="3"/>
  <c r="AI116" i="3"/>
  <c r="CY116" i="3"/>
  <c r="DD116" i="3"/>
  <c r="DJ116" i="3"/>
  <c r="DO116" i="3"/>
  <c r="DU116" i="3"/>
  <c r="EB116" i="3"/>
  <c r="EH116" i="3"/>
  <c r="EO116" i="3"/>
  <c r="EU116" i="3"/>
  <c r="FB116" i="3"/>
  <c r="FH116" i="3"/>
  <c r="FM116" i="3"/>
  <c r="FW116" i="3"/>
  <c r="FX116" i="3"/>
  <c r="A116" i="15"/>
  <c r="AX117" i="3"/>
  <c r="BE117" i="3"/>
  <c r="BT117" i="3"/>
  <c r="CF117" i="3"/>
  <c r="CL117" i="3"/>
  <c r="CS117" i="3"/>
  <c r="S147" i="12"/>
  <c r="T147" i="12"/>
  <c r="U147" i="12"/>
  <c r="V147" i="12"/>
  <c r="AA147" i="12"/>
  <c r="AF117" i="3"/>
  <c r="AI117" i="3"/>
  <c r="CY117" i="3"/>
  <c r="DD117" i="3"/>
  <c r="DJ117" i="3"/>
  <c r="DO117" i="3"/>
  <c r="DU117" i="3"/>
  <c r="EB117" i="3"/>
  <c r="EH117" i="3"/>
  <c r="EO117" i="3"/>
  <c r="EU117" i="3"/>
  <c r="FB117" i="3"/>
  <c r="FH117" i="3"/>
  <c r="FM117" i="3"/>
  <c r="FW117" i="3"/>
  <c r="FX117" i="3"/>
  <c r="A117" i="15"/>
  <c r="AX118" i="3"/>
  <c r="BE118" i="3"/>
  <c r="BT118" i="3"/>
  <c r="BU118" i="3"/>
  <c r="CF118" i="3"/>
  <c r="CG118" i="3"/>
  <c r="CL118" i="3"/>
  <c r="CS118" i="3"/>
  <c r="G167" i="11"/>
  <c r="J167" i="11"/>
  <c r="X118" i="3"/>
  <c r="AA118" i="3"/>
  <c r="AA148" i="12"/>
  <c r="AF118" i="3"/>
  <c r="AI118" i="3"/>
  <c r="CT118" i="3"/>
  <c r="CY118" i="3"/>
  <c r="DD118" i="3"/>
  <c r="DJ118" i="3"/>
  <c r="DO118" i="3"/>
  <c r="DP118" i="3"/>
  <c r="DU118" i="3"/>
  <c r="EB118" i="3"/>
  <c r="EC118" i="3"/>
  <c r="EH118" i="3"/>
  <c r="EO118" i="3"/>
  <c r="EP118" i="3"/>
  <c r="EU118" i="3"/>
  <c r="FB118" i="3"/>
  <c r="FC118" i="3"/>
  <c r="FH118" i="3"/>
  <c r="FM118" i="3"/>
  <c r="FN118" i="3"/>
  <c r="FW118" i="3"/>
  <c r="FX118" i="3"/>
  <c r="A118" i="15"/>
  <c r="AX119" i="3"/>
  <c r="BE119" i="3"/>
  <c r="BT119" i="3"/>
  <c r="CF119" i="3"/>
  <c r="CL119" i="3"/>
  <c r="CS119" i="3"/>
  <c r="G168" i="11"/>
  <c r="J168" i="11"/>
  <c r="X119" i="3"/>
  <c r="AA119" i="3"/>
  <c r="S150" i="12"/>
  <c r="T150" i="12"/>
  <c r="U150" i="12"/>
  <c r="V150" i="12"/>
  <c r="AA150" i="12"/>
  <c r="AF119" i="3"/>
  <c r="AI119" i="3"/>
  <c r="CY119" i="3"/>
  <c r="DD119" i="3"/>
  <c r="DJ119" i="3"/>
  <c r="DO119" i="3"/>
  <c r="DU119" i="3"/>
  <c r="EB119" i="3"/>
  <c r="EH119" i="3"/>
  <c r="EO119" i="3"/>
  <c r="EU119" i="3"/>
  <c r="FB119" i="3"/>
  <c r="FH119" i="3"/>
  <c r="FM119" i="3"/>
  <c r="FW119" i="3"/>
  <c r="FX119" i="3"/>
  <c r="A119" i="15"/>
  <c r="AX120" i="3"/>
  <c r="BE120" i="3"/>
  <c r="BT120" i="3"/>
  <c r="CF120" i="3"/>
  <c r="CL120" i="3"/>
  <c r="CS120" i="3"/>
  <c r="G170" i="11"/>
  <c r="J170" i="11"/>
  <c r="X120" i="3"/>
  <c r="AA120" i="3"/>
  <c r="AA151" i="12"/>
  <c r="AF120" i="3"/>
  <c r="AI120" i="3"/>
  <c r="CY120" i="3"/>
  <c r="DD120" i="3"/>
  <c r="DJ120" i="3"/>
  <c r="DO120" i="3"/>
  <c r="DU120" i="3"/>
  <c r="EB120" i="3"/>
  <c r="EH120" i="3"/>
  <c r="EO120" i="3"/>
  <c r="EU120" i="3"/>
  <c r="FB120" i="3"/>
  <c r="FH120" i="3"/>
  <c r="FM120" i="3"/>
  <c r="FW120" i="3"/>
  <c r="FX120" i="3"/>
  <c r="A120" i="15"/>
  <c r="AX121" i="3"/>
  <c r="BE121" i="3"/>
  <c r="BT121" i="3"/>
  <c r="CF121" i="3"/>
  <c r="CL121" i="3"/>
  <c r="CS121" i="3"/>
  <c r="G179" i="11"/>
  <c r="J179" i="11"/>
  <c r="X121" i="3"/>
  <c r="AA121" i="3"/>
  <c r="AF121" i="3"/>
  <c r="AI121" i="3"/>
  <c r="CY121" i="3"/>
  <c r="DD121" i="3"/>
  <c r="DJ121" i="3"/>
  <c r="DO121" i="3"/>
  <c r="DU121" i="3"/>
  <c r="EB121" i="3"/>
  <c r="EH121" i="3"/>
  <c r="EO121" i="3"/>
  <c r="EU121" i="3"/>
  <c r="FB121" i="3"/>
  <c r="FH121" i="3"/>
  <c r="FM121" i="3"/>
  <c r="FW121" i="3"/>
  <c r="FX121" i="3"/>
  <c r="A121" i="15"/>
  <c r="AX122" i="3"/>
  <c r="BE122" i="3"/>
  <c r="BT122" i="3"/>
  <c r="CF122" i="3"/>
  <c r="CL122" i="3"/>
  <c r="CS122" i="3"/>
  <c r="G186" i="11"/>
  <c r="J186" i="11"/>
  <c r="X122" i="3"/>
  <c r="AA122" i="3"/>
  <c r="AF122" i="3"/>
  <c r="AI122" i="3"/>
  <c r="CY122" i="3"/>
  <c r="DD122" i="3"/>
  <c r="DJ122" i="3"/>
  <c r="DO122" i="3"/>
  <c r="DU122" i="3"/>
  <c r="EB122" i="3"/>
  <c r="EH122" i="3"/>
  <c r="EO122" i="3"/>
  <c r="EU122" i="3"/>
  <c r="FB122" i="3"/>
  <c r="FH122" i="3"/>
  <c r="FM122" i="3"/>
  <c r="FW122" i="3"/>
  <c r="FX122" i="3"/>
  <c r="A122" i="15"/>
  <c r="AX123" i="3"/>
  <c r="BE123" i="3"/>
  <c r="BT123" i="3"/>
  <c r="CF123" i="3"/>
  <c r="CL123" i="3"/>
  <c r="CS123" i="3"/>
  <c r="G174" i="11"/>
  <c r="J174" i="11"/>
  <c r="X123" i="3"/>
  <c r="AA123" i="3"/>
  <c r="AA152" i="12"/>
  <c r="AF123" i="3"/>
  <c r="AI123" i="3"/>
  <c r="CY123" i="3"/>
  <c r="DD123" i="3"/>
  <c r="DJ123" i="3"/>
  <c r="DO123" i="3"/>
  <c r="DU123" i="3"/>
  <c r="EB123" i="3"/>
  <c r="EH123" i="3"/>
  <c r="EO123" i="3"/>
  <c r="EU123" i="3"/>
  <c r="FB123" i="3"/>
  <c r="FH123" i="3"/>
  <c r="FM123" i="3"/>
  <c r="FW123" i="3"/>
  <c r="FX123" i="3"/>
  <c r="A123" i="15"/>
  <c r="AX124" i="3"/>
  <c r="BE124" i="3"/>
  <c r="BT124" i="3"/>
  <c r="CF124" i="3"/>
  <c r="CL124" i="3"/>
  <c r="CS124" i="3"/>
  <c r="G177" i="11"/>
  <c r="J177" i="11"/>
  <c r="X124" i="3"/>
  <c r="AA124" i="3"/>
  <c r="S157" i="12"/>
  <c r="T157" i="12"/>
  <c r="U157" i="12"/>
  <c r="V157" i="12"/>
  <c r="AA157" i="12"/>
  <c r="AF124" i="3"/>
  <c r="AI124" i="3"/>
  <c r="CY124" i="3"/>
  <c r="DD124" i="3"/>
  <c r="DJ124" i="3"/>
  <c r="DO124" i="3"/>
  <c r="DU124" i="3"/>
  <c r="EB124" i="3"/>
  <c r="EH124" i="3"/>
  <c r="EO124" i="3"/>
  <c r="EU124" i="3"/>
  <c r="FB124" i="3"/>
  <c r="FH124" i="3"/>
  <c r="FM124" i="3"/>
  <c r="FW124" i="3"/>
  <c r="FX124" i="3"/>
  <c r="A124" i="15"/>
  <c r="AX125" i="3"/>
  <c r="BE125" i="3"/>
  <c r="BT125" i="3"/>
  <c r="CF125" i="3"/>
  <c r="CL125" i="3"/>
  <c r="CS125" i="3"/>
  <c r="G218" i="11"/>
  <c r="J218" i="11"/>
  <c r="X125" i="3"/>
  <c r="AA125" i="3"/>
  <c r="S158" i="12"/>
  <c r="T158" i="12"/>
  <c r="U158" i="12"/>
  <c r="V158" i="12"/>
  <c r="AA158" i="12"/>
  <c r="AF125" i="3"/>
  <c r="AI125" i="3"/>
  <c r="CY125" i="3"/>
  <c r="DD125" i="3"/>
  <c r="DJ125" i="3"/>
  <c r="DO125" i="3"/>
  <c r="DU125" i="3"/>
  <c r="EB125" i="3"/>
  <c r="EH125" i="3"/>
  <c r="EO125" i="3"/>
  <c r="EU125" i="3"/>
  <c r="FB125" i="3"/>
  <c r="FH125" i="3"/>
  <c r="FM125" i="3"/>
  <c r="FW125" i="3"/>
  <c r="FX125" i="3"/>
  <c r="A125" i="15"/>
  <c r="AX126" i="3"/>
  <c r="BE126" i="3"/>
  <c r="BT126" i="3"/>
  <c r="CF126" i="3"/>
  <c r="CL126" i="3"/>
  <c r="CS126" i="3"/>
  <c r="S159" i="12"/>
  <c r="T159" i="12"/>
  <c r="U159" i="12"/>
  <c r="V159" i="12"/>
  <c r="AA159" i="12"/>
  <c r="AF126" i="3"/>
  <c r="AI126" i="3"/>
  <c r="CY126" i="3"/>
  <c r="DD126" i="3"/>
  <c r="DJ126" i="3"/>
  <c r="DO126" i="3"/>
  <c r="DU126" i="3"/>
  <c r="EB126" i="3"/>
  <c r="EH126" i="3"/>
  <c r="EO126" i="3"/>
  <c r="EU126" i="3"/>
  <c r="FB126" i="3"/>
  <c r="FH126" i="3"/>
  <c r="FM126" i="3"/>
  <c r="FW126" i="3"/>
  <c r="FX126" i="3"/>
  <c r="A126" i="15"/>
  <c r="AX127" i="3"/>
  <c r="BE127" i="3"/>
  <c r="BT127" i="3"/>
  <c r="CF127" i="3"/>
  <c r="CL127" i="3"/>
  <c r="CS127" i="3"/>
  <c r="S160" i="12"/>
  <c r="T160" i="12"/>
  <c r="U160" i="12"/>
  <c r="V160" i="12"/>
  <c r="AA160" i="12"/>
  <c r="AF127" i="3"/>
  <c r="AI127" i="3"/>
  <c r="CY127" i="3"/>
  <c r="DD127" i="3"/>
  <c r="DJ127" i="3"/>
  <c r="DO127" i="3"/>
  <c r="DU127" i="3"/>
  <c r="EB127" i="3"/>
  <c r="EH127" i="3"/>
  <c r="EO127" i="3"/>
  <c r="EU127" i="3"/>
  <c r="FB127" i="3"/>
  <c r="FH127" i="3"/>
  <c r="FM127" i="3"/>
  <c r="FW127" i="3"/>
  <c r="FX127" i="3"/>
  <c r="A127" i="15"/>
  <c r="AX128" i="3"/>
  <c r="BE128" i="3"/>
  <c r="BT128" i="3"/>
  <c r="CF128" i="3"/>
  <c r="CL128" i="3"/>
  <c r="CS128" i="3"/>
  <c r="G169" i="11"/>
  <c r="J169" i="11"/>
  <c r="X128" i="3"/>
  <c r="AA128" i="3"/>
  <c r="AA161" i="12"/>
  <c r="AF128" i="3"/>
  <c r="AI128" i="3"/>
  <c r="CY128" i="3"/>
  <c r="DD128" i="3"/>
  <c r="DJ128" i="3"/>
  <c r="DO128" i="3"/>
  <c r="DU128" i="3"/>
  <c r="EB128" i="3"/>
  <c r="EH128" i="3"/>
  <c r="EO128" i="3"/>
  <c r="EU128" i="3"/>
  <c r="FB128" i="3"/>
  <c r="FH128" i="3"/>
  <c r="FM128" i="3"/>
  <c r="FW128" i="3"/>
  <c r="FX128" i="3"/>
  <c r="A128" i="15"/>
  <c r="AX129" i="3"/>
  <c r="BE129" i="3"/>
  <c r="BT129" i="3"/>
  <c r="CF129" i="3"/>
  <c r="CL129" i="3"/>
  <c r="CS129" i="3"/>
  <c r="G181" i="11"/>
  <c r="J181" i="11"/>
  <c r="X129" i="3"/>
  <c r="AA129" i="3"/>
  <c r="S162" i="12"/>
  <c r="T162" i="12"/>
  <c r="U162" i="12"/>
  <c r="V162" i="12"/>
  <c r="AA162" i="12"/>
  <c r="AF129" i="3"/>
  <c r="AI129" i="3"/>
  <c r="CY129" i="3"/>
  <c r="DD129" i="3"/>
  <c r="DJ129" i="3"/>
  <c r="DO129" i="3"/>
  <c r="DU129" i="3"/>
  <c r="EB129" i="3"/>
  <c r="EH129" i="3"/>
  <c r="EO129" i="3"/>
  <c r="EU129" i="3"/>
  <c r="FB129" i="3"/>
  <c r="FH129" i="3"/>
  <c r="FM129" i="3"/>
  <c r="FW129" i="3"/>
  <c r="FX129" i="3"/>
  <c r="A129" i="15"/>
  <c r="AX130" i="3"/>
  <c r="BE130" i="3"/>
  <c r="BT130" i="3"/>
  <c r="BU130" i="3"/>
  <c r="CF130" i="3"/>
  <c r="CG130" i="3"/>
  <c r="CL130" i="3"/>
  <c r="CS130" i="3"/>
  <c r="G185" i="11"/>
  <c r="J185" i="11"/>
  <c r="X130" i="3"/>
  <c r="AA130" i="3"/>
  <c r="AA163" i="12"/>
  <c r="AF130" i="3"/>
  <c r="AI130" i="3"/>
  <c r="CT130" i="3"/>
  <c r="CY130" i="3"/>
  <c r="DD130" i="3"/>
  <c r="DJ130" i="3"/>
  <c r="DO130" i="3"/>
  <c r="DP130" i="3"/>
  <c r="DU130" i="3"/>
  <c r="EB130" i="3"/>
  <c r="EC130" i="3"/>
  <c r="EH130" i="3"/>
  <c r="EO130" i="3"/>
  <c r="EP130" i="3"/>
  <c r="EU130" i="3"/>
  <c r="FB130" i="3"/>
  <c r="FC130" i="3"/>
  <c r="FH130" i="3"/>
  <c r="FM130" i="3"/>
  <c r="FN130" i="3"/>
  <c r="FW130" i="3"/>
  <c r="FX130" i="3"/>
  <c r="A130" i="15"/>
  <c r="AX131" i="3"/>
  <c r="BE131" i="3"/>
  <c r="BT131" i="3"/>
  <c r="CF131" i="3"/>
  <c r="CL131" i="3"/>
  <c r="CS131" i="3"/>
  <c r="S164" i="12"/>
  <c r="T164" i="12"/>
  <c r="U164" i="12"/>
  <c r="V164" i="12"/>
  <c r="AA164" i="12"/>
  <c r="AF131" i="3"/>
  <c r="AI131" i="3"/>
  <c r="CY131" i="3"/>
  <c r="DD131" i="3"/>
  <c r="DJ131" i="3"/>
  <c r="DO131" i="3"/>
  <c r="DU131" i="3"/>
  <c r="EB131" i="3"/>
  <c r="EH131" i="3"/>
  <c r="EO131" i="3"/>
  <c r="EU131" i="3"/>
  <c r="FB131" i="3"/>
  <c r="FH131" i="3"/>
  <c r="FM131" i="3"/>
  <c r="FW131" i="3"/>
  <c r="FX131" i="3"/>
  <c r="A131" i="15"/>
  <c r="AX132" i="3"/>
  <c r="BE132" i="3"/>
  <c r="BT132" i="3"/>
  <c r="BU132" i="3"/>
  <c r="CF132" i="3"/>
  <c r="CG132" i="3"/>
  <c r="CL132" i="3"/>
  <c r="CS132" i="3"/>
  <c r="AA165" i="12"/>
  <c r="AF132" i="3"/>
  <c r="AI132" i="3"/>
  <c r="CT132" i="3"/>
  <c r="CY132" i="3"/>
  <c r="DD132" i="3"/>
  <c r="DJ132" i="3"/>
  <c r="DO132" i="3"/>
  <c r="DP132" i="3"/>
  <c r="DU132" i="3"/>
  <c r="EB132" i="3"/>
  <c r="EC132" i="3"/>
  <c r="EH132" i="3"/>
  <c r="EO132" i="3"/>
  <c r="EP132" i="3"/>
  <c r="EU132" i="3"/>
  <c r="FB132" i="3"/>
  <c r="FC132" i="3"/>
  <c r="FH132" i="3"/>
  <c r="FM132" i="3"/>
  <c r="FN132" i="3"/>
  <c r="FW132" i="3"/>
  <c r="FX132" i="3"/>
  <c r="A132" i="15"/>
  <c r="AX133" i="3"/>
  <c r="BE133" i="3"/>
  <c r="BT133" i="3"/>
  <c r="CF133" i="3"/>
  <c r="CL133" i="3"/>
  <c r="CS133" i="3"/>
  <c r="G187" i="11"/>
  <c r="J187" i="11"/>
  <c r="X133" i="3"/>
  <c r="AA133" i="3"/>
  <c r="AA166" i="12"/>
  <c r="AF133" i="3"/>
  <c r="AI133" i="3"/>
  <c r="CY133" i="3"/>
  <c r="DD133" i="3"/>
  <c r="DJ133" i="3"/>
  <c r="DO133" i="3"/>
  <c r="DU133" i="3"/>
  <c r="EB133" i="3"/>
  <c r="EH133" i="3"/>
  <c r="EO133" i="3"/>
  <c r="EU133" i="3"/>
  <c r="FB133" i="3"/>
  <c r="FH133" i="3"/>
  <c r="FM133" i="3"/>
  <c r="FW133" i="3"/>
  <c r="FX133" i="3"/>
  <c r="A133" i="15"/>
  <c r="AX134" i="3"/>
  <c r="BE134" i="3"/>
  <c r="BT134" i="3"/>
  <c r="BU134" i="3"/>
  <c r="CF134" i="3"/>
  <c r="CG134" i="3"/>
  <c r="CL134" i="3"/>
  <c r="CS134" i="3"/>
  <c r="G192" i="11"/>
  <c r="J192" i="11"/>
  <c r="X134" i="3"/>
  <c r="AA134" i="3"/>
  <c r="AA168" i="12"/>
  <c r="AF134" i="3"/>
  <c r="AI134" i="3"/>
  <c r="CT134" i="3"/>
  <c r="CY134" i="3"/>
  <c r="DD134" i="3"/>
  <c r="DJ134" i="3"/>
  <c r="DO134" i="3"/>
  <c r="DP134" i="3"/>
  <c r="DU134" i="3"/>
  <c r="EB134" i="3"/>
  <c r="EC134" i="3"/>
  <c r="EH134" i="3"/>
  <c r="EO134" i="3"/>
  <c r="EP134" i="3"/>
  <c r="EU134" i="3"/>
  <c r="FB134" i="3"/>
  <c r="FC134" i="3"/>
  <c r="FH134" i="3"/>
  <c r="FM134" i="3"/>
  <c r="FN134" i="3"/>
  <c r="FW134" i="3"/>
  <c r="FX134" i="3"/>
  <c r="A134" i="15"/>
  <c r="AX135" i="3"/>
  <c r="BE135" i="3"/>
  <c r="BT135" i="3"/>
  <c r="CF135" i="3"/>
  <c r="CL135" i="3"/>
  <c r="CS135" i="3"/>
  <c r="G200" i="11"/>
  <c r="J200" i="11"/>
  <c r="X135" i="3"/>
  <c r="AA135" i="3"/>
  <c r="AF135" i="3"/>
  <c r="AI135" i="3"/>
  <c r="CY135" i="3"/>
  <c r="DD135" i="3"/>
  <c r="DJ135" i="3"/>
  <c r="DO135" i="3"/>
  <c r="DU135" i="3"/>
  <c r="EB135" i="3"/>
  <c r="EH135" i="3"/>
  <c r="EO135" i="3"/>
  <c r="EU135" i="3"/>
  <c r="FB135" i="3"/>
  <c r="FH135" i="3"/>
  <c r="FM135" i="3"/>
  <c r="FW135" i="3"/>
  <c r="FX135" i="3"/>
  <c r="A135" i="15"/>
  <c r="AX136" i="3"/>
  <c r="BE136" i="3"/>
  <c r="BT136" i="3"/>
  <c r="CF136" i="3"/>
  <c r="CL136" i="3"/>
  <c r="CS136" i="3"/>
  <c r="G191" i="11"/>
  <c r="J191" i="11"/>
  <c r="X136" i="3"/>
  <c r="AA136" i="3"/>
  <c r="AA170" i="12"/>
  <c r="AF136" i="3"/>
  <c r="AI136" i="3"/>
  <c r="CY136" i="3"/>
  <c r="DD136" i="3"/>
  <c r="DJ136" i="3"/>
  <c r="DO136" i="3"/>
  <c r="DU136" i="3"/>
  <c r="EB136" i="3"/>
  <c r="EH136" i="3"/>
  <c r="EO136" i="3"/>
  <c r="EU136" i="3"/>
  <c r="FB136" i="3"/>
  <c r="FH136" i="3"/>
  <c r="FM136" i="3"/>
  <c r="FW136" i="3"/>
  <c r="FX136" i="3"/>
  <c r="A136" i="15"/>
  <c r="AX137" i="3"/>
  <c r="BE137" i="3"/>
  <c r="BT137" i="3"/>
  <c r="CF137" i="3"/>
  <c r="CL137" i="3"/>
  <c r="CS137" i="3"/>
  <c r="G190" i="11"/>
  <c r="J190" i="11"/>
  <c r="X137" i="3"/>
  <c r="AA137" i="3"/>
  <c r="AA171" i="12"/>
  <c r="AF137" i="3"/>
  <c r="AI137" i="3"/>
  <c r="CY137" i="3"/>
  <c r="DD137" i="3"/>
  <c r="DJ137" i="3"/>
  <c r="DO137" i="3"/>
  <c r="DU137" i="3"/>
  <c r="EB137" i="3"/>
  <c r="EH137" i="3"/>
  <c r="EO137" i="3"/>
  <c r="EU137" i="3"/>
  <c r="FB137" i="3"/>
  <c r="FH137" i="3"/>
  <c r="FM137" i="3"/>
  <c r="FW137" i="3"/>
  <c r="FX137" i="3"/>
  <c r="A137" i="15"/>
  <c r="AX138" i="3"/>
  <c r="BE138" i="3"/>
  <c r="BT138" i="3"/>
  <c r="CF138" i="3"/>
  <c r="CL138" i="3"/>
  <c r="CS138" i="3"/>
  <c r="G196" i="11"/>
  <c r="J196" i="11"/>
  <c r="X138" i="3"/>
  <c r="AA138" i="3"/>
  <c r="S172" i="12"/>
  <c r="T172" i="12"/>
  <c r="U172" i="12"/>
  <c r="V172" i="12"/>
  <c r="AA172" i="12"/>
  <c r="AF138" i="3"/>
  <c r="AI138" i="3"/>
  <c r="CY138" i="3"/>
  <c r="DD138" i="3"/>
  <c r="DJ138" i="3"/>
  <c r="DO138" i="3"/>
  <c r="DU138" i="3"/>
  <c r="EB138" i="3"/>
  <c r="EH138" i="3"/>
  <c r="EO138" i="3"/>
  <c r="EU138" i="3"/>
  <c r="FB138" i="3"/>
  <c r="FH138" i="3"/>
  <c r="FM138" i="3"/>
  <c r="FW138" i="3"/>
  <c r="FX138" i="3"/>
  <c r="A138" i="15"/>
  <c r="AX139" i="3"/>
  <c r="BE139" i="3"/>
  <c r="BT139" i="3"/>
  <c r="CF139" i="3"/>
  <c r="CL139" i="3"/>
  <c r="CS139" i="3"/>
  <c r="G197" i="11"/>
  <c r="J197" i="11"/>
  <c r="X139" i="3"/>
  <c r="AA139" i="3"/>
  <c r="S173" i="12"/>
  <c r="T173" i="12"/>
  <c r="U173" i="12"/>
  <c r="V173" i="12"/>
  <c r="AA173" i="12"/>
  <c r="AF139" i="3"/>
  <c r="AI139" i="3"/>
  <c r="CY139" i="3"/>
  <c r="DD139" i="3"/>
  <c r="DJ139" i="3"/>
  <c r="DO139" i="3"/>
  <c r="DU139" i="3"/>
  <c r="EB139" i="3"/>
  <c r="EH139" i="3"/>
  <c r="EO139" i="3"/>
  <c r="EU139" i="3"/>
  <c r="FB139" i="3"/>
  <c r="FH139" i="3"/>
  <c r="FM139" i="3"/>
  <c r="FW139" i="3"/>
  <c r="FX139" i="3"/>
  <c r="A139" i="15"/>
  <c r="AX140" i="3"/>
  <c r="BE140" i="3"/>
  <c r="BT140" i="3"/>
  <c r="CF140" i="3"/>
  <c r="CL140" i="3"/>
  <c r="CS140" i="3"/>
  <c r="G198" i="11"/>
  <c r="J198" i="11"/>
  <c r="X140" i="3"/>
  <c r="AA140" i="3"/>
  <c r="S174" i="12"/>
  <c r="T174" i="12"/>
  <c r="U174" i="12"/>
  <c r="V174" i="12"/>
  <c r="AA174" i="12"/>
  <c r="AF140" i="3"/>
  <c r="AI140" i="3"/>
  <c r="CY140" i="3"/>
  <c r="DD140" i="3"/>
  <c r="DJ140" i="3"/>
  <c r="DO140" i="3"/>
  <c r="DU140" i="3"/>
  <c r="EB140" i="3"/>
  <c r="EH140" i="3"/>
  <c r="EO140" i="3"/>
  <c r="EU140" i="3"/>
  <c r="FB140" i="3"/>
  <c r="FH140" i="3"/>
  <c r="FM140" i="3"/>
  <c r="FW140" i="3"/>
  <c r="FX140" i="3"/>
  <c r="A140" i="15"/>
  <c r="AX141" i="3"/>
  <c r="BE141" i="3"/>
  <c r="BT141" i="3"/>
  <c r="BU141" i="3"/>
  <c r="CF141" i="3"/>
  <c r="CG141" i="3"/>
  <c r="CL141" i="3"/>
  <c r="CS141" i="3"/>
  <c r="G193" i="11"/>
  <c r="J193" i="11"/>
  <c r="X141" i="3"/>
  <c r="AA141" i="3"/>
  <c r="AA175" i="12"/>
  <c r="AF141" i="3"/>
  <c r="AI141" i="3"/>
  <c r="CT141" i="3"/>
  <c r="CY141" i="3"/>
  <c r="DD141" i="3"/>
  <c r="DJ141" i="3"/>
  <c r="DO141" i="3"/>
  <c r="DP141" i="3"/>
  <c r="DU141" i="3"/>
  <c r="EB141" i="3"/>
  <c r="EC141" i="3"/>
  <c r="EH141" i="3"/>
  <c r="EO141" i="3"/>
  <c r="EP141" i="3"/>
  <c r="EU141" i="3"/>
  <c r="FB141" i="3"/>
  <c r="FC141" i="3"/>
  <c r="FH141" i="3"/>
  <c r="FM141" i="3"/>
  <c r="FN141" i="3"/>
  <c r="FW141" i="3"/>
  <c r="FX141" i="3"/>
  <c r="A141" i="15"/>
  <c r="AX142" i="3"/>
  <c r="BE142" i="3"/>
  <c r="BT142" i="3"/>
  <c r="BU142" i="3"/>
  <c r="CF142" i="3"/>
  <c r="CG142" i="3"/>
  <c r="CL142" i="3"/>
  <c r="CS142" i="3"/>
  <c r="G201" i="11"/>
  <c r="J201" i="11"/>
  <c r="X142" i="3"/>
  <c r="AA142" i="3"/>
  <c r="AA176" i="12"/>
  <c r="AF142" i="3"/>
  <c r="AI142" i="3"/>
  <c r="CT142" i="3"/>
  <c r="CY142" i="3"/>
  <c r="DD142" i="3"/>
  <c r="DJ142" i="3"/>
  <c r="DO142" i="3"/>
  <c r="DP142" i="3"/>
  <c r="DU142" i="3"/>
  <c r="EB142" i="3"/>
  <c r="EC142" i="3"/>
  <c r="EH142" i="3"/>
  <c r="EO142" i="3"/>
  <c r="EP142" i="3"/>
  <c r="EU142" i="3"/>
  <c r="FB142" i="3"/>
  <c r="FC142" i="3"/>
  <c r="FH142" i="3"/>
  <c r="FM142" i="3"/>
  <c r="FN142" i="3"/>
  <c r="FW142" i="3"/>
  <c r="FX142" i="3"/>
  <c r="A142" i="15"/>
  <c r="AX143" i="3"/>
  <c r="BE143" i="3"/>
  <c r="BT143" i="3"/>
  <c r="CF143" i="3"/>
  <c r="CL143" i="3"/>
  <c r="CS143" i="3"/>
  <c r="G202" i="11"/>
  <c r="J202" i="11"/>
  <c r="X143" i="3"/>
  <c r="AA143" i="3"/>
  <c r="S177" i="12"/>
  <c r="T177" i="12"/>
  <c r="U177" i="12"/>
  <c r="V177" i="12"/>
  <c r="AA177" i="12"/>
  <c r="AF143" i="3"/>
  <c r="AI143" i="3"/>
  <c r="CY143" i="3"/>
  <c r="DD143" i="3"/>
  <c r="DJ143" i="3"/>
  <c r="DO143" i="3"/>
  <c r="DU143" i="3"/>
  <c r="EB143" i="3"/>
  <c r="EH143" i="3"/>
  <c r="EO143" i="3"/>
  <c r="EU143" i="3"/>
  <c r="FB143" i="3"/>
  <c r="FH143" i="3"/>
  <c r="FM143" i="3"/>
  <c r="FW143" i="3"/>
  <c r="FX143" i="3"/>
  <c r="A143" i="15"/>
  <c r="AX144" i="3"/>
  <c r="BE144" i="3"/>
  <c r="BT144" i="3"/>
  <c r="CF144" i="3"/>
  <c r="CL144" i="3"/>
  <c r="CS144" i="3"/>
  <c r="AA178" i="12"/>
  <c r="AF144" i="3"/>
  <c r="AI144" i="3"/>
  <c r="CY144" i="3"/>
  <c r="DD144" i="3"/>
  <c r="DJ144" i="3"/>
  <c r="DO144" i="3"/>
  <c r="DU144" i="3"/>
  <c r="EB144" i="3"/>
  <c r="EH144" i="3"/>
  <c r="EO144" i="3"/>
  <c r="EU144" i="3"/>
  <c r="FB144" i="3"/>
  <c r="FH144" i="3"/>
  <c r="FM144" i="3"/>
  <c r="FW144" i="3"/>
  <c r="FX144" i="3"/>
  <c r="A144" i="15"/>
  <c r="AX145" i="3"/>
  <c r="BE145" i="3"/>
  <c r="BT145" i="3"/>
  <c r="CF145" i="3"/>
  <c r="CL145" i="3"/>
  <c r="CS145" i="3"/>
  <c r="S179" i="12"/>
  <c r="T179" i="12"/>
  <c r="U179" i="12"/>
  <c r="V179" i="12"/>
  <c r="AA179" i="12"/>
  <c r="AF145" i="3"/>
  <c r="AI145" i="3"/>
  <c r="CY145" i="3"/>
  <c r="DD145" i="3"/>
  <c r="DJ145" i="3"/>
  <c r="DO145" i="3"/>
  <c r="DU145" i="3"/>
  <c r="EB145" i="3"/>
  <c r="EH145" i="3"/>
  <c r="EO145" i="3"/>
  <c r="EU145" i="3"/>
  <c r="FB145" i="3"/>
  <c r="FH145" i="3"/>
  <c r="FM145" i="3"/>
  <c r="FW145" i="3"/>
  <c r="FX145" i="3"/>
  <c r="A145" i="15"/>
  <c r="AX146" i="3"/>
  <c r="BE146" i="3"/>
  <c r="BT146" i="3"/>
  <c r="CF146" i="3"/>
  <c r="CL146" i="3"/>
  <c r="CS146" i="3"/>
  <c r="S181" i="12"/>
  <c r="T181" i="12"/>
  <c r="U181" i="12"/>
  <c r="V181" i="12"/>
  <c r="AA181" i="12"/>
  <c r="AF146" i="3"/>
  <c r="AI146" i="3"/>
  <c r="CY146" i="3"/>
  <c r="DD146" i="3"/>
  <c r="DJ146" i="3"/>
  <c r="DO146" i="3"/>
  <c r="DU146" i="3"/>
  <c r="EB146" i="3"/>
  <c r="EH146" i="3"/>
  <c r="EO146" i="3"/>
  <c r="EU146" i="3"/>
  <c r="FB146" i="3"/>
  <c r="FH146" i="3"/>
  <c r="FM146" i="3"/>
  <c r="FW146" i="3"/>
  <c r="FX146" i="3"/>
  <c r="A146" i="15"/>
  <c r="AX147" i="3"/>
  <c r="BE147" i="3"/>
  <c r="BT147" i="3"/>
  <c r="CF147" i="3"/>
  <c r="CL147" i="3"/>
  <c r="CS147" i="3"/>
  <c r="S182" i="12"/>
  <c r="T182" i="12"/>
  <c r="U182" i="12"/>
  <c r="V182" i="12"/>
  <c r="AA182" i="12"/>
  <c r="AF147" i="3"/>
  <c r="AI147" i="3"/>
  <c r="CY147" i="3"/>
  <c r="DD147" i="3"/>
  <c r="DJ147" i="3"/>
  <c r="DO147" i="3"/>
  <c r="DU147" i="3"/>
  <c r="EB147" i="3"/>
  <c r="EH147" i="3"/>
  <c r="EO147" i="3"/>
  <c r="EU147" i="3"/>
  <c r="FB147" i="3"/>
  <c r="FH147" i="3"/>
  <c r="FM147" i="3"/>
  <c r="FW147" i="3"/>
  <c r="FX147" i="3"/>
  <c r="A147" i="15"/>
  <c r="AX148" i="3"/>
  <c r="BE148" i="3"/>
  <c r="BT148" i="3"/>
  <c r="BU148" i="3"/>
  <c r="CF148" i="3"/>
  <c r="CG148" i="3"/>
  <c r="CL148" i="3"/>
  <c r="CS148" i="3"/>
  <c r="G206" i="11"/>
  <c r="J206" i="11"/>
  <c r="X148" i="3"/>
  <c r="AA148" i="3"/>
  <c r="AA183" i="12"/>
  <c r="AF148" i="3"/>
  <c r="AI148" i="3"/>
  <c r="CT148" i="3"/>
  <c r="CY148" i="3"/>
  <c r="DD148" i="3"/>
  <c r="DJ148" i="3"/>
  <c r="DO148" i="3"/>
  <c r="DP148" i="3"/>
  <c r="DU148" i="3"/>
  <c r="EB148" i="3"/>
  <c r="EC148" i="3"/>
  <c r="EH148" i="3"/>
  <c r="EO148" i="3"/>
  <c r="EP148" i="3"/>
  <c r="EU148" i="3"/>
  <c r="FB148" i="3"/>
  <c r="FC148" i="3"/>
  <c r="FH148" i="3"/>
  <c r="FM148" i="3"/>
  <c r="FN148" i="3"/>
  <c r="FW148" i="3"/>
  <c r="FX148" i="3"/>
  <c r="A148" i="15"/>
  <c r="AX149" i="3"/>
  <c r="BE149" i="3"/>
  <c r="BT149" i="3"/>
  <c r="CF149" i="3"/>
  <c r="CL149" i="3"/>
  <c r="CS149" i="3"/>
  <c r="S185" i="12"/>
  <c r="T185" i="12"/>
  <c r="U185" i="12"/>
  <c r="V185" i="12"/>
  <c r="AA185" i="12"/>
  <c r="AF149" i="3"/>
  <c r="AI149" i="3"/>
  <c r="CY149" i="3"/>
  <c r="DD149" i="3"/>
  <c r="DJ149" i="3"/>
  <c r="DO149" i="3"/>
  <c r="DU149" i="3"/>
  <c r="EB149" i="3"/>
  <c r="EH149" i="3"/>
  <c r="EO149" i="3"/>
  <c r="EU149" i="3"/>
  <c r="FB149" i="3"/>
  <c r="FH149" i="3"/>
  <c r="FM149" i="3"/>
  <c r="FW149" i="3"/>
  <c r="FX149" i="3"/>
  <c r="A149" i="15"/>
  <c r="AX150" i="3"/>
  <c r="BE150" i="3"/>
  <c r="BT150" i="3"/>
  <c r="CF150" i="3"/>
  <c r="CL150" i="3"/>
  <c r="CS150" i="3"/>
  <c r="G210" i="11"/>
  <c r="J210" i="11"/>
  <c r="X150" i="3"/>
  <c r="AA150" i="3"/>
  <c r="S186" i="12"/>
  <c r="T186" i="12"/>
  <c r="U186" i="12"/>
  <c r="V186" i="12"/>
  <c r="AA186" i="12"/>
  <c r="AF150" i="3"/>
  <c r="AI150" i="3"/>
  <c r="CY150" i="3"/>
  <c r="DD150" i="3"/>
  <c r="DJ150" i="3"/>
  <c r="DO150" i="3"/>
  <c r="DU150" i="3"/>
  <c r="EB150" i="3"/>
  <c r="EH150" i="3"/>
  <c r="EO150" i="3"/>
  <c r="EU150" i="3"/>
  <c r="FB150" i="3"/>
  <c r="FH150" i="3"/>
  <c r="FM150" i="3"/>
  <c r="FW150" i="3"/>
  <c r="FX150" i="3"/>
  <c r="A150" i="15"/>
  <c r="AX151" i="3"/>
  <c r="BE151" i="3"/>
  <c r="BT151" i="3"/>
  <c r="BU151" i="3"/>
  <c r="CF151" i="3"/>
  <c r="CG151" i="3"/>
  <c r="CL151" i="3"/>
  <c r="CS151" i="3"/>
  <c r="X151" i="3"/>
  <c r="AA151" i="3"/>
  <c r="AF151" i="3"/>
  <c r="AI151" i="3"/>
  <c r="CT151" i="3"/>
  <c r="CY151" i="3"/>
  <c r="DD151" i="3"/>
  <c r="DJ151" i="3"/>
  <c r="DO151" i="3"/>
  <c r="DP151" i="3"/>
  <c r="DU151" i="3"/>
  <c r="EB151" i="3"/>
  <c r="EC151" i="3"/>
  <c r="EH151" i="3"/>
  <c r="EO151" i="3"/>
  <c r="EP151" i="3"/>
  <c r="EU151" i="3"/>
  <c r="FB151" i="3"/>
  <c r="FC151" i="3"/>
  <c r="FH151" i="3"/>
  <c r="FM151" i="3"/>
  <c r="FN151" i="3"/>
  <c r="FW151" i="3"/>
  <c r="FX151" i="3"/>
  <c r="A151" i="15"/>
  <c r="AX152" i="3"/>
  <c r="BE152" i="3"/>
  <c r="BT152" i="3"/>
  <c r="CF152" i="3"/>
  <c r="CL152" i="3"/>
  <c r="CS152" i="3"/>
  <c r="G217" i="11"/>
  <c r="J217" i="11"/>
  <c r="X152" i="3"/>
  <c r="AA152" i="3"/>
  <c r="S188" i="12"/>
  <c r="T188" i="12"/>
  <c r="U188" i="12"/>
  <c r="V188" i="12"/>
  <c r="AA188" i="12"/>
  <c r="AF152" i="3"/>
  <c r="AI152" i="3"/>
  <c r="CY152" i="3"/>
  <c r="DD152" i="3"/>
  <c r="DJ152" i="3"/>
  <c r="DO152" i="3"/>
  <c r="DU152" i="3"/>
  <c r="EB152" i="3"/>
  <c r="EH152" i="3"/>
  <c r="EO152" i="3"/>
  <c r="EU152" i="3"/>
  <c r="FB152" i="3"/>
  <c r="FH152" i="3"/>
  <c r="FM152" i="3"/>
  <c r="FW152" i="3"/>
  <c r="FX152" i="3"/>
  <c r="A152" i="15"/>
  <c r="AX153" i="3"/>
  <c r="BE153" i="3"/>
  <c r="BT153" i="3"/>
  <c r="BU153" i="3"/>
  <c r="CF153" i="3"/>
  <c r="CG153" i="3"/>
  <c r="CL153" i="3"/>
  <c r="CS153" i="3"/>
  <c r="G220" i="11"/>
  <c r="J220" i="11"/>
  <c r="X153" i="3"/>
  <c r="AA153" i="3"/>
  <c r="AA190" i="12"/>
  <c r="AF153" i="3"/>
  <c r="AI153" i="3"/>
  <c r="CT153" i="3"/>
  <c r="CY153" i="3"/>
  <c r="DD153" i="3"/>
  <c r="DJ153" i="3"/>
  <c r="DO153" i="3"/>
  <c r="DP153" i="3"/>
  <c r="DU153" i="3"/>
  <c r="EB153" i="3"/>
  <c r="EC153" i="3"/>
  <c r="EH153" i="3"/>
  <c r="EO153" i="3"/>
  <c r="EP153" i="3"/>
  <c r="EU153" i="3"/>
  <c r="FB153" i="3"/>
  <c r="FC153" i="3"/>
  <c r="FH153" i="3"/>
  <c r="FM153" i="3"/>
  <c r="FN153" i="3"/>
  <c r="FW153" i="3"/>
  <c r="FX153" i="3"/>
  <c r="A153" i="15"/>
  <c r="AX154" i="3"/>
  <c r="BE154" i="3"/>
  <c r="BT154" i="3"/>
  <c r="BU154" i="3"/>
  <c r="CF154" i="3"/>
  <c r="CG154" i="3"/>
  <c r="CL154" i="3"/>
  <c r="CS154" i="3"/>
  <c r="G221" i="11"/>
  <c r="J221" i="11"/>
  <c r="X154" i="3"/>
  <c r="AA154" i="3"/>
  <c r="AA191" i="12"/>
  <c r="AF154" i="3"/>
  <c r="AI154" i="3"/>
  <c r="CT154" i="3"/>
  <c r="CY154" i="3"/>
  <c r="DD154" i="3"/>
  <c r="DJ154" i="3"/>
  <c r="DO154" i="3"/>
  <c r="DP154" i="3"/>
  <c r="DU154" i="3"/>
  <c r="EB154" i="3"/>
  <c r="EC154" i="3"/>
  <c r="EH154" i="3"/>
  <c r="EO154" i="3"/>
  <c r="EP154" i="3"/>
  <c r="EU154" i="3"/>
  <c r="FB154" i="3"/>
  <c r="FC154" i="3"/>
  <c r="FH154" i="3"/>
  <c r="FM154" i="3"/>
  <c r="FN154" i="3"/>
  <c r="FW154" i="3"/>
  <c r="FX154" i="3"/>
  <c r="CS10" i="3"/>
  <c r="CS11" i="3"/>
  <c r="G58" i="11"/>
  <c r="J58" i="11"/>
  <c r="X11" i="3"/>
  <c r="CS12" i="3"/>
  <c r="CS13" i="3"/>
  <c r="X13" i="3"/>
  <c r="CS14" i="3"/>
  <c r="CS15" i="3"/>
  <c r="CS16" i="3"/>
  <c r="CS17" i="3"/>
  <c r="G19" i="11"/>
  <c r="J19" i="11"/>
  <c r="X17" i="3"/>
  <c r="CS18" i="3"/>
  <c r="G24" i="11"/>
  <c r="J24" i="11"/>
  <c r="X18" i="3"/>
  <c r="CS19" i="3"/>
  <c r="CS20" i="3"/>
  <c r="CS21" i="3"/>
  <c r="G22" i="11"/>
  <c r="J22" i="11"/>
  <c r="X21" i="3"/>
  <c r="CS22" i="3"/>
  <c r="CS23" i="3"/>
  <c r="G28" i="11"/>
  <c r="J28" i="11"/>
  <c r="X23" i="3"/>
  <c r="CS24" i="3"/>
  <c r="G37" i="11"/>
  <c r="J37" i="11"/>
  <c r="X24" i="3"/>
  <c r="CS25" i="3"/>
  <c r="CS26" i="3"/>
  <c r="G35" i="11"/>
  <c r="J35" i="11"/>
  <c r="X26" i="3"/>
  <c r="CS27" i="3"/>
  <c r="G23" i="11"/>
  <c r="J23" i="11"/>
  <c r="X27" i="3"/>
  <c r="CS28" i="3"/>
  <c r="G20" i="11"/>
  <c r="J20" i="11"/>
  <c r="X28" i="3"/>
  <c r="CS29" i="3"/>
  <c r="G107" i="11"/>
  <c r="J107" i="11"/>
  <c r="X29" i="3"/>
  <c r="CS30" i="3"/>
  <c r="G44" i="11"/>
  <c r="J44" i="11"/>
  <c r="X30" i="3"/>
  <c r="CS31" i="3"/>
  <c r="CS32" i="3"/>
  <c r="G38" i="11"/>
  <c r="J38" i="11"/>
  <c r="X32" i="3"/>
  <c r="CS33" i="3"/>
  <c r="G189" i="11"/>
  <c r="J189" i="11"/>
  <c r="X33" i="3"/>
  <c r="CS34" i="3"/>
  <c r="CS35" i="3"/>
  <c r="CS36" i="3"/>
  <c r="CS37" i="3"/>
  <c r="G45" i="11"/>
  <c r="J45" i="11"/>
  <c r="X37" i="3"/>
  <c r="CS38" i="3"/>
  <c r="X38" i="3"/>
  <c r="CS39" i="3"/>
  <c r="CS40" i="3"/>
  <c r="G43" i="11"/>
  <c r="J43" i="11"/>
  <c r="X40" i="3"/>
  <c r="CS41" i="3"/>
  <c r="CS42" i="3"/>
  <c r="G51" i="11"/>
  <c r="J51" i="11"/>
  <c r="X42" i="3"/>
  <c r="CS43" i="3"/>
  <c r="CS44" i="3"/>
  <c r="G54" i="11"/>
  <c r="J54" i="11"/>
  <c r="X44" i="3"/>
  <c r="CS45" i="3"/>
  <c r="CS46" i="3"/>
  <c r="CS47" i="3"/>
  <c r="G60" i="11"/>
  <c r="J60" i="11"/>
  <c r="X47" i="3"/>
  <c r="CS48" i="3"/>
  <c r="CS49" i="3"/>
  <c r="G61" i="11"/>
  <c r="J61" i="11"/>
  <c r="X49" i="3"/>
  <c r="CS50" i="3"/>
  <c r="G65" i="11"/>
  <c r="J65" i="11"/>
  <c r="X50" i="3"/>
  <c r="CS51" i="3"/>
  <c r="G67" i="11"/>
  <c r="J67" i="11"/>
  <c r="X51" i="3"/>
  <c r="CS52" i="3"/>
  <c r="CS53" i="3"/>
  <c r="CS54" i="3"/>
  <c r="G72" i="11"/>
  <c r="J72" i="11"/>
  <c r="X54" i="3"/>
  <c r="CS55" i="3"/>
  <c r="X55" i="3"/>
  <c r="CS56" i="3"/>
  <c r="G74" i="11"/>
  <c r="J74" i="11"/>
  <c r="X56" i="3"/>
  <c r="CS57" i="3"/>
  <c r="CS58" i="3"/>
  <c r="CS59" i="3"/>
  <c r="CS60" i="3"/>
  <c r="G83" i="11"/>
  <c r="J83" i="11"/>
  <c r="X60" i="3"/>
  <c r="CS61" i="3"/>
  <c r="CS62" i="3"/>
  <c r="G77" i="11"/>
  <c r="J77" i="11"/>
  <c r="X62" i="3"/>
  <c r="CS63" i="3"/>
  <c r="G88" i="11"/>
  <c r="J88" i="11"/>
  <c r="X63" i="3"/>
  <c r="CS64" i="3"/>
  <c r="G91" i="11"/>
  <c r="J91" i="11"/>
  <c r="X64" i="3"/>
  <c r="CS65" i="3"/>
  <c r="EP13" i="3"/>
  <c r="EP15" i="3"/>
  <c r="EP17" i="3"/>
  <c r="EP22" i="3"/>
  <c r="EP23" i="3"/>
  <c r="EP24" i="3"/>
  <c r="EP26" i="3"/>
  <c r="EP27" i="3"/>
  <c r="EP28" i="3"/>
  <c r="EP29" i="3"/>
  <c r="EP32" i="3"/>
  <c r="EP33" i="3"/>
  <c r="EP40" i="3"/>
  <c r="EP50" i="3"/>
  <c r="EC13" i="3"/>
  <c r="EC15" i="3"/>
  <c r="EC17" i="3"/>
  <c r="EC22" i="3"/>
  <c r="EC23" i="3"/>
  <c r="EC24" i="3"/>
  <c r="EC26" i="3"/>
  <c r="EC27" i="3"/>
  <c r="EC28" i="3"/>
  <c r="EC29" i="3"/>
  <c r="EC32" i="3"/>
  <c r="EC33" i="3"/>
  <c r="EC40" i="3"/>
  <c r="EC50" i="3"/>
  <c r="EP9" i="3"/>
  <c r="EC9" i="3"/>
  <c r="EU10" i="3"/>
  <c r="EU11" i="3"/>
  <c r="EU12" i="3"/>
  <c r="EU13" i="3"/>
  <c r="EU14" i="3"/>
  <c r="EU15" i="3"/>
  <c r="EU16" i="3"/>
  <c r="EU17" i="3"/>
  <c r="EU18" i="3"/>
  <c r="EU19" i="3"/>
  <c r="EU20" i="3"/>
  <c r="EU21" i="3"/>
  <c r="EU22" i="3"/>
  <c r="EU23" i="3"/>
  <c r="EU24" i="3"/>
  <c r="EU25" i="3"/>
  <c r="EU26" i="3"/>
  <c r="EU27" i="3"/>
  <c r="EU28" i="3"/>
  <c r="EU29" i="3"/>
  <c r="EU30" i="3"/>
  <c r="EU31" i="3"/>
  <c r="EU32" i="3"/>
  <c r="EU33" i="3"/>
  <c r="EU34" i="3"/>
  <c r="EU35" i="3"/>
  <c r="EU36" i="3"/>
  <c r="EU37" i="3"/>
  <c r="EU38" i="3"/>
  <c r="EU39" i="3"/>
  <c r="EU40" i="3"/>
  <c r="EU41" i="3"/>
  <c r="EU42" i="3"/>
  <c r="EU43" i="3"/>
  <c r="EU44" i="3"/>
  <c r="EU45" i="3"/>
  <c r="EU46" i="3"/>
  <c r="EU47" i="3"/>
  <c r="EU48" i="3"/>
  <c r="EU49" i="3"/>
  <c r="EU50" i="3"/>
  <c r="EU51" i="3"/>
  <c r="EU52" i="3"/>
  <c r="EU53" i="3"/>
  <c r="EU54" i="3"/>
  <c r="EU55" i="3"/>
  <c r="EU56" i="3"/>
  <c r="EU57" i="3"/>
  <c r="EU58" i="3"/>
  <c r="EU59" i="3"/>
  <c r="EU60" i="3"/>
  <c r="EU61" i="3"/>
  <c r="EU62" i="3"/>
  <c r="EU63" i="3"/>
  <c r="EU64" i="3"/>
  <c r="EU65" i="3"/>
  <c r="EH10" i="3"/>
  <c r="EH11" i="3"/>
  <c r="EH12" i="3"/>
  <c r="EH13" i="3"/>
  <c r="EH14" i="3"/>
  <c r="EH15" i="3"/>
  <c r="EH16" i="3"/>
  <c r="EH17" i="3"/>
  <c r="EH18" i="3"/>
  <c r="EH19" i="3"/>
  <c r="EH20" i="3"/>
  <c r="EH21" i="3"/>
  <c r="EH22" i="3"/>
  <c r="EH23" i="3"/>
  <c r="EH24" i="3"/>
  <c r="EH25" i="3"/>
  <c r="EH26" i="3"/>
  <c r="EH27" i="3"/>
  <c r="EH28" i="3"/>
  <c r="EH29" i="3"/>
  <c r="EH30" i="3"/>
  <c r="EH31" i="3"/>
  <c r="EH32" i="3"/>
  <c r="EH33" i="3"/>
  <c r="EH34" i="3"/>
  <c r="EH35" i="3"/>
  <c r="EH36" i="3"/>
  <c r="EH37" i="3"/>
  <c r="EH38" i="3"/>
  <c r="EH39" i="3"/>
  <c r="EH40" i="3"/>
  <c r="EH41" i="3"/>
  <c r="EH42" i="3"/>
  <c r="EH43" i="3"/>
  <c r="EH44" i="3"/>
  <c r="EH45" i="3"/>
  <c r="EH46" i="3"/>
  <c r="EH47" i="3"/>
  <c r="EH48" i="3"/>
  <c r="EH49" i="3"/>
  <c r="EH50" i="3"/>
  <c r="EH51" i="3"/>
  <c r="EH52" i="3"/>
  <c r="EH53" i="3"/>
  <c r="EH54" i="3"/>
  <c r="EH55" i="3"/>
  <c r="EH56" i="3"/>
  <c r="EH57" i="3"/>
  <c r="EH58" i="3"/>
  <c r="EH59" i="3"/>
  <c r="EH60" i="3"/>
  <c r="EH61" i="3"/>
  <c r="EH62" i="3"/>
  <c r="EH63" i="3"/>
  <c r="EH64" i="3"/>
  <c r="EH65" i="3"/>
  <c r="EU9" i="3"/>
  <c r="EH9" i="3"/>
  <c r="BT10" i="3"/>
  <c r="FB10" i="3"/>
  <c r="BT11" i="3"/>
  <c r="CF11" i="3"/>
  <c r="FB11" i="3"/>
  <c r="BT12" i="3"/>
  <c r="FB12" i="3"/>
  <c r="BT13" i="3"/>
  <c r="CF13" i="3"/>
  <c r="FB13" i="3"/>
  <c r="BT14" i="3"/>
  <c r="CF14" i="3"/>
  <c r="FB14" i="3"/>
  <c r="BT15" i="3"/>
  <c r="CF15" i="3"/>
  <c r="FB15" i="3"/>
  <c r="BT16" i="3"/>
  <c r="CF16" i="3"/>
  <c r="FB16" i="3"/>
  <c r="BT17" i="3"/>
  <c r="CF17" i="3"/>
  <c r="FB17" i="3"/>
  <c r="BT18" i="3"/>
  <c r="CF18" i="3"/>
  <c r="FB18" i="3"/>
  <c r="BT19" i="3"/>
  <c r="CF19" i="3"/>
  <c r="FB19" i="3"/>
  <c r="BT20" i="3"/>
  <c r="CF20" i="3"/>
  <c r="FB20" i="3"/>
  <c r="BT21" i="3"/>
  <c r="CF21" i="3"/>
  <c r="FB21" i="3"/>
  <c r="BT22" i="3"/>
  <c r="CF22" i="3"/>
  <c r="FB22" i="3"/>
  <c r="BT23" i="3"/>
  <c r="CF23" i="3"/>
  <c r="FB23" i="3"/>
  <c r="BT24" i="3"/>
  <c r="CF24" i="3"/>
  <c r="FB24" i="3"/>
  <c r="BT25" i="3"/>
  <c r="CF25" i="3"/>
  <c r="FB25" i="3"/>
  <c r="BT26" i="3"/>
  <c r="CF26" i="3"/>
  <c r="FB26" i="3"/>
  <c r="BT27" i="3"/>
  <c r="CF27" i="3"/>
  <c r="FB27" i="3"/>
  <c r="BT28" i="3"/>
  <c r="CF28" i="3"/>
  <c r="FB28" i="3"/>
  <c r="BT29" i="3"/>
  <c r="CF29" i="3"/>
  <c r="FB29" i="3"/>
  <c r="BT30" i="3"/>
  <c r="CF30" i="3"/>
  <c r="FB30" i="3"/>
  <c r="BT31" i="3"/>
  <c r="CF31" i="3"/>
  <c r="FB31" i="3"/>
  <c r="BT32" i="3"/>
  <c r="CF32" i="3"/>
  <c r="FB32" i="3"/>
  <c r="BT33" i="3"/>
  <c r="CF33" i="3"/>
  <c r="FB33" i="3"/>
  <c r="BT34" i="3"/>
  <c r="CF34" i="3"/>
  <c r="FB34" i="3"/>
  <c r="BT35" i="3"/>
  <c r="CF35" i="3"/>
  <c r="FB35" i="3"/>
  <c r="BT36" i="3"/>
  <c r="CF36" i="3"/>
  <c r="FB36" i="3"/>
  <c r="BT37" i="3"/>
  <c r="CF37" i="3"/>
  <c r="FB37" i="3"/>
  <c r="BT38" i="3"/>
  <c r="CF38" i="3"/>
  <c r="FB38" i="3"/>
  <c r="BT39" i="3"/>
  <c r="CF39" i="3"/>
  <c r="FB39" i="3"/>
  <c r="BT40" i="3"/>
  <c r="CF40" i="3"/>
  <c r="FB40" i="3"/>
  <c r="BT41" i="3"/>
  <c r="CF41" i="3"/>
  <c r="FB41" i="3"/>
  <c r="BT42" i="3"/>
  <c r="CF42" i="3"/>
  <c r="FB42" i="3"/>
  <c r="BT43" i="3"/>
  <c r="CF43" i="3"/>
  <c r="FB43" i="3"/>
  <c r="BT44" i="3"/>
  <c r="CF44" i="3"/>
  <c r="FB44" i="3"/>
  <c r="BT45" i="3"/>
  <c r="CF45" i="3"/>
  <c r="FB45" i="3"/>
  <c r="BT46" i="3"/>
  <c r="CF46" i="3"/>
  <c r="FB46" i="3"/>
  <c r="BT47" i="3"/>
  <c r="CF47" i="3"/>
  <c r="FB47" i="3"/>
  <c r="BT48" i="3"/>
  <c r="CF48" i="3"/>
  <c r="FB48" i="3"/>
  <c r="BT49" i="3"/>
  <c r="CF49" i="3"/>
  <c r="FB49" i="3"/>
  <c r="BT50" i="3"/>
  <c r="CF50" i="3"/>
  <c r="FB50" i="3"/>
  <c r="BT51" i="3"/>
  <c r="CF51" i="3"/>
  <c r="FB51" i="3"/>
  <c r="BT52" i="3"/>
  <c r="CF52" i="3"/>
  <c r="FB52" i="3"/>
  <c r="BT53" i="3"/>
  <c r="CF53" i="3"/>
  <c r="FB53" i="3"/>
  <c r="BT54" i="3"/>
  <c r="CF54" i="3"/>
  <c r="FB54" i="3"/>
  <c r="BT55" i="3"/>
  <c r="CF55" i="3"/>
  <c r="FB55" i="3"/>
  <c r="BT56" i="3"/>
  <c r="CF56" i="3"/>
  <c r="FB56" i="3"/>
  <c r="BT57" i="3"/>
  <c r="CF57" i="3"/>
  <c r="FB57" i="3"/>
  <c r="BT58" i="3"/>
  <c r="CF58" i="3"/>
  <c r="FB58" i="3"/>
  <c r="BT59" i="3"/>
  <c r="CF59" i="3"/>
  <c r="FB59" i="3"/>
  <c r="BT60" i="3"/>
  <c r="CF60" i="3"/>
  <c r="FB60" i="3"/>
  <c r="BT61" i="3"/>
  <c r="CF61" i="3"/>
  <c r="FB61" i="3"/>
  <c r="BT62" i="3"/>
  <c r="CF62" i="3"/>
  <c r="FB62" i="3"/>
  <c r="BT63" i="3"/>
  <c r="CF63" i="3"/>
  <c r="FB63" i="3"/>
  <c r="BT64" i="3"/>
  <c r="CF64" i="3"/>
  <c r="FB64" i="3"/>
  <c r="BT65" i="3"/>
  <c r="CF65" i="3"/>
  <c r="FB65" i="3"/>
  <c r="FB9" i="3"/>
  <c r="CF9" i="3"/>
  <c r="H14" i="11"/>
  <c r="L14" i="11"/>
  <c r="Z15" i="3"/>
  <c r="AC15" i="3"/>
  <c r="I14" i="11"/>
  <c r="AD15" i="3"/>
  <c r="H17" i="11"/>
  <c r="L17" i="11"/>
  <c r="Z16" i="3"/>
  <c r="AC16" i="3"/>
  <c r="I17" i="11"/>
  <c r="AD16" i="3"/>
  <c r="K19" i="11"/>
  <c r="Y17" i="3"/>
  <c r="H19" i="11"/>
  <c r="L19" i="11"/>
  <c r="Z17" i="3"/>
  <c r="AA17" i="3"/>
  <c r="AB17" i="3"/>
  <c r="AC17" i="3"/>
  <c r="I19" i="11"/>
  <c r="AD17" i="3"/>
  <c r="K24" i="11"/>
  <c r="Y18" i="3"/>
  <c r="H24" i="11"/>
  <c r="L24" i="11"/>
  <c r="Z18" i="3"/>
  <c r="AA18" i="3"/>
  <c r="AB18" i="3"/>
  <c r="AC18" i="3"/>
  <c r="I24" i="11"/>
  <c r="AD18" i="3"/>
  <c r="H21" i="11"/>
  <c r="L21" i="11"/>
  <c r="Z19" i="3"/>
  <c r="AC19" i="3"/>
  <c r="I21" i="11"/>
  <c r="AD19" i="3"/>
  <c r="H30" i="11"/>
  <c r="L30" i="11"/>
  <c r="Z20" i="3"/>
  <c r="AC20" i="3"/>
  <c r="I30" i="11"/>
  <c r="AD20" i="3"/>
  <c r="K22" i="11"/>
  <c r="Y21" i="3"/>
  <c r="H22" i="11"/>
  <c r="L22" i="11"/>
  <c r="Z21" i="3"/>
  <c r="AA21" i="3"/>
  <c r="AB21" i="3"/>
  <c r="AC21" i="3"/>
  <c r="I22" i="11"/>
  <c r="AD21" i="3"/>
  <c r="H32" i="11"/>
  <c r="L32" i="11"/>
  <c r="Z22" i="3"/>
  <c r="AC22" i="3"/>
  <c r="I32" i="11"/>
  <c r="AD22" i="3"/>
  <c r="K28" i="11"/>
  <c r="Y23" i="3"/>
  <c r="H28" i="11"/>
  <c r="L28" i="11"/>
  <c r="Z23" i="3"/>
  <c r="AA23" i="3"/>
  <c r="AB23" i="3"/>
  <c r="AC23" i="3"/>
  <c r="I28" i="11"/>
  <c r="AD23" i="3"/>
  <c r="K37" i="11"/>
  <c r="Y24" i="3"/>
  <c r="H37" i="11"/>
  <c r="L37" i="11"/>
  <c r="Z24" i="3"/>
  <c r="AA24" i="3"/>
  <c r="AB24" i="3"/>
  <c r="AC24" i="3"/>
  <c r="I37" i="11"/>
  <c r="AD24" i="3"/>
  <c r="H33" i="11"/>
  <c r="L33" i="11"/>
  <c r="Z25" i="3"/>
  <c r="AC25" i="3"/>
  <c r="I33" i="11"/>
  <c r="AD25" i="3"/>
  <c r="K35" i="11"/>
  <c r="Y26" i="3"/>
  <c r="H35" i="11"/>
  <c r="L35" i="11"/>
  <c r="Z26" i="3"/>
  <c r="AA26" i="3"/>
  <c r="AB26" i="3"/>
  <c r="AC26" i="3"/>
  <c r="I35" i="11"/>
  <c r="AD26" i="3"/>
  <c r="K23" i="11"/>
  <c r="Y27" i="3"/>
  <c r="H23" i="11"/>
  <c r="L23" i="11"/>
  <c r="Z27" i="3"/>
  <c r="AA27" i="3"/>
  <c r="AB27" i="3"/>
  <c r="AC27" i="3"/>
  <c r="I23" i="11"/>
  <c r="AD27" i="3"/>
  <c r="K20" i="11"/>
  <c r="Y28" i="3"/>
  <c r="H20" i="11"/>
  <c r="L20" i="11"/>
  <c r="Z28" i="3"/>
  <c r="AA28" i="3"/>
  <c r="AB28" i="3"/>
  <c r="AC28" i="3"/>
  <c r="I20" i="11"/>
  <c r="AD28" i="3"/>
  <c r="K107" i="11"/>
  <c r="Y29" i="3"/>
  <c r="H107" i="11"/>
  <c r="L107" i="11"/>
  <c r="Z29" i="3"/>
  <c r="AA29" i="3"/>
  <c r="AB29" i="3"/>
  <c r="AC29" i="3"/>
  <c r="I107" i="11"/>
  <c r="AD29" i="3"/>
  <c r="K44" i="11"/>
  <c r="Y30" i="3"/>
  <c r="H44" i="11"/>
  <c r="L44" i="11"/>
  <c r="Z30" i="3"/>
  <c r="AA30" i="3"/>
  <c r="AB30" i="3"/>
  <c r="AC30" i="3"/>
  <c r="I44" i="11"/>
  <c r="AD30" i="3"/>
  <c r="H39" i="11"/>
  <c r="L39" i="11"/>
  <c r="Z31" i="3"/>
  <c r="AC31" i="3"/>
  <c r="I39" i="11"/>
  <c r="AD31" i="3"/>
  <c r="K38" i="11"/>
  <c r="Y32" i="3"/>
  <c r="H38" i="11"/>
  <c r="L38" i="11"/>
  <c r="Z32" i="3"/>
  <c r="AA32" i="3"/>
  <c r="AB32" i="3"/>
  <c r="AC32" i="3"/>
  <c r="I38" i="11"/>
  <c r="AD32" i="3"/>
  <c r="K189" i="11"/>
  <c r="Y33" i="3"/>
  <c r="H189" i="11"/>
  <c r="L189" i="11"/>
  <c r="Z33" i="3"/>
  <c r="AA33" i="3"/>
  <c r="AB33" i="3"/>
  <c r="AC33" i="3"/>
  <c r="I189" i="11"/>
  <c r="AD33" i="3"/>
  <c r="H41" i="11"/>
  <c r="L41" i="11"/>
  <c r="Z34" i="3"/>
  <c r="AC34" i="3"/>
  <c r="I41" i="11"/>
  <c r="AD34" i="3"/>
  <c r="H42" i="11"/>
  <c r="L42" i="11"/>
  <c r="Z35" i="3"/>
  <c r="AC35" i="3"/>
  <c r="I42" i="11"/>
  <c r="AD35" i="3"/>
  <c r="H46" i="11"/>
  <c r="L46" i="11"/>
  <c r="Z36" i="3"/>
  <c r="AC36" i="3"/>
  <c r="I46" i="11"/>
  <c r="AD36" i="3"/>
  <c r="K45" i="11"/>
  <c r="Y37" i="3"/>
  <c r="H45" i="11"/>
  <c r="L45" i="11"/>
  <c r="Z37" i="3"/>
  <c r="AA37" i="3"/>
  <c r="AB37" i="3"/>
  <c r="AC37" i="3"/>
  <c r="I45" i="11"/>
  <c r="AD37" i="3"/>
  <c r="Y38" i="3"/>
  <c r="Z38" i="3"/>
  <c r="AA38" i="3"/>
  <c r="AB38" i="3"/>
  <c r="AC38" i="3"/>
  <c r="AD38" i="3"/>
  <c r="H49" i="11"/>
  <c r="L49" i="11"/>
  <c r="Z39" i="3"/>
  <c r="AC39" i="3"/>
  <c r="I49" i="11"/>
  <c r="AD39" i="3"/>
  <c r="K43" i="11"/>
  <c r="Y40" i="3"/>
  <c r="H43" i="11"/>
  <c r="L43" i="11"/>
  <c r="Z40" i="3"/>
  <c r="AA40" i="3"/>
  <c r="AB40" i="3"/>
  <c r="AC40" i="3"/>
  <c r="I43" i="11"/>
  <c r="AD40" i="3"/>
  <c r="H50" i="11"/>
  <c r="L50" i="11"/>
  <c r="Z41" i="3"/>
  <c r="AC41" i="3"/>
  <c r="I50" i="11"/>
  <c r="AD41" i="3"/>
  <c r="K51" i="11"/>
  <c r="Y42" i="3"/>
  <c r="H51" i="11"/>
  <c r="L51" i="11"/>
  <c r="Z42" i="3"/>
  <c r="AA42" i="3"/>
  <c r="AB42" i="3"/>
  <c r="AC42" i="3"/>
  <c r="I51" i="11"/>
  <c r="AD42" i="3"/>
  <c r="H56" i="11"/>
  <c r="L56" i="11"/>
  <c r="Z43" i="3"/>
  <c r="AC43" i="3"/>
  <c r="I56" i="11"/>
  <c r="AD43" i="3"/>
  <c r="K54" i="11"/>
  <c r="Y44" i="3"/>
  <c r="H54" i="11"/>
  <c r="L54" i="11"/>
  <c r="Z44" i="3"/>
  <c r="AA44" i="3"/>
  <c r="AB44" i="3"/>
  <c r="AC44" i="3"/>
  <c r="I54" i="11"/>
  <c r="AD44" i="3"/>
  <c r="H57" i="11"/>
  <c r="L57" i="11"/>
  <c r="Z45" i="3"/>
  <c r="AC45" i="3"/>
  <c r="I57" i="11"/>
  <c r="AD45" i="3"/>
  <c r="H59" i="11"/>
  <c r="L59" i="11"/>
  <c r="Z46" i="3"/>
  <c r="AC46" i="3"/>
  <c r="I59" i="11"/>
  <c r="AD46" i="3"/>
  <c r="K60" i="11"/>
  <c r="Y47" i="3"/>
  <c r="H60" i="11"/>
  <c r="L60" i="11"/>
  <c r="Z47" i="3"/>
  <c r="AA47" i="3"/>
  <c r="AB47" i="3"/>
  <c r="AC47" i="3"/>
  <c r="I60" i="11"/>
  <c r="AD47" i="3"/>
  <c r="H175" i="11"/>
  <c r="L175" i="11"/>
  <c r="Z48" i="3"/>
  <c r="AC48" i="3"/>
  <c r="I175" i="11"/>
  <c r="AD48" i="3"/>
  <c r="K61" i="11"/>
  <c r="Y49" i="3"/>
  <c r="H61" i="11"/>
  <c r="L61" i="11"/>
  <c r="Z49" i="3"/>
  <c r="AA49" i="3"/>
  <c r="AB49" i="3"/>
  <c r="AC49" i="3"/>
  <c r="I61" i="11"/>
  <c r="AD49" i="3"/>
  <c r="K65" i="11"/>
  <c r="Y50" i="3"/>
  <c r="H65" i="11"/>
  <c r="L65" i="11"/>
  <c r="Z50" i="3"/>
  <c r="AA50" i="3"/>
  <c r="AB50" i="3"/>
  <c r="AC50" i="3"/>
  <c r="I65" i="11"/>
  <c r="AD50" i="3"/>
  <c r="K67" i="11"/>
  <c r="Y51" i="3"/>
  <c r="H67" i="11"/>
  <c r="L67" i="11"/>
  <c r="Z51" i="3"/>
  <c r="AA51" i="3"/>
  <c r="AB51" i="3"/>
  <c r="AC51" i="3"/>
  <c r="I67" i="11"/>
  <c r="AD51" i="3"/>
  <c r="H66" i="11"/>
  <c r="L66" i="11"/>
  <c r="Z52" i="3"/>
  <c r="AC52" i="3"/>
  <c r="I66" i="11"/>
  <c r="AD52" i="3"/>
  <c r="H69" i="11"/>
  <c r="L69" i="11"/>
  <c r="Z53" i="3"/>
  <c r="AC53" i="3"/>
  <c r="I69" i="11"/>
  <c r="AD53" i="3"/>
  <c r="K72" i="11"/>
  <c r="Y54" i="3"/>
  <c r="H72" i="11"/>
  <c r="L72" i="11"/>
  <c r="Z54" i="3"/>
  <c r="AA54" i="3"/>
  <c r="AB54" i="3"/>
  <c r="AC54" i="3"/>
  <c r="I72" i="11"/>
  <c r="AD54" i="3"/>
  <c r="Y55" i="3"/>
  <c r="Z55" i="3"/>
  <c r="AA55" i="3"/>
  <c r="AB55" i="3"/>
  <c r="AC55" i="3"/>
  <c r="AD55" i="3"/>
  <c r="K74" i="11"/>
  <c r="Y56" i="3"/>
  <c r="H74" i="11"/>
  <c r="L74" i="11"/>
  <c r="Z56" i="3"/>
  <c r="AA56" i="3"/>
  <c r="AB56" i="3"/>
  <c r="AC56" i="3"/>
  <c r="I74" i="11"/>
  <c r="AD56" i="3"/>
  <c r="H53" i="11"/>
  <c r="L53" i="11"/>
  <c r="Z57" i="3"/>
  <c r="AC57" i="3"/>
  <c r="I53" i="11"/>
  <c r="AD57" i="3"/>
  <c r="H75" i="11"/>
  <c r="L75" i="11"/>
  <c r="Z58" i="3"/>
  <c r="AC58" i="3"/>
  <c r="I75" i="11"/>
  <c r="AD58" i="3"/>
  <c r="H84" i="11"/>
  <c r="L84" i="11"/>
  <c r="Z59" i="3"/>
  <c r="AC59" i="3"/>
  <c r="I84" i="11"/>
  <c r="AD59" i="3"/>
  <c r="K83" i="11"/>
  <c r="Y60" i="3"/>
  <c r="H83" i="11"/>
  <c r="L83" i="11"/>
  <c r="Z60" i="3"/>
  <c r="AA60" i="3"/>
  <c r="AB60" i="3"/>
  <c r="AC60" i="3"/>
  <c r="I83" i="11"/>
  <c r="AD60" i="3"/>
  <c r="H85" i="11"/>
  <c r="L85" i="11"/>
  <c r="Z61" i="3"/>
  <c r="AC61" i="3"/>
  <c r="I85" i="11"/>
  <c r="AD61" i="3"/>
  <c r="K77" i="11"/>
  <c r="Y62" i="3"/>
  <c r="H77" i="11"/>
  <c r="L77" i="11"/>
  <c r="Z62" i="3"/>
  <c r="AA62" i="3"/>
  <c r="AB62" i="3"/>
  <c r="AC62" i="3"/>
  <c r="I77" i="11"/>
  <c r="AD62" i="3"/>
  <c r="K88" i="11"/>
  <c r="Y63" i="3"/>
  <c r="H88" i="11"/>
  <c r="L88" i="11"/>
  <c r="Z63" i="3"/>
  <c r="AA63" i="3"/>
  <c r="AB63" i="3"/>
  <c r="AC63" i="3"/>
  <c r="I88" i="11"/>
  <c r="AD63" i="3"/>
  <c r="K91" i="11"/>
  <c r="Y64" i="3"/>
  <c r="H91" i="11"/>
  <c r="L91" i="11"/>
  <c r="Z64" i="3"/>
  <c r="AA64" i="3"/>
  <c r="AB64" i="3"/>
  <c r="AC64" i="3"/>
  <c r="I91" i="11"/>
  <c r="AD64" i="3"/>
  <c r="H89" i="11"/>
  <c r="L89" i="11"/>
  <c r="Z65" i="3"/>
  <c r="AC65" i="3"/>
  <c r="I89" i="11"/>
  <c r="AD65" i="3"/>
  <c r="K94" i="11"/>
  <c r="Y66" i="3"/>
  <c r="H94" i="11"/>
  <c r="L94" i="11"/>
  <c r="Z66" i="3"/>
  <c r="AB66" i="3"/>
  <c r="AC66" i="3"/>
  <c r="I94" i="11"/>
  <c r="AD66" i="3"/>
  <c r="H93" i="11"/>
  <c r="L93" i="11"/>
  <c r="Z67" i="3"/>
  <c r="AC67" i="3"/>
  <c r="I93" i="11"/>
  <c r="AD67" i="3"/>
  <c r="K96" i="11"/>
  <c r="Y68" i="3"/>
  <c r="H96" i="11"/>
  <c r="L96" i="11"/>
  <c r="Z68" i="3"/>
  <c r="AB68" i="3"/>
  <c r="AC68" i="3"/>
  <c r="I96" i="11"/>
  <c r="AD68" i="3"/>
  <c r="K97" i="11"/>
  <c r="Y69" i="3"/>
  <c r="H97" i="11"/>
  <c r="L97" i="11"/>
  <c r="Z69" i="3"/>
  <c r="AB69" i="3"/>
  <c r="AC69" i="3"/>
  <c r="I97" i="11"/>
  <c r="AD69" i="3"/>
  <c r="H95" i="11"/>
  <c r="L95" i="11"/>
  <c r="Z70" i="3"/>
  <c r="AC70" i="3"/>
  <c r="I95" i="11"/>
  <c r="AD70" i="3"/>
  <c r="K99" i="11"/>
  <c r="Y71" i="3"/>
  <c r="H99" i="11"/>
  <c r="L99" i="11"/>
  <c r="Z71" i="3"/>
  <c r="AB71" i="3"/>
  <c r="AC71" i="3"/>
  <c r="I99" i="11"/>
  <c r="AD71" i="3"/>
  <c r="H100" i="11"/>
  <c r="L100" i="11"/>
  <c r="Z72" i="3"/>
  <c r="AC72" i="3"/>
  <c r="I100" i="11"/>
  <c r="AD72" i="3"/>
  <c r="K101" i="11"/>
  <c r="Y73" i="3"/>
  <c r="H101" i="11"/>
  <c r="L101" i="11"/>
  <c r="Z73" i="3"/>
  <c r="AB73" i="3"/>
  <c r="AC73" i="3"/>
  <c r="I101" i="11"/>
  <c r="AD73" i="3"/>
  <c r="H103" i="11"/>
  <c r="L103" i="11"/>
  <c r="Z74" i="3"/>
  <c r="AC74" i="3"/>
  <c r="I103" i="11"/>
  <c r="AD74" i="3"/>
  <c r="K102" i="11"/>
  <c r="Y75" i="3"/>
  <c r="H102" i="11"/>
  <c r="L102" i="11"/>
  <c r="Z75" i="3"/>
  <c r="AB75" i="3"/>
  <c r="AC75" i="3"/>
  <c r="I102" i="11"/>
  <c r="AD75" i="3"/>
  <c r="K104" i="11"/>
  <c r="Y76" i="3"/>
  <c r="H104" i="11"/>
  <c r="L104" i="11"/>
  <c r="Z76" i="3"/>
  <c r="AB76" i="3"/>
  <c r="AC76" i="3"/>
  <c r="I104" i="11"/>
  <c r="AD76" i="3"/>
  <c r="K105" i="11"/>
  <c r="Y77" i="3"/>
  <c r="H105" i="11"/>
  <c r="L105" i="11"/>
  <c r="Z77" i="3"/>
  <c r="AB77" i="3"/>
  <c r="AC77" i="3"/>
  <c r="I105" i="11"/>
  <c r="AD77" i="3"/>
  <c r="H159" i="11"/>
  <c r="L159" i="11"/>
  <c r="Z78" i="3"/>
  <c r="AC78" i="3"/>
  <c r="I159" i="11"/>
  <c r="AD78" i="3"/>
  <c r="K109" i="11"/>
  <c r="Y79" i="3"/>
  <c r="H109" i="11"/>
  <c r="L109" i="11"/>
  <c r="Z79" i="3"/>
  <c r="AB79" i="3"/>
  <c r="AC79" i="3"/>
  <c r="I109" i="11"/>
  <c r="AD79" i="3"/>
  <c r="K110" i="11"/>
  <c r="Y80" i="3"/>
  <c r="H110" i="11"/>
  <c r="L110" i="11"/>
  <c r="Z80" i="3"/>
  <c r="AB80" i="3"/>
  <c r="AC80" i="3"/>
  <c r="I110" i="11"/>
  <c r="AD80" i="3"/>
  <c r="K106" i="11"/>
  <c r="Y81" i="3"/>
  <c r="H106" i="11"/>
  <c r="L106" i="11"/>
  <c r="Z81" i="3"/>
  <c r="AB81" i="3"/>
  <c r="AC81" i="3"/>
  <c r="I106" i="11"/>
  <c r="AD81" i="3"/>
  <c r="K111" i="11"/>
  <c r="Y82" i="3"/>
  <c r="H111" i="11"/>
  <c r="L111" i="11"/>
  <c r="Z82" i="3"/>
  <c r="AB82" i="3"/>
  <c r="AC82" i="3"/>
  <c r="I111" i="11"/>
  <c r="AD82" i="3"/>
  <c r="K112" i="11"/>
  <c r="Y83" i="3"/>
  <c r="H112" i="11"/>
  <c r="L112" i="11"/>
  <c r="Z83" i="3"/>
  <c r="AB83" i="3"/>
  <c r="AC83" i="3"/>
  <c r="I112" i="11"/>
  <c r="AD83" i="3"/>
  <c r="K113" i="11"/>
  <c r="Y84" i="3"/>
  <c r="H113" i="11"/>
  <c r="L113" i="11"/>
  <c r="Z84" i="3"/>
  <c r="AB84" i="3"/>
  <c r="AC84" i="3"/>
  <c r="I113" i="11"/>
  <c r="AD84" i="3"/>
  <c r="K114" i="11"/>
  <c r="Y85" i="3"/>
  <c r="H114" i="11"/>
  <c r="L114" i="11"/>
  <c r="Z85" i="3"/>
  <c r="AB85" i="3"/>
  <c r="AC85" i="3"/>
  <c r="I114" i="11"/>
  <c r="AD85" i="3"/>
  <c r="K128" i="11"/>
  <c r="Y86" i="3"/>
  <c r="H128" i="11"/>
  <c r="L128" i="11"/>
  <c r="Z86" i="3"/>
  <c r="AB86" i="3"/>
  <c r="AC86" i="3"/>
  <c r="I128" i="11"/>
  <c r="AD86" i="3"/>
  <c r="K125" i="11"/>
  <c r="Y87" i="3"/>
  <c r="H125" i="11"/>
  <c r="L125" i="11"/>
  <c r="Z87" i="3"/>
  <c r="AB87" i="3"/>
  <c r="AC87" i="3"/>
  <c r="I125" i="11"/>
  <c r="AD87" i="3"/>
  <c r="K139" i="11"/>
  <c r="Y88" i="3"/>
  <c r="H139" i="11"/>
  <c r="L139" i="11"/>
  <c r="Z88" i="3"/>
  <c r="AB88" i="3"/>
  <c r="AC88" i="3"/>
  <c r="I139" i="11"/>
  <c r="AD88" i="3"/>
  <c r="K140" i="11"/>
  <c r="Y89" i="3"/>
  <c r="H140" i="11"/>
  <c r="L140" i="11"/>
  <c r="Z89" i="3"/>
  <c r="AB89" i="3"/>
  <c r="AC89" i="3"/>
  <c r="I140" i="11"/>
  <c r="AD89" i="3"/>
  <c r="K129" i="11"/>
  <c r="Y90" i="3"/>
  <c r="H129" i="11"/>
  <c r="L129" i="11"/>
  <c r="Z90" i="3"/>
  <c r="AB90" i="3"/>
  <c r="AC90" i="3"/>
  <c r="I129" i="11"/>
  <c r="AD90" i="3"/>
  <c r="K130" i="11"/>
  <c r="Y91" i="3"/>
  <c r="H130" i="11"/>
  <c r="L130" i="11"/>
  <c r="Z91" i="3"/>
  <c r="AB91" i="3"/>
  <c r="AC91" i="3"/>
  <c r="I130" i="11"/>
  <c r="AD91" i="3"/>
  <c r="K135" i="11"/>
  <c r="Y92" i="3"/>
  <c r="H135" i="11"/>
  <c r="L135" i="11"/>
  <c r="Z92" i="3"/>
  <c r="AB92" i="3"/>
  <c r="AC92" i="3"/>
  <c r="I135" i="11"/>
  <c r="AD92" i="3"/>
  <c r="K138" i="11"/>
  <c r="Y93" i="3"/>
  <c r="H138" i="11"/>
  <c r="L138" i="11"/>
  <c r="Z93" i="3"/>
  <c r="AB93" i="3"/>
  <c r="AC93" i="3"/>
  <c r="I138" i="11"/>
  <c r="AD93" i="3"/>
  <c r="H127" i="11"/>
  <c r="L127" i="11"/>
  <c r="Z94" i="3"/>
  <c r="AC94" i="3"/>
  <c r="I127" i="11"/>
  <c r="AD94" i="3"/>
  <c r="K124" i="11"/>
  <c r="Y95" i="3"/>
  <c r="H124" i="11"/>
  <c r="L124" i="11"/>
  <c r="Z95" i="3"/>
  <c r="AB95" i="3"/>
  <c r="AC95" i="3"/>
  <c r="I124" i="11"/>
  <c r="AD95" i="3"/>
  <c r="H132" i="11"/>
  <c r="L132" i="11"/>
  <c r="Z96" i="3"/>
  <c r="AC96" i="3"/>
  <c r="I132" i="11"/>
  <c r="AD96" i="3"/>
  <c r="H122" i="11"/>
  <c r="L122" i="11"/>
  <c r="Z97" i="3"/>
  <c r="AC97" i="3"/>
  <c r="I122" i="11"/>
  <c r="AD97" i="3"/>
  <c r="K134" i="11"/>
  <c r="Y98" i="3"/>
  <c r="H134" i="11"/>
  <c r="L134" i="11"/>
  <c r="Z98" i="3"/>
  <c r="AB98" i="3"/>
  <c r="AC98" i="3"/>
  <c r="I134" i="11"/>
  <c r="AD98" i="3"/>
  <c r="K131" i="11"/>
  <c r="Y99" i="3"/>
  <c r="H131" i="11"/>
  <c r="L131" i="11"/>
  <c r="Z99" i="3"/>
  <c r="AB99" i="3"/>
  <c r="AC99" i="3"/>
  <c r="I131" i="11"/>
  <c r="AD99" i="3"/>
  <c r="K142" i="11"/>
  <c r="Y100" i="3"/>
  <c r="H142" i="11"/>
  <c r="L142" i="11"/>
  <c r="Z100" i="3"/>
  <c r="AB100" i="3"/>
  <c r="AC100" i="3"/>
  <c r="I142" i="11"/>
  <c r="AD100" i="3"/>
  <c r="H149" i="11"/>
  <c r="L149" i="11"/>
  <c r="Z101" i="3"/>
  <c r="AC101" i="3"/>
  <c r="I149" i="11"/>
  <c r="AD101" i="3"/>
  <c r="K147" i="11"/>
  <c r="Y102" i="3"/>
  <c r="H147" i="11"/>
  <c r="L147" i="11"/>
  <c r="Z102" i="3"/>
  <c r="AB102" i="3"/>
  <c r="AC102" i="3"/>
  <c r="I147" i="11"/>
  <c r="AD102" i="3"/>
  <c r="H150" i="11"/>
  <c r="L150" i="11"/>
  <c r="Z103" i="3"/>
  <c r="AC103" i="3"/>
  <c r="I150" i="11"/>
  <c r="AD103" i="3"/>
  <c r="H146" i="11"/>
  <c r="L146" i="11"/>
  <c r="Z104" i="3"/>
  <c r="AC104" i="3"/>
  <c r="I146" i="11"/>
  <c r="AD104" i="3"/>
  <c r="K144" i="11"/>
  <c r="Y105" i="3"/>
  <c r="H144" i="11"/>
  <c r="L144" i="11"/>
  <c r="Z105" i="3"/>
  <c r="AB105" i="3"/>
  <c r="AC105" i="3"/>
  <c r="I144" i="11"/>
  <c r="AD105" i="3"/>
  <c r="K145" i="11"/>
  <c r="Y106" i="3"/>
  <c r="H145" i="11"/>
  <c r="L145" i="11"/>
  <c r="Z106" i="3"/>
  <c r="AB106" i="3"/>
  <c r="AC106" i="3"/>
  <c r="I145" i="11"/>
  <c r="AD106" i="3"/>
  <c r="H148" i="11"/>
  <c r="L148" i="11"/>
  <c r="Z107" i="3"/>
  <c r="AC107" i="3"/>
  <c r="I148" i="11"/>
  <c r="AD107" i="3"/>
  <c r="K151" i="11"/>
  <c r="Y108" i="3"/>
  <c r="H151" i="11"/>
  <c r="L151" i="11"/>
  <c r="Z108" i="3"/>
  <c r="AB108" i="3"/>
  <c r="AC108" i="3"/>
  <c r="I151" i="11"/>
  <c r="AD108" i="3"/>
  <c r="H152" i="11"/>
  <c r="L152" i="11"/>
  <c r="Z109" i="3"/>
  <c r="AC109" i="3"/>
  <c r="I152" i="11"/>
  <c r="AD109" i="3"/>
  <c r="K153" i="11"/>
  <c r="Y110" i="3"/>
  <c r="H153" i="11"/>
  <c r="L153" i="11"/>
  <c r="Z110" i="3"/>
  <c r="AB110" i="3"/>
  <c r="AC110" i="3"/>
  <c r="I153" i="11"/>
  <c r="AD110" i="3"/>
  <c r="K161" i="11"/>
  <c r="Y111" i="3"/>
  <c r="H161" i="11"/>
  <c r="L161" i="11"/>
  <c r="Z111" i="3"/>
  <c r="AB111" i="3"/>
  <c r="AC111" i="3"/>
  <c r="I161" i="11"/>
  <c r="AD111" i="3"/>
  <c r="H154" i="11"/>
  <c r="L154" i="11"/>
  <c r="Z112" i="3"/>
  <c r="AC112" i="3"/>
  <c r="I154" i="11"/>
  <c r="AD112" i="3"/>
  <c r="H155" i="11"/>
  <c r="L155" i="11"/>
  <c r="Z113" i="3"/>
  <c r="AC113" i="3"/>
  <c r="I155" i="11"/>
  <c r="AD113" i="3"/>
  <c r="H160" i="11"/>
  <c r="L160" i="11"/>
  <c r="Z114" i="3"/>
  <c r="AC114" i="3"/>
  <c r="I160" i="11"/>
  <c r="AD114" i="3"/>
  <c r="H158" i="11"/>
  <c r="L158" i="11"/>
  <c r="Z115" i="3"/>
  <c r="AC115" i="3"/>
  <c r="I158" i="11"/>
  <c r="AD115" i="3"/>
  <c r="K163" i="11"/>
  <c r="Y116" i="3"/>
  <c r="H163" i="11"/>
  <c r="L163" i="11"/>
  <c r="Z116" i="3"/>
  <c r="AB116" i="3"/>
  <c r="AC116" i="3"/>
  <c r="I163" i="11"/>
  <c r="AD116" i="3"/>
  <c r="H166" i="11"/>
  <c r="L166" i="11"/>
  <c r="Z117" i="3"/>
  <c r="AC117" i="3"/>
  <c r="I166" i="11"/>
  <c r="AD117" i="3"/>
  <c r="K167" i="11"/>
  <c r="Y118" i="3"/>
  <c r="H167" i="11"/>
  <c r="L167" i="11"/>
  <c r="Z118" i="3"/>
  <c r="AB118" i="3"/>
  <c r="AC118" i="3"/>
  <c r="I167" i="11"/>
  <c r="AD118" i="3"/>
  <c r="K168" i="11"/>
  <c r="Y119" i="3"/>
  <c r="H168" i="11"/>
  <c r="L168" i="11"/>
  <c r="Z119" i="3"/>
  <c r="AB119" i="3"/>
  <c r="AC119" i="3"/>
  <c r="I168" i="11"/>
  <c r="AD119" i="3"/>
  <c r="K170" i="11"/>
  <c r="Y120" i="3"/>
  <c r="H170" i="11"/>
  <c r="L170" i="11"/>
  <c r="Z120" i="3"/>
  <c r="AB120" i="3"/>
  <c r="AC120" i="3"/>
  <c r="I170" i="11"/>
  <c r="AD120" i="3"/>
  <c r="K179" i="11"/>
  <c r="Y121" i="3"/>
  <c r="H179" i="11"/>
  <c r="L179" i="11"/>
  <c r="Z121" i="3"/>
  <c r="AB121" i="3"/>
  <c r="AC121" i="3"/>
  <c r="I179" i="11"/>
  <c r="AD121" i="3"/>
  <c r="K186" i="11"/>
  <c r="Y122" i="3"/>
  <c r="H186" i="11"/>
  <c r="L186" i="11"/>
  <c r="Z122" i="3"/>
  <c r="AB122" i="3"/>
  <c r="AC122" i="3"/>
  <c r="I186" i="11"/>
  <c r="AD122" i="3"/>
  <c r="K174" i="11"/>
  <c r="Y123" i="3"/>
  <c r="H174" i="11"/>
  <c r="L174" i="11"/>
  <c r="Z123" i="3"/>
  <c r="AB123" i="3"/>
  <c r="AC123" i="3"/>
  <c r="I174" i="11"/>
  <c r="AD123" i="3"/>
  <c r="K177" i="11"/>
  <c r="Y124" i="3"/>
  <c r="H177" i="11"/>
  <c r="L177" i="11"/>
  <c r="Z124" i="3"/>
  <c r="AB124" i="3"/>
  <c r="AC124" i="3"/>
  <c r="I177" i="11"/>
  <c r="AD124" i="3"/>
  <c r="K218" i="11"/>
  <c r="Y125" i="3"/>
  <c r="H218" i="11"/>
  <c r="L218" i="11"/>
  <c r="Z125" i="3"/>
  <c r="AB125" i="3"/>
  <c r="AC125" i="3"/>
  <c r="I218" i="11"/>
  <c r="AD125" i="3"/>
  <c r="H63" i="11"/>
  <c r="L63" i="11"/>
  <c r="Z126" i="3"/>
  <c r="AC126" i="3"/>
  <c r="I63" i="11"/>
  <c r="AD126" i="3"/>
  <c r="H117" i="11"/>
  <c r="L117" i="11"/>
  <c r="Z127" i="3"/>
  <c r="AC127" i="3"/>
  <c r="I117" i="11"/>
  <c r="AD127" i="3"/>
  <c r="K169" i="11"/>
  <c r="Y128" i="3"/>
  <c r="H169" i="11"/>
  <c r="L169" i="11"/>
  <c r="Z128" i="3"/>
  <c r="AB128" i="3"/>
  <c r="AC128" i="3"/>
  <c r="I169" i="11"/>
  <c r="AD128" i="3"/>
  <c r="K181" i="11"/>
  <c r="Y129" i="3"/>
  <c r="H181" i="11"/>
  <c r="L181" i="11"/>
  <c r="Z129" i="3"/>
  <c r="AB129" i="3"/>
  <c r="AC129" i="3"/>
  <c r="I181" i="11"/>
  <c r="AD129" i="3"/>
  <c r="K185" i="11"/>
  <c r="Y130" i="3"/>
  <c r="H185" i="11"/>
  <c r="L185" i="11"/>
  <c r="Z130" i="3"/>
  <c r="AB130" i="3"/>
  <c r="AC130" i="3"/>
  <c r="I185" i="11"/>
  <c r="AD130" i="3"/>
  <c r="H184" i="11"/>
  <c r="L184" i="11"/>
  <c r="Z131" i="3"/>
  <c r="AC131" i="3"/>
  <c r="I184" i="11"/>
  <c r="AD131" i="3"/>
  <c r="H40" i="11"/>
  <c r="L40" i="11"/>
  <c r="Z132" i="3"/>
  <c r="AC132" i="3"/>
  <c r="I40" i="11"/>
  <c r="AD132" i="3"/>
  <c r="K187" i="11"/>
  <c r="Y133" i="3"/>
  <c r="H187" i="11"/>
  <c r="L187" i="11"/>
  <c r="Z133" i="3"/>
  <c r="AB133" i="3"/>
  <c r="AC133" i="3"/>
  <c r="I187" i="11"/>
  <c r="AD133" i="3"/>
  <c r="K192" i="11"/>
  <c r="Y134" i="3"/>
  <c r="H192" i="11"/>
  <c r="L192" i="11"/>
  <c r="Z134" i="3"/>
  <c r="AB134" i="3"/>
  <c r="AC134" i="3"/>
  <c r="I192" i="11"/>
  <c r="AD134" i="3"/>
  <c r="K200" i="11"/>
  <c r="Y135" i="3"/>
  <c r="H200" i="11"/>
  <c r="L200" i="11"/>
  <c r="Z135" i="3"/>
  <c r="AB135" i="3"/>
  <c r="AC135" i="3"/>
  <c r="I200" i="11"/>
  <c r="AD135" i="3"/>
  <c r="K191" i="11"/>
  <c r="Y136" i="3"/>
  <c r="H191" i="11"/>
  <c r="L191" i="11"/>
  <c r="Z136" i="3"/>
  <c r="AB136" i="3"/>
  <c r="AC136" i="3"/>
  <c r="I191" i="11"/>
  <c r="AD136" i="3"/>
  <c r="K190" i="11"/>
  <c r="Y137" i="3"/>
  <c r="H190" i="11"/>
  <c r="L190" i="11"/>
  <c r="Z137" i="3"/>
  <c r="AB137" i="3"/>
  <c r="AC137" i="3"/>
  <c r="I190" i="11"/>
  <c r="AD137" i="3"/>
  <c r="K196" i="11"/>
  <c r="Y138" i="3"/>
  <c r="H196" i="11"/>
  <c r="L196" i="11"/>
  <c r="Z138" i="3"/>
  <c r="AB138" i="3"/>
  <c r="AC138" i="3"/>
  <c r="I196" i="11"/>
  <c r="AD138" i="3"/>
  <c r="K197" i="11"/>
  <c r="Y139" i="3"/>
  <c r="H197" i="11"/>
  <c r="L197" i="11"/>
  <c r="Z139" i="3"/>
  <c r="AB139" i="3"/>
  <c r="AC139" i="3"/>
  <c r="I197" i="11"/>
  <c r="AD139" i="3"/>
  <c r="K198" i="11"/>
  <c r="Y140" i="3"/>
  <c r="H198" i="11"/>
  <c r="L198" i="11"/>
  <c r="Z140" i="3"/>
  <c r="AB140" i="3"/>
  <c r="AC140" i="3"/>
  <c r="I198" i="11"/>
  <c r="AD140" i="3"/>
  <c r="K193" i="11"/>
  <c r="Y141" i="3"/>
  <c r="H193" i="11"/>
  <c r="L193" i="11"/>
  <c r="Z141" i="3"/>
  <c r="AB141" i="3"/>
  <c r="AC141" i="3"/>
  <c r="I193" i="11"/>
  <c r="AD141" i="3"/>
  <c r="K201" i="11"/>
  <c r="Y142" i="3"/>
  <c r="H201" i="11"/>
  <c r="L201" i="11"/>
  <c r="Z142" i="3"/>
  <c r="AB142" i="3"/>
  <c r="AC142" i="3"/>
  <c r="I201" i="11"/>
  <c r="AD142" i="3"/>
  <c r="K202" i="11"/>
  <c r="Y143" i="3"/>
  <c r="H202" i="11"/>
  <c r="L202" i="11"/>
  <c r="Z143" i="3"/>
  <c r="AB143" i="3"/>
  <c r="AC143" i="3"/>
  <c r="I202" i="11"/>
  <c r="AD143" i="3"/>
  <c r="H12" i="11"/>
  <c r="L12" i="11"/>
  <c r="Z144" i="3"/>
  <c r="AC144" i="3"/>
  <c r="I12" i="11"/>
  <c r="AD144" i="3"/>
  <c r="H73" i="11"/>
  <c r="L73" i="11"/>
  <c r="Z145" i="3"/>
  <c r="AC145" i="3"/>
  <c r="I73" i="11"/>
  <c r="AD145" i="3"/>
  <c r="H205" i="11"/>
  <c r="L205" i="11"/>
  <c r="Z146" i="3"/>
  <c r="AC146" i="3"/>
  <c r="I205" i="11"/>
  <c r="AD146" i="3"/>
  <c r="H204" i="11"/>
  <c r="L204" i="11"/>
  <c r="Z147" i="3"/>
  <c r="AC147" i="3"/>
  <c r="I204" i="11"/>
  <c r="AD147" i="3"/>
  <c r="K206" i="11"/>
  <c r="Y148" i="3"/>
  <c r="H206" i="11"/>
  <c r="L206" i="11"/>
  <c r="Z148" i="3"/>
  <c r="AB148" i="3"/>
  <c r="AC148" i="3"/>
  <c r="I206" i="11"/>
  <c r="AD148" i="3"/>
  <c r="H208" i="11"/>
  <c r="L208" i="11"/>
  <c r="Z149" i="3"/>
  <c r="AC149" i="3"/>
  <c r="I208" i="11"/>
  <c r="AD149" i="3"/>
  <c r="K210" i="11"/>
  <c r="Y150" i="3"/>
  <c r="H210" i="11"/>
  <c r="L210" i="11"/>
  <c r="Z150" i="3"/>
  <c r="AB150" i="3"/>
  <c r="AC150" i="3"/>
  <c r="I210" i="11"/>
  <c r="AD150" i="3"/>
  <c r="Y151" i="3"/>
  <c r="Z151" i="3"/>
  <c r="AB151" i="3"/>
  <c r="AC151" i="3"/>
  <c r="AD151" i="3"/>
  <c r="K217" i="11"/>
  <c r="Y152" i="3"/>
  <c r="H217" i="11"/>
  <c r="L217" i="11"/>
  <c r="Z152" i="3"/>
  <c r="AB152" i="3"/>
  <c r="AC152" i="3"/>
  <c r="I217" i="11"/>
  <c r="AD152" i="3"/>
  <c r="K220" i="11"/>
  <c r="Y153" i="3"/>
  <c r="H220" i="11"/>
  <c r="L220" i="11"/>
  <c r="Z153" i="3"/>
  <c r="AB153" i="3"/>
  <c r="AC153" i="3"/>
  <c r="I220" i="11"/>
  <c r="AD153" i="3"/>
  <c r="K221" i="11"/>
  <c r="Y154" i="3"/>
  <c r="H221" i="11"/>
  <c r="L221" i="11"/>
  <c r="Z154" i="3"/>
  <c r="AB154" i="3"/>
  <c r="AC154" i="3"/>
  <c r="I221" i="11"/>
  <c r="AD154" i="3"/>
  <c r="K9" i="11"/>
  <c r="Y10" i="3"/>
  <c r="H9" i="11"/>
  <c r="L9" i="11"/>
  <c r="Z10" i="3"/>
  <c r="AA10" i="3"/>
  <c r="AB10" i="3"/>
  <c r="AC10" i="3"/>
  <c r="I9" i="11"/>
  <c r="AD10" i="3"/>
  <c r="K58" i="11"/>
  <c r="Y11" i="3"/>
  <c r="H58" i="11"/>
  <c r="L58" i="11"/>
  <c r="Z11" i="3"/>
  <c r="AA11" i="3"/>
  <c r="AB11" i="3"/>
  <c r="AC11" i="3"/>
  <c r="I58" i="11"/>
  <c r="AD11" i="3"/>
  <c r="K7" i="11"/>
  <c r="Y12" i="3"/>
  <c r="H7" i="11"/>
  <c r="L7" i="11"/>
  <c r="Z12" i="3"/>
  <c r="AA12" i="3"/>
  <c r="AB12" i="3"/>
  <c r="AC12" i="3"/>
  <c r="I7" i="11"/>
  <c r="AD12" i="3"/>
  <c r="Y13" i="3"/>
  <c r="Z13" i="3"/>
  <c r="AA13" i="3"/>
  <c r="AB13" i="3"/>
  <c r="AC13" i="3"/>
  <c r="AD13" i="3"/>
  <c r="H13" i="11"/>
  <c r="L13" i="11"/>
  <c r="Z14" i="3"/>
  <c r="AC14" i="3"/>
  <c r="I13" i="11"/>
  <c r="AD14" i="3"/>
  <c r="I6" i="11"/>
  <c r="AD9" i="3"/>
  <c r="H6" i="11"/>
  <c r="L6" i="11"/>
  <c r="Z9" i="3"/>
  <c r="AC9" i="3"/>
  <c r="AF13" i="3"/>
  <c r="AG13" i="3"/>
  <c r="AH13" i="3"/>
  <c r="AI13" i="3"/>
  <c r="AJ13" i="3"/>
  <c r="AK13" i="3"/>
  <c r="AL13" i="3"/>
  <c r="J11" i="3"/>
  <c r="K11" i="3"/>
  <c r="J12" i="3"/>
  <c r="K12" i="3"/>
  <c r="J14" i="3"/>
  <c r="K14" i="3"/>
  <c r="J16" i="3"/>
  <c r="K16" i="3"/>
  <c r="J18" i="3"/>
  <c r="K18" i="3"/>
  <c r="J19" i="3"/>
  <c r="K19" i="3"/>
  <c r="J20" i="3"/>
  <c r="K20" i="3"/>
  <c r="J21" i="3"/>
  <c r="K21" i="3"/>
  <c r="J25" i="3"/>
  <c r="K25" i="3"/>
  <c r="J30" i="3"/>
  <c r="K30" i="3"/>
  <c r="J31" i="3"/>
  <c r="K31" i="3"/>
  <c r="EO34" i="3"/>
  <c r="J34" i="3"/>
  <c r="K34" i="3"/>
  <c r="J35" i="3"/>
  <c r="K35" i="3"/>
  <c r="J36" i="3"/>
  <c r="K36" i="3"/>
  <c r="J37" i="3"/>
  <c r="K37" i="3"/>
  <c r="J38" i="3"/>
  <c r="K38" i="3"/>
  <c r="J39" i="3"/>
  <c r="K39" i="3"/>
  <c r="J41" i="3"/>
  <c r="K41" i="3"/>
  <c r="J42" i="3"/>
  <c r="K42" i="3"/>
  <c r="J43" i="3"/>
  <c r="K43" i="3"/>
  <c r="J44" i="3"/>
  <c r="K44" i="3"/>
  <c r="J45" i="3"/>
  <c r="K45" i="3"/>
  <c r="EO46" i="3"/>
  <c r="J46" i="3"/>
  <c r="K46" i="3"/>
  <c r="J47" i="3"/>
  <c r="K47" i="3"/>
  <c r="EO48" i="3"/>
  <c r="J48" i="3"/>
  <c r="K48" i="3"/>
  <c r="J49" i="3"/>
  <c r="K49" i="3"/>
  <c r="EO51" i="3"/>
  <c r="J51" i="3"/>
  <c r="K51" i="3"/>
  <c r="J52" i="3"/>
  <c r="K52" i="3"/>
  <c r="J53" i="3"/>
  <c r="K53" i="3"/>
  <c r="J54" i="3"/>
  <c r="K54" i="3"/>
  <c r="J55" i="3"/>
  <c r="K55" i="3"/>
  <c r="J56" i="3"/>
  <c r="K56" i="3"/>
  <c r="J57" i="3"/>
  <c r="K57" i="3"/>
  <c r="J58" i="3"/>
  <c r="K58" i="3"/>
  <c r="J59" i="3"/>
  <c r="K59" i="3"/>
  <c r="J60" i="3"/>
  <c r="K60" i="3"/>
  <c r="EO61" i="3"/>
  <c r="J61" i="3"/>
  <c r="K61" i="3"/>
  <c r="J62" i="3"/>
  <c r="K62" i="3"/>
  <c r="J63" i="3"/>
  <c r="K63" i="3"/>
  <c r="J64" i="3"/>
  <c r="K64" i="3"/>
  <c r="J65" i="3"/>
  <c r="K65" i="3"/>
  <c r="J66" i="3"/>
  <c r="K66" i="3"/>
  <c r="J67" i="3"/>
  <c r="K67" i="3"/>
  <c r="J68" i="3"/>
  <c r="K68" i="3"/>
  <c r="J69" i="3"/>
  <c r="K69" i="3"/>
  <c r="J70" i="3"/>
  <c r="K70" i="3"/>
  <c r="J71" i="3"/>
  <c r="K71" i="3"/>
  <c r="J72" i="3"/>
  <c r="K72" i="3"/>
  <c r="J73" i="3"/>
  <c r="K73" i="3"/>
  <c r="J74" i="3"/>
  <c r="K74" i="3"/>
  <c r="J75" i="3"/>
  <c r="K75" i="3"/>
  <c r="J77" i="3"/>
  <c r="K77" i="3"/>
  <c r="J78" i="3"/>
  <c r="K78" i="3"/>
  <c r="J79" i="3"/>
  <c r="K79" i="3"/>
  <c r="J80" i="3"/>
  <c r="K80" i="3"/>
  <c r="J83" i="3"/>
  <c r="K83" i="3"/>
  <c r="J84" i="3"/>
  <c r="K84" i="3"/>
  <c r="J85" i="3"/>
  <c r="K85" i="3"/>
  <c r="J87" i="3"/>
  <c r="K87" i="3"/>
  <c r="J89" i="3"/>
  <c r="K89" i="3"/>
  <c r="J91" i="3"/>
  <c r="K91" i="3"/>
  <c r="J92" i="3"/>
  <c r="K92" i="3"/>
  <c r="J93" i="3"/>
  <c r="K93" i="3"/>
  <c r="J97" i="3"/>
  <c r="K97" i="3"/>
  <c r="J98" i="3"/>
  <c r="K98" i="3"/>
  <c r="J99" i="3"/>
  <c r="K99" i="3"/>
  <c r="J100" i="3"/>
  <c r="K100" i="3"/>
  <c r="J106" i="3"/>
  <c r="K106" i="3"/>
  <c r="J107" i="3"/>
  <c r="K107" i="3"/>
  <c r="J108" i="3"/>
  <c r="K108" i="3"/>
  <c r="J109" i="3"/>
  <c r="K109" i="3"/>
  <c r="J110" i="3"/>
  <c r="K110" i="3"/>
  <c r="J113" i="3"/>
  <c r="K113" i="3"/>
  <c r="J114" i="3"/>
  <c r="K114" i="3"/>
  <c r="J115" i="3"/>
  <c r="K115" i="3"/>
  <c r="J116" i="3"/>
  <c r="K116" i="3"/>
  <c r="J117" i="3"/>
  <c r="K117" i="3"/>
  <c r="J119" i="3"/>
  <c r="K119" i="3"/>
  <c r="J120" i="3"/>
  <c r="K120" i="3"/>
  <c r="J121" i="3"/>
  <c r="K121" i="3"/>
  <c r="J122" i="3"/>
  <c r="K122" i="3"/>
  <c r="J123" i="3"/>
  <c r="K123" i="3"/>
  <c r="J124" i="3"/>
  <c r="K124" i="3"/>
  <c r="J125" i="3"/>
  <c r="K125" i="3"/>
  <c r="J126" i="3"/>
  <c r="K126" i="3"/>
  <c r="J127" i="3"/>
  <c r="K127" i="3"/>
  <c r="J128" i="3"/>
  <c r="K128" i="3"/>
  <c r="J129" i="3"/>
  <c r="K129" i="3"/>
  <c r="J131" i="3"/>
  <c r="K131" i="3"/>
  <c r="J133" i="3"/>
  <c r="K133" i="3"/>
  <c r="J135" i="3"/>
  <c r="K135" i="3"/>
  <c r="J136" i="3"/>
  <c r="K136" i="3"/>
  <c r="J137" i="3"/>
  <c r="K137" i="3"/>
  <c r="J138" i="3"/>
  <c r="K138" i="3"/>
  <c r="J139" i="3"/>
  <c r="K139" i="3"/>
  <c r="J140" i="3"/>
  <c r="K140" i="3"/>
  <c r="J143" i="3"/>
  <c r="K143" i="3"/>
  <c r="J144" i="3"/>
  <c r="K144" i="3"/>
  <c r="J145" i="3"/>
  <c r="K145" i="3"/>
  <c r="J146" i="3"/>
  <c r="K146" i="3"/>
  <c r="J147" i="3"/>
  <c r="K147" i="3"/>
  <c r="J149" i="3"/>
  <c r="K149" i="3"/>
  <c r="J150" i="3"/>
  <c r="K150" i="3"/>
  <c r="J152" i="3"/>
  <c r="K152" i="3"/>
  <c r="J10" i="3"/>
  <c r="K10" i="3"/>
  <c r="EB46" i="3"/>
  <c r="EB48" i="3"/>
  <c r="EB51" i="3"/>
  <c r="EB61" i="3"/>
  <c r="EB34" i="3"/>
  <c r="CT13" i="3"/>
  <c r="CT15" i="3"/>
  <c r="CT17" i="3"/>
  <c r="CT22" i="3"/>
  <c r="CT23" i="3"/>
  <c r="CT24" i="3"/>
  <c r="CT26" i="3"/>
  <c r="CT27" i="3"/>
  <c r="CT28" i="3"/>
  <c r="CT29" i="3"/>
  <c r="CT32" i="3"/>
  <c r="CT33" i="3"/>
  <c r="CT40" i="3"/>
  <c r="CT50" i="3"/>
  <c r="FM10" i="3"/>
  <c r="FM11" i="3"/>
  <c r="FM12" i="3"/>
  <c r="FM13" i="3"/>
  <c r="FM14" i="3"/>
  <c r="FM15" i="3"/>
  <c r="FM16" i="3"/>
  <c r="FM17" i="3"/>
  <c r="FM18" i="3"/>
  <c r="FM19" i="3"/>
  <c r="FM20" i="3"/>
  <c r="FM21" i="3"/>
  <c r="FM22" i="3"/>
  <c r="FM23" i="3"/>
  <c r="FM24" i="3"/>
  <c r="FM25" i="3"/>
  <c r="FM26" i="3"/>
  <c r="FM27" i="3"/>
  <c r="FM28" i="3"/>
  <c r="FM29" i="3"/>
  <c r="FM30" i="3"/>
  <c r="FM31" i="3"/>
  <c r="FM32" i="3"/>
  <c r="FM33" i="3"/>
  <c r="FM34" i="3"/>
  <c r="FM35" i="3"/>
  <c r="FM36" i="3"/>
  <c r="FM37" i="3"/>
  <c r="FM38" i="3"/>
  <c r="FM39" i="3"/>
  <c r="FM40" i="3"/>
  <c r="FM41" i="3"/>
  <c r="FM42" i="3"/>
  <c r="FM43" i="3"/>
  <c r="FM44" i="3"/>
  <c r="FM45" i="3"/>
  <c r="FM46" i="3"/>
  <c r="FM47" i="3"/>
  <c r="FM48" i="3"/>
  <c r="FM49" i="3"/>
  <c r="FM50" i="3"/>
  <c r="FM51" i="3"/>
  <c r="FM52" i="3"/>
  <c r="FM53" i="3"/>
  <c r="FM54" i="3"/>
  <c r="FM55" i="3"/>
  <c r="FM56" i="3"/>
  <c r="FM57" i="3"/>
  <c r="FM58" i="3"/>
  <c r="FM59" i="3"/>
  <c r="FM60" i="3"/>
  <c r="FM61" i="3"/>
  <c r="FM62" i="3"/>
  <c r="FM63" i="3"/>
  <c r="FM64" i="3"/>
  <c r="FM65" i="3"/>
  <c r="EO10" i="3"/>
  <c r="EO11" i="3"/>
  <c r="EO12" i="3"/>
  <c r="EO13" i="3"/>
  <c r="EO14" i="3"/>
  <c r="EO15" i="3"/>
  <c r="EO16" i="3"/>
  <c r="EO17" i="3"/>
  <c r="EO18" i="3"/>
  <c r="EO19" i="3"/>
  <c r="EO20" i="3"/>
  <c r="EO21" i="3"/>
  <c r="EO22" i="3"/>
  <c r="EO23" i="3"/>
  <c r="EO24" i="3"/>
  <c r="EO25" i="3"/>
  <c r="EO26" i="3"/>
  <c r="EO27" i="3"/>
  <c r="EO28" i="3"/>
  <c r="EO29" i="3"/>
  <c r="EO30" i="3"/>
  <c r="EO31" i="3"/>
  <c r="EO32" i="3"/>
  <c r="EO33" i="3"/>
  <c r="EO35" i="3"/>
  <c r="EO36" i="3"/>
  <c r="EO37" i="3"/>
  <c r="EO38" i="3"/>
  <c r="EO39" i="3"/>
  <c r="EO40" i="3"/>
  <c r="EO41" i="3"/>
  <c r="EO42" i="3"/>
  <c r="EO43" i="3"/>
  <c r="EO44" i="3"/>
  <c r="EO45" i="3"/>
  <c r="EO47" i="3"/>
  <c r="EO49" i="3"/>
  <c r="EO50" i="3"/>
  <c r="EO52" i="3"/>
  <c r="EO53" i="3"/>
  <c r="EO54" i="3"/>
  <c r="EO55" i="3"/>
  <c r="EO56" i="3"/>
  <c r="EO57" i="3"/>
  <c r="EO58" i="3"/>
  <c r="EO59" i="3"/>
  <c r="EO60" i="3"/>
  <c r="EO62" i="3"/>
  <c r="EO63" i="3"/>
  <c r="EO64" i="3"/>
  <c r="EO65" i="3"/>
  <c r="EO9" i="3"/>
  <c r="EB10" i="3"/>
  <c r="EB11" i="3"/>
  <c r="EB12" i="3"/>
  <c r="EB13" i="3"/>
  <c r="EB14" i="3"/>
  <c r="EB15" i="3"/>
  <c r="EB16" i="3"/>
  <c r="EB17" i="3"/>
  <c r="EB18" i="3"/>
  <c r="EB19" i="3"/>
  <c r="EB20" i="3"/>
  <c r="EB21" i="3"/>
  <c r="EB22" i="3"/>
  <c r="EB23" i="3"/>
  <c r="EB24" i="3"/>
  <c r="EB25" i="3"/>
  <c r="EB26" i="3"/>
  <c r="EB27" i="3"/>
  <c r="EB28" i="3"/>
  <c r="EB29" i="3"/>
  <c r="EB30" i="3"/>
  <c r="EB31" i="3"/>
  <c r="EB32" i="3"/>
  <c r="EB33" i="3"/>
  <c r="EB35" i="3"/>
  <c r="EB36" i="3"/>
  <c r="EB37" i="3"/>
  <c r="EB38" i="3"/>
  <c r="EB39" i="3"/>
  <c r="EB40" i="3"/>
  <c r="EB41" i="3"/>
  <c r="EB42" i="3"/>
  <c r="EB43" i="3"/>
  <c r="EB44" i="3"/>
  <c r="EB45" i="3"/>
  <c r="EB47" i="3"/>
  <c r="EB49" i="3"/>
  <c r="EB50" i="3"/>
  <c r="EB52" i="3"/>
  <c r="EB53" i="3"/>
  <c r="EB54" i="3"/>
  <c r="EB55" i="3"/>
  <c r="EB56" i="3"/>
  <c r="EB57" i="3"/>
  <c r="EB58" i="3"/>
  <c r="EB59" i="3"/>
  <c r="EB60" i="3"/>
  <c r="EB62" i="3"/>
  <c r="EB63" i="3"/>
  <c r="EB64" i="3"/>
  <c r="EB65" i="3"/>
  <c r="EB9" i="3"/>
  <c r="DO10" i="3"/>
  <c r="DO11" i="3"/>
  <c r="DO12" i="3"/>
  <c r="DO13" i="3"/>
  <c r="DO14" i="3"/>
  <c r="DO15" i="3"/>
  <c r="DO16" i="3"/>
  <c r="DO17" i="3"/>
  <c r="DO18" i="3"/>
  <c r="DO19" i="3"/>
  <c r="DO20" i="3"/>
  <c r="DO21" i="3"/>
  <c r="DO22" i="3"/>
  <c r="DO23" i="3"/>
  <c r="DO24" i="3"/>
  <c r="DO25" i="3"/>
  <c r="DO26" i="3"/>
  <c r="DO27" i="3"/>
  <c r="DO28" i="3"/>
  <c r="DO29" i="3"/>
  <c r="DO30" i="3"/>
  <c r="DO31" i="3"/>
  <c r="DO32" i="3"/>
  <c r="DO33" i="3"/>
  <c r="DO34" i="3"/>
  <c r="DO35" i="3"/>
  <c r="DO36" i="3"/>
  <c r="DO37" i="3"/>
  <c r="DO38" i="3"/>
  <c r="DO39" i="3"/>
  <c r="DO40" i="3"/>
  <c r="DO41" i="3"/>
  <c r="DO42" i="3"/>
  <c r="DO43" i="3"/>
  <c r="DO44" i="3"/>
  <c r="DO45" i="3"/>
  <c r="DO46" i="3"/>
  <c r="DO47" i="3"/>
  <c r="DO48" i="3"/>
  <c r="DO49" i="3"/>
  <c r="DO50" i="3"/>
  <c r="DO51" i="3"/>
  <c r="DO52" i="3"/>
  <c r="DO53" i="3"/>
  <c r="DO54" i="3"/>
  <c r="DO55" i="3"/>
  <c r="DO56" i="3"/>
  <c r="DO57" i="3"/>
  <c r="DO58" i="3"/>
  <c r="DO59" i="3"/>
  <c r="DO60" i="3"/>
  <c r="DO61" i="3"/>
  <c r="DO62" i="3"/>
  <c r="DO63" i="3"/>
  <c r="DO64" i="3"/>
  <c r="DO65" i="3"/>
  <c r="AA12" i="12"/>
  <c r="AF15" i="3"/>
  <c r="AI15" i="3"/>
  <c r="S13" i="12"/>
  <c r="T13" i="12"/>
  <c r="U13" i="12"/>
  <c r="V13" i="12"/>
  <c r="AA13" i="12"/>
  <c r="AF16" i="3"/>
  <c r="AI16" i="3"/>
  <c r="AA15" i="12"/>
  <c r="AF17" i="3"/>
  <c r="AI17" i="3"/>
  <c r="AA18" i="12"/>
  <c r="AF18" i="3"/>
  <c r="AI18" i="3"/>
  <c r="S21" i="12"/>
  <c r="T21" i="12"/>
  <c r="U21" i="12"/>
  <c r="V21" i="12"/>
  <c r="AA21" i="12"/>
  <c r="AF19" i="3"/>
  <c r="AI19" i="3"/>
  <c r="S22" i="12"/>
  <c r="T22" i="12"/>
  <c r="U22" i="12"/>
  <c r="V22" i="12"/>
  <c r="AA22" i="12"/>
  <c r="AF20" i="3"/>
  <c r="AI20" i="3"/>
  <c r="AA23" i="12"/>
  <c r="AF21" i="3"/>
  <c r="AI21" i="3"/>
  <c r="AA25" i="12"/>
  <c r="AF22" i="3"/>
  <c r="AI22" i="3"/>
  <c r="AA26" i="12"/>
  <c r="AF23" i="3"/>
  <c r="AI23" i="3"/>
  <c r="AA27" i="12"/>
  <c r="AF24" i="3"/>
  <c r="AI24" i="3"/>
  <c r="S28" i="12"/>
  <c r="T28" i="12"/>
  <c r="U28" i="12"/>
  <c r="V28" i="12"/>
  <c r="AA28" i="12"/>
  <c r="AF25" i="3"/>
  <c r="AI25" i="3"/>
  <c r="AF26" i="3"/>
  <c r="AI26" i="3"/>
  <c r="AA31" i="12"/>
  <c r="AF27" i="3"/>
  <c r="AI27" i="3"/>
  <c r="AA32" i="12"/>
  <c r="AF28" i="3"/>
  <c r="AI28" i="3"/>
  <c r="AA33" i="12"/>
  <c r="AF29" i="3"/>
  <c r="AI29" i="3"/>
  <c r="S34" i="12"/>
  <c r="T34" i="12"/>
  <c r="U34" i="12"/>
  <c r="V34" i="12"/>
  <c r="AA34" i="12"/>
  <c r="AF30" i="3"/>
  <c r="AI30" i="3"/>
  <c r="S35" i="12"/>
  <c r="T35" i="12"/>
  <c r="U35" i="12"/>
  <c r="V35" i="12"/>
  <c r="AA35" i="12"/>
  <c r="AF31" i="3"/>
  <c r="AI31" i="3"/>
  <c r="AA37" i="12"/>
  <c r="AF32" i="3"/>
  <c r="AI32" i="3"/>
  <c r="AA38" i="12"/>
  <c r="AF33" i="3"/>
  <c r="AI33" i="3"/>
  <c r="S39" i="12"/>
  <c r="T39" i="12"/>
  <c r="U39" i="12"/>
  <c r="V39" i="12"/>
  <c r="AA39" i="12"/>
  <c r="AF34" i="3"/>
  <c r="AI34" i="3"/>
  <c r="S40" i="12"/>
  <c r="T40" i="12"/>
  <c r="U40" i="12"/>
  <c r="V40" i="12"/>
  <c r="AA40" i="12"/>
  <c r="AF35" i="3"/>
  <c r="AI35" i="3"/>
  <c r="S43" i="12"/>
  <c r="T43" i="12"/>
  <c r="U43" i="12"/>
  <c r="V43" i="12"/>
  <c r="AA43" i="12"/>
  <c r="AF36" i="3"/>
  <c r="AI36" i="3"/>
  <c r="AA45" i="12"/>
  <c r="AF37" i="3"/>
  <c r="AI37" i="3"/>
  <c r="AF38" i="3"/>
  <c r="AI38" i="3"/>
  <c r="S46" i="12"/>
  <c r="T46" i="12"/>
  <c r="U46" i="12"/>
  <c r="V46" i="12"/>
  <c r="AA46" i="12"/>
  <c r="AF39" i="3"/>
  <c r="AI39" i="3"/>
  <c r="AA47" i="12"/>
  <c r="AF40" i="3"/>
  <c r="AI40" i="3"/>
  <c r="S49" i="12"/>
  <c r="T49" i="12"/>
  <c r="U49" i="12"/>
  <c r="V49" i="12"/>
  <c r="AA49" i="12"/>
  <c r="AF41" i="3"/>
  <c r="AI41" i="3"/>
  <c r="AA50" i="12"/>
  <c r="AF42" i="3"/>
  <c r="AI42" i="3"/>
  <c r="S54" i="12"/>
  <c r="T54" i="12"/>
  <c r="U54" i="12"/>
  <c r="V54" i="12"/>
  <c r="AA54" i="12"/>
  <c r="AF43" i="3"/>
  <c r="AI43" i="3"/>
  <c r="AA55" i="12"/>
  <c r="AF44" i="3"/>
  <c r="AI44" i="3"/>
  <c r="S56" i="12"/>
  <c r="T56" i="12"/>
  <c r="U56" i="12"/>
  <c r="V56" i="12"/>
  <c r="AA56" i="12"/>
  <c r="AF45" i="3"/>
  <c r="AI45" i="3"/>
  <c r="S58" i="12"/>
  <c r="T58" i="12"/>
  <c r="U58" i="12"/>
  <c r="V58" i="12"/>
  <c r="AA58" i="12"/>
  <c r="AF46" i="3"/>
  <c r="AI46" i="3"/>
  <c r="S59" i="12"/>
  <c r="T59" i="12"/>
  <c r="U59" i="12"/>
  <c r="V59" i="12"/>
  <c r="AA59" i="12"/>
  <c r="AF47" i="3"/>
  <c r="AI47" i="3"/>
  <c r="AA60" i="12"/>
  <c r="AF48" i="3"/>
  <c r="AI48" i="3"/>
  <c r="S62" i="12"/>
  <c r="T62" i="12"/>
  <c r="U62" i="12"/>
  <c r="V62" i="12"/>
  <c r="AA62" i="12"/>
  <c r="AF49" i="3"/>
  <c r="AI49" i="3"/>
  <c r="AA64" i="12"/>
  <c r="AF50" i="3"/>
  <c r="AI50" i="3"/>
  <c r="S65" i="12"/>
  <c r="T65" i="12"/>
  <c r="U65" i="12"/>
  <c r="V65" i="12"/>
  <c r="AA65" i="12"/>
  <c r="AF51" i="3"/>
  <c r="AI51" i="3"/>
  <c r="S66" i="12"/>
  <c r="T66" i="12"/>
  <c r="U66" i="12"/>
  <c r="V66" i="12"/>
  <c r="AA66" i="12"/>
  <c r="AF52" i="3"/>
  <c r="AI52" i="3"/>
  <c r="S67" i="12"/>
  <c r="T67" i="12"/>
  <c r="U67" i="12"/>
  <c r="V67" i="12"/>
  <c r="AA67" i="12"/>
  <c r="AF53" i="3"/>
  <c r="AI53" i="3"/>
  <c r="AA69" i="12"/>
  <c r="AF54" i="3"/>
  <c r="AI54" i="3"/>
  <c r="AA71" i="12"/>
  <c r="AF56" i="3"/>
  <c r="AI56" i="3"/>
  <c r="S72" i="12"/>
  <c r="T72" i="12"/>
  <c r="U72" i="12"/>
  <c r="V72" i="12"/>
  <c r="AA72" i="12"/>
  <c r="AF57" i="3"/>
  <c r="AI57" i="3"/>
  <c r="AA73" i="12"/>
  <c r="AF58" i="3"/>
  <c r="AI58" i="3"/>
  <c r="AF59" i="3"/>
  <c r="AI59" i="3"/>
  <c r="AF60" i="3"/>
  <c r="AI60" i="3"/>
  <c r="S77" i="12"/>
  <c r="T77" i="12"/>
  <c r="U77" i="12"/>
  <c r="V77" i="12"/>
  <c r="AA77" i="12"/>
  <c r="AF61" i="3"/>
  <c r="AI61" i="3"/>
  <c r="AA78" i="12"/>
  <c r="AF62" i="3"/>
  <c r="AI62" i="3"/>
  <c r="S80" i="12"/>
  <c r="T80" i="12"/>
  <c r="U80" i="12"/>
  <c r="V80" i="12"/>
  <c r="AA80" i="12"/>
  <c r="AF63" i="3"/>
  <c r="AI63" i="3"/>
  <c r="S81" i="12"/>
  <c r="T81" i="12"/>
  <c r="U81" i="12"/>
  <c r="V81" i="12"/>
  <c r="AA81" i="12"/>
  <c r="AF64" i="3"/>
  <c r="AI64" i="3"/>
  <c r="S82" i="12"/>
  <c r="T82" i="12"/>
  <c r="U82" i="12"/>
  <c r="V82" i="12"/>
  <c r="AA82" i="12"/>
  <c r="AF65" i="3"/>
  <c r="AI65" i="3"/>
  <c r="S9" i="12"/>
  <c r="T9" i="12"/>
  <c r="U9" i="12"/>
  <c r="V9" i="12"/>
  <c r="AA9" i="12"/>
  <c r="AF11" i="3"/>
  <c r="AI11" i="3"/>
  <c r="S10" i="12"/>
  <c r="T10" i="12"/>
  <c r="U10" i="12"/>
  <c r="V10" i="12"/>
  <c r="AA10" i="12"/>
  <c r="AF12" i="3"/>
  <c r="AI12" i="3"/>
  <c r="S11" i="12"/>
  <c r="T11" i="12"/>
  <c r="U11" i="12"/>
  <c r="V11" i="12"/>
  <c r="AA11" i="12"/>
  <c r="AF14" i="3"/>
  <c r="AI14" i="3"/>
  <c r="S8" i="12"/>
  <c r="T8" i="12"/>
  <c r="U8" i="12"/>
  <c r="V8" i="12"/>
  <c r="AA8" i="12"/>
  <c r="AF10" i="3"/>
  <c r="AI10" i="3"/>
  <c r="AA7" i="12"/>
  <c r="AF9" i="3"/>
  <c r="AI9" i="3"/>
  <c r="DD10" i="3"/>
  <c r="DD11" i="3"/>
  <c r="DD12" i="3"/>
  <c r="DD13" i="3"/>
  <c r="DD14" i="3"/>
  <c r="DD15" i="3"/>
  <c r="DD16" i="3"/>
  <c r="DD17" i="3"/>
  <c r="DD18" i="3"/>
  <c r="DD19" i="3"/>
  <c r="DD20" i="3"/>
  <c r="DD21" i="3"/>
  <c r="DD22" i="3"/>
  <c r="DD23" i="3"/>
  <c r="DD24" i="3"/>
  <c r="DD25" i="3"/>
  <c r="DD26" i="3"/>
  <c r="DD27" i="3"/>
  <c r="DD28" i="3"/>
  <c r="DD29" i="3"/>
  <c r="DD30" i="3"/>
  <c r="DD31" i="3"/>
  <c r="DD32" i="3"/>
  <c r="DD33" i="3"/>
  <c r="DD34" i="3"/>
  <c r="DD35" i="3"/>
  <c r="DD36" i="3"/>
  <c r="DD37" i="3"/>
  <c r="DD38" i="3"/>
  <c r="DD39" i="3"/>
  <c r="DD40" i="3"/>
  <c r="DD41" i="3"/>
  <c r="DD42" i="3"/>
  <c r="DD43" i="3"/>
  <c r="DD44" i="3"/>
  <c r="DD45" i="3"/>
  <c r="DD46" i="3"/>
  <c r="DD47" i="3"/>
  <c r="DD48" i="3"/>
  <c r="DD49" i="3"/>
  <c r="DD50" i="3"/>
  <c r="DD51" i="3"/>
  <c r="DD52" i="3"/>
  <c r="DD53" i="3"/>
  <c r="DD54" i="3"/>
  <c r="DD55" i="3"/>
  <c r="DD56" i="3"/>
  <c r="DD57" i="3"/>
  <c r="DD58" i="3"/>
  <c r="DD59" i="3"/>
  <c r="DD60" i="3"/>
  <c r="DD61" i="3"/>
  <c r="DD62" i="3"/>
  <c r="DD63" i="3"/>
  <c r="DD64" i="3"/>
  <c r="DD65" i="3"/>
  <c r="BU9" i="3"/>
  <c r="BJ154" i="3"/>
  <c r="K154" i="3"/>
  <c r="BK154" i="3"/>
  <c r="BJ153" i="3"/>
  <c r="K153" i="3"/>
  <c r="BK153" i="3"/>
  <c r="BK152" i="3"/>
  <c r="BJ151" i="3"/>
  <c r="K151" i="3"/>
  <c r="BK151" i="3"/>
  <c r="BK150" i="3"/>
  <c r="BK149" i="3"/>
  <c r="BJ148" i="3"/>
  <c r="K148" i="3"/>
  <c r="BK148" i="3"/>
  <c r="BK147" i="3"/>
  <c r="BK146" i="3"/>
  <c r="BK145" i="3"/>
  <c r="BK144" i="3"/>
  <c r="BK143" i="3"/>
  <c r="BJ142" i="3"/>
  <c r="K142" i="3"/>
  <c r="BK142" i="3"/>
  <c r="BJ141" i="3"/>
  <c r="K141" i="3"/>
  <c r="BK141" i="3"/>
  <c r="BK140" i="3"/>
  <c r="BK139" i="3"/>
  <c r="BK138" i="3"/>
  <c r="BK137" i="3"/>
  <c r="BK136" i="3"/>
  <c r="BK135" i="3"/>
  <c r="BJ134" i="3"/>
  <c r="K134" i="3"/>
  <c r="BK134" i="3"/>
  <c r="BK133" i="3"/>
  <c r="BJ132" i="3"/>
  <c r="K132" i="3"/>
  <c r="BK132" i="3"/>
  <c r="BK131" i="3"/>
  <c r="BJ130" i="3"/>
  <c r="K130" i="3"/>
  <c r="BK130" i="3"/>
  <c r="BK129" i="3"/>
  <c r="BK128" i="3"/>
  <c r="BK127" i="3"/>
  <c r="BK126" i="3"/>
  <c r="BK125" i="3"/>
  <c r="BK124" i="3"/>
  <c r="BK123" i="3"/>
  <c r="BK122" i="3"/>
  <c r="BK121" i="3"/>
  <c r="BK120" i="3"/>
  <c r="BK119" i="3"/>
  <c r="BJ118" i="3"/>
  <c r="K118" i="3"/>
  <c r="BK118" i="3"/>
  <c r="BK117" i="3"/>
  <c r="BK116" i="3"/>
  <c r="BK115" i="3"/>
  <c r="BK114" i="3"/>
  <c r="BK113" i="3"/>
  <c r="J112" i="3"/>
  <c r="K112" i="3"/>
  <c r="BK112" i="3"/>
  <c r="BJ111" i="3"/>
  <c r="K111" i="3"/>
  <c r="BK111" i="3"/>
  <c r="BK110" i="3"/>
  <c r="BK109" i="3"/>
  <c r="BK108" i="3"/>
  <c r="BK107" i="3"/>
  <c r="BK106" i="3"/>
  <c r="BJ105" i="3"/>
  <c r="K105" i="3"/>
  <c r="BK105" i="3"/>
  <c r="J104" i="3"/>
  <c r="K104" i="3"/>
  <c r="BK104" i="3"/>
  <c r="J103" i="3"/>
  <c r="K103" i="3"/>
  <c r="BK103" i="3"/>
  <c r="BK102" i="3"/>
  <c r="BJ102" i="3"/>
  <c r="BL102" i="3"/>
  <c r="BM102" i="3"/>
  <c r="BJ101" i="3"/>
  <c r="K101" i="3"/>
  <c r="BK101" i="3"/>
  <c r="BK100" i="3"/>
  <c r="BK99" i="3"/>
  <c r="BK98" i="3"/>
  <c r="BK97" i="3"/>
  <c r="BJ96" i="3"/>
  <c r="K96" i="3"/>
  <c r="BK96" i="3"/>
  <c r="BJ95" i="3"/>
  <c r="K95" i="3"/>
  <c r="BK95" i="3"/>
  <c r="J94" i="3"/>
  <c r="K94" i="3"/>
  <c r="BK94" i="3"/>
  <c r="BK93" i="3"/>
  <c r="BK92" i="3"/>
  <c r="BK91" i="3"/>
  <c r="BJ90" i="3"/>
  <c r="K90" i="3"/>
  <c r="BK90" i="3"/>
  <c r="BK89" i="3"/>
  <c r="BJ88" i="3"/>
  <c r="K88" i="3"/>
  <c r="BK88" i="3"/>
  <c r="BK87" i="3"/>
  <c r="BJ86" i="3"/>
  <c r="K86" i="3"/>
  <c r="BK86" i="3"/>
  <c r="BK85" i="3"/>
  <c r="BK84" i="3"/>
  <c r="BK83" i="3"/>
  <c r="BJ82" i="3"/>
  <c r="K82" i="3"/>
  <c r="BK82" i="3"/>
  <c r="BJ81" i="3"/>
  <c r="K81" i="3"/>
  <c r="BK81" i="3"/>
  <c r="BK80" i="3"/>
  <c r="BK79" i="3"/>
  <c r="BK78" i="3"/>
  <c r="BK77" i="3"/>
  <c r="BJ76" i="3"/>
  <c r="K76" i="3"/>
  <c r="BK76" i="3"/>
  <c r="BK75" i="3"/>
  <c r="BK74" i="3"/>
  <c r="BK73" i="3"/>
  <c r="BK72" i="3"/>
  <c r="BK71" i="3"/>
  <c r="BK70" i="3"/>
  <c r="BK69" i="3"/>
  <c r="BK68" i="3"/>
  <c r="BK67" i="3"/>
  <c r="BK66" i="3"/>
  <c r="BK65" i="3"/>
  <c r="BK64" i="3"/>
  <c r="BK63" i="3"/>
  <c r="BK62" i="3"/>
  <c r="BK61" i="3"/>
  <c r="BK60" i="3"/>
  <c r="BK59" i="3"/>
  <c r="BK58" i="3"/>
  <c r="BK57" i="3"/>
  <c r="BK56" i="3"/>
  <c r="BK55" i="3"/>
  <c r="BK54" i="3"/>
  <c r="BK53" i="3"/>
  <c r="BK52" i="3"/>
  <c r="BK51" i="3"/>
  <c r="BJ50" i="3"/>
  <c r="K50" i="3"/>
  <c r="BK50" i="3"/>
  <c r="BK49" i="3"/>
  <c r="BK48" i="3"/>
  <c r="BK47" i="3"/>
  <c r="BK46" i="3"/>
  <c r="BK45" i="3"/>
  <c r="BK44" i="3"/>
  <c r="BK43" i="3"/>
  <c r="BK42" i="3"/>
  <c r="BK41" i="3"/>
  <c r="BJ40" i="3"/>
  <c r="K40" i="3"/>
  <c r="BK40" i="3"/>
  <c r="BK39" i="3"/>
  <c r="BK38" i="3"/>
  <c r="BK37" i="3"/>
  <c r="BK36" i="3"/>
  <c r="BK35" i="3"/>
  <c r="BK34" i="3"/>
  <c r="BJ33" i="3"/>
  <c r="K33" i="3"/>
  <c r="BK33" i="3"/>
  <c r="BJ32" i="3"/>
  <c r="K32" i="3"/>
  <c r="BK32" i="3"/>
  <c r="BK31" i="3"/>
  <c r="BK30" i="3"/>
  <c r="BJ29" i="3"/>
  <c r="K29" i="3"/>
  <c r="BK29" i="3"/>
  <c r="BJ28" i="3"/>
  <c r="K28" i="3"/>
  <c r="BK28" i="3"/>
  <c r="BJ27" i="3"/>
  <c r="K27" i="3"/>
  <c r="BK27" i="3"/>
  <c r="BJ26" i="3"/>
  <c r="K26" i="3"/>
  <c r="BK26" i="3"/>
  <c r="BJ17" i="3"/>
  <c r="K17" i="3"/>
  <c r="BK17" i="3"/>
  <c r="BK18" i="3"/>
  <c r="BK19" i="3"/>
  <c r="BK20" i="3"/>
  <c r="BK21" i="3"/>
  <c r="BJ22" i="3"/>
  <c r="K22" i="3"/>
  <c r="BK22" i="3"/>
  <c r="BJ23" i="3"/>
  <c r="K23" i="3"/>
  <c r="BK23" i="3"/>
  <c r="BJ24" i="3"/>
  <c r="K24" i="3"/>
  <c r="BK24" i="3"/>
  <c r="BK25" i="3"/>
  <c r="BJ13" i="3"/>
  <c r="K13" i="3"/>
  <c r="BK13" i="3"/>
  <c r="BK14" i="3"/>
  <c r="BJ15" i="3"/>
  <c r="K15" i="3"/>
  <c r="BK15" i="3"/>
  <c r="BK16" i="3"/>
  <c r="BK11" i="3"/>
  <c r="BK12" i="3"/>
  <c r="BK10" i="3"/>
  <c r="BJ9" i="3"/>
  <c r="K9" i="3"/>
  <c r="BK9" i="3"/>
  <c r="AX11" i="3"/>
  <c r="AX12" i="3"/>
  <c r="AX13" i="3"/>
  <c r="AX14" i="3"/>
  <c r="AX15" i="3"/>
  <c r="AX16" i="3"/>
  <c r="AX17" i="3"/>
  <c r="AX18" i="3"/>
  <c r="AX19" i="3"/>
  <c r="AX20" i="3"/>
  <c r="AX21" i="3"/>
  <c r="AX22" i="3"/>
  <c r="AX23" i="3"/>
  <c r="AX24" i="3"/>
  <c r="AX25" i="3"/>
  <c r="AX26" i="3"/>
  <c r="AX27" i="3"/>
  <c r="AX28" i="3"/>
  <c r="AX29" i="3"/>
  <c r="AX30" i="3"/>
  <c r="AX31" i="3"/>
  <c r="AX32" i="3"/>
  <c r="AX33" i="3"/>
  <c r="AX34" i="3"/>
  <c r="AX35" i="3"/>
  <c r="AX36" i="3"/>
  <c r="AX37" i="3"/>
  <c r="AX38" i="3"/>
  <c r="AX39" i="3"/>
  <c r="AX40" i="3"/>
  <c r="AX41" i="3"/>
  <c r="AX42" i="3"/>
  <c r="AX43" i="3"/>
  <c r="AX44" i="3"/>
  <c r="AX45" i="3"/>
  <c r="AX46" i="3"/>
  <c r="AX47" i="3"/>
  <c r="AX48" i="3"/>
  <c r="AX49" i="3"/>
  <c r="AX50" i="3"/>
  <c r="AX51" i="3"/>
  <c r="AX52" i="3"/>
  <c r="AX53" i="3"/>
  <c r="AX54" i="3"/>
  <c r="AX55" i="3"/>
  <c r="AX56" i="3"/>
  <c r="AX57" i="3"/>
  <c r="AX58" i="3"/>
  <c r="AX59" i="3"/>
  <c r="AX60" i="3"/>
  <c r="AX61" i="3"/>
  <c r="AX62" i="3"/>
  <c r="AX63" i="3"/>
  <c r="AX64" i="3"/>
  <c r="AX65" i="3"/>
  <c r="AX10" i="3"/>
  <c r="AX9" i="3"/>
  <c r="AB35" i="4"/>
  <c r="V42" i="7"/>
  <c r="V44" i="7"/>
  <c r="V35" i="7"/>
  <c r="V37" i="7"/>
  <c r="V62" i="7"/>
  <c r="V64" i="7"/>
  <c r="AA18" i="13"/>
  <c r="W18" i="13"/>
  <c r="G33" i="13"/>
  <c r="G5" i="11"/>
  <c r="J5" i="11"/>
  <c r="W4" i="20"/>
  <c r="EV10" i="3"/>
  <c r="EV11" i="3"/>
  <c r="EV12" i="3"/>
  <c r="EV13" i="3"/>
  <c r="EV14" i="3"/>
  <c r="EV15" i="3"/>
  <c r="EV16" i="3"/>
  <c r="EV17" i="3"/>
  <c r="EV18" i="3"/>
  <c r="EV19" i="3"/>
  <c r="EV20" i="3"/>
  <c r="EV21" i="3"/>
  <c r="EV22" i="3"/>
  <c r="EV23" i="3"/>
  <c r="EV24" i="3"/>
  <c r="EV25" i="3"/>
  <c r="EV26" i="3"/>
  <c r="EV27" i="3"/>
  <c r="EV28" i="3"/>
  <c r="EV29" i="3"/>
  <c r="EV30" i="3"/>
  <c r="EV31" i="3"/>
  <c r="EV32" i="3"/>
  <c r="EV33" i="3"/>
  <c r="EV34" i="3"/>
  <c r="EV35" i="3"/>
  <c r="EV36" i="3"/>
  <c r="EV37" i="3"/>
  <c r="EV38" i="3"/>
  <c r="EV39" i="3"/>
  <c r="EV40" i="3"/>
  <c r="EV41" i="3"/>
  <c r="EV42" i="3"/>
  <c r="EV43" i="3"/>
  <c r="EV44" i="3"/>
  <c r="EV45" i="3"/>
  <c r="EV46" i="3"/>
  <c r="EV47" i="3"/>
  <c r="EV48" i="3"/>
  <c r="EV49" i="3"/>
  <c r="EV50" i="3"/>
  <c r="EV51" i="3"/>
  <c r="EV52" i="3"/>
  <c r="EV53" i="3"/>
  <c r="EV54" i="3"/>
  <c r="EV55" i="3"/>
  <c r="EV56" i="3"/>
  <c r="EV57" i="3"/>
  <c r="EV58" i="3"/>
  <c r="EV59" i="3"/>
  <c r="EV60" i="3"/>
  <c r="EV61" i="3"/>
  <c r="EV62" i="3"/>
  <c r="EV63" i="3"/>
  <c r="EV64" i="3"/>
  <c r="EV65" i="3"/>
  <c r="EV66" i="3"/>
  <c r="EV67" i="3"/>
  <c r="EV68" i="3"/>
  <c r="EV69" i="3"/>
  <c r="EV70" i="3"/>
  <c r="EV71" i="3"/>
  <c r="EV72" i="3"/>
  <c r="EV73" i="3"/>
  <c r="EV74" i="3"/>
  <c r="EV75" i="3"/>
  <c r="EV76" i="3"/>
  <c r="EV77" i="3"/>
  <c r="EV78" i="3"/>
  <c r="EV79" i="3"/>
  <c r="EV80" i="3"/>
  <c r="EV81" i="3"/>
  <c r="EV82" i="3"/>
  <c r="EV83" i="3"/>
  <c r="EV84" i="3"/>
  <c r="EV85" i="3"/>
  <c r="EV86" i="3"/>
  <c r="EV87" i="3"/>
  <c r="EV88" i="3"/>
  <c r="EV89" i="3"/>
  <c r="EV90" i="3"/>
  <c r="EV91" i="3"/>
  <c r="EV92" i="3"/>
  <c r="EV93" i="3"/>
  <c r="EV94" i="3"/>
  <c r="EV95" i="3"/>
  <c r="EV96" i="3"/>
  <c r="EV97" i="3"/>
  <c r="EV98" i="3"/>
  <c r="EV99" i="3"/>
  <c r="EV100" i="3"/>
  <c r="EV101" i="3"/>
  <c r="EV102" i="3"/>
  <c r="EV103" i="3"/>
  <c r="EV104" i="3"/>
  <c r="EV105" i="3"/>
  <c r="EV106" i="3"/>
  <c r="EV107" i="3"/>
  <c r="EV108" i="3"/>
  <c r="EV109" i="3"/>
  <c r="EV110" i="3"/>
  <c r="EV111" i="3"/>
  <c r="EV112" i="3"/>
  <c r="EV113" i="3"/>
  <c r="EV114" i="3"/>
  <c r="EV115" i="3"/>
  <c r="EV116" i="3"/>
  <c r="EV117" i="3"/>
  <c r="EV118" i="3"/>
  <c r="EV119" i="3"/>
  <c r="EV120" i="3"/>
  <c r="EV121" i="3"/>
  <c r="EV122" i="3"/>
  <c r="EV123" i="3"/>
  <c r="EV124" i="3"/>
  <c r="EV125" i="3"/>
  <c r="EV126" i="3"/>
  <c r="EV127" i="3"/>
  <c r="EV128" i="3"/>
  <c r="EV129" i="3"/>
  <c r="EV130" i="3"/>
  <c r="EV131" i="3"/>
  <c r="EV132" i="3"/>
  <c r="EV133" i="3"/>
  <c r="EV134" i="3"/>
  <c r="EV135" i="3"/>
  <c r="EV136" i="3"/>
  <c r="EV137" i="3"/>
  <c r="EV138" i="3"/>
  <c r="EV139" i="3"/>
  <c r="EV140" i="3"/>
  <c r="EV141" i="3"/>
  <c r="EV142" i="3"/>
  <c r="EV143" i="3"/>
  <c r="EV144" i="3"/>
  <c r="EV145" i="3"/>
  <c r="EV146" i="3"/>
  <c r="EV147" i="3"/>
  <c r="EV148" i="3"/>
  <c r="EV149" i="3"/>
  <c r="EV150" i="3"/>
  <c r="EV151" i="3"/>
  <c r="EV152" i="3"/>
  <c r="EV153" i="3"/>
  <c r="EV154" i="3"/>
  <c r="R32" i="14"/>
  <c r="R20" i="14"/>
  <c r="EV9" i="3"/>
  <c r="ES10" i="3"/>
  <c r="ES11" i="3"/>
  <c r="ES12" i="3"/>
  <c r="ES13" i="3"/>
  <c r="ES14" i="3"/>
  <c r="ES15" i="3"/>
  <c r="ES16" i="3"/>
  <c r="ES17" i="3"/>
  <c r="ES18" i="3"/>
  <c r="ES19" i="3"/>
  <c r="ES20" i="3"/>
  <c r="ES21" i="3"/>
  <c r="ES22" i="3"/>
  <c r="ES23" i="3"/>
  <c r="ES24" i="3"/>
  <c r="ES25" i="3"/>
  <c r="ES26" i="3"/>
  <c r="ES27" i="3"/>
  <c r="ES28" i="3"/>
  <c r="ES29" i="3"/>
  <c r="ES30" i="3"/>
  <c r="ES31" i="3"/>
  <c r="ES32" i="3"/>
  <c r="ES33" i="3"/>
  <c r="ES34" i="3"/>
  <c r="ES35" i="3"/>
  <c r="ES36" i="3"/>
  <c r="ES37" i="3"/>
  <c r="ES38" i="3"/>
  <c r="ES39" i="3"/>
  <c r="ES40" i="3"/>
  <c r="ES41" i="3"/>
  <c r="ES42" i="3"/>
  <c r="ES43" i="3"/>
  <c r="ES44" i="3"/>
  <c r="ES45" i="3"/>
  <c r="ES46" i="3"/>
  <c r="ES47" i="3"/>
  <c r="ES48" i="3"/>
  <c r="ES49" i="3"/>
  <c r="ES50" i="3"/>
  <c r="ES51" i="3"/>
  <c r="ES52" i="3"/>
  <c r="ES53" i="3"/>
  <c r="ES54" i="3"/>
  <c r="ES55" i="3"/>
  <c r="ES56" i="3"/>
  <c r="ES57" i="3"/>
  <c r="ES58" i="3"/>
  <c r="ES59" i="3"/>
  <c r="ES60" i="3"/>
  <c r="ES61" i="3"/>
  <c r="ES62" i="3"/>
  <c r="ES63" i="3"/>
  <c r="ES64" i="3"/>
  <c r="ES65" i="3"/>
  <c r="ES66" i="3"/>
  <c r="ES67" i="3"/>
  <c r="ES68" i="3"/>
  <c r="ES69" i="3"/>
  <c r="ES70" i="3"/>
  <c r="ES71" i="3"/>
  <c r="ES72" i="3"/>
  <c r="ES73" i="3"/>
  <c r="ES74" i="3"/>
  <c r="ES75" i="3"/>
  <c r="ES76" i="3"/>
  <c r="ES77" i="3"/>
  <c r="ES78" i="3"/>
  <c r="ES79" i="3"/>
  <c r="ES80" i="3"/>
  <c r="ES81" i="3"/>
  <c r="ES82" i="3"/>
  <c r="ES83" i="3"/>
  <c r="ES84" i="3"/>
  <c r="ES85" i="3"/>
  <c r="ES86" i="3"/>
  <c r="ES87" i="3"/>
  <c r="ES88" i="3"/>
  <c r="ES89" i="3"/>
  <c r="ES90" i="3"/>
  <c r="ES91" i="3"/>
  <c r="ES92" i="3"/>
  <c r="ES93" i="3"/>
  <c r="ES94" i="3"/>
  <c r="ES95" i="3"/>
  <c r="ES96" i="3"/>
  <c r="ES97" i="3"/>
  <c r="ES98" i="3"/>
  <c r="ES99" i="3"/>
  <c r="ES100" i="3"/>
  <c r="ES101" i="3"/>
  <c r="ES102" i="3"/>
  <c r="ES103" i="3"/>
  <c r="ES104" i="3"/>
  <c r="ES105" i="3"/>
  <c r="ES106" i="3"/>
  <c r="ES107" i="3"/>
  <c r="ES108" i="3"/>
  <c r="ES109" i="3"/>
  <c r="ES110" i="3"/>
  <c r="ES111" i="3"/>
  <c r="ES112" i="3"/>
  <c r="ES113" i="3"/>
  <c r="ES114" i="3"/>
  <c r="ES115" i="3"/>
  <c r="ES116" i="3"/>
  <c r="ES117" i="3"/>
  <c r="ES118" i="3"/>
  <c r="ES119" i="3"/>
  <c r="ES120" i="3"/>
  <c r="ES121" i="3"/>
  <c r="ES122" i="3"/>
  <c r="ES123" i="3"/>
  <c r="ES124" i="3"/>
  <c r="ES125" i="3"/>
  <c r="ES126" i="3"/>
  <c r="ES127" i="3"/>
  <c r="ES128" i="3"/>
  <c r="ES129" i="3"/>
  <c r="ES130" i="3"/>
  <c r="ES131" i="3"/>
  <c r="ES132" i="3"/>
  <c r="ES133" i="3"/>
  <c r="ES134" i="3"/>
  <c r="ES135" i="3"/>
  <c r="ES136" i="3"/>
  <c r="ES137" i="3"/>
  <c r="ES138" i="3"/>
  <c r="ES139" i="3"/>
  <c r="ES140" i="3"/>
  <c r="ES141" i="3"/>
  <c r="ES142" i="3"/>
  <c r="ES143" i="3"/>
  <c r="ES144" i="3"/>
  <c r="ES145" i="3"/>
  <c r="ES146" i="3"/>
  <c r="ES147" i="3"/>
  <c r="ES148" i="3"/>
  <c r="ES149" i="3"/>
  <c r="ES150" i="3"/>
  <c r="ES151" i="3"/>
  <c r="ES152" i="3"/>
  <c r="ES153" i="3"/>
  <c r="ES154" i="3"/>
  <c r="ES9" i="3"/>
  <c r="W191" i="12"/>
  <c r="AL154" i="3"/>
  <c r="W190" i="12"/>
  <c r="AL153" i="3"/>
  <c r="DG154" i="3"/>
  <c r="W188" i="12"/>
  <c r="AL152" i="3"/>
  <c r="DG153" i="3"/>
  <c r="DG152" i="3"/>
  <c r="W186" i="12"/>
  <c r="AL150" i="3"/>
  <c r="DG151" i="3"/>
  <c r="W185" i="12"/>
  <c r="AL149" i="3"/>
  <c r="DG150" i="3"/>
  <c r="W183" i="12"/>
  <c r="AL148" i="3"/>
  <c r="DG149" i="3"/>
  <c r="W182" i="12"/>
  <c r="AL147" i="3"/>
  <c r="DG148" i="3"/>
  <c r="W181" i="12"/>
  <c r="AL146" i="3"/>
  <c r="DG147" i="3"/>
  <c r="W179" i="12"/>
  <c r="AL145" i="3"/>
  <c r="DG146" i="3"/>
  <c r="W178" i="12"/>
  <c r="AL144" i="3"/>
  <c r="DG145" i="3"/>
  <c r="W177" i="12"/>
  <c r="AL143" i="3"/>
  <c r="DG144" i="3"/>
  <c r="W176" i="12"/>
  <c r="AL142" i="3"/>
  <c r="DG143" i="3"/>
  <c r="W175" i="12"/>
  <c r="AL141" i="3"/>
  <c r="DG142" i="3"/>
  <c r="W174" i="12"/>
  <c r="AL140" i="3"/>
  <c r="DG141" i="3"/>
  <c r="W173" i="12"/>
  <c r="AL139" i="3"/>
  <c r="DG140" i="3"/>
  <c r="W172" i="12"/>
  <c r="AL138" i="3"/>
  <c r="DG139" i="3"/>
  <c r="W171" i="12"/>
  <c r="AL137" i="3"/>
  <c r="DG138" i="3"/>
  <c r="W170" i="12"/>
  <c r="AL136" i="3"/>
  <c r="DG137" i="3"/>
  <c r="AL135" i="3"/>
  <c r="DG136" i="3"/>
  <c r="W168" i="12"/>
  <c r="AL134" i="3"/>
  <c r="DG135" i="3"/>
  <c r="DG134" i="3"/>
  <c r="W166" i="12"/>
  <c r="AL133" i="3"/>
  <c r="W165" i="12"/>
  <c r="AL132" i="3"/>
  <c r="DG133" i="3"/>
  <c r="W164" i="12"/>
  <c r="AL131" i="3"/>
  <c r="DG132" i="3"/>
  <c r="W163" i="12"/>
  <c r="AL130" i="3"/>
  <c r="DG131" i="3"/>
  <c r="W162" i="12"/>
  <c r="AL129" i="3"/>
  <c r="DG130" i="3"/>
  <c r="W161" i="12"/>
  <c r="AL128" i="3"/>
  <c r="DG129" i="3"/>
  <c r="W160" i="12"/>
  <c r="AL127" i="3"/>
  <c r="DG128" i="3"/>
  <c r="W159" i="12"/>
  <c r="AL126" i="3"/>
  <c r="DG127" i="3"/>
  <c r="W158" i="12"/>
  <c r="AL125" i="3"/>
  <c r="DG126" i="3"/>
  <c r="W157" i="12"/>
  <c r="AL124" i="3"/>
  <c r="DG125" i="3"/>
  <c r="W152" i="12"/>
  <c r="AL123" i="3"/>
  <c r="DG124" i="3"/>
  <c r="DG123" i="3"/>
  <c r="AL121" i="3"/>
  <c r="DG122" i="3"/>
  <c r="W151" i="12"/>
  <c r="AL120" i="3"/>
  <c r="DG121" i="3"/>
  <c r="W150" i="12"/>
  <c r="AL119" i="3"/>
  <c r="DG120" i="3"/>
  <c r="W148" i="12"/>
  <c r="AL118" i="3"/>
  <c r="DG119" i="3"/>
  <c r="W147" i="12"/>
  <c r="AL117" i="3"/>
  <c r="DG118" i="3"/>
  <c r="W142" i="12"/>
  <c r="AL116" i="3"/>
  <c r="DG117" i="3"/>
  <c r="W141" i="12"/>
  <c r="AL115" i="3"/>
  <c r="DG116" i="3"/>
  <c r="W140" i="12"/>
  <c r="AL114" i="3"/>
  <c r="DG115" i="3"/>
  <c r="W138" i="12"/>
  <c r="AL113" i="3"/>
  <c r="DG114" i="3"/>
  <c r="W137" i="12"/>
  <c r="AL112" i="3"/>
  <c r="DG113" i="3"/>
  <c r="W136" i="12"/>
  <c r="AL111" i="3"/>
  <c r="DG112" i="3"/>
  <c r="W134" i="12"/>
  <c r="AL110" i="3"/>
  <c r="DG111" i="3"/>
  <c r="W133" i="12"/>
  <c r="AL109" i="3"/>
  <c r="DG110" i="3"/>
  <c r="W132" i="12"/>
  <c r="AL108" i="3"/>
  <c r="DG109" i="3"/>
  <c r="W130" i="12"/>
  <c r="AL107" i="3"/>
  <c r="DG108" i="3"/>
  <c r="W129" i="12"/>
  <c r="AL106" i="3"/>
  <c r="DG107" i="3"/>
  <c r="W128" i="12"/>
  <c r="AL105" i="3"/>
  <c r="DG106" i="3"/>
  <c r="W127" i="12"/>
  <c r="AL104" i="3"/>
  <c r="DG105" i="3"/>
  <c r="W126" i="12"/>
  <c r="AL103" i="3"/>
  <c r="DG104" i="3"/>
  <c r="W123" i="12"/>
  <c r="AL102" i="3"/>
  <c r="DG103" i="3"/>
  <c r="W122" i="12"/>
  <c r="AL101" i="3"/>
  <c r="DG102" i="3"/>
  <c r="W121" i="12"/>
  <c r="AL100" i="3"/>
  <c r="DG101" i="3"/>
  <c r="W120" i="12"/>
  <c r="AL99" i="3"/>
  <c r="DG100" i="3"/>
  <c r="W119" i="12"/>
  <c r="AL98" i="3"/>
  <c r="DG99" i="3"/>
  <c r="W118" i="12"/>
  <c r="AL97" i="3"/>
  <c r="DG98" i="3"/>
  <c r="W117" i="12"/>
  <c r="AL96" i="3"/>
  <c r="DG97" i="3"/>
  <c r="W145" i="12"/>
  <c r="AL95" i="3"/>
  <c r="DG96" i="3"/>
  <c r="W116" i="12"/>
  <c r="AL94" i="3"/>
  <c r="DG95" i="3"/>
  <c r="W115" i="12"/>
  <c r="AL93" i="3"/>
  <c r="DG94" i="3"/>
  <c r="W114" i="12"/>
  <c r="AL92" i="3"/>
  <c r="DG93" i="3"/>
  <c r="W112" i="12"/>
  <c r="AL91" i="3"/>
  <c r="DG92" i="3"/>
  <c r="W111" i="12"/>
  <c r="AL90" i="3"/>
  <c r="DG91" i="3"/>
  <c r="W109" i="12"/>
  <c r="AL89" i="3"/>
  <c r="DG90" i="3"/>
  <c r="W108" i="12"/>
  <c r="AL88" i="3"/>
  <c r="DG89" i="3"/>
  <c r="W107" i="12"/>
  <c r="AL87" i="3"/>
  <c r="DG88" i="3"/>
  <c r="W169" i="12"/>
  <c r="AL86" i="3"/>
  <c r="DG87" i="3"/>
  <c r="W104" i="12"/>
  <c r="AL85" i="3"/>
  <c r="DG86" i="3"/>
  <c r="W103" i="12"/>
  <c r="AL84" i="3"/>
  <c r="DG85" i="3"/>
  <c r="W101" i="12"/>
  <c r="AL83" i="3"/>
  <c r="DG84" i="3"/>
  <c r="W99" i="12"/>
  <c r="AL82" i="3"/>
  <c r="DG83" i="3"/>
  <c r="W98" i="12"/>
  <c r="AL81" i="3"/>
  <c r="DG82" i="3"/>
  <c r="W97" i="12"/>
  <c r="AL80" i="3"/>
  <c r="DG81" i="3"/>
  <c r="W144" i="12"/>
  <c r="AL79" i="3"/>
  <c r="DG80" i="3"/>
  <c r="W52" i="12"/>
  <c r="AL78" i="3"/>
  <c r="DG79" i="3"/>
  <c r="W96" i="12"/>
  <c r="AL77" i="3"/>
  <c r="DG78" i="3"/>
  <c r="W95" i="12"/>
  <c r="AL76" i="3"/>
  <c r="DG77" i="3"/>
  <c r="W94" i="12"/>
  <c r="AL75" i="3"/>
  <c r="DG76" i="3"/>
  <c r="W93" i="12"/>
  <c r="AL74" i="3"/>
  <c r="DG75" i="3"/>
  <c r="W92" i="12"/>
  <c r="AL73" i="3"/>
  <c r="DG74" i="3"/>
  <c r="W91" i="12"/>
  <c r="AL72" i="3"/>
  <c r="DG73" i="3"/>
  <c r="W90" i="12"/>
  <c r="AL71" i="3"/>
  <c r="DG72" i="3"/>
  <c r="W89" i="12"/>
  <c r="AL70" i="3"/>
  <c r="DG71" i="3"/>
  <c r="W88" i="12"/>
  <c r="AL69" i="3"/>
  <c r="DG70" i="3"/>
  <c r="W87" i="12"/>
  <c r="AL68" i="3"/>
  <c r="DG69" i="3"/>
  <c r="W86" i="12"/>
  <c r="AL67" i="3"/>
  <c r="DG68" i="3"/>
  <c r="W85" i="12"/>
  <c r="AL66" i="3"/>
  <c r="DG67" i="3"/>
  <c r="DG66" i="3"/>
  <c r="W82" i="12"/>
  <c r="AL65" i="3"/>
  <c r="W81" i="12"/>
  <c r="AL64" i="3"/>
  <c r="DG65" i="3"/>
  <c r="W80" i="12"/>
  <c r="AL63" i="3"/>
  <c r="DG64" i="3"/>
  <c r="W78" i="12"/>
  <c r="AL62" i="3"/>
  <c r="DG63" i="3"/>
  <c r="W77" i="12"/>
  <c r="AL61" i="3"/>
  <c r="DG62" i="3"/>
  <c r="AL60" i="3"/>
  <c r="DG61" i="3"/>
  <c r="AE41" i="12"/>
  <c r="AL59" i="3"/>
  <c r="DG60" i="3"/>
  <c r="W73" i="12"/>
  <c r="AL58" i="3"/>
  <c r="DG59" i="3"/>
  <c r="W72" i="12"/>
  <c r="AL57" i="3"/>
  <c r="DG58" i="3"/>
  <c r="W71" i="12"/>
  <c r="AL56" i="3"/>
  <c r="DG57" i="3"/>
  <c r="DG56" i="3"/>
  <c r="W69" i="12"/>
  <c r="AL54" i="3"/>
  <c r="DG55" i="3"/>
  <c r="W67" i="12"/>
  <c r="AL53" i="3"/>
  <c r="DG54" i="3"/>
  <c r="W66" i="12"/>
  <c r="AL52" i="3"/>
  <c r="DG53" i="3"/>
  <c r="W65" i="12"/>
  <c r="AL51" i="3"/>
  <c r="DG52" i="3"/>
  <c r="W64" i="12"/>
  <c r="AL50" i="3"/>
  <c r="DG51" i="3"/>
  <c r="W62" i="12"/>
  <c r="AL49" i="3"/>
  <c r="DG50" i="3"/>
  <c r="W60" i="12"/>
  <c r="AL48" i="3"/>
  <c r="DG49" i="3"/>
  <c r="W59" i="12"/>
  <c r="AL47" i="3"/>
  <c r="DG48" i="3"/>
  <c r="W58" i="12"/>
  <c r="AL46" i="3"/>
  <c r="DG47" i="3"/>
  <c r="W56" i="12"/>
  <c r="AL45" i="3"/>
  <c r="DG46" i="3"/>
  <c r="W55" i="12"/>
  <c r="AL44" i="3"/>
  <c r="DG45" i="3"/>
  <c r="W54" i="12"/>
  <c r="AL43" i="3"/>
  <c r="DG44" i="3"/>
  <c r="W50" i="12"/>
  <c r="AL42" i="3"/>
  <c r="DG43" i="3"/>
  <c r="W49" i="12"/>
  <c r="AL41" i="3"/>
  <c r="DG42" i="3"/>
  <c r="W47" i="12"/>
  <c r="AL40" i="3"/>
  <c r="DG41" i="3"/>
  <c r="W46" i="12"/>
  <c r="AL39" i="3"/>
  <c r="DG40" i="3"/>
  <c r="W45" i="12"/>
  <c r="AL38" i="3"/>
  <c r="DG39" i="3"/>
  <c r="AL37" i="3"/>
  <c r="DG38" i="3"/>
  <c r="W43" i="12"/>
  <c r="AL36" i="3"/>
  <c r="DG37" i="3"/>
  <c r="W40" i="12"/>
  <c r="AL35" i="3"/>
  <c r="DG36" i="3"/>
  <c r="W39" i="12"/>
  <c r="AL34" i="3"/>
  <c r="DG35" i="3"/>
  <c r="W38" i="12"/>
  <c r="AL33" i="3"/>
  <c r="DG34" i="3"/>
  <c r="W37" i="12"/>
  <c r="AL32" i="3"/>
  <c r="DG33" i="3"/>
  <c r="W35" i="12"/>
  <c r="AL31" i="3"/>
  <c r="DG32" i="3"/>
  <c r="W34" i="12"/>
  <c r="AL30" i="3"/>
  <c r="DG31" i="3"/>
  <c r="W33" i="12"/>
  <c r="AL29" i="3"/>
  <c r="DG30" i="3"/>
  <c r="W32" i="12"/>
  <c r="AL28" i="3"/>
  <c r="DG29" i="3"/>
  <c r="W31" i="12"/>
  <c r="AL27" i="3"/>
  <c r="DG28" i="3"/>
  <c r="AL26" i="3"/>
  <c r="DG27" i="3"/>
  <c r="W28" i="12"/>
  <c r="AL25" i="3"/>
  <c r="DG26" i="3"/>
  <c r="W27" i="12"/>
  <c r="AL24" i="3"/>
  <c r="DG25" i="3"/>
  <c r="W26" i="12"/>
  <c r="AL23" i="3"/>
  <c r="DG24" i="3"/>
  <c r="W25" i="12"/>
  <c r="AL22" i="3"/>
  <c r="DG23" i="3"/>
  <c r="W23" i="12"/>
  <c r="AL21" i="3"/>
  <c r="DG22" i="3"/>
  <c r="W22" i="12"/>
  <c r="AL20" i="3"/>
  <c r="DG21" i="3"/>
  <c r="W21" i="12"/>
  <c r="AL19" i="3"/>
  <c r="DG20" i="3"/>
  <c r="W18" i="12"/>
  <c r="AL18" i="3"/>
  <c r="DG19" i="3"/>
  <c r="W15" i="12"/>
  <c r="AL17" i="3"/>
  <c r="DG18" i="3"/>
  <c r="W13" i="12"/>
  <c r="AL16" i="3"/>
  <c r="DG17" i="3"/>
  <c r="W12" i="12"/>
  <c r="AL15" i="3"/>
  <c r="DG16" i="3"/>
  <c r="W11" i="12"/>
  <c r="AL14" i="3"/>
  <c r="DG15" i="3"/>
  <c r="DG14" i="3"/>
  <c r="W10" i="12"/>
  <c r="AL12" i="3"/>
  <c r="DG13" i="3"/>
  <c r="W9" i="12"/>
  <c r="AL11" i="3"/>
  <c r="DG12" i="3"/>
  <c r="W8" i="12"/>
  <c r="AL10" i="3"/>
  <c r="DG11" i="3"/>
  <c r="W7" i="12"/>
  <c r="AL9" i="3"/>
  <c r="DG10" i="3"/>
  <c r="EI10" i="3"/>
  <c r="EI11" i="3"/>
  <c r="EI12" i="3"/>
  <c r="EI13" i="3"/>
  <c r="EI14" i="3"/>
  <c r="EI15" i="3"/>
  <c r="EI16" i="3"/>
  <c r="EI17" i="3"/>
  <c r="EI18" i="3"/>
  <c r="EI19" i="3"/>
  <c r="EI20" i="3"/>
  <c r="EI21" i="3"/>
  <c r="EI22" i="3"/>
  <c r="EI23" i="3"/>
  <c r="EI24" i="3"/>
  <c r="EI25" i="3"/>
  <c r="EI26" i="3"/>
  <c r="EI27" i="3"/>
  <c r="EI28" i="3"/>
  <c r="EI29" i="3"/>
  <c r="EI30" i="3"/>
  <c r="EI31" i="3"/>
  <c r="EI32" i="3"/>
  <c r="EI33" i="3"/>
  <c r="EI34" i="3"/>
  <c r="EI35" i="3"/>
  <c r="EI36" i="3"/>
  <c r="EI37" i="3"/>
  <c r="EI38" i="3"/>
  <c r="EI39" i="3"/>
  <c r="EI40" i="3"/>
  <c r="EI41" i="3"/>
  <c r="EI42" i="3"/>
  <c r="EI43" i="3"/>
  <c r="EI44" i="3"/>
  <c r="EI45" i="3"/>
  <c r="EI46" i="3"/>
  <c r="EI47" i="3"/>
  <c r="EI48" i="3"/>
  <c r="EI49" i="3"/>
  <c r="EI50" i="3"/>
  <c r="EI51" i="3"/>
  <c r="EI52" i="3"/>
  <c r="EI53" i="3"/>
  <c r="EI54" i="3"/>
  <c r="EI55" i="3"/>
  <c r="EI56" i="3"/>
  <c r="EI57" i="3"/>
  <c r="EI58" i="3"/>
  <c r="EI59" i="3"/>
  <c r="EI60" i="3"/>
  <c r="EI61" i="3"/>
  <c r="EI62" i="3"/>
  <c r="EI63" i="3"/>
  <c r="EI64" i="3"/>
  <c r="EI65" i="3"/>
  <c r="EI66" i="3"/>
  <c r="EI67" i="3"/>
  <c r="EI68" i="3"/>
  <c r="EI69" i="3"/>
  <c r="EI70" i="3"/>
  <c r="EI71" i="3"/>
  <c r="EI72" i="3"/>
  <c r="EI73" i="3"/>
  <c r="EI74" i="3"/>
  <c r="EI75" i="3"/>
  <c r="EI76" i="3"/>
  <c r="EI77" i="3"/>
  <c r="EI78" i="3"/>
  <c r="EI79" i="3"/>
  <c r="EI80" i="3"/>
  <c r="EI81" i="3"/>
  <c r="EI82" i="3"/>
  <c r="EI83" i="3"/>
  <c r="EI84" i="3"/>
  <c r="EI85" i="3"/>
  <c r="EI86" i="3"/>
  <c r="EI87" i="3"/>
  <c r="EI88" i="3"/>
  <c r="EI89" i="3"/>
  <c r="EI90" i="3"/>
  <c r="EI91" i="3"/>
  <c r="EI92" i="3"/>
  <c r="EI93" i="3"/>
  <c r="EI94" i="3"/>
  <c r="EI95" i="3"/>
  <c r="EI96" i="3"/>
  <c r="EI97" i="3"/>
  <c r="EI98" i="3"/>
  <c r="EI99" i="3"/>
  <c r="EI100" i="3"/>
  <c r="EI101" i="3"/>
  <c r="EI102" i="3"/>
  <c r="EI103" i="3"/>
  <c r="EI104" i="3"/>
  <c r="EI105" i="3"/>
  <c r="EI106" i="3"/>
  <c r="EI107" i="3"/>
  <c r="EI108" i="3"/>
  <c r="EI109" i="3"/>
  <c r="EI110" i="3"/>
  <c r="EI111" i="3"/>
  <c r="EI112" i="3"/>
  <c r="EI113" i="3"/>
  <c r="EI114" i="3"/>
  <c r="EI115" i="3"/>
  <c r="EI116" i="3"/>
  <c r="EI117" i="3"/>
  <c r="EI118" i="3"/>
  <c r="EI119" i="3"/>
  <c r="EI120" i="3"/>
  <c r="EI121" i="3"/>
  <c r="EI122" i="3"/>
  <c r="EI123" i="3"/>
  <c r="EI124" i="3"/>
  <c r="EI125" i="3"/>
  <c r="EI126" i="3"/>
  <c r="EI127" i="3"/>
  <c r="EI128" i="3"/>
  <c r="EI129" i="3"/>
  <c r="EI130" i="3"/>
  <c r="EI131" i="3"/>
  <c r="EI132" i="3"/>
  <c r="EI133" i="3"/>
  <c r="EI134" i="3"/>
  <c r="EI135" i="3"/>
  <c r="EI136" i="3"/>
  <c r="EI137" i="3"/>
  <c r="EI138" i="3"/>
  <c r="EI139" i="3"/>
  <c r="EI140" i="3"/>
  <c r="EI141" i="3"/>
  <c r="EI142" i="3"/>
  <c r="EI143" i="3"/>
  <c r="EI144" i="3"/>
  <c r="EI145" i="3"/>
  <c r="EI146" i="3"/>
  <c r="EI147" i="3"/>
  <c r="EI148" i="3"/>
  <c r="EI149" i="3"/>
  <c r="EI150" i="3"/>
  <c r="EI151" i="3"/>
  <c r="EI152" i="3"/>
  <c r="EI153" i="3"/>
  <c r="EI154" i="3"/>
  <c r="EI9" i="3"/>
  <c r="FH9" i="3"/>
  <c r="EF10" i="3"/>
  <c r="EF11" i="3"/>
  <c r="EF12" i="3"/>
  <c r="EF13" i="3"/>
  <c r="EF14" i="3"/>
  <c r="EF15" i="3"/>
  <c r="EF16" i="3"/>
  <c r="EF17" i="3"/>
  <c r="EF18" i="3"/>
  <c r="EF19" i="3"/>
  <c r="EF20" i="3"/>
  <c r="EF21" i="3"/>
  <c r="EF22" i="3"/>
  <c r="EF23" i="3"/>
  <c r="EF24" i="3"/>
  <c r="EF25" i="3"/>
  <c r="EF26" i="3"/>
  <c r="EF27" i="3"/>
  <c r="EF28" i="3"/>
  <c r="EF29" i="3"/>
  <c r="EF30" i="3"/>
  <c r="EF31" i="3"/>
  <c r="EF32" i="3"/>
  <c r="EF33" i="3"/>
  <c r="EF34" i="3"/>
  <c r="EF35" i="3"/>
  <c r="EF36" i="3"/>
  <c r="EF37" i="3"/>
  <c r="EF38" i="3"/>
  <c r="EF39" i="3"/>
  <c r="EF40" i="3"/>
  <c r="EF41" i="3"/>
  <c r="EF42" i="3"/>
  <c r="EF43" i="3"/>
  <c r="EF44" i="3"/>
  <c r="EF45" i="3"/>
  <c r="EF46" i="3"/>
  <c r="EF47" i="3"/>
  <c r="EF48" i="3"/>
  <c r="EF49" i="3"/>
  <c r="EF50" i="3"/>
  <c r="EF51" i="3"/>
  <c r="EF52" i="3"/>
  <c r="EF53" i="3"/>
  <c r="EF54" i="3"/>
  <c r="EF55" i="3"/>
  <c r="EF56" i="3"/>
  <c r="EF57" i="3"/>
  <c r="EF58" i="3"/>
  <c r="EF59" i="3"/>
  <c r="EF60" i="3"/>
  <c r="EF61" i="3"/>
  <c r="EF62" i="3"/>
  <c r="EF63" i="3"/>
  <c r="EF64" i="3"/>
  <c r="EF65" i="3"/>
  <c r="EF66" i="3"/>
  <c r="EF67" i="3"/>
  <c r="EF68" i="3"/>
  <c r="EF69" i="3"/>
  <c r="EF70" i="3"/>
  <c r="EF71" i="3"/>
  <c r="EF72" i="3"/>
  <c r="EF73" i="3"/>
  <c r="EF74" i="3"/>
  <c r="EF75" i="3"/>
  <c r="EF76" i="3"/>
  <c r="EF77" i="3"/>
  <c r="EF78" i="3"/>
  <c r="EF79" i="3"/>
  <c r="EF80" i="3"/>
  <c r="EF81" i="3"/>
  <c r="EF82" i="3"/>
  <c r="EF83" i="3"/>
  <c r="EF84" i="3"/>
  <c r="EF85" i="3"/>
  <c r="EF86" i="3"/>
  <c r="EF87" i="3"/>
  <c r="EF88" i="3"/>
  <c r="EF89" i="3"/>
  <c r="EF90" i="3"/>
  <c r="EF91" i="3"/>
  <c r="EF92" i="3"/>
  <c r="EF93" i="3"/>
  <c r="EF94" i="3"/>
  <c r="EF95" i="3"/>
  <c r="EF96" i="3"/>
  <c r="EF97" i="3"/>
  <c r="EF98" i="3"/>
  <c r="EF99" i="3"/>
  <c r="EF100" i="3"/>
  <c r="EF101" i="3"/>
  <c r="EF102" i="3"/>
  <c r="EF103" i="3"/>
  <c r="EF104" i="3"/>
  <c r="EF105" i="3"/>
  <c r="EF106" i="3"/>
  <c r="EF107" i="3"/>
  <c r="EF108" i="3"/>
  <c r="EF109" i="3"/>
  <c r="EF110" i="3"/>
  <c r="EF111" i="3"/>
  <c r="EF112" i="3"/>
  <c r="EF113" i="3"/>
  <c r="EF114" i="3"/>
  <c r="EF115" i="3"/>
  <c r="EF116" i="3"/>
  <c r="EF117" i="3"/>
  <c r="EF118" i="3"/>
  <c r="EF119" i="3"/>
  <c r="EF120" i="3"/>
  <c r="EF121" i="3"/>
  <c r="EF122" i="3"/>
  <c r="EF123" i="3"/>
  <c r="EF124" i="3"/>
  <c r="EF125" i="3"/>
  <c r="EF126" i="3"/>
  <c r="EF127" i="3"/>
  <c r="EF128" i="3"/>
  <c r="EF129" i="3"/>
  <c r="EF130" i="3"/>
  <c r="EF131" i="3"/>
  <c r="EF132" i="3"/>
  <c r="EF133" i="3"/>
  <c r="EF134" i="3"/>
  <c r="EF135" i="3"/>
  <c r="EF136" i="3"/>
  <c r="EF137" i="3"/>
  <c r="EF138" i="3"/>
  <c r="EF139" i="3"/>
  <c r="EF140" i="3"/>
  <c r="EF141" i="3"/>
  <c r="EF142" i="3"/>
  <c r="EF143" i="3"/>
  <c r="EF144" i="3"/>
  <c r="EF145" i="3"/>
  <c r="EF146" i="3"/>
  <c r="EF147" i="3"/>
  <c r="EF148" i="3"/>
  <c r="EF149" i="3"/>
  <c r="EF150" i="3"/>
  <c r="EF151" i="3"/>
  <c r="EF152" i="3"/>
  <c r="EF153" i="3"/>
  <c r="EF154" i="3"/>
  <c r="EF9" i="3"/>
  <c r="FC9" i="3"/>
  <c r="S74" i="13"/>
  <c r="S76" i="13"/>
  <c r="S79" i="13"/>
  <c r="S80" i="13"/>
  <c r="S70" i="13"/>
  <c r="S69" i="13"/>
  <c r="S71" i="13"/>
  <c r="S82" i="13"/>
  <c r="S83" i="13"/>
  <c r="S84" i="13"/>
  <c r="S66" i="13"/>
  <c r="S46" i="13"/>
  <c r="S33" i="13"/>
  <c r="T23" i="4"/>
  <c r="T24" i="4"/>
  <c r="T71" i="4"/>
  <c r="T72" i="4"/>
  <c r="T49" i="4"/>
  <c r="T66" i="4"/>
  <c r="T43" i="4"/>
  <c r="T61" i="4"/>
  <c r="T53" i="4"/>
  <c r="T47" i="4"/>
  <c r="T74" i="4"/>
  <c r="T78" i="4"/>
  <c r="T80" i="4"/>
  <c r="T79" i="4"/>
  <c r="S20" i="13"/>
  <c r="F36" i="7"/>
  <c r="F35" i="7"/>
  <c r="F37" i="7"/>
  <c r="F51" i="7"/>
  <c r="F62" i="7"/>
  <c r="F64" i="7"/>
  <c r="H36" i="7"/>
  <c r="H35" i="7"/>
  <c r="H37" i="7"/>
  <c r="H47" i="7"/>
  <c r="H63" i="7"/>
  <c r="H50" i="7"/>
  <c r="H51" i="7"/>
  <c r="H42" i="7"/>
  <c r="H44" i="7"/>
  <c r="H62" i="7"/>
  <c r="H64" i="7"/>
  <c r="R56" i="7"/>
  <c r="R35" i="7"/>
  <c r="R37" i="7"/>
  <c r="R54" i="7"/>
  <c r="R42" i="7"/>
  <c r="R44" i="7"/>
  <c r="R62" i="7"/>
  <c r="R64" i="7"/>
  <c r="Z42" i="7"/>
  <c r="Z44" i="7"/>
  <c r="Z35" i="7"/>
  <c r="Z37" i="7"/>
  <c r="Z54" i="7"/>
  <c r="Z56" i="7"/>
  <c r="Z57" i="7"/>
  <c r="Z62" i="7"/>
  <c r="Z64" i="7"/>
  <c r="Z33" i="7"/>
  <c r="P32" i="14"/>
  <c r="P20" i="14"/>
  <c r="R22" i="4"/>
  <c r="R23" i="4"/>
  <c r="R24" i="4"/>
  <c r="R71" i="4"/>
  <c r="R72" i="4"/>
  <c r="R49" i="4"/>
  <c r="R53" i="4"/>
  <c r="R43" i="4"/>
  <c r="R47" i="4"/>
  <c r="R66" i="4"/>
  <c r="R61" i="4"/>
  <c r="R74" i="4"/>
  <c r="R78" i="4"/>
  <c r="R80" i="4"/>
  <c r="R79" i="4"/>
  <c r="Q79" i="13"/>
  <c r="Q74" i="13"/>
  <c r="Q76" i="13"/>
  <c r="Q70" i="13"/>
  <c r="Q69" i="13"/>
  <c r="Q71" i="13"/>
  <c r="Q82" i="13"/>
  <c r="Q83" i="13"/>
  <c r="Q84" i="13"/>
  <c r="Q80" i="13"/>
  <c r="Q66" i="13"/>
  <c r="Q46" i="13"/>
  <c r="Q33" i="13"/>
  <c r="Q20" i="13"/>
  <c r="W54" i="13"/>
  <c r="W57" i="13"/>
  <c r="X57" i="7"/>
  <c r="X56" i="7"/>
  <c r="X54" i="7"/>
  <c r="X42" i="7"/>
  <c r="X44" i="7"/>
  <c r="X35" i="7"/>
  <c r="X37" i="7"/>
  <c r="X62" i="7"/>
  <c r="X64" i="7"/>
  <c r="X33" i="7"/>
  <c r="AI14" i="13"/>
  <c r="FP108" i="3"/>
  <c r="V49" i="4"/>
  <c r="V60" i="4"/>
  <c r="V61" i="4"/>
  <c r="V47" i="4"/>
  <c r="V65" i="4"/>
  <c r="V66" i="4"/>
  <c r="V53" i="4"/>
  <c r="V74" i="4"/>
  <c r="V23" i="4"/>
  <c r="V24" i="4"/>
  <c r="V71" i="4"/>
  <c r="V72" i="4"/>
  <c r="V62" i="4"/>
  <c r="V67" i="4"/>
  <c r="V73" i="4"/>
  <c r="V78" i="4"/>
  <c r="D25" i="6"/>
  <c r="D26" i="6"/>
  <c r="D32" i="6"/>
  <c r="D29" i="6"/>
  <c r="D28" i="6"/>
  <c r="D30" i="6"/>
  <c r="D34" i="6"/>
  <c r="D35" i="6"/>
  <c r="D59" i="6"/>
  <c r="D60" i="6"/>
  <c r="D61" i="6"/>
  <c r="D63" i="6"/>
  <c r="D66" i="6"/>
  <c r="D68" i="6"/>
  <c r="D70" i="6"/>
  <c r="D71" i="6"/>
  <c r="AK23" i="13"/>
  <c r="AK26" i="13"/>
  <c r="AK63" i="13"/>
  <c r="AK87" i="13"/>
  <c r="AK65" i="13"/>
  <c r="AK74" i="13"/>
  <c r="AK76" i="13"/>
  <c r="AI26" i="13"/>
  <c r="AI19" i="13"/>
  <c r="AI23" i="13"/>
  <c r="AI27" i="13"/>
  <c r="AI22" i="13"/>
  <c r="AI24" i="13"/>
  <c r="O20" i="13"/>
  <c r="AI20" i="13"/>
  <c r="AI18" i="13"/>
  <c r="AG19" i="13"/>
  <c r="M20" i="13"/>
  <c r="AG20" i="13"/>
  <c r="AG18" i="13"/>
  <c r="AG26" i="13"/>
  <c r="AG23" i="13"/>
  <c r="AG27" i="13"/>
  <c r="AG24" i="13"/>
  <c r="AG22" i="13"/>
  <c r="AG14" i="13"/>
  <c r="BW10" i="3"/>
  <c r="FP10" i="3"/>
  <c r="FP11" i="3"/>
  <c r="FP12" i="3"/>
  <c r="FN13" i="3"/>
  <c r="FP14" i="3"/>
  <c r="FN15" i="3"/>
  <c r="FP16" i="3"/>
  <c r="FN17" i="3"/>
  <c r="FP18" i="3"/>
  <c r="FP19" i="3"/>
  <c r="FP20" i="3"/>
  <c r="FP21" i="3"/>
  <c r="FN22" i="3"/>
  <c r="FN23" i="3"/>
  <c r="FN24" i="3"/>
  <c r="FP25" i="3"/>
  <c r="FN26" i="3"/>
  <c r="FN27" i="3"/>
  <c r="FN28" i="3"/>
  <c r="FN29" i="3"/>
  <c r="FP30" i="3"/>
  <c r="FP31" i="3"/>
  <c r="FN32" i="3"/>
  <c r="FN33" i="3"/>
  <c r="FP34" i="3"/>
  <c r="FP35" i="3"/>
  <c r="FP36" i="3"/>
  <c r="FP37" i="3"/>
  <c r="FP38" i="3"/>
  <c r="FP39" i="3"/>
  <c r="FN40" i="3"/>
  <c r="FP41" i="3"/>
  <c r="FP42" i="3"/>
  <c r="FP43" i="3"/>
  <c r="FP44" i="3"/>
  <c r="FP45" i="3"/>
  <c r="FP46" i="3"/>
  <c r="FP47" i="3"/>
  <c r="FP48" i="3"/>
  <c r="FP49" i="3"/>
  <c r="FN50" i="3"/>
  <c r="FP51" i="3"/>
  <c r="FP52" i="3"/>
  <c r="FP53" i="3"/>
  <c r="FP54" i="3"/>
  <c r="FP55" i="3"/>
  <c r="FP56" i="3"/>
  <c r="FP57" i="3"/>
  <c r="FP58" i="3"/>
  <c r="FP59" i="3"/>
  <c r="FP60" i="3"/>
  <c r="FP61" i="3"/>
  <c r="FP62" i="3"/>
  <c r="FP63" i="3"/>
  <c r="FP64" i="3"/>
  <c r="FP65" i="3"/>
  <c r="FP66" i="3"/>
  <c r="FP67" i="3"/>
  <c r="FP68" i="3"/>
  <c r="FP69" i="3"/>
  <c r="FP70" i="3"/>
  <c r="FP71" i="3"/>
  <c r="FP72" i="3"/>
  <c r="FP73" i="3"/>
  <c r="FP74" i="3"/>
  <c r="FP75" i="3"/>
  <c r="FP77" i="3"/>
  <c r="FP78" i="3"/>
  <c r="FP79" i="3"/>
  <c r="FP80" i="3"/>
  <c r="FP83" i="3"/>
  <c r="FP84" i="3"/>
  <c r="FP85" i="3"/>
  <c r="FP87" i="3"/>
  <c r="FP89" i="3"/>
  <c r="FP91" i="3"/>
  <c r="FP92" i="3"/>
  <c r="FP93" i="3"/>
  <c r="FP94" i="3"/>
  <c r="FP97" i="3"/>
  <c r="FP98" i="3"/>
  <c r="FP99" i="3"/>
  <c r="FP100" i="3"/>
  <c r="FP102" i="3"/>
  <c r="FP103" i="3"/>
  <c r="FP104" i="3"/>
  <c r="FP106" i="3"/>
  <c r="FP107" i="3"/>
  <c r="FP109" i="3"/>
  <c r="FP110" i="3"/>
  <c r="FP112" i="3"/>
  <c r="FP113" i="3"/>
  <c r="FP114" i="3"/>
  <c r="FP115" i="3"/>
  <c r="FP116" i="3"/>
  <c r="FP117" i="3"/>
  <c r="FP119" i="3"/>
  <c r="FP120" i="3"/>
  <c r="FP121" i="3"/>
  <c r="FP122" i="3"/>
  <c r="FP123" i="3"/>
  <c r="FP124" i="3"/>
  <c r="FP125" i="3"/>
  <c r="FP126" i="3"/>
  <c r="FP127" i="3"/>
  <c r="FP128" i="3"/>
  <c r="FP129" i="3"/>
  <c r="FP131" i="3"/>
  <c r="FP133" i="3"/>
  <c r="FP135" i="3"/>
  <c r="FP136" i="3"/>
  <c r="FP137" i="3"/>
  <c r="FP138" i="3"/>
  <c r="FP139" i="3"/>
  <c r="FP140" i="3"/>
  <c r="FP143" i="3"/>
  <c r="FP144" i="3"/>
  <c r="FP145" i="3"/>
  <c r="FP146" i="3"/>
  <c r="FP147" i="3"/>
  <c r="FP149" i="3"/>
  <c r="FP150" i="3"/>
  <c r="FP152" i="3"/>
  <c r="FN9" i="3"/>
  <c r="FC13" i="3"/>
  <c r="FC15" i="3"/>
  <c r="FC17" i="3"/>
  <c r="FC22" i="3"/>
  <c r="FC23" i="3"/>
  <c r="FC24" i="3"/>
  <c r="FC26" i="3"/>
  <c r="FC27" i="3"/>
  <c r="FC28" i="3"/>
  <c r="FC29" i="3"/>
  <c r="FC32" i="3"/>
  <c r="FC33" i="3"/>
  <c r="FC40" i="3"/>
  <c r="FC50" i="3"/>
  <c r="DR87" i="3"/>
  <c r="DR10" i="3"/>
  <c r="DR11" i="3"/>
  <c r="DR12" i="3"/>
  <c r="DP13" i="3"/>
  <c r="DR14" i="3"/>
  <c r="DP15" i="3"/>
  <c r="DR16" i="3"/>
  <c r="DP17" i="3"/>
  <c r="DR18" i="3"/>
  <c r="DR19" i="3"/>
  <c r="DR20" i="3"/>
  <c r="DR21" i="3"/>
  <c r="DP22" i="3"/>
  <c r="DP23" i="3"/>
  <c r="DP24" i="3"/>
  <c r="DR25" i="3"/>
  <c r="DP26" i="3"/>
  <c r="DP27" i="3"/>
  <c r="DP28" i="3"/>
  <c r="DP29" i="3"/>
  <c r="DR30" i="3"/>
  <c r="DR31" i="3"/>
  <c r="DP32" i="3"/>
  <c r="DP33" i="3"/>
  <c r="DR34" i="3"/>
  <c r="DR35" i="3"/>
  <c r="DR36" i="3"/>
  <c r="DR37" i="3"/>
  <c r="DR38" i="3"/>
  <c r="DR39" i="3"/>
  <c r="DP40" i="3"/>
  <c r="DR41" i="3"/>
  <c r="DR42" i="3"/>
  <c r="DR43" i="3"/>
  <c r="DR44" i="3"/>
  <c r="DR45" i="3"/>
  <c r="DR46" i="3"/>
  <c r="DR47" i="3"/>
  <c r="DR48" i="3"/>
  <c r="DR49" i="3"/>
  <c r="DP50" i="3"/>
  <c r="DR51" i="3"/>
  <c r="DR52" i="3"/>
  <c r="DR53" i="3"/>
  <c r="DR54" i="3"/>
  <c r="DR55" i="3"/>
  <c r="DR56" i="3"/>
  <c r="DR57" i="3"/>
  <c r="DR58" i="3"/>
  <c r="DR59" i="3"/>
  <c r="DR60" i="3"/>
  <c r="DR61" i="3"/>
  <c r="DR62" i="3"/>
  <c r="DR63" i="3"/>
  <c r="DR64" i="3"/>
  <c r="DR65" i="3"/>
  <c r="DR66" i="3"/>
  <c r="DR67" i="3"/>
  <c r="DR68" i="3"/>
  <c r="DR69" i="3"/>
  <c r="DR70" i="3"/>
  <c r="DR71" i="3"/>
  <c r="DR72" i="3"/>
  <c r="DR73" i="3"/>
  <c r="DR74" i="3"/>
  <c r="DR75" i="3"/>
  <c r="DR77" i="3"/>
  <c r="DR78" i="3"/>
  <c r="DR79" i="3"/>
  <c r="DR80" i="3"/>
  <c r="DR83" i="3"/>
  <c r="DR84" i="3"/>
  <c r="DR85" i="3"/>
  <c r="DR89" i="3"/>
  <c r="DR91" i="3"/>
  <c r="DR92" i="3"/>
  <c r="DR93" i="3"/>
  <c r="DR94" i="3"/>
  <c r="DR97" i="3"/>
  <c r="DR98" i="3"/>
  <c r="DR99" i="3"/>
  <c r="DR100" i="3"/>
  <c r="DR102" i="3"/>
  <c r="DR103" i="3"/>
  <c r="DR104" i="3"/>
  <c r="DR106" i="3"/>
  <c r="DR107" i="3"/>
  <c r="DR108" i="3"/>
  <c r="DR109" i="3"/>
  <c r="DR110" i="3"/>
  <c r="DR112" i="3"/>
  <c r="DR113" i="3"/>
  <c r="DR114" i="3"/>
  <c r="DR115" i="3"/>
  <c r="DR116" i="3"/>
  <c r="DR117" i="3"/>
  <c r="DR119" i="3"/>
  <c r="DR120" i="3"/>
  <c r="DR121" i="3"/>
  <c r="DR122" i="3"/>
  <c r="DR123" i="3"/>
  <c r="DR124" i="3"/>
  <c r="DR125" i="3"/>
  <c r="DR126" i="3"/>
  <c r="DR127" i="3"/>
  <c r="DR128" i="3"/>
  <c r="DR129" i="3"/>
  <c r="DR131" i="3"/>
  <c r="DR133" i="3"/>
  <c r="DR135" i="3"/>
  <c r="DR136" i="3"/>
  <c r="DR137" i="3"/>
  <c r="DR138" i="3"/>
  <c r="DR139" i="3"/>
  <c r="DR140" i="3"/>
  <c r="DR143" i="3"/>
  <c r="DR144" i="3"/>
  <c r="DR145" i="3"/>
  <c r="DR146" i="3"/>
  <c r="DR147" i="3"/>
  <c r="DR149" i="3"/>
  <c r="DR150" i="3"/>
  <c r="DR152" i="3"/>
  <c r="DP9" i="3"/>
  <c r="CV11" i="3"/>
  <c r="CV12" i="3"/>
  <c r="CV14" i="3"/>
  <c r="CV16" i="3"/>
  <c r="CV18" i="3"/>
  <c r="CV19" i="3"/>
  <c r="CV20" i="3"/>
  <c r="CV21" i="3"/>
  <c r="CV25" i="3"/>
  <c r="CV30" i="3"/>
  <c r="CV31" i="3"/>
  <c r="CV34" i="3"/>
  <c r="CV35" i="3"/>
  <c r="CV36" i="3"/>
  <c r="CV37" i="3"/>
  <c r="CV38" i="3"/>
  <c r="CV39" i="3"/>
  <c r="CV41" i="3"/>
  <c r="CV42" i="3"/>
  <c r="CV43" i="3"/>
  <c r="CV44" i="3"/>
  <c r="CV45" i="3"/>
  <c r="CV46" i="3"/>
  <c r="CV47" i="3"/>
  <c r="CV48" i="3"/>
  <c r="CV49" i="3"/>
  <c r="CV51" i="3"/>
  <c r="CV52" i="3"/>
  <c r="CV53" i="3"/>
  <c r="CV54" i="3"/>
  <c r="CV55" i="3"/>
  <c r="CV56" i="3"/>
  <c r="CV57" i="3"/>
  <c r="CV58" i="3"/>
  <c r="CV59" i="3"/>
  <c r="CV60" i="3"/>
  <c r="CV61" i="3"/>
  <c r="CV62" i="3"/>
  <c r="CV63" i="3"/>
  <c r="CV64" i="3"/>
  <c r="CV65" i="3"/>
  <c r="CV66" i="3"/>
  <c r="CV67" i="3"/>
  <c r="CV68" i="3"/>
  <c r="CV69" i="3"/>
  <c r="CV70" i="3"/>
  <c r="CV71" i="3"/>
  <c r="CV72" i="3"/>
  <c r="CV73" i="3"/>
  <c r="CV74" i="3"/>
  <c r="CV75" i="3"/>
  <c r="CV77" i="3"/>
  <c r="CV78" i="3"/>
  <c r="CV79" i="3"/>
  <c r="CV80" i="3"/>
  <c r="CV83" i="3"/>
  <c r="CV84" i="3"/>
  <c r="CV85" i="3"/>
  <c r="CV87" i="3"/>
  <c r="CV89" i="3"/>
  <c r="CV91" i="3"/>
  <c r="CV92" i="3"/>
  <c r="CV93" i="3"/>
  <c r="CV94" i="3"/>
  <c r="CV97" i="3"/>
  <c r="CV98" i="3"/>
  <c r="CV99" i="3"/>
  <c r="CV100" i="3"/>
  <c r="CV103" i="3"/>
  <c r="CV104" i="3"/>
  <c r="CV106" i="3"/>
  <c r="CV107" i="3"/>
  <c r="CV108" i="3"/>
  <c r="CV109" i="3"/>
  <c r="CV110" i="3"/>
  <c r="CV112" i="3"/>
  <c r="CV113" i="3"/>
  <c r="CV114" i="3"/>
  <c r="CV115" i="3"/>
  <c r="CV116" i="3"/>
  <c r="CV117" i="3"/>
  <c r="CV119" i="3"/>
  <c r="CV120" i="3"/>
  <c r="CV121" i="3"/>
  <c r="CV122" i="3"/>
  <c r="CV123" i="3"/>
  <c r="CV124" i="3"/>
  <c r="CV125" i="3"/>
  <c r="CV126" i="3"/>
  <c r="CV127" i="3"/>
  <c r="CV128" i="3"/>
  <c r="CV129" i="3"/>
  <c r="CV131" i="3"/>
  <c r="CV133" i="3"/>
  <c r="CV135" i="3"/>
  <c r="CV136" i="3"/>
  <c r="CV137" i="3"/>
  <c r="CV138" i="3"/>
  <c r="CV139" i="3"/>
  <c r="CV140" i="3"/>
  <c r="CV143" i="3"/>
  <c r="CV144" i="3"/>
  <c r="CV145" i="3"/>
  <c r="CV146" i="3"/>
  <c r="CV147" i="3"/>
  <c r="CV149" i="3"/>
  <c r="CV150" i="3"/>
  <c r="CV152" i="3"/>
  <c r="CV10" i="3"/>
  <c r="CG13" i="3"/>
  <c r="CI14" i="3"/>
  <c r="CG15" i="3"/>
  <c r="CI16" i="3"/>
  <c r="CG17" i="3"/>
  <c r="CI18" i="3"/>
  <c r="CI19" i="3"/>
  <c r="CI20" i="3"/>
  <c r="CI21" i="3"/>
  <c r="CG22" i="3"/>
  <c r="CG23" i="3"/>
  <c r="CG24" i="3"/>
  <c r="CI25" i="3"/>
  <c r="CG26" i="3"/>
  <c r="CG27" i="3"/>
  <c r="CG28" i="3"/>
  <c r="CG29" i="3"/>
  <c r="CI30" i="3"/>
  <c r="CI31" i="3"/>
  <c r="CG32" i="3"/>
  <c r="CG33" i="3"/>
  <c r="CI34" i="3"/>
  <c r="CI35" i="3"/>
  <c r="CI36" i="3"/>
  <c r="CI37" i="3"/>
  <c r="CI38" i="3"/>
  <c r="CI39" i="3"/>
  <c r="CG40" i="3"/>
  <c r="CI41" i="3"/>
  <c r="CI42" i="3"/>
  <c r="CI43" i="3"/>
  <c r="CI44" i="3"/>
  <c r="CI45" i="3"/>
  <c r="CI46" i="3"/>
  <c r="CI47" i="3"/>
  <c r="CI48" i="3"/>
  <c r="CI49" i="3"/>
  <c r="CG50" i="3"/>
  <c r="CI51" i="3"/>
  <c r="CI52" i="3"/>
  <c r="CI53" i="3"/>
  <c r="CI54" i="3"/>
  <c r="CI55" i="3"/>
  <c r="CI56" i="3"/>
  <c r="CI57" i="3"/>
  <c r="CI58" i="3"/>
  <c r="CI59" i="3"/>
  <c r="CI60" i="3"/>
  <c r="CI61" i="3"/>
  <c r="CI62" i="3"/>
  <c r="CI63" i="3"/>
  <c r="CI64" i="3"/>
  <c r="CI65" i="3"/>
  <c r="CI66" i="3"/>
  <c r="CI67" i="3"/>
  <c r="CI68" i="3"/>
  <c r="CI69" i="3"/>
  <c r="CI70" i="3"/>
  <c r="CI71" i="3"/>
  <c r="CI72" i="3"/>
  <c r="CI73" i="3"/>
  <c r="CI74" i="3"/>
  <c r="CI75" i="3"/>
  <c r="CI77" i="3"/>
  <c r="CI78" i="3"/>
  <c r="CI79" i="3"/>
  <c r="CI80" i="3"/>
  <c r="CI83" i="3"/>
  <c r="CI84" i="3"/>
  <c r="CI85" i="3"/>
  <c r="CI87" i="3"/>
  <c r="CI89" i="3"/>
  <c r="CI91" i="3"/>
  <c r="CI92" i="3"/>
  <c r="CI93" i="3"/>
  <c r="CI94" i="3"/>
  <c r="CI97" i="3"/>
  <c r="CI98" i="3"/>
  <c r="CI99" i="3"/>
  <c r="CI100" i="3"/>
  <c r="CI102" i="3"/>
  <c r="CI103" i="3"/>
  <c r="CI104" i="3"/>
  <c r="CI106" i="3"/>
  <c r="CI107" i="3"/>
  <c r="CI108" i="3"/>
  <c r="CI109" i="3"/>
  <c r="CI110" i="3"/>
  <c r="CI112" i="3"/>
  <c r="CI113" i="3"/>
  <c r="CI114" i="3"/>
  <c r="CI115" i="3"/>
  <c r="CI116" i="3"/>
  <c r="CI117" i="3"/>
  <c r="CI119" i="3"/>
  <c r="CI120" i="3"/>
  <c r="CI121" i="3"/>
  <c r="CI122" i="3"/>
  <c r="CI123" i="3"/>
  <c r="CI124" i="3"/>
  <c r="CI125" i="3"/>
  <c r="CI126" i="3"/>
  <c r="CI127" i="3"/>
  <c r="CI128" i="3"/>
  <c r="CI129" i="3"/>
  <c r="CI131" i="3"/>
  <c r="CI133" i="3"/>
  <c r="CI135" i="3"/>
  <c r="CI136" i="3"/>
  <c r="CI137" i="3"/>
  <c r="CI138" i="3"/>
  <c r="CI139" i="3"/>
  <c r="CI140" i="3"/>
  <c r="CI143" i="3"/>
  <c r="CI144" i="3"/>
  <c r="CI145" i="3"/>
  <c r="CI146" i="3"/>
  <c r="CI147" i="3"/>
  <c r="CI149" i="3"/>
  <c r="CI150" i="3"/>
  <c r="CI152" i="3"/>
  <c r="CI12" i="3"/>
  <c r="CI11" i="3"/>
  <c r="CI10" i="3"/>
  <c r="CG9" i="3"/>
  <c r="BU22" i="3"/>
  <c r="BU23" i="3"/>
  <c r="BU24" i="3"/>
  <c r="BW25" i="3"/>
  <c r="BU26" i="3"/>
  <c r="BU27" i="3"/>
  <c r="BU28" i="3"/>
  <c r="BU29" i="3"/>
  <c r="BW30" i="3"/>
  <c r="BW31" i="3"/>
  <c r="BU32" i="3"/>
  <c r="BU33" i="3"/>
  <c r="BW34" i="3"/>
  <c r="BW35" i="3"/>
  <c r="BW36" i="3"/>
  <c r="BW37" i="3"/>
  <c r="BW38" i="3"/>
  <c r="BW39" i="3"/>
  <c r="BU40" i="3"/>
  <c r="BW41" i="3"/>
  <c r="BW42" i="3"/>
  <c r="BW43" i="3"/>
  <c r="BW44" i="3"/>
  <c r="BW45" i="3"/>
  <c r="BW46" i="3"/>
  <c r="BW47" i="3"/>
  <c r="BW48" i="3"/>
  <c r="BW49" i="3"/>
  <c r="BU50" i="3"/>
  <c r="BW51" i="3"/>
  <c r="BW52" i="3"/>
  <c r="BW53" i="3"/>
  <c r="BW54" i="3"/>
  <c r="BW55" i="3"/>
  <c r="BW56" i="3"/>
  <c r="BW57" i="3"/>
  <c r="BW58" i="3"/>
  <c r="BW59" i="3"/>
  <c r="BW60" i="3"/>
  <c r="BW61" i="3"/>
  <c r="BW62" i="3"/>
  <c r="BW63" i="3"/>
  <c r="BW64" i="3"/>
  <c r="BW65" i="3"/>
  <c r="BW66" i="3"/>
  <c r="BW67" i="3"/>
  <c r="BW68" i="3"/>
  <c r="BW69" i="3"/>
  <c r="BW70" i="3"/>
  <c r="BW71" i="3"/>
  <c r="BW72" i="3"/>
  <c r="BW73" i="3"/>
  <c r="BW74" i="3"/>
  <c r="BW75" i="3"/>
  <c r="BW77" i="3"/>
  <c r="BW78" i="3"/>
  <c r="BW79" i="3"/>
  <c r="BW80" i="3"/>
  <c r="BW83" i="3"/>
  <c r="BW84" i="3"/>
  <c r="BW85" i="3"/>
  <c r="BW87" i="3"/>
  <c r="BW89" i="3"/>
  <c r="BW91" i="3"/>
  <c r="BW92" i="3"/>
  <c r="BW93" i="3"/>
  <c r="BW94" i="3"/>
  <c r="BW97" i="3"/>
  <c r="BW98" i="3"/>
  <c r="BW99" i="3"/>
  <c r="BW100" i="3"/>
  <c r="BW102" i="3"/>
  <c r="BW103" i="3"/>
  <c r="BW104" i="3"/>
  <c r="BW106" i="3"/>
  <c r="BW107" i="3"/>
  <c r="BW108" i="3"/>
  <c r="BW109" i="3"/>
  <c r="BW110" i="3"/>
  <c r="BW112" i="3"/>
  <c r="BW113" i="3"/>
  <c r="BW114" i="3"/>
  <c r="BW115" i="3"/>
  <c r="BW116" i="3"/>
  <c r="BW117" i="3"/>
  <c r="BW119" i="3"/>
  <c r="BW120" i="3"/>
  <c r="BW121" i="3"/>
  <c r="BW122" i="3"/>
  <c r="BW123" i="3"/>
  <c r="BW124" i="3"/>
  <c r="BW125" i="3"/>
  <c r="BW126" i="3"/>
  <c r="BW127" i="3"/>
  <c r="BW128" i="3"/>
  <c r="BW129" i="3"/>
  <c r="BW131" i="3"/>
  <c r="BW133" i="3"/>
  <c r="BW135" i="3"/>
  <c r="BW136" i="3"/>
  <c r="BW137" i="3"/>
  <c r="BW138" i="3"/>
  <c r="BW139" i="3"/>
  <c r="BW140" i="3"/>
  <c r="BW143" i="3"/>
  <c r="BW144" i="3"/>
  <c r="BW145" i="3"/>
  <c r="BW146" i="3"/>
  <c r="BW147" i="3"/>
  <c r="BW149" i="3"/>
  <c r="BW150" i="3"/>
  <c r="BW152" i="3"/>
  <c r="BU15" i="3"/>
  <c r="BW16" i="3"/>
  <c r="BU17" i="3"/>
  <c r="BW18" i="3"/>
  <c r="BW19" i="3"/>
  <c r="BW20" i="3"/>
  <c r="BW21" i="3"/>
  <c r="BW12" i="3"/>
  <c r="BU13" i="3"/>
  <c r="BW14" i="3"/>
  <c r="BW11" i="3"/>
  <c r="J9" i="3"/>
  <c r="J13" i="3"/>
  <c r="J15" i="3"/>
  <c r="J17" i="3"/>
  <c r="J22" i="3"/>
  <c r="J23" i="3"/>
  <c r="J24" i="3"/>
  <c r="J26" i="3"/>
  <c r="J27" i="3"/>
  <c r="J28" i="3"/>
  <c r="J29" i="3"/>
  <c r="J32" i="3"/>
  <c r="J33" i="3"/>
  <c r="J40" i="3"/>
  <c r="J50" i="3"/>
  <c r="J76" i="3"/>
  <c r="J81" i="3"/>
  <c r="J82" i="3"/>
  <c r="J86" i="3"/>
  <c r="J88" i="3"/>
  <c r="J90" i="3"/>
  <c r="J95" i="3"/>
  <c r="J96" i="3"/>
  <c r="J101" i="3"/>
  <c r="J105" i="3"/>
  <c r="J111" i="3"/>
  <c r="J118" i="3"/>
  <c r="J130" i="3"/>
  <c r="J132" i="3"/>
  <c r="J134" i="3"/>
  <c r="J141" i="3"/>
  <c r="J142" i="3"/>
  <c r="J148" i="3"/>
  <c r="J151" i="3"/>
  <c r="J153" i="3"/>
  <c r="J154" i="3"/>
  <c r="FW10" i="3"/>
  <c r="FX10" i="3"/>
  <c r="FW11" i="3"/>
  <c r="FX11" i="3"/>
  <c r="FW12" i="3"/>
  <c r="FX12" i="3"/>
  <c r="FW13" i="3"/>
  <c r="FW14" i="3"/>
  <c r="FX14" i="3"/>
  <c r="FW15" i="3"/>
  <c r="FX15" i="3"/>
  <c r="FW16" i="3"/>
  <c r="FX16" i="3"/>
  <c r="FW17" i="3"/>
  <c r="FX17" i="3"/>
  <c r="FW18" i="3"/>
  <c r="FX18" i="3"/>
  <c r="FW19" i="3"/>
  <c r="FX19" i="3"/>
  <c r="FW20" i="3"/>
  <c r="FX20" i="3"/>
  <c r="FW21" i="3"/>
  <c r="FX21" i="3"/>
  <c r="FW22" i="3"/>
  <c r="FX22" i="3"/>
  <c r="FW23" i="3"/>
  <c r="FX23" i="3"/>
  <c r="FW24" i="3"/>
  <c r="FX24" i="3"/>
  <c r="FW25" i="3"/>
  <c r="FX25" i="3"/>
  <c r="FW26" i="3"/>
  <c r="FX26" i="3"/>
  <c r="FW27" i="3"/>
  <c r="FX27" i="3"/>
  <c r="FW28" i="3"/>
  <c r="FX28" i="3"/>
  <c r="FW29" i="3"/>
  <c r="FX29" i="3"/>
  <c r="FW30" i="3"/>
  <c r="FX30" i="3"/>
  <c r="FW31" i="3"/>
  <c r="FX31" i="3"/>
  <c r="FW32" i="3"/>
  <c r="FX32" i="3"/>
  <c r="FW33" i="3"/>
  <c r="FX33" i="3"/>
  <c r="FW34" i="3"/>
  <c r="FX34" i="3"/>
  <c r="FW35" i="3"/>
  <c r="FX35" i="3"/>
  <c r="FW36" i="3"/>
  <c r="FX36" i="3"/>
  <c r="FW37" i="3"/>
  <c r="FX37" i="3"/>
  <c r="FW38" i="3"/>
  <c r="FX38" i="3"/>
  <c r="FW39" i="3"/>
  <c r="FX39" i="3"/>
  <c r="FW40" i="3"/>
  <c r="FX40" i="3"/>
  <c r="FW41" i="3"/>
  <c r="FX41" i="3"/>
  <c r="FW42" i="3"/>
  <c r="FX42" i="3"/>
  <c r="FW43" i="3"/>
  <c r="FX43" i="3"/>
  <c r="FW44" i="3"/>
  <c r="FX44" i="3"/>
  <c r="FW45" i="3"/>
  <c r="FX45" i="3"/>
  <c r="FW46" i="3"/>
  <c r="FX46" i="3"/>
  <c r="FW47" i="3"/>
  <c r="FX47" i="3"/>
  <c r="FW48" i="3"/>
  <c r="FX48" i="3"/>
  <c r="FW49" i="3"/>
  <c r="FX49" i="3"/>
  <c r="FW50" i="3"/>
  <c r="FX50" i="3"/>
  <c r="FW51" i="3"/>
  <c r="FX51" i="3"/>
  <c r="FW52" i="3"/>
  <c r="FX52" i="3"/>
  <c r="FW53" i="3"/>
  <c r="FX53" i="3"/>
  <c r="FW54" i="3"/>
  <c r="FX54" i="3"/>
  <c r="FW55" i="3"/>
  <c r="FW56" i="3"/>
  <c r="FX56" i="3"/>
  <c r="FW57" i="3"/>
  <c r="FX57" i="3"/>
  <c r="FW58" i="3"/>
  <c r="FX58" i="3"/>
  <c r="FW59" i="3"/>
  <c r="FX59" i="3"/>
  <c r="FW60" i="3"/>
  <c r="FX60" i="3"/>
  <c r="FW61" i="3"/>
  <c r="FX61" i="3"/>
  <c r="FW62" i="3"/>
  <c r="FX62" i="3"/>
  <c r="FW63" i="3"/>
  <c r="FX63" i="3"/>
  <c r="FW64" i="3"/>
  <c r="FX64" i="3"/>
  <c r="FW65" i="3"/>
  <c r="FX65" i="3"/>
  <c r="FW9" i="3"/>
  <c r="FX9" i="3"/>
  <c r="AC5" i="15"/>
  <c r="Z5" i="15"/>
  <c r="Y5" i="15"/>
  <c r="X5" i="15"/>
  <c r="W5" i="15"/>
  <c r="V5" i="15"/>
  <c r="AQ31" i="3"/>
  <c r="AA70" i="12"/>
  <c r="AF55" i="3"/>
  <c r="AI55" i="3"/>
  <c r="FX55" i="3"/>
  <c r="FX13" i="3"/>
  <c r="E17" i="5"/>
  <c r="E11" i="5"/>
  <c r="E37" i="5"/>
  <c r="E39" i="5"/>
  <c r="E40" i="5"/>
  <c r="E31" i="5"/>
  <c r="E38" i="5"/>
  <c r="E49" i="5"/>
  <c r="E41" i="5"/>
  <c r="AQ59" i="3"/>
  <c r="AR59" i="3"/>
  <c r="E10" i="18"/>
  <c r="E11" i="18"/>
  <c r="G7" i="18"/>
  <c r="G10" i="18"/>
  <c r="K10" i="18"/>
  <c r="M7" i="18"/>
  <c r="M10" i="18"/>
  <c r="U10" i="18"/>
  <c r="AD56" i="4"/>
  <c r="AD35" i="4"/>
  <c r="AD62" i="4"/>
  <c r="AD67" i="4"/>
  <c r="AD73" i="4"/>
  <c r="AD49" i="4"/>
  <c r="AD43" i="4"/>
  <c r="AD52" i="4"/>
  <c r="AD46" i="4"/>
  <c r="AD70" i="4"/>
  <c r="AD25" i="4"/>
  <c r="AD22" i="4"/>
  <c r="AD23" i="4"/>
  <c r="AD24" i="4"/>
  <c r="AD71" i="4"/>
  <c r="AD72" i="4"/>
  <c r="AD38" i="4"/>
  <c r="AD83" i="4"/>
  <c r="AD84" i="4"/>
  <c r="AD86" i="4"/>
  <c r="AD76" i="4"/>
  <c r="FS10" i="3"/>
  <c r="FS11" i="3"/>
  <c r="FS12" i="3"/>
  <c r="FS13" i="3"/>
  <c r="FS14" i="3"/>
  <c r="FS15" i="3"/>
  <c r="FS16" i="3"/>
  <c r="FS17" i="3"/>
  <c r="FS18" i="3"/>
  <c r="FS19" i="3"/>
  <c r="FS20" i="3"/>
  <c r="FS21" i="3"/>
  <c r="FS22" i="3"/>
  <c r="FS23" i="3"/>
  <c r="FS24" i="3"/>
  <c r="FS25" i="3"/>
  <c r="FS26" i="3"/>
  <c r="FS27" i="3"/>
  <c r="FS28" i="3"/>
  <c r="FS29" i="3"/>
  <c r="FS30" i="3"/>
  <c r="FS31" i="3"/>
  <c r="FS32" i="3"/>
  <c r="FS33" i="3"/>
  <c r="FS34" i="3"/>
  <c r="FS35" i="3"/>
  <c r="FS36" i="3"/>
  <c r="FS37" i="3"/>
  <c r="FS38" i="3"/>
  <c r="FS39" i="3"/>
  <c r="FS40" i="3"/>
  <c r="FS41" i="3"/>
  <c r="FS42" i="3"/>
  <c r="FS43" i="3"/>
  <c r="FS44" i="3"/>
  <c r="FS45" i="3"/>
  <c r="FS46" i="3"/>
  <c r="FS47" i="3"/>
  <c r="FS48" i="3"/>
  <c r="FS49" i="3"/>
  <c r="FS50" i="3"/>
  <c r="FS51" i="3"/>
  <c r="FS52" i="3"/>
  <c r="FS53" i="3"/>
  <c r="FS54" i="3"/>
  <c r="FS55" i="3"/>
  <c r="FS56" i="3"/>
  <c r="FS57" i="3"/>
  <c r="FS58" i="3"/>
  <c r="FS59" i="3"/>
  <c r="FS60" i="3"/>
  <c r="FS61" i="3"/>
  <c r="FS62" i="3"/>
  <c r="FS63" i="3"/>
  <c r="FS64" i="3"/>
  <c r="FS65" i="3"/>
  <c r="FS66" i="3"/>
  <c r="FS67" i="3"/>
  <c r="FS68" i="3"/>
  <c r="FS69" i="3"/>
  <c r="FS70" i="3"/>
  <c r="FS71" i="3"/>
  <c r="FS72" i="3"/>
  <c r="FS73" i="3"/>
  <c r="FS74" i="3"/>
  <c r="FS75" i="3"/>
  <c r="FS76" i="3"/>
  <c r="FS77" i="3"/>
  <c r="FS78" i="3"/>
  <c r="FS79" i="3"/>
  <c r="FS80" i="3"/>
  <c r="FS81" i="3"/>
  <c r="FS82" i="3"/>
  <c r="FS83" i="3"/>
  <c r="FS84" i="3"/>
  <c r="FS85" i="3"/>
  <c r="FS86" i="3"/>
  <c r="FS87" i="3"/>
  <c r="FS88" i="3"/>
  <c r="FS89" i="3"/>
  <c r="FS90" i="3"/>
  <c r="FS91" i="3"/>
  <c r="FS92" i="3"/>
  <c r="FS93" i="3"/>
  <c r="FS94" i="3"/>
  <c r="FS95" i="3"/>
  <c r="FS96" i="3"/>
  <c r="FS97" i="3"/>
  <c r="FS98" i="3"/>
  <c r="FS99" i="3"/>
  <c r="FS100" i="3"/>
  <c r="FS101" i="3"/>
  <c r="FS102" i="3"/>
  <c r="FS103" i="3"/>
  <c r="FS104" i="3"/>
  <c r="FS105" i="3"/>
  <c r="FS106" i="3"/>
  <c r="FS107" i="3"/>
  <c r="FS108" i="3"/>
  <c r="FS109" i="3"/>
  <c r="FS110" i="3"/>
  <c r="FS111" i="3"/>
  <c r="FS112" i="3"/>
  <c r="FS113" i="3"/>
  <c r="FS114" i="3"/>
  <c r="FS115" i="3"/>
  <c r="FS116" i="3"/>
  <c r="FS117" i="3"/>
  <c r="FS118" i="3"/>
  <c r="FS119" i="3"/>
  <c r="FS120" i="3"/>
  <c r="FS121" i="3"/>
  <c r="FS122" i="3"/>
  <c r="FS123" i="3"/>
  <c r="FS124" i="3"/>
  <c r="FS125" i="3"/>
  <c r="FS126" i="3"/>
  <c r="FS127" i="3"/>
  <c r="FS128" i="3"/>
  <c r="FS129" i="3"/>
  <c r="FS130" i="3"/>
  <c r="FS131" i="3"/>
  <c r="FS132" i="3"/>
  <c r="FS133" i="3"/>
  <c r="FS134" i="3"/>
  <c r="FS135" i="3"/>
  <c r="FS136" i="3"/>
  <c r="FS137" i="3"/>
  <c r="FS138" i="3"/>
  <c r="FS139" i="3"/>
  <c r="FS140" i="3"/>
  <c r="FS141" i="3"/>
  <c r="FS142" i="3"/>
  <c r="FS143" i="3"/>
  <c r="FS144" i="3"/>
  <c r="FS145" i="3"/>
  <c r="FS146" i="3"/>
  <c r="FS147" i="3"/>
  <c r="FS148" i="3"/>
  <c r="FS149" i="3"/>
  <c r="FS150" i="3"/>
  <c r="FS151" i="3"/>
  <c r="FS152" i="3"/>
  <c r="FS153" i="3"/>
  <c r="FS154" i="3"/>
  <c r="FQ10" i="3"/>
  <c r="FQ11" i="3"/>
  <c r="FQ12" i="3"/>
  <c r="FP13" i="3"/>
  <c r="FQ13" i="3"/>
  <c r="FQ14" i="3"/>
  <c r="FP15" i="3"/>
  <c r="FQ15" i="3"/>
  <c r="FQ16" i="3"/>
  <c r="FP17" i="3"/>
  <c r="FQ17" i="3"/>
  <c r="FQ18" i="3"/>
  <c r="FQ19" i="3"/>
  <c r="FQ20" i="3"/>
  <c r="FQ21" i="3"/>
  <c r="FP22" i="3"/>
  <c r="FQ22" i="3"/>
  <c r="FP23" i="3"/>
  <c r="FQ23" i="3"/>
  <c r="FP24" i="3"/>
  <c r="FQ24" i="3"/>
  <c r="FQ25" i="3"/>
  <c r="FP26" i="3"/>
  <c r="FQ26" i="3"/>
  <c r="FP27" i="3"/>
  <c r="FQ27" i="3"/>
  <c r="FP28" i="3"/>
  <c r="FQ28" i="3"/>
  <c r="FP29" i="3"/>
  <c r="FQ29" i="3"/>
  <c r="FQ30" i="3"/>
  <c r="FQ31" i="3"/>
  <c r="FP32" i="3"/>
  <c r="FQ32" i="3"/>
  <c r="FP33" i="3"/>
  <c r="FQ33" i="3"/>
  <c r="FQ34" i="3"/>
  <c r="FQ35" i="3"/>
  <c r="FQ36" i="3"/>
  <c r="FQ37" i="3"/>
  <c r="FQ38" i="3"/>
  <c r="FQ39" i="3"/>
  <c r="FP40" i="3"/>
  <c r="FQ40" i="3"/>
  <c r="FQ41" i="3"/>
  <c r="FQ42" i="3"/>
  <c r="FQ43" i="3"/>
  <c r="FQ44" i="3"/>
  <c r="FQ45" i="3"/>
  <c r="FQ46" i="3"/>
  <c r="FQ47" i="3"/>
  <c r="FQ48" i="3"/>
  <c r="FQ49" i="3"/>
  <c r="FP50" i="3"/>
  <c r="FQ50" i="3"/>
  <c r="FQ51" i="3"/>
  <c r="FQ52" i="3"/>
  <c r="FQ53" i="3"/>
  <c r="FQ54" i="3"/>
  <c r="FQ55" i="3"/>
  <c r="FQ56" i="3"/>
  <c r="FQ57" i="3"/>
  <c r="FQ58" i="3"/>
  <c r="FQ59" i="3"/>
  <c r="FQ60" i="3"/>
  <c r="FQ61" i="3"/>
  <c r="FQ62" i="3"/>
  <c r="FQ63" i="3"/>
  <c r="FQ64" i="3"/>
  <c r="FQ65" i="3"/>
  <c r="FQ66" i="3"/>
  <c r="FQ67" i="3"/>
  <c r="FQ68" i="3"/>
  <c r="FQ69" i="3"/>
  <c r="FQ70" i="3"/>
  <c r="FQ71" i="3"/>
  <c r="FQ72" i="3"/>
  <c r="FQ73" i="3"/>
  <c r="FQ74" i="3"/>
  <c r="FQ75" i="3"/>
  <c r="FP76" i="3"/>
  <c r="FQ76" i="3"/>
  <c r="FQ77" i="3"/>
  <c r="FQ78" i="3"/>
  <c r="FQ79" i="3"/>
  <c r="FQ80" i="3"/>
  <c r="FP81" i="3"/>
  <c r="FQ81" i="3"/>
  <c r="FP82" i="3"/>
  <c r="FQ82" i="3"/>
  <c r="FQ83" i="3"/>
  <c r="FQ84" i="3"/>
  <c r="FQ85" i="3"/>
  <c r="FP86" i="3"/>
  <c r="FQ86" i="3"/>
  <c r="FQ87" i="3"/>
  <c r="FP88" i="3"/>
  <c r="FQ88" i="3"/>
  <c r="FQ89" i="3"/>
  <c r="FP90" i="3"/>
  <c r="FQ90" i="3"/>
  <c r="FQ91" i="3"/>
  <c r="FQ92" i="3"/>
  <c r="FQ93" i="3"/>
  <c r="FQ94" i="3"/>
  <c r="FP95" i="3"/>
  <c r="FQ95" i="3"/>
  <c r="FP96" i="3"/>
  <c r="FQ96" i="3"/>
  <c r="FQ97" i="3"/>
  <c r="FQ98" i="3"/>
  <c r="FQ99" i="3"/>
  <c r="FQ100" i="3"/>
  <c r="FP101" i="3"/>
  <c r="FQ101" i="3"/>
  <c r="FQ102" i="3"/>
  <c r="FQ103" i="3"/>
  <c r="FQ104" i="3"/>
  <c r="FP105" i="3"/>
  <c r="FQ105" i="3"/>
  <c r="FQ106" i="3"/>
  <c r="FQ107" i="3"/>
  <c r="FQ108" i="3"/>
  <c r="FQ109" i="3"/>
  <c r="FQ110" i="3"/>
  <c r="FP111" i="3"/>
  <c r="FQ111" i="3"/>
  <c r="FQ112" i="3"/>
  <c r="FQ113" i="3"/>
  <c r="FQ114" i="3"/>
  <c r="FQ115" i="3"/>
  <c r="FQ116" i="3"/>
  <c r="FQ117" i="3"/>
  <c r="FP118" i="3"/>
  <c r="FQ118" i="3"/>
  <c r="FQ119" i="3"/>
  <c r="FQ120" i="3"/>
  <c r="FQ121" i="3"/>
  <c r="FQ122" i="3"/>
  <c r="FQ123" i="3"/>
  <c r="FQ124" i="3"/>
  <c r="FQ125" i="3"/>
  <c r="FQ126" i="3"/>
  <c r="FQ127" i="3"/>
  <c r="FQ128" i="3"/>
  <c r="FQ129" i="3"/>
  <c r="FP130" i="3"/>
  <c r="FQ130" i="3"/>
  <c r="FQ131" i="3"/>
  <c r="FP132" i="3"/>
  <c r="FQ132" i="3"/>
  <c r="FQ133" i="3"/>
  <c r="FP134" i="3"/>
  <c r="FQ134" i="3"/>
  <c r="FQ135" i="3"/>
  <c r="FQ136" i="3"/>
  <c r="FQ137" i="3"/>
  <c r="FQ138" i="3"/>
  <c r="FQ139" i="3"/>
  <c r="FQ140" i="3"/>
  <c r="FP141" i="3"/>
  <c r="FQ141" i="3"/>
  <c r="FP142" i="3"/>
  <c r="FQ142" i="3"/>
  <c r="FQ143" i="3"/>
  <c r="FQ144" i="3"/>
  <c r="FQ145" i="3"/>
  <c r="FQ146" i="3"/>
  <c r="FQ147" i="3"/>
  <c r="FP148" i="3"/>
  <c r="FQ148" i="3"/>
  <c r="FQ149" i="3"/>
  <c r="FQ150" i="3"/>
  <c r="FP151" i="3"/>
  <c r="FQ151" i="3"/>
  <c r="FQ152" i="3"/>
  <c r="FP153" i="3"/>
  <c r="FQ153" i="3"/>
  <c r="FP154" i="3"/>
  <c r="FQ154" i="3"/>
  <c r="FI9" i="3"/>
  <c r="FF9" i="3"/>
  <c r="FI10" i="3"/>
  <c r="FI11" i="3"/>
  <c r="FI12" i="3"/>
  <c r="FI13" i="3"/>
  <c r="FI14" i="3"/>
  <c r="FI15" i="3"/>
  <c r="FI16" i="3"/>
  <c r="FI17" i="3"/>
  <c r="FI18" i="3"/>
  <c r="FI19" i="3"/>
  <c r="FI20" i="3"/>
  <c r="FI21" i="3"/>
  <c r="FI22" i="3"/>
  <c r="FI23" i="3"/>
  <c r="FI24" i="3"/>
  <c r="FI25" i="3"/>
  <c r="FI26" i="3"/>
  <c r="FI27" i="3"/>
  <c r="FI28" i="3"/>
  <c r="FI29" i="3"/>
  <c r="FI30" i="3"/>
  <c r="FI31" i="3"/>
  <c r="FI32" i="3"/>
  <c r="FI33" i="3"/>
  <c r="FI34" i="3"/>
  <c r="FI35" i="3"/>
  <c r="FI36" i="3"/>
  <c r="FI37" i="3"/>
  <c r="FI38" i="3"/>
  <c r="FI39" i="3"/>
  <c r="FI40" i="3"/>
  <c r="FI41" i="3"/>
  <c r="FI42" i="3"/>
  <c r="FI43" i="3"/>
  <c r="FI44" i="3"/>
  <c r="FI45" i="3"/>
  <c r="FI46" i="3"/>
  <c r="FI47" i="3"/>
  <c r="FI48" i="3"/>
  <c r="FI49" i="3"/>
  <c r="FI50" i="3"/>
  <c r="FI51" i="3"/>
  <c r="FI52" i="3"/>
  <c r="FI53" i="3"/>
  <c r="FI54" i="3"/>
  <c r="FI55" i="3"/>
  <c r="FI56" i="3"/>
  <c r="FI57" i="3"/>
  <c r="FI58" i="3"/>
  <c r="FI59" i="3"/>
  <c r="FI60" i="3"/>
  <c r="FI61" i="3"/>
  <c r="FI62" i="3"/>
  <c r="FI63" i="3"/>
  <c r="FI64" i="3"/>
  <c r="FI65" i="3"/>
  <c r="FI66" i="3"/>
  <c r="FI67" i="3"/>
  <c r="FI68" i="3"/>
  <c r="FI69" i="3"/>
  <c r="FI70" i="3"/>
  <c r="FI71" i="3"/>
  <c r="FI72" i="3"/>
  <c r="FI73" i="3"/>
  <c r="FI74" i="3"/>
  <c r="FI75" i="3"/>
  <c r="FI76" i="3"/>
  <c r="FI77" i="3"/>
  <c r="FI78" i="3"/>
  <c r="FI79" i="3"/>
  <c r="FI80" i="3"/>
  <c r="FI81" i="3"/>
  <c r="FI82" i="3"/>
  <c r="FI83" i="3"/>
  <c r="FI84" i="3"/>
  <c r="FI85" i="3"/>
  <c r="FI86" i="3"/>
  <c r="FI87" i="3"/>
  <c r="FI88" i="3"/>
  <c r="FI89" i="3"/>
  <c r="FI90" i="3"/>
  <c r="FI91" i="3"/>
  <c r="FI92" i="3"/>
  <c r="FI93" i="3"/>
  <c r="FI94" i="3"/>
  <c r="FI95" i="3"/>
  <c r="FI96" i="3"/>
  <c r="FI97" i="3"/>
  <c r="FI98" i="3"/>
  <c r="FI99" i="3"/>
  <c r="FI100" i="3"/>
  <c r="FI101" i="3"/>
  <c r="FI102" i="3"/>
  <c r="FI103" i="3"/>
  <c r="FI104" i="3"/>
  <c r="FI105" i="3"/>
  <c r="FI106" i="3"/>
  <c r="FI107" i="3"/>
  <c r="FI108" i="3"/>
  <c r="FI109" i="3"/>
  <c r="FI110" i="3"/>
  <c r="FI111" i="3"/>
  <c r="FI112" i="3"/>
  <c r="FI113" i="3"/>
  <c r="FI114" i="3"/>
  <c r="FI115" i="3"/>
  <c r="FI116" i="3"/>
  <c r="FI117" i="3"/>
  <c r="FI118" i="3"/>
  <c r="FI119" i="3"/>
  <c r="FI120" i="3"/>
  <c r="FI121" i="3"/>
  <c r="FI122" i="3"/>
  <c r="FI123" i="3"/>
  <c r="FI124" i="3"/>
  <c r="FI125" i="3"/>
  <c r="FI126" i="3"/>
  <c r="FI127" i="3"/>
  <c r="FI128" i="3"/>
  <c r="FI129" i="3"/>
  <c r="FI130" i="3"/>
  <c r="FI131" i="3"/>
  <c r="FI132" i="3"/>
  <c r="FI133" i="3"/>
  <c r="FI134" i="3"/>
  <c r="FI135" i="3"/>
  <c r="FI136" i="3"/>
  <c r="FI137" i="3"/>
  <c r="FI138" i="3"/>
  <c r="FI139" i="3"/>
  <c r="FI140" i="3"/>
  <c r="FI141" i="3"/>
  <c r="FI142" i="3"/>
  <c r="FI143" i="3"/>
  <c r="FI144" i="3"/>
  <c r="FI145" i="3"/>
  <c r="FI146" i="3"/>
  <c r="FI147" i="3"/>
  <c r="FI148" i="3"/>
  <c r="FI149" i="3"/>
  <c r="FI150" i="3"/>
  <c r="FI151" i="3"/>
  <c r="FI152" i="3"/>
  <c r="FI153" i="3"/>
  <c r="FI154" i="3"/>
  <c r="FF10" i="3"/>
  <c r="FF11" i="3"/>
  <c r="FF12" i="3"/>
  <c r="FF13" i="3"/>
  <c r="FF14" i="3"/>
  <c r="FF15" i="3"/>
  <c r="FF16" i="3"/>
  <c r="FF17" i="3"/>
  <c r="FF18" i="3"/>
  <c r="FF19" i="3"/>
  <c r="FF20" i="3"/>
  <c r="FF21" i="3"/>
  <c r="FF22" i="3"/>
  <c r="FF23" i="3"/>
  <c r="FF24" i="3"/>
  <c r="FF25" i="3"/>
  <c r="FF26" i="3"/>
  <c r="FF27" i="3"/>
  <c r="FF28" i="3"/>
  <c r="FF29" i="3"/>
  <c r="FF30" i="3"/>
  <c r="FF31" i="3"/>
  <c r="FF32" i="3"/>
  <c r="FF33" i="3"/>
  <c r="FF34" i="3"/>
  <c r="FF35" i="3"/>
  <c r="FF36" i="3"/>
  <c r="FF37" i="3"/>
  <c r="FF38" i="3"/>
  <c r="FF39" i="3"/>
  <c r="FF40" i="3"/>
  <c r="FF41" i="3"/>
  <c r="FF42" i="3"/>
  <c r="FF43" i="3"/>
  <c r="FF44" i="3"/>
  <c r="FF45" i="3"/>
  <c r="FF46" i="3"/>
  <c r="FF47" i="3"/>
  <c r="FF48" i="3"/>
  <c r="FF49" i="3"/>
  <c r="FF50" i="3"/>
  <c r="FF51" i="3"/>
  <c r="FF52" i="3"/>
  <c r="FF53" i="3"/>
  <c r="FF54" i="3"/>
  <c r="FF55" i="3"/>
  <c r="FF56" i="3"/>
  <c r="FF57" i="3"/>
  <c r="FF58" i="3"/>
  <c r="FF59" i="3"/>
  <c r="FF60" i="3"/>
  <c r="FF61" i="3"/>
  <c r="FF62" i="3"/>
  <c r="FF63" i="3"/>
  <c r="FF64" i="3"/>
  <c r="FF65" i="3"/>
  <c r="FF66" i="3"/>
  <c r="FF67" i="3"/>
  <c r="FF68" i="3"/>
  <c r="FF69" i="3"/>
  <c r="FF70" i="3"/>
  <c r="FF71" i="3"/>
  <c r="FF72" i="3"/>
  <c r="FF73" i="3"/>
  <c r="FF74" i="3"/>
  <c r="FF75" i="3"/>
  <c r="FF76" i="3"/>
  <c r="FF77" i="3"/>
  <c r="FF78" i="3"/>
  <c r="FF79" i="3"/>
  <c r="FF80" i="3"/>
  <c r="FF81" i="3"/>
  <c r="FF82" i="3"/>
  <c r="FF83" i="3"/>
  <c r="FF84" i="3"/>
  <c r="FF85" i="3"/>
  <c r="FF86" i="3"/>
  <c r="FF87" i="3"/>
  <c r="FF88" i="3"/>
  <c r="FF89" i="3"/>
  <c r="FF90" i="3"/>
  <c r="FF91" i="3"/>
  <c r="FF92" i="3"/>
  <c r="FF93" i="3"/>
  <c r="FF94" i="3"/>
  <c r="FF95" i="3"/>
  <c r="FF96" i="3"/>
  <c r="FF97" i="3"/>
  <c r="FF98" i="3"/>
  <c r="FF99" i="3"/>
  <c r="FF100" i="3"/>
  <c r="FF101" i="3"/>
  <c r="FF102" i="3"/>
  <c r="FF103" i="3"/>
  <c r="FF104" i="3"/>
  <c r="FF105" i="3"/>
  <c r="FF106" i="3"/>
  <c r="FF107" i="3"/>
  <c r="FF108" i="3"/>
  <c r="FF109" i="3"/>
  <c r="FF110" i="3"/>
  <c r="FF111" i="3"/>
  <c r="FF112" i="3"/>
  <c r="FF113" i="3"/>
  <c r="FF114" i="3"/>
  <c r="FF115" i="3"/>
  <c r="FF116" i="3"/>
  <c r="FF117" i="3"/>
  <c r="FF118" i="3"/>
  <c r="FF119" i="3"/>
  <c r="FF120" i="3"/>
  <c r="FF121" i="3"/>
  <c r="FF122" i="3"/>
  <c r="FF123" i="3"/>
  <c r="FF124" i="3"/>
  <c r="FF125" i="3"/>
  <c r="FF126" i="3"/>
  <c r="FF127" i="3"/>
  <c r="FF128" i="3"/>
  <c r="FF129" i="3"/>
  <c r="FF130" i="3"/>
  <c r="FF131" i="3"/>
  <c r="FF132" i="3"/>
  <c r="FF133" i="3"/>
  <c r="FF134" i="3"/>
  <c r="FF135" i="3"/>
  <c r="FF136" i="3"/>
  <c r="FF137" i="3"/>
  <c r="FF138" i="3"/>
  <c r="FF139" i="3"/>
  <c r="FF140" i="3"/>
  <c r="FF141" i="3"/>
  <c r="FF142" i="3"/>
  <c r="FF143" i="3"/>
  <c r="FF144" i="3"/>
  <c r="FF145" i="3"/>
  <c r="FF146" i="3"/>
  <c r="FF147" i="3"/>
  <c r="FF148" i="3"/>
  <c r="FF149" i="3"/>
  <c r="FF150" i="3"/>
  <c r="FF151" i="3"/>
  <c r="FF152" i="3"/>
  <c r="FF153" i="3"/>
  <c r="FF154" i="3"/>
  <c r="DS10" i="3"/>
  <c r="DS11" i="3"/>
  <c r="DS12" i="3"/>
  <c r="DR13" i="3"/>
  <c r="DS13" i="3"/>
  <c r="DS14" i="3"/>
  <c r="DR15" i="3"/>
  <c r="DS15" i="3"/>
  <c r="DS16" i="3"/>
  <c r="DR17" i="3"/>
  <c r="DS17" i="3"/>
  <c r="DS18" i="3"/>
  <c r="DS19" i="3"/>
  <c r="DS20" i="3"/>
  <c r="DS21" i="3"/>
  <c r="DR22" i="3"/>
  <c r="DS22" i="3"/>
  <c r="DR23" i="3"/>
  <c r="DS23" i="3"/>
  <c r="DR24" i="3"/>
  <c r="DS24" i="3"/>
  <c r="DS25" i="3"/>
  <c r="DR26" i="3"/>
  <c r="DS26" i="3"/>
  <c r="DR27" i="3"/>
  <c r="DS27" i="3"/>
  <c r="DR28" i="3"/>
  <c r="DS28" i="3"/>
  <c r="DR29" i="3"/>
  <c r="DS29" i="3"/>
  <c r="DS30" i="3"/>
  <c r="DS31" i="3"/>
  <c r="DR32" i="3"/>
  <c r="DS32" i="3"/>
  <c r="DR33" i="3"/>
  <c r="DS33" i="3"/>
  <c r="DS34" i="3"/>
  <c r="DS35" i="3"/>
  <c r="DS36" i="3"/>
  <c r="DS37" i="3"/>
  <c r="DS38" i="3"/>
  <c r="DS39" i="3"/>
  <c r="DR40" i="3"/>
  <c r="DS40" i="3"/>
  <c r="DS41" i="3"/>
  <c r="DS42" i="3"/>
  <c r="DS43" i="3"/>
  <c r="DS44" i="3"/>
  <c r="DS45" i="3"/>
  <c r="DS46" i="3"/>
  <c r="DS47" i="3"/>
  <c r="DS48" i="3"/>
  <c r="DS49" i="3"/>
  <c r="DR50" i="3"/>
  <c r="DS50" i="3"/>
  <c r="DS51" i="3"/>
  <c r="DS52" i="3"/>
  <c r="DS53" i="3"/>
  <c r="DS54" i="3"/>
  <c r="DS55" i="3"/>
  <c r="DS56" i="3"/>
  <c r="DS57" i="3"/>
  <c r="DS58" i="3"/>
  <c r="DS59" i="3"/>
  <c r="DS60" i="3"/>
  <c r="DS61" i="3"/>
  <c r="DS62" i="3"/>
  <c r="DS63" i="3"/>
  <c r="DS64" i="3"/>
  <c r="DS65" i="3"/>
  <c r="DS66" i="3"/>
  <c r="DS67" i="3"/>
  <c r="DS68" i="3"/>
  <c r="DS69" i="3"/>
  <c r="DS70" i="3"/>
  <c r="DS71" i="3"/>
  <c r="DS72" i="3"/>
  <c r="DS73" i="3"/>
  <c r="DS74" i="3"/>
  <c r="DS75" i="3"/>
  <c r="DR76" i="3"/>
  <c r="DS76" i="3"/>
  <c r="DS77" i="3"/>
  <c r="DS78" i="3"/>
  <c r="DS79" i="3"/>
  <c r="DS80" i="3"/>
  <c r="DR81" i="3"/>
  <c r="DS81" i="3"/>
  <c r="DR82" i="3"/>
  <c r="DS82" i="3"/>
  <c r="DS83" i="3"/>
  <c r="DS84" i="3"/>
  <c r="DS85" i="3"/>
  <c r="DR86" i="3"/>
  <c r="DS86" i="3"/>
  <c r="DS87" i="3"/>
  <c r="DR88" i="3"/>
  <c r="DS88" i="3"/>
  <c r="DS89" i="3"/>
  <c r="DR90" i="3"/>
  <c r="DS90" i="3"/>
  <c r="DS91" i="3"/>
  <c r="DS92" i="3"/>
  <c r="DS93" i="3"/>
  <c r="DS94" i="3"/>
  <c r="DR95" i="3"/>
  <c r="DS95" i="3"/>
  <c r="DR96" i="3"/>
  <c r="DS96" i="3"/>
  <c r="DS97" i="3"/>
  <c r="DS98" i="3"/>
  <c r="DS99" i="3"/>
  <c r="DS100" i="3"/>
  <c r="DR101" i="3"/>
  <c r="DS101" i="3"/>
  <c r="DS102" i="3"/>
  <c r="DS103" i="3"/>
  <c r="DS104" i="3"/>
  <c r="DR105" i="3"/>
  <c r="DS105" i="3"/>
  <c r="DS106" i="3"/>
  <c r="DS107" i="3"/>
  <c r="DS108" i="3"/>
  <c r="DS109" i="3"/>
  <c r="DS110" i="3"/>
  <c r="DR111" i="3"/>
  <c r="DS111" i="3"/>
  <c r="DS112" i="3"/>
  <c r="DS113" i="3"/>
  <c r="DS114" i="3"/>
  <c r="DS115" i="3"/>
  <c r="DS116" i="3"/>
  <c r="DS117" i="3"/>
  <c r="DR118" i="3"/>
  <c r="DS118" i="3"/>
  <c r="DS119" i="3"/>
  <c r="DS120" i="3"/>
  <c r="DS121" i="3"/>
  <c r="DS122" i="3"/>
  <c r="DS123" i="3"/>
  <c r="DS124" i="3"/>
  <c r="DS125" i="3"/>
  <c r="DS126" i="3"/>
  <c r="DS127" i="3"/>
  <c r="DS128" i="3"/>
  <c r="DS129" i="3"/>
  <c r="DR130" i="3"/>
  <c r="DS130" i="3"/>
  <c r="DS131" i="3"/>
  <c r="DR132" i="3"/>
  <c r="DS132" i="3"/>
  <c r="DS133" i="3"/>
  <c r="DR134" i="3"/>
  <c r="DS134" i="3"/>
  <c r="DS135" i="3"/>
  <c r="DS136" i="3"/>
  <c r="DS137" i="3"/>
  <c r="DS138" i="3"/>
  <c r="DS139" i="3"/>
  <c r="DS140" i="3"/>
  <c r="DR141" i="3"/>
  <c r="DS141" i="3"/>
  <c r="DR142" i="3"/>
  <c r="DS142" i="3"/>
  <c r="DS143" i="3"/>
  <c r="DS144" i="3"/>
  <c r="DS145" i="3"/>
  <c r="DS146" i="3"/>
  <c r="DS147" i="3"/>
  <c r="DR148" i="3"/>
  <c r="DS148" i="3"/>
  <c r="DS149" i="3"/>
  <c r="DS150" i="3"/>
  <c r="DR151" i="3"/>
  <c r="DS151" i="3"/>
  <c r="DS152" i="3"/>
  <c r="DR153" i="3"/>
  <c r="DS153" i="3"/>
  <c r="DR154" i="3"/>
  <c r="DS154" i="3"/>
  <c r="DV11" i="3"/>
  <c r="DV12" i="3"/>
  <c r="DV13" i="3"/>
  <c r="DV14" i="3"/>
  <c r="DV15" i="3"/>
  <c r="DV16" i="3"/>
  <c r="DV17" i="3"/>
  <c r="DV18" i="3"/>
  <c r="DV19" i="3"/>
  <c r="DV20" i="3"/>
  <c r="DV21" i="3"/>
  <c r="DV22" i="3"/>
  <c r="DV23" i="3"/>
  <c r="DV24" i="3"/>
  <c r="DV25" i="3"/>
  <c r="DV26" i="3"/>
  <c r="DV27" i="3"/>
  <c r="DV28" i="3"/>
  <c r="DV29" i="3"/>
  <c r="DV30" i="3"/>
  <c r="DV31" i="3"/>
  <c r="DV32" i="3"/>
  <c r="DV33" i="3"/>
  <c r="DV34" i="3"/>
  <c r="DV35" i="3"/>
  <c r="DV36" i="3"/>
  <c r="DV37" i="3"/>
  <c r="DV38" i="3"/>
  <c r="DV39" i="3"/>
  <c r="DV40" i="3"/>
  <c r="DV41" i="3"/>
  <c r="DV42" i="3"/>
  <c r="DV43" i="3"/>
  <c r="DV44" i="3"/>
  <c r="DV45" i="3"/>
  <c r="DV46" i="3"/>
  <c r="DV47" i="3"/>
  <c r="DV48" i="3"/>
  <c r="DV49" i="3"/>
  <c r="DV50" i="3"/>
  <c r="DV51" i="3"/>
  <c r="DV52" i="3"/>
  <c r="DV53" i="3"/>
  <c r="DV54" i="3"/>
  <c r="DV55" i="3"/>
  <c r="DV56" i="3"/>
  <c r="DV57" i="3"/>
  <c r="DV58" i="3"/>
  <c r="DV59" i="3"/>
  <c r="DV60" i="3"/>
  <c r="DV61" i="3"/>
  <c r="DV62" i="3"/>
  <c r="DV63" i="3"/>
  <c r="DV64" i="3"/>
  <c r="DV65" i="3"/>
  <c r="DV66" i="3"/>
  <c r="DV67" i="3"/>
  <c r="DV68" i="3"/>
  <c r="DV69" i="3"/>
  <c r="DV70" i="3"/>
  <c r="DV71" i="3"/>
  <c r="DV72" i="3"/>
  <c r="DV73" i="3"/>
  <c r="DV74" i="3"/>
  <c r="DV75" i="3"/>
  <c r="DV76" i="3"/>
  <c r="DV77" i="3"/>
  <c r="DV78" i="3"/>
  <c r="DV79" i="3"/>
  <c r="DV80" i="3"/>
  <c r="DV81" i="3"/>
  <c r="DV82" i="3"/>
  <c r="DV83" i="3"/>
  <c r="DV84" i="3"/>
  <c r="DV85" i="3"/>
  <c r="DV86" i="3"/>
  <c r="DV87" i="3"/>
  <c r="DV88" i="3"/>
  <c r="DV89" i="3"/>
  <c r="DV90" i="3"/>
  <c r="DV91" i="3"/>
  <c r="DV92" i="3"/>
  <c r="DV93" i="3"/>
  <c r="DV94" i="3"/>
  <c r="DV95" i="3"/>
  <c r="DV96" i="3"/>
  <c r="DV97" i="3"/>
  <c r="DV98" i="3"/>
  <c r="DV99" i="3"/>
  <c r="DV100" i="3"/>
  <c r="DV101" i="3"/>
  <c r="DV102" i="3"/>
  <c r="DV103" i="3"/>
  <c r="DV104" i="3"/>
  <c r="DV105" i="3"/>
  <c r="DV106" i="3"/>
  <c r="DV107" i="3"/>
  <c r="DV108" i="3"/>
  <c r="DV109" i="3"/>
  <c r="DV110" i="3"/>
  <c r="DV111" i="3"/>
  <c r="DV112" i="3"/>
  <c r="DV113" i="3"/>
  <c r="DV114" i="3"/>
  <c r="DV115" i="3"/>
  <c r="DV116" i="3"/>
  <c r="DV117" i="3"/>
  <c r="DV118" i="3"/>
  <c r="DV119" i="3"/>
  <c r="DV120" i="3"/>
  <c r="DV121" i="3"/>
  <c r="DV122" i="3"/>
  <c r="DV123" i="3"/>
  <c r="DV124" i="3"/>
  <c r="DV125" i="3"/>
  <c r="DV126" i="3"/>
  <c r="DV127" i="3"/>
  <c r="DV128" i="3"/>
  <c r="DV129" i="3"/>
  <c r="DV130" i="3"/>
  <c r="DV131" i="3"/>
  <c r="DV132" i="3"/>
  <c r="DV133" i="3"/>
  <c r="DV134" i="3"/>
  <c r="DV135" i="3"/>
  <c r="DV136" i="3"/>
  <c r="DV137" i="3"/>
  <c r="DV138" i="3"/>
  <c r="DV139" i="3"/>
  <c r="DV140" i="3"/>
  <c r="DV141" i="3"/>
  <c r="DV142" i="3"/>
  <c r="DV143" i="3"/>
  <c r="DV144" i="3"/>
  <c r="DV145" i="3"/>
  <c r="DV146" i="3"/>
  <c r="DV147" i="3"/>
  <c r="DV148" i="3"/>
  <c r="DV149" i="3"/>
  <c r="DV150" i="3"/>
  <c r="DV151" i="3"/>
  <c r="DV152" i="3"/>
  <c r="DV153" i="3"/>
  <c r="DV154" i="3"/>
  <c r="DV10" i="3"/>
  <c r="DK10" i="3"/>
  <c r="DK11" i="3"/>
  <c r="DK12" i="3"/>
  <c r="DK13" i="3"/>
  <c r="DK14" i="3"/>
  <c r="DK15" i="3"/>
  <c r="DK16" i="3"/>
  <c r="DK17" i="3"/>
  <c r="DK18" i="3"/>
  <c r="DK19" i="3"/>
  <c r="DK20" i="3"/>
  <c r="DK21" i="3"/>
  <c r="DK22" i="3"/>
  <c r="DK23" i="3"/>
  <c r="DK24" i="3"/>
  <c r="DK25" i="3"/>
  <c r="DK26" i="3"/>
  <c r="DK27" i="3"/>
  <c r="DK28" i="3"/>
  <c r="DK29" i="3"/>
  <c r="DK30" i="3"/>
  <c r="DK31" i="3"/>
  <c r="DK32" i="3"/>
  <c r="DK33" i="3"/>
  <c r="DK34" i="3"/>
  <c r="DK35" i="3"/>
  <c r="DK36" i="3"/>
  <c r="DK37" i="3"/>
  <c r="DK38" i="3"/>
  <c r="DK39" i="3"/>
  <c r="DK40" i="3"/>
  <c r="DK41" i="3"/>
  <c r="DK42" i="3"/>
  <c r="DK43" i="3"/>
  <c r="DK44" i="3"/>
  <c r="DK45" i="3"/>
  <c r="DK46" i="3"/>
  <c r="DK47" i="3"/>
  <c r="DK48" i="3"/>
  <c r="DK49" i="3"/>
  <c r="DK50" i="3"/>
  <c r="DK51" i="3"/>
  <c r="DK52" i="3"/>
  <c r="DK53" i="3"/>
  <c r="DK54" i="3"/>
  <c r="DK55" i="3"/>
  <c r="DK56" i="3"/>
  <c r="DK57" i="3"/>
  <c r="DK58" i="3"/>
  <c r="DK59" i="3"/>
  <c r="DK60" i="3"/>
  <c r="DK61" i="3"/>
  <c r="DK62" i="3"/>
  <c r="DK63" i="3"/>
  <c r="DK64" i="3"/>
  <c r="DK65" i="3"/>
  <c r="DK66" i="3"/>
  <c r="DK67" i="3"/>
  <c r="DK68" i="3"/>
  <c r="DK69" i="3"/>
  <c r="DK70" i="3"/>
  <c r="DK71" i="3"/>
  <c r="DK72" i="3"/>
  <c r="DK73" i="3"/>
  <c r="DK74" i="3"/>
  <c r="DK75" i="3"/>
  <c r="DK76" i="3"/>
  <c r="DK77" i="3"/>
  <c r="DK78" i="3"/>
  <c r="DK79" i="3"/>
  <c r="DK80" i="3"/>
  <c r="DK81" i="3"/>
  <c r="DK82" i="3"/>
  <c r="DK83" i="3"/>
  <c r="DK84" i="3"/>
  <c r="DK85" i="3"/>
  <c r="DK86" i="3"/>
  <c r="DK87" i="3"/>
  <c r="DK88" i="3"/>
  <c r="DK89" i="3"/>
  <c r="DK90" i="3"/>
  <c r="DK91" i="3"/>
  <c r="DK92" i="3"/>
  <c r="DK93" i="3"/>
  <c r="DK94" i="3"/>
  <c r="DK95" i="3"/>
  <c r="DK96" i="3"/>
  <c r="DK97" i="3"/>
  <c r="DK98" i="3"/>
  <c r="DK99" i="3"/>
  <c r="DK100" i="3"/>
  <c r="DK101" i="3"/>
  <c r="DK102" i="3"/>
  <c r="DK103" i="3"/>
  <c r="DK104" i="3"/>
  <c r="DK105" i="3"/>
  <c r="DK106" i="3"/>
  <c r="DK107" i="3"/>
  <c r="DK108" i="3"/>
  <c r="DK109" i="3"/>
  <c r="DK110" i="3"/>
  <c r="DK111" i="3"/>
  <c r="DK112" i="3"/>
  <c r="DK113" i="3"/>
  <c r="DK114" i="3"/>
  <c r="DK115" i="3"/>
  <c r="DK116" i="3"/>
  <c r="DK117" i="3"/>
  <c r="DK118" i="3"/>
  <c r="DK119" i="3"/>
  <c r="DK120" i="3"/>
  <c r="DK121" i="3"/>
  <c r="DK122" i="3"/>
  <c r="DK123" i="3"/>
  <c r="DK124" i="3"/>
  <c r="DK125" i="3"/>
  <c r="DK126" i="3"/>
  <c r="DK127" i="3"/>
  <c r="DK128" i="3"/>
  <c r="DK129" i="3"/>
  <c r="DK130" i="3"/>
  <c r="DK131" i="3"/>
  <c r="DK132" i="3"/>
  <c r="DK133" i="3"/>
  <c r="DK134" i="3"/>
  <c r="DK135" i="3"/>
  <c r="DK136" i="3"/>
  <c r="DK137" i="3"/>
  <c r="DK138" i="3"/>
  <c r="DK139" i="3"/>
  <c r="DK140" i="3"/>
  <c r="DK141" i="3"/>
  <c r="DK142" i="3"/>
  <c r="DK143" i="3"/>
  <c r="DK144" i="3"/>
  <c r="DK145" i="3"/>
  <c r="DK146" i="3"/>
  <c r="DK147" i="3"/>
  <c r="DK148" i="3"/>
  <c r="DK149" i="3"/>
  <c r="DK150" i="3"/>
  <c r="DK151" i="3"/>
  <c r="DK152" i="3"/>
  <c r="DK153" i="3"/>
  <c r="DK154" i="3"/>
  <c r="DH10" i="3"/>
  <c r="DH11" i="3"/>
  <c r="DH12" i="3"/>
  <c r="DH13" i="3"/>
  <c r="DH14" i="3"/>
  <c r="DH15" i="3"/>
  <c r="DH16" i="3"/>
  <c r="DH17" i="3"/>
  <c r="DH18" i="3"/>
  <c r="DH19" i="3"/>
  <c r="DH20" i="3"/>
  <c r="DH21" i="3"/>
  <c r="DH22" i="3"/>
  <c r="DH23" i="3"/>
  <c r="DH24" i="3"/>
  <c r="DH25" i="3"/>
  <c r="DH26" i="3"/>
  <c r="DH27" i="3"/>
  <c r="DH28" i="3"/>
  <c r="DH29" i="3"/>
  <c r="DH30" i="3"/>
  <c r="DH31" i="3"/>
  <c r="DH32" i="3"/>
  <c r="DH33" i="3"/>
  <c r="DH34" i="3"/>
  <c r="DH35" i="3"/>
  <c r="DH36" i="3"/>
  <c r="DH37" i="3"/>
  <c r="DH38" i="3"/>
  <c r="DH39" i="3"/>
  <c r="DH40" i="3"/>
  <c r="DH41" i="3"/>
  <c r="DH42" i="3"/>
  <c r="DH43" i="3"/>
  <c r="DH44" i="3"/>
  <c r="DH45" i="3"/>
  <c r="DH46" i="3"/>
  <c r="DH47" i="3"/>
  <c r="DH48" i="3"/>
  <c r="DH49" i="3"/>
  <c r="DH50" i="3"/>
  <c r="DH51" i="3"/>
  <c r="DH52" i="3"/>
  <c r="DH53" i="3"/>
  <c r="DH54" i="3"/>
  <c r="DH55" i="3"/>
  <c r="DH56" i="3"/>
  <c r="DH57" i="3"/>
  <c r="DH58" i="3"/>
  <c r="DH59" i="3"/>
  <c r="DH60" i="3"/>
  <c r="DH61" i="3"/>
  <c r="DH62" i="3"/>
  <c r="DH63" i="3"/>
  <c r="DH64" i="3"/>
  <c r="DH65" i="3"/>
  <c r="DH66" i="3"/>
  <c r="DH67" i="3"/>
  <c r="DH68" i="3"/>
  <c r="DH69" i="3"/>
  <c r="DH70" i="3"/>
  <c r="DH71" i="3"/>
  <c r="DH72" i="3"/>
  <c r="DH73" i="3"/>
  <c r="DH74" i="3"/>
  <c r="DH75" i="3"/>
  <c r="DH76" i="3"/>
  <c r="DH77" i="3"/>
  <c r="DH78" i="3"/>
  <c r="DH79" i="3"/>
  <c r="DH80" i="3"/>
  <c r="DH81" i="3"/>
  <c r="DH82" i="3"/>
  <c r="DH83" i="3"/>
  <c r="DH84" i="3"/>
  <c r="DH85" i="3"/>
  <c r="DH86" i="3"/>
  <c r="DH87" i="3"/>
  <c r="DH88" i="3"/>
  <c r="DH89" i="3"/>
  <c r="DH90" i="3"/>
  <c r="DH91" i="3"/>
  <c r="DH92" i="3"/>
  <c r="DH93" i="3"/>
  <c r="DH94" i="3"/>
  <c r="DH95" i="3"/>
  <c r="DH96" i="3"/>
  <c r="DH97" i="3"/>
  <c r="DH98" i="3"/>
  <c r="DH99" i="3"/>
  <c r="DH100" i="3"/>
  <c r="DH101" i="3"/>
  <c r="DH102" i="3"/>
  <c r="DH103" i="3"/>
  <c r="DH104" i="3"/>
  <c r="DH105" i="3"/>
  <c r="DH106" i="3"/>
  <c r="DH107" i="3"/>
  <c r="DH108" i="3"/>
  <c r="DH109" i="3"/>
  <c r="DH110" i="3"/>
  <c r="DH111" i="3"/>
  <c r="DH112" i="3"/>
  <c r="DH113" i="3"/>
  <c r="DH114" i="3"/>
  <c r="DH115" i="3"/>
  <c r="DH116" i="3"/>
  <c r="DH117" i="3"/>
  <c r="DH118" i="3"/>
  <c r="DH119" i="3"/>
  <c r="DH120" i="3"/>
  <c r="DH121" i="3"/>
  <c r="DH122" i="3"/>
  <c r="DH123" i="3"/>
  <c r="DH124" i="3"/>
  <c r="DH125" i="3"/>
  <c r="DH126" i="3"/>
  <c r="DH127" i="3"/>
  <c r="DH128" i="3"/>
  <c r="DH129" i="3"/>
  <c r="DH130" i="3"/>
  <c r="DH131" i="3"/>
  <c r="DH132" i="3"/>
  <c r="DH133" i="3"/>
  <c r="DH134" i="3"/>
  <c r="DH135" i="3"/>
  <c r="DH136" i="3"/>
  <c r="DH137" i="3"/>
  <c r="DH138" i="3"/>
  <c r="DH139" i="3"/>
  <c r="DH140" i="3"/>
  <c r="DH141" i="3"/>
  <c r="DH142" i="3"/>
  <c r="DH143" i="3"/>
  <c r="DH144" i="3"/>
  <c r="DH145" i="3"/>
  <c r="DH146" i="3"/>
  <c r="DH147" i="3"/>
  <c r="DH148" i="3"/>
  <c r="DH149" i="3"/>
  <c r="DH150" i="3"/>
  <c r="DH151" i="3"/>
  <c r="DH152" i="3"/>
  <c r="DH153" i="3"/>
  <c r="DH154" i="3"/>
  <c r="CI9" i="3"/>
  <c r="CJ9" i="3"/>
  <c r="CM9" i="3"/>
  <c r="CK5" i="3"/>
  <c r="CZ10" i="3"/>
  <c r="CZ11" i="3"/>
  <c r="CZ12" i="3"/>
  <c r="CZ13" i="3"/>
  <c r="CZ14" i="3"/>
  <c r="CZ15" i="3"/>
  <c r="CZ16" i="3"/>
  <c r="CZ17" i="3"/>
  <c r="CZ18" i="3"/>
  <c r="CZ19" i="3"/>
  <c r="CZ20" i="3"/>
  <c r="CZ21" i="3"/>
  <c r="CZ22" i="3"/>
  <c r="CZ23" i="3"/>
  <c r="CZ24" i="3"/>
  <c r="CZ25" i="3"/>
  <c r="CZ26" i="3"/>
  <c r="CZ27" i="3"/>
  <c r="CZ28" i="3"/>
  <c r="CZ29" i="3"/>
  <c r="CZ30" i="3"/>
  <c r="CZ31" i="3"/>
  <c r="CZ32" i="3"/>
  <c r="CZ33" i="3"/>
  <c r="CZ34" i="3"/>
  <c r="CZ35" i="3"/>
  <c r="CZ36" i="3"/>
  <c r="CZ37" i="3"/>
  <c r="CZ38" i="3"/>
  <c r="CZ39" i="3"/>
  <c r="CZ40" i="3"/>
  <c r="CZ41" i="3"/>
  <c r="CZ42" i="3"/>
  <c r="CZ43" i="3"/>
  <c r="CZ44" i="3"/>
  <c r="CZ45" i="3"/>
  <c r="CZ46" i="3"/>
  <c r="CZ47" i="3"/>
  <c r="CZ48" i="3"/>
  <c r="CZ49" i="3"/>
  <c r="CZ50" i="3"/>
  <c r="CZ51" i="3"/>
  <c r="CZ52" i="3"/>
  <c r="CZ53" i="3"/>
  <c r="CZ54" i="3"/>
  <c r="CZ55" i="3"/>
  <c r="CZ56" i="3"/>
  <c r="CZ57" i="3"/>
  <c r="CZ58" i="3"/>
  <c r="CZ59" i="3"/>
  <c r="CZ60" i="3"/>
  <c r="CZ61" i="3"/>
  <c r="CZ62" i="3"/>
  <c r="CZ63" i="3"/>
  <c r="CZ64" i="3"/>
  <c r="CZ65" i="3"/>
  <c r="CZ66" i="3"/>
  <c r="CZ67" i="3"/>
  <c r="CZ68" i="3"/>
  <c r="CZ69" i="3"/>
  <c r="CZ70" i="3"/>
  <c r="CZ71" i="3"/>
  <c r="CZ72" i="3"/>
  <c r="CZ73" i="3"/>
  <c r="CZ74" i="3"/>
  <c r="CZ75" i="3"/>
  <c r="CZ76" i="3"/>
  <c r="CZ77" i="3"/>
  <c r="CZ78" i="3"/>
  <c r="CZ79" i="3"/>
  <c r="CZ80" i="3"/>
  <c r="CZ81" i="3"/>
  <c r="CZ82" i="3"/>
  <c r="CZ83" i="3"/>
  <c r="CZ84" i="3"/>
  <c r="CZ85" i="3"/>
  <c r="CZ86" i="3"/>
  <c r="CZ87" i="3"/>
  <c r="CZ88" i="3"/>
  <c r="CZ89" i="3"/>
  <c r="CZ90" i="3"/>
  <c r="CZ91" i="3"/>
  <c r="CZ92" i="3"/>
  <c r="CZ93" i="3"/>
  <c r="CZ94" i="3"/>
  <c r="CZ95" i="3"/>
  <c r="CZ96" i="3"/>
  <c r="CZ97" i="3"/>
  <c r="CZ98" i="3"/>
  <c r="CZ99" i="3"/>
  <c r="CZ100" i="3"/>
  <c r="CZ101" i="3"/>
  <c r="CZ102" i="3"/>
  <c r="CZ103" i="3"/>
  <c r="CZ104" i="3"/>
  <c r="CZ105" i="3"/>
  <c r="CZ106" i="3"/>
  <c r="CZ107" i="3"/>
  <c r="CZ108" i="3"/>
  <c r="CZ109" i="3"/>
  <c r="CZ110" i="3"/>
  <c r="CZ111" i="3"/>
  <c r="CZ112" i="3"/>
  <c r="CZ113" i="3"/>
  <c r="CZ114" i="3"/>
  <c r="CZ115" i="3"/>
  <c r="CZ116" i="3"/>
  <c r="CZ117" i="3"/>
  <c r="CZ118" i="3"/>
  <c r="CZ119" i="3"/>
  <c r="CZ120" i="3"/>
  <c r="CZ121" i="3"/>
  <c r="CZ122" i="3"/>
  <c r="CZ123" i="3"/>
  <c r="CZ124" i="3"/>
  <c r="CZ125" i="3"/>
  <c r="CZ126" i="3"/>
  <c r="CZ127" i="3"/>
  <c r="CZ128" i="3"/>
  <c r="CZ129" i="3"/>
  <c r="CZ130" i="3"/>
  <c r="CZ131" i="3"/>
  <c r="CZ132" i="3"/>
  <c r="CZ133" i="3"/>
  <c r="CZ134" i="3"/>
  <c r="CZ135" i="3"/>
  <c r="CZ136" i="3"/>
  <c r="CZ137" i="3"/>
  <c r="CZ138" i="3"/>
  <c r="CZ139" i="3"/>
  <c r="CZ140" i="3"/>
  <c r="CZ141" i="3"/>
  <c r="CZ142" i="3"/>
  <c r="CZ143" i="3"/>
  <c r="CZ144" i="3"/>
  <c r="CZ145" i="3"/>
  <c r="CZ146" i="3"/>
  <c r="CZ147" i="3"/>
  <c r="CZ148" i="3"/>
  <c r="CZ149" i="3"/>
  <c r="CZ150" i="3"/>
  <c r="CZ151" i="3"/>
  <c r="CZ152" i="3"/>
  <c r="CZ153" i="3"/>
  <c r="CZ154" i="3"/>
  <c r="CW10" i="3"/>
  <c r="CW11" i="3"/>
  <c r="CW12" i="3"/>
  <c r="CV13" i="3"/>
  <c r="CW13" i="3"/>
  <c r="CW14" i="3"/>
  <c r="CV15" i="3"/>
  <c r="CW15" i="3"/>
  <c r="CW16" i="3"/>
  <c r="CV17" i="3"/>
  <c r="CW17" i="3"/>
  <c r="CW18" i="3"/>
  <c r="CW19" i="3"/>
  <c r="CW20" i="3"/>
  <c r="CW21" i="3"/>
  <c r="CV22" i="3"/>
  <c r="CW22" i="3"/>
  <c r="CV23" i="3"/>
  <c r="CW23" i="3"/>
  <c r="CV24" i="3"/>
  <c r="CW24" i="3"/>
  <c r="CW25" i="3"/>
  <c r="CV26" i="3"/>
  <c r="CW26" i="3"/>
  <c r="CV27" i="3"/>
  <c r="CW27" i="3"/>
  <c r="CV28" i="3"/>
  <c r="CW28" i="3"/>
  <c r="CV29" i="3"/>
  <c r="CW29" i="3"/>
  <c r="CW30" i="3"/>
  <c r="CW31" i="3"/>
  <c r="CV32" i="3"/>
  <c r="CW32" i="3"/>
  <c r="CV33" i="3"/>
  <c r="CW33" i="3"/>
  <c r="CW34" i="3"/>
  <c r="CW35" i="3"/>
  <c r="CW36" i="3"/>
  <c r="CW37" i="3"/>
  <c r="CW38" i="3"/>
  <c r="CW39" i="3"/>
  <c r="CV40" i="3"/>
  <c r="CW40" i="3"/>
  <c r="CW41" i="3"/>
  <c r="CW42" i="3"/>
  <c r="CW43" i="3"/>
  <c r="CW44" i="3"/>
  <c r="CW45" i="3"/>
  <c r="CW46" i="3"/>
  <c r="CW47" i="3"/>
  <c r="CW48" i="3"/>
  <c r="CW49" i="3"/>
  <c r="CV50" i="3"/>
  <c r="CW50" i="3"/>
  <c r="CW51" i="3"/>
  <c r="CW52" i="3"/>
  <c r="CW53" i="3"/>
  <c r="CW54" i="3"/>
  <c r="CW55" i="3"/>
  <c r="CW56" i="3"/>
  <c r="CW57" i="3"/>
  <c r="CW58" i="3"/>
  <c r="CW59" i="3"/>
  <c r="CW60" i="3"/>
  <c r="CW61" i="3"/>
  <c r="CW62" i="3"/>
  <c r="CW63" i="3"/>
  <c r="CW64" i="3"/>
  <c r="CW65" i="3"/>
  <c r="CW66" i="3"/>
  <c r="CW67" i="3"/>
  <c r="CW68" i="3"/>
  <c r="CW69" i="3"/>
  <c r="CW70" i="3"/>
  <c r="CW71" i="3"/>
  <c r="CW72" i="3"/>
  <c r="CW73" i="3"/>
  <c r="CW74" i="3"/>
  <c r="CW75" i="3"/>
  <c r="CV76" i="3"/>
  <c r="CW76" i="3"/>
  <c r="CW77" i="3"/>
  <c r="CW78" i="3"/>
  <c r="CW79" i="3"/>
  <c r="CW80" i="3"/>
  <c r="CV81" i="3"/>
  <c r="CW81" i="3"/>
  <c r="CV82" i="3"/>
  <c r="CW82" i="3"/>
  <c r="CW83" i="3"/>
  <c r="CW84" i="3"/>
  <c r="CW85" i="3"/>
  <c r="CV86" i="3"/>
  <c r="CW86" i="3"/>
  <c r="CW87" i="3"/>
  <c r="CV88" i="3"/>
  <c r="CW88" i="3"/>
  <c r="CW89" i="3"/>
  <c r="CV90" i="3"/>
  <c r="CW90" i="3"/>
  <c r="CW91" i="3"/>
  <c r="CW92" i="3"/>
  <c r="CW93" i="3"/>
  <c r="CW94" i="3"/>
  <c r="CV95" i="3"/>
  <c r="CW95" i="3"/>
  <c r="CV96" i="3"/>
  <c r="CW96" i="3"/>
  <c r="CW97" i="3"/>
  <c r="CW98" i="3"/>
  <c r="CW99" i="3"/>
  <c r="CW100" i="3"/>
  <c r="CV101" i="3"/>
  <c r="CW101" i="3"/>
  <c r="CW102" i="3"/>
  <c r="CW103" i="3"/>
  <c r="CW104" i="3"/>
  <c r="CV105" i="3"/>
  <c r="CW105" i="3"/>
  <c r="CW106" i="3"/>
  <c r="CW107" i="3"/>
  <c r="CW108" i="3"/>
  <c r="CW109" i="3"/>
  <c r="CW110" i="3"/>
  <c r="CV111" i="3"/>
  <c r="CW111" i="3"/>
  <c r="CW112" i="3"/>
  <c r="CW113" i="3"/>
  <c r="CW114" i="3"/>
  <c r="CW115" i="3"/>
  <c r="CW116" i="3"/>
  <c r="CW117" i="3"/>
  <c r="CV118" i="3"/>
  <c r="CW118" i="3"/>
  <c r="CW119" i="3"/>
  <c r="CW120" i="3"/>
  <c r="CW121" i="3"/>
  <c r="CW122" i="3"/>
  <c r="CW123" i="3"/>
  <c r="CW124" i="3"/>
  <c r="CW125" i="3"/>
  <c r="CW126" i="3"/>
  <c r="CW127" i="3"/>
  <c r="CW128" i="3"/>
  <c r="CW129" i="3"/>
  <c r="CV130" i="3"/>
  <c r="CW130" i="3"/>
  <c r="CW131" i="3"/>
  <c r="CV132" i="3"/>
  <c r="CW132" i="3"/>
  <c r="CW133" i="3"/>
  <c r="CV134" i="3"/>
  <c r="CW134" i="3"/>
  <c r="CW135" i="3"/>
  <c r="CW136" i="3"/>
  <c r="CW137" i="3"/>
  <c r="CW138" i="3"/>
  <c r="CW139" i="3"/>
  <c r="CW140" i="3"/>
  <c r="CV141" i="3"/>
  <c r="CW141" i="3"/>
  <c r="CV142" i="3"/>
  <c r="CW142" i="3"/>
  <c r="CW143" i="3"/>
  <c r="CW144" i="3"/>
  <c r="CW145" i="3"/>
  <c r="CW146" i="3"/>
  <c r="CW147" i="3"/>
  <c r="CV148" i="3"/>
  <c r="CW148" i="3"/>
  <c r="CW149" i="3"/>
  <c r="CW150" i="3"/>
  <c r="CV151" i="3"/>
  <c r="CW151" i="3"/>
  <c r="CW152" i="3"/>
  <c r="CV153" i="3"/>
  <c r="CW153" i="3"/>
  <c r="CV154" i="3"/>
  <c r="CW154" i="3"/>
  <c r="CM10" i="3"/>
  <c r="CM11" i="3"/>
  <c r="CM12" i="3"/>
  <c r="CM13" i="3"/>
  <c r="CM14" i="3"/>
  <c r="CM15" i="3"/>
  <c r="CM16" i="3"/>
  <c r="CM17" i="3"/>
  <c r="CM18" i="3"/>
  <c r="CM19" i="3"/>
  <c r="CM20" i="3"/>
  <c r="CM21" i="3"/>
  <c r="CM22" i="3"/>
  <c r="CM23" i="3"/>
  <c r="CM24" i="3"/>
  <c r="CM25" i="3"/>
  <c r="CM26" i="3"/>
  <c r="CM27" i="3"/>
  <c r="CM28" i="3"/>
  <c r="CM29" i="3"/>
  <c r="CM30" i="3"/>
  <c r="CM31" i="3"/>
  <c r="CM32" i="3"/>
  <c r="CM33" i="3"/>
  <c r="CM34" i="3"/>
  <c r="CM35" i="3"/>
  <c r="CM36" i="3"/>
  <c r="CM37" i="3"/>
  <c r="CM38" i="3"/>
  <c r="CM39" i="3"/>
  <c r="CM40" i="3"/>
  <c r="CM41" i="3"/>
  <c r="CM42" i="3"/>
  <c r="CM43" i="3"/>
  <c r="CM44" i="3"/>
  <c r="CM45" i="3"/>
  <c r="CM46" i="3"/>
  <c r="CM47" i="3"/>
  <c r="CM48" i="3"/>
  <c r="CM49" i="3"/>
  <c r="CM50" i="3"/>
  <c r="CM51" i="3"/>
  <c r="CM52" i="3"/>
  <c r="CM53" i="3"/>
  <c r="CM54" i="3"/>
  <c r="CM55" i="3"/>
  <c r="CM56" i="3"/>
  <c r="CM57" i="3"/>
  <c r="CM58" i="3"/>
  <c r="CM59" i="3"/>
  <c r="CM60" i="3"/>
  <c r="CM61" i="3"/>
  <c r="CM62" i="3"/>
  <c r="CM63" i="3"/>
  <c r="CM64" i="3"/>
  <c r="CM65" i="3"/>
  <c r="CM66" i="3"/>
  <c r="CM67" i="3"/>
  <c r="CM68" i="3"/>
  <c r="CM69" i="3"/>
  <c r="CM70" i="3"/>
  <c r="CM71" i="3"/>
  <c r="CM72" i="3"/>
  <c r="CM73" i="3"/>
  <c r="CM74" i="3"/>
  <c r="CM75" i="3"/>
  <c r="CM76" i="3"/>
  <c r="CM77" i="3"/>
  <c r="CM78" i="3"/>
  <c r="CM79" i="3"/>
  <c r="CM80" i="3"/>
  <c r="CM81" i="3"/>
  <c r="CM82" i="3"/>
  <c r="CM83" i="3"/>
  <c r="CM84" i="3"/>
  <c r="CM85" i="3"/>
  <c r="CM86" i="3"/>
  <c r="CM87" i="3"/>
  <c r="CM88" i="3"/>
  <c r="CM89" i="3"/>
  <c r="CM90" i="3"/>
  <c r="CM91" i="3"/>
  <c r="CM92" i="3"/>
  <c r="CM93" i="3"/>
  <c r="CM94" i="3"/>
  <c r="CM95" i="3"/>
  <c r="CM96" i="3"/>
  <c r="CM97" i="3"/>
  <c r="CM98" i="3"/>
  <c r="CM99" i="3"/>
  <c r="CM100" i="3"/>
  <c r="CM101" i="3"/>
  <c r="CM102" i="3"/>
  <c r="CM103" i="3"/>
  <c r="CM104" i="3"/>
  <c r="CM105" i="3"/>
  <c r="CM106" i="3"/>
  <c r="CM107" i="3"/>
  <c r="CM108" i="3"/>
  <c r="CM109" i="3"/>
  <c r="CM110" i="3"/>
  <c r="CM111" i="3"/>
  <c r="CM112" i="3"/>
  <c r="CM113" i="3"/>
  <c r="CM114" i="3"/>
  <c r="CM115" i="3"/>
  <c r="CM116" i="3"/>
  <c r="CM117" i="3"/>
  <c r="CM118" i="3"/>
  <c r="CM119" i="3"/>
  <c r="CM120" i="3"/>
  <c r="CM121" i="3"/>
  <c r="CM122" i="3"/>
  <c r="CM123" i="3"/>
  <c r="CM124" i="3"/>
  <c r="CM125" i="3"/>
  <c r="CM126" i="3"/>
  <c r="CM127" i="3"/>
  <c r="CM128" i="3"/>
  <c r="CM129" i="3"/>
  <c r="CM130" i="3"/>
  <c r="CM131" i="3"/>
  <c r="CM132" i="3"/>
  <c r="CM133" i="3"/>
  <c r="CM134" i="3"/>
  <c r="CM135" i="3"/>
  <c r="CM136" i="3"/>
  <c r="CM137" i="3"/>
  <c r="CM138" i="3"/>
  <c r="CM139" i="3"/>
  <c r="CM140" i="3"/>
  <c r="CM141" i="3"/>
  <c r="CM142" i="3"/>
  <c r="CM143" i="3"/>
  <c r="CM144" i="3"/>
  <c r="CM145" i="3"/>
  <c r="CM146" i="3"/>
  <c r="CM147" i="3"/>
  <c r="CM148" i="3"/>
  <c r="CM149" i="3"/>
  <c r="CM150" i="3"/>
  <c r="CM151" i="3"/>
  <c r="CM152" i="3"/>
  <c r="CM153" i="3"/>
  <c r="CM154" i="3"/>
  <c r="CJ10" i="3"/>
  <c r="CJ11" i="3"/>
  <c r="CJ12" i="3"/>
  <c r="CI13" i="3"/>
  <c r="CJ13" i="3"/>
  <c r="CJ14" i="3"/>
  <c r="CI15" i="3"/>
  <c r="CJ15" i="3"/>
  <c r="CJ16" i="3"/>
  <c r="CI17" i="3"/>
  <c r="CJ17" i="3"/>
  <c r="CJ18" i="3"/>
  <c r="CJ19" i="3"/>
  <c r="CJ20" i="3"/>
  <c r="CJ21" i="3"/>
  <c r="CI22" i="3"/>
  <c r="CJ22" i="3"/>
  <c r="CI23" i="3"/>
  <c r="CJ23" i="3"/>
  <c r="CI24" i="3"/>
  <c r="CJ24" i="3"/>
  <c r="CJ25" i="3"/>
  <c r="CI26" i="3"/>
  <c r="CJ26" i="3"/>
  <c r="CI27" i="3"/>
  <c r="CJ27" i="3"/>
  <c r="CI28" i="3"/>
  <c r="CJ28" i="3"/>
  <c r="CI29" i="3"/>
  <c r="CJ29" i="3"/>
  <c r="CJ30" i="3"/>
  <c r="CJ31" i="3"/>
  <c r="CI32" i="3"/>
  <c r="CJ32" i="3"/>
  <c r="CI33" i="3"/>
  <c r="CJ33" i="3"/>
  <c r="CJ34" i="3"/>
  <c r="CJ35" i="3"/>
  <c r="CJ36" i="3"/>
  <c r="CJ37" i="3"/>
  <c r="CJ38" i="3"/>
  <c r="CJ39" i="3"/>
  <c r="CI40" i="3"/>
  <c r="CJ40" i="3"/>
  <c r="CJ41" i="3"/>
  <c r="CJ42" i="3"/>
  <c r="CJ43" i="3"/>
  <c r="CJ44" i="3"/>
  <c r="CJ45" i="3"/>
  <c r="CJ46" i="3"/>
  <c r="CJ47" i="3"/>
  <c r="CJ48" i="3"/>
  <c r="CJ49" i="3"/>
  <c r="CI50" i="3"/>
  <c r="CJ50" i="3"/>
  <c r="CJ51" i="3"/>
  <c r="CJ52" i="3"/>
  <c r="CJ53" i="3"/>
  <c r="CJ54" i="3"/>
  <c r="CJ55" i="3"/>
  <c r="CJ56" i="3"/>
  <c r="CJ57" i="3"/>
  <c r="CJ58" i="3"/>
  <c r="CJ59" i="3"/>
  <c r="CJ60" i="3"/>
  <c r="CJ61" i="3"/>
  <c r="CJ62" i="3"/>
  <c r="CJ63" i="3"/>
  <c r="CJ64" i="3"/>
  <c r="CJ65" i="3"/>
  <c r="CJ66" i="3"/>
  <c r="CJ67" i="3"/>
  <c r="CJ68" i="3"/>
  <c r="CJ69" i="3"/>
  <c r="CJ70" i="3"/>
  <c r="CJ71" i="3"/>
  <c r="CJ72" i="3"/>
  <c r="CJ73" i="3"/>
  <c r="CJ74" i="3"/>
  <c r="CJ75" i="3"/>
  <c r="CI76" i="3"/>
  <c r="CJ76" i="3"/>
  <c r="CJ77" i="3"/>
  <c r="CJ78" i="3"/>
  <c r="CJ79" i="3"/>
  <c r="CJ80" i="3"/>
  <c r="CI81" i="3"/>
  <c r="CJ81" i="3"/>
  <c r="CI82" i="3"/>
  <c r="CJ82" i="3"/>
  <c r="CJ83" i="3"/>
  <c r="CJ84" i="3"/>
  <c r="CJ85" i="3"/>
  <c r="CI86" i="3"/>
  <c r="CJ86" i="3"/>
  <c r="CJ87" i="3"/>
  <c r="CI88" i="3"/>
  <c r="CJ88" i="3"/>
  <c r="CJ89" i="3"/>
  <c r="CI90" i="3"/>
  <c r="CJ90" i="3"/>
  <c r="CJ91" i="3"/>
  <c r="CJ92" i="3"/>
  <c r="CJ93" i="3"/>
  <c r="CJ94" i="3"/>
  <c r="CI95" i="3"/>
  <c r="CJ95" i="3"/>
  <c r="CI96" i="3"/>
  <c r="CJ96" i="3"/>
  <c r="CJ97" i="3"/>
  <c r="CJ98" i="3"/>
  <c r="CJ99" i="3"/>
  <c r="CJ100" i="3"/>
  <c r="CI101" i="3"/>
  <c r="CJ101" i="3"/>
  <c r="CJ102" i="3"/>
  <c r="CJ103" i="3"/>
  <c r="CJ104" i="3"/>
  <c r="CI105" i="3"/>
  <c r="CJ105" i="3"/>
  <c r="CJ106" i="3"/>
  <c r="CJ107" i="3"/>
  <c r="CJ108" i="3"/>
  <c r="CJ109" i="3"/>
  <c r="CJ110" i="3"/>
  <c r="CI111" i="3"/>
  <c r="CJ111" i="3"/>
  <c r="CJ112" i="3"/>
  <c r="CJ113" i="3"/>
  <c r="CJ114" i="3"/>
  <c r="CJ115" i="3"/>
  <c r="CJ116" i="3"/>
  <c r="CJ117" i="3"/>
  <c r="CI118" i="3"/>
  <c r="CJ118" i="3"/>
  <c r="CJ119" i="3"/>
  <c r="CJ120" i="3"/>
  <c r="CJ121" i="3"/>
  <c r="CJ122" i="3"/>
  <c r="CJ123" i="3"/>
  <c r="CJ124" i="3"/>
  <c r="CJ125" i="3"/>
  <c r="CJ126" i="3"/>
  <c r="CJ127" i="3"/>
  <c r="CJ128" i="3"/>
  <c r="CJ129" i="3"/>
  <c r="CI130" i="3"/>
  <c r="CJ130" i="3"/>
  <c r="CJ131" i="3"/>
  <c r="CI132" i="3"/>
  <c r="CJ132" i="3"/>
  <c r="CJ133" i="3"/>
  <c r="CI134" i="3"/>
  <c r="CJ134" i="3"/>
  <c r="CJ135" i="3"/>
  <c r="CJ136" i="3"/>
  <c r="CJ137" i="3"/>
  <c r="CJ138" i="3"/>
  <c r="CJ139" i="3"/>
  <c r="CJ140" i="3"/>
  <c r="CI141" i="3"/>
  <c r="CJ141" i="3"/>
  <c r="CI142" i="3"/>
  <c r="CJ142" i="3"/>
  <c r="CJ143" i="3"/>
  <c r="CJ144" i="3"/>
  <c r="CJ145" i="3"/>
  <c r="CJ146" i="3"/>
  <c r="CJ147" i="3"/>
  <c r="CI148" i="3"/>
  <c r="CJ148" i="3"/>
  <c r="CJ149" i="3"/>
  <c r="CJ150" i="3"/>
  <c r="CI151" i="3"/>
  <c r="CJ151" i="3"/>
  <c r="CJ152" i="3"/>
  <c r="CI153" i="3"/>
  <c r="CJ153" i="3"/>
  <c r="CI154" i="3"/>
  <c r="CJ154" i="3"/>
  <c r="BX10" i="3"/>
  <c r="BZ10" i="3"/>
  <c r="BZ11" i="3"/>
  <c r="BZ12" i="3"/>
  <c r="BZ13" i="3"/>
  <c r="BZ14" i="3"/>
  <c r="BZ15" i="3"/>
  <c r="BZ16" i="3"/>
  <c r="BZ17" i="3"/>
  <c r="BZ18" i="3"/>
  <c r="BZ19" i="3"/>
  <c r="BZ20" i="3"/>
  <c r="BZ21" i="3"/>
  <c r="BZ22" i="3"/>
  <c r="BZ23" i="3"/>
  <c r="BZ24" i="3"/>
  <c r="BZ25" i="3"/>
  <c r="BZ26" i="3"/>
  <c r="BZ27" i="3"/>
  <c r="BZ28" i="3"/>
  <c r="BZ29" i="3"/>
  <c r="BZ30" i="3"/>
  <c r="BZ31" i="3"/>
  <c r="BZ32" i="3"/>
  <c r="BZ33" i="3"/>
  <c r="BZ34" i="3"/>
  <c r="BZ35" i="3"/>
  <c r="BZ36" i="3"/>
  <c r="BZ37" i="3"/>
  <c r="BZ38" i="3"/>
  <c r="BZ39" i="3"/>
  <c r="BZ40" i="3"/>
  <c r="BZ41" i="3"/>
  <c r="BZ42" i="3"/>
  <c r="BZ43" i="3"/>
  <c r="BZ44" i="3"/>
  <c r="BZ45" i="3"/>
  <c r="BZ46" i="3"/>
  <c r="BZ47" i="3"/>
  <c r="BZ48" i="3"/>
  <c r="BZ49" i="3"/>
  <c r="BZ50" i="3"/>
  <c r="BZ51" i="3"/>
  <c r="BZ52" i="3"/>
  <c r="BZ53" i="3"/>
  <c r="BZ54" i="3"/>
  <c r="BZ55" i="3"/>
  <c r="BZ56" i="3"/>
  <c r="BZ57" i="3"/>
  <c r="BZ58" i="3"/>
  <c r="BZ59" i="3"/>
  <c r="BZ60" i="3"/>
  <c r="BZ61" i="3"/>
  <c r="BZ62" i="3"/>
  <c r="BZ63" i="3"/>
  <c r="BZ64" i="3"/>
  <c r="BZ65" i="3"/>
  <c r="BZ66" i="3"/>
  <c r="BZ67" i="3"/>
  <c r="BZ68" i="3"/>
  <c r="BZ69" i="3"/>
  <c r="BZ70" i="3"/>
  <c r="BZ71" i="3"/>
  <c r="BZ72" i="3"/>
  <c r="BZ73" i="3"/>
  <c r="BZ74" i="3"/>
  <c r="BZ75" i="3"/>
  <c r="BZ76" i="3"/>
  <c r="BZ77" i="3"/>
  <c r="BZ78" i="3"/>
  <c r="BZ79" i="3"/>
  <c r="BZ80" i="3"/>
  <c r="BZ81" i="3"/>
  <c r="BZ82" i="3"/>
  <c r="BZ83" i="3"/>
  <c r="BZ84" i="3"/>
  <c r="BZ85" i="3"/>
  <c r="BZ86" i="3"/>
  <c r="BZ87" i="3"/>
  <c r="BZ88" i="3"/>
  <c r="BZ89" i="3"/>
  <c r="BZ90" i="3"/>
  <c r="BZ91" i="3"/>
  <c r="BZ92" i="3"/>
  <c r="BZ93" i="3"/>
  <c r="BZ94" i="3"/>
  <c r="BZ95" i="3"/>
  <c r="BZ96" i="3"/>
  <c r="BZ97" i="3"/>
  <c r="BZ98" i="3"/>
  <c r="BZ99" i="3"/>
  <c r="BZ100" i="3"/>
  <c r="BZ101" i="3"/>
  <c r="BZ102" i="3"/>
  <c r="BZ103" i="3"/>
  <c r="BZ104" i="3"/>
  <c r="BZ105" i="3"/>
  <c r="BZ106" i="3"/>
  <c r="BZ107" i="3"/>
  <c r="BZ108" i="3"/>
  <c r="BZ109" i="3"/>
  <c r="BZ110" i="3"/>
  <c r="BZ111" i="3"/>
  <c r="BZ112" i="3"/>
  <c r="BZ113" i="3"/>
  <c r="BZ114" i="3"/>
  <c r="BZ115" i="3"/>
  <c r="BZ116" i="3"/>
  <c r="BZ117" i="3"/>
  <c r="BZ118" i="3"/>
  <c r="BZ119" i="3"/>
  <c r="BZ120" i="3"/>
  <c r="BZ121" i="3"/>
  <c r="BZ122" i="3"/>
  <c r="BZ123" i="3"/>
  <c r="BZ124" i="3"/>
  <c r="BZ125" i="3"/>
  <c r="BZ126" i="3"/>
  <c r="BZ127" i="3"/>
  <c r="BZ128" i="3"/>
  <c r="BZ129" i="3"/>
  <c r="BZ130" i="3"/>
  <c r="BZ131" i="3"/>
  <c r="BZ132" i="3"/>
  <c r="BZ133" i="3"/>
  <c r="BZ134" i="3"/>
  <c r="BZ135" i="3"/>
  <c r="BZ136" i="3"/>
  <c r="BZ137" i="3"/>
  <c r="BZ138" i="3"/>
  <c r="BZ139" i="3"/>
  <c r="BZ140" i="3"/>
  <c r="BZ141" i="3"/>
  <c r="BZ142" i="3"/>
  <c r="BZ143" i="3"/>
  <c r="BZ144" i="3"/>
  <c r="BZ145" i="3"/>
  <c r="BZ146" i="3"/>
  <c r="BZ147" i="3"/>
  <c r="BZ148" i="3"/>
  <c r="BZ149" i="3"/>
  <c r="BZ150" i="3"/>
  <c r="BZ151" i="3"/>
  <c r="BZ152" i="3"/>
  <c r="BZ153" i="3"/>
  <c r="BZ154" i="3"/>
  <c r="BX11" i="3"/>
  <c r="BX12" i="3"/>
  <c r="BX13" i="3"/>
  <c r="BX14" i="3"/>
  <c r="BX15" i="3"/>
  <c r="BX16" i="3"/>
  <c r="BX17" i="3"/>
  <c r="BX18" i="3"/>
  <c r="BX19" i="3"/>
  <c r="BX20" i="3"/>
  <c r="BX21" i="3"/>
  <c r="BX22" i="3"/>
  <c r="BX23" i="3"/>
  <c r="BX24" i="3"/>
  <c r="BX25" i="3"/>
  <c r="BX26" i="3"/>
  <c r="BX27" i="3"/>
  <c r="BX28" i="3"/>
  <c r="BX29" i="3"/>
  <c r="BX30" i="3"/>
  <c r="BX31" i="3"/>
  <c r="BX32" i="3"/>
  <c r="BX33" i="3"/>
  <c r="BX34" i="3"/>
  <c r="BX35" i="3"/>
  <c r="BX36" i="3"/>
  <c r="BX37" i="3"/>
  <c r="BX38" i="3"/>
  <c r="BX39" i="3"/>
  <c r="BX40" i="3"/>
  <c r="BX41" i="3"/>
  <c r="BX42" i="3"/>
  <c r="BX43" i="3"/>
  <c r="BX44" i="3"/>
  <c r="BX45" i="3"/>
  <c r="BX46" i="3"/>
  <c r="BX47" i="3"/>
  <c r="BX48" i="3"/>
  <c r="BX49" i="3"/>
  <c r="BX50" i="3"/>
  <c r="BX51" i="3"/>
  <c r="BX52" i="3"/>
  <c r="BX53" i="3"/>
  <c r="BX54" i="3"/>
  <c r="BX55" i="3"/>
  <c r="BX56" i="3"/>
  <c r="BX57" i="3"/>
  <c r="BX58" i="3"/>
  <c r="BX59" i="3"/>
  <c r="BX60" i="3"/>
  <c r="BX61" i="3"/>
  <c r="BX62" i="3"/>
  <c r="BX63" i="3"/>
  <c r="BX64" i="3"/>
  <c r="BX65" i="3"/>
  <c r="BX66" i="3"/>
  <c r="BX67" i="3"/>
  <c r="BX68" i="3"/>
  <c r="BX69" i="3"/>
  <c r="BX70" i="3"/>
  <c r="BX71" i="3"/>
  <c r="BX72" i="3"/>
  <c r="BX73" i="3"/>
  <c r="BX74" i="3"/>
  <c r="BX75" i="3"/>
  <c r="BX76" i="3"/>
  <c r="BX77" i="3"/>
  <c r="BX78" i="3"/>
  <c r="BX79" i="3"/>
  <c r="BX80" i="3"/>
  <c r="BX81" i="3"/>
  <c r="BX82" i="3"/>
  <c r="BX83" i="3"/>
  <c r="BX84" i="3"/>
  <c r="BX85" i="3"/>
  <c r="BX86" i="3"/>
  <c r="BX87" i="3"/>
  <c r="BX88" i="3"/>
  <c r="BX89" i="3"/>
  <c r="BX90" i="3"/>
  <c r="BX91" i="3"/>
  <c r="BX92" i="3"/>
  <c r="BX93" i="3"/>
  <c r="BX94" i="3"/>
  <c r="BX95" i="3"/>
  <c r="BX96" i="3"/>
  <c r="BX97" i="3"/>
  <c r="BX98" i="3"/>
  <c r="BX99" i="3"/>
  <c r="BX100" i="3"/>
  <c r="BX101" i="3"/>
  <c r="BX102" i="3"/>
  <c r="BX103" i="3"/>
  <c r="BX104" i="3"/>
  <c r="BX105" i="3"/>
  <c r="BX106" i="3"/>
  <c r="BX107" i="3"/>
  <c r="BX108" i="3"/>
  <c r="BX109" i="3"/>
  <c r="BX110" i="3"/>
  <c r="BX111" i="3"/>
  <c r="BX112" i="3"/>
  <c r="BX113" i="3"/>
  <c r="BX114" i="3"/>
  <c r="BX115" i="3"/>
  <c r="BX116" i="3"/>
  <c r="BX117" i="3"/>
  <c r="BX118" i="3"/>
  <c r="BX119" i="3"/>
  <c r="BX120" i="3"/>
  <c r="BX121" i="3"/>
  <c r="BX122" i="3"/>
  <c r="BX123" i="3"/>
  <c r="BX124" i="3"/>
  <c r="BX125" i="3"/>
  <c r="BX126" i="3"/>
  <c r="BX127" i="3"/>
  <c r="BX128" i="3"/>
  <c r="BX129" i="3"/>
  <c r="BX130" i="3"/>
  <c r="BX131" i="3"/>
  <c r="BX132" i="3"/>
  <c r="BX133" i="3"/>
  <c r="BX134" i="3"/>
  <c r="BX135" i="3"/>
  <c r="BX136" i="3"/>
  <c r="BX137" i="3"/>
  <c r="BX138" i="3"/>
  <c r="BX139" i="3"/>
  <c r="BX140" i="3"/>
  <c r="BX141" i="3"/>
  <c r="BX142" i="3"/>
  <c r="BX143" i="3"/>
  <c r="BX144" i="3"/>
  <c r="BX145" i="3"/>
  <c r="BX146" i="3"/>
  <c r="BX147" i="3"/>
  <c r="BX148" i="3"/>
  <c r="BX149" i="3"/>
  <c r="BX150" i="3"/>
  <c r="BX151" i="3"/>
  <c r="BX152" i="3"/>
  <c r="BX153" i="3"/>
  <c r="BX154" i="3"/>
  <c r="BW22" i="3"/>
  <c r="BW23" i="3"/>
  <c r="BW24" i="3"/>
  <c r="BW26" i="3"/>
  <c r="BW27" i="3"/>
  <c r="BW28" i="3"/>
  <c r="BW29" i="3"/>
  <c r="BW32" i="3"/>
  <c r="BW33" i="3"/>
  <c r="BW40" i="3"/>
  <c r="BW50" i="3"/>
  <c r="BW76" i="3"/>
  <c r="BW81" i="3"/>
  <c r="BW82" i="3"/>
  <c r="BW86" i="3"/>
  <c r="BW88" i="3"/>
  <c r="BW90" i="3"/>
  <c r="BW95" i="3"/>
  <c r="BW96" i="3"/>
  <c r="BW101" i="3"/>
  <c r="BW105" i="3"/>
  <c r="BW111" i="3"/>
  <c r="BW118" i="3"/>
  <c r="BW130" i="3"/>
  <c r="BW132" i="3"/>
  <c r="BW134" i="3"/>
  <c r="BW141" i="3"/>
  <c r="BW142" i="3"/>
  <c r="BW148" i="3"/>
  <c r="BW151" i="3"/>
  <c r="BW153" i="3"/>
  <c r="BW154" i="3"/>
  <c r="BW13" i="3"/>
  <c r="BW15" i="3"/>
  <c r="BW17" i="3"/>
  <c r="AE88" i="13"/>
  <c r="AE90" i="13"/>
  <c r="AE74" i="13"/>
  <c r="AE76" i="13"/>
  <c r="AE70" i="13"/>
  <c r="AE69" i="13"/>
  <c r="AE71" i="13"/>
  <c r="AE82" i="13"/>
  <c r="AE83" i="13"/>
  <c r="AE84" i="13"/>
  <c r="AE46" i="13"/>
  <c r="AE33" i="13"/>
  <c r="AE20" i="13"/>
  <c r="AH20" i="7"/>
  <c r="FH10" i="3"/>
  <c r="FH11" i="3"/>
  <c r="FH12" i="3"/>
  <c r="FH13" i="3"/>
  <c r="FH14" i="3"/>
  <c r="FH15" i="3"/>
  <c r="FH16" i="3"/>
  <c r="FH17" i="3"/>
  <c r="FH18" i="3"/>
  <c r="FH19" i="3"/>
  <c r="FH20" i="3"/>
  <c r="FH21" i="3"/>
  <c r="FH22" i="3"/>
  <c r="FH23" i="3"/>
  <c r="FH24" i="3"/>
  <c r="FH25" i="3"/>
  <c r="FH26" i="3"/>
  <c r="FH27" i="3"/>
  <c r="FH28" i="3"/>
  <c r="FH29" i="3"/>
  <c r="FH30" i="3"/>
  <c r="FH31" i="3"/>
  <c r="FH32" i="3"/>
  <c r="FH33" i="3"/>
  <c r="FH34" i="3"/>
  <c r="FH35" i="3"/>
  <c r="FH36" i="3"/>
  <c r="FH37" i="3"/>
  <c r="FH38" i="3"/>
  <c r="FH39" i="3"/>
  <c r="FH40" i="3"/>
  <c r="FH41" i="3"/>
  <c r="FH42" i="3"/>
  <c r="FH43" i="3"/>
  <c r="FH44" i="3"/>
  <c r="FH45" i="3"/>
  <c r="FH46" i="3"/>
  <c r="FH47" i="3"/>
  <c r="FH48" i="3"/>
  <c r="FH49" i="3"/>
  <c r="FH50" i="3"/>
  <c r="FH51" i="3"/>
  <c r="FH52" i="3"/>
  <c r="FH53" i="3"/>
  <c r="FH54" i="3"/>
  <c r="FH55" i="3"/>
  <c r="FH56" i="3"/>
  <c r="FH57" i="3"/>
  <c r="FH58" i="3"/>
  <c r="FH59" i="3"/>
  <c r="FH60" i="3"/>
  <c r="FH61" i="3"/>
  <c r="FH62" i="3"/>
  <c r="FH63" i="3"/>
  <c r="FH64" i="3"/>
  <c r="FH65" i="3"/>
  <c r="DU9" i="3"/>
  <c r="CY10" i="3"/>
  <c r="CY11" i="3"/>
  <c r="CY12" i="3"/>
  <c r="CY13" i="3"/>
  <c r="CY14" i="3"/>
  <c r="CY15" i="3"/>
  <c r="CY16" i="3"/>
  <c r="CY17" i="3"/>
  <c r="CY18" i="3"/>
  <c r="CY19" i="3"/>
  <c r="CY20" i="3"/>
  <c r="CY21" i="3"/>
  <c r="CY22" i="3"/>
  <c r="CY23" i="3"/>
  <c r="CY24" i="3"/>
  <c r="CY25" i="3"/>
  <c r="CY26" i="3"/>
  <c r="CY27" i="3"/>
  <c r="CY28" i="3"/>
  <c r="CY29" i="3"/>
  <c r="CY30" i="3"/>
  <c r="CY31" i="3"/>
  <c r="CY32" i="3"/>
  <c r="CY33" i="3"/>
  <c r="CY34" i="3"/>
  <c r="CY35" i="3"/>
  <c r="CY36" i="3"/>
  <c r="CY37" i="3"/>
  <c r="CY38" i="3"/>
  <c r="CY39" i="3"/>
  <c r="CY40" i="3"/>
  <c r="CY41" i="3"/>
  <c r="CY42" i="3"/>
  <c r="CY43" i="3"/>
  <c r="CY44" i="3"/>
  <c r="CY45" i="3"/>
  <c r="CY46" i="3"/>
  <c r="CY47" i="3"/>
  <c r="CY48" i="3"/>
  <c r="CY49" i="3"/>
  <c r="CY50" i="3"/>
  <c r="CY51" i="3"/>
  <c r="CY52" i="3"/>
  <c r="CY53" i="3"/>
  <c r="CY54" i="3"/>
  <c r="CY55" i="3"/>
  <c r="CY56" i="3"/>
  <c r="CY57" i="3"/>
  <c r="CY58" i="3"/>
  <c r="CY59" i="3"/>
  <c r="CY60" i="3"/>
  <c r="CY61" i="3"/>
  <c r="CY62" i="3"/>
  <c r="CY63" i="3"/>
  <c r="CY64" i="3"/>
  <c r="CY65" i="3"/>
  <c r="CY9" i="3"/>
  <c r="CL10" i="3"/>
  <c r="CL11" i="3"/>
  <c r="CL12" i="3"/>
  <c r="CL13" i="3"/>
  <c r="CL14" i="3"/>
  <c r="CL15" i="3"/>
  <c r="CL16" i="3"/>
  <c r="CL17" i="3"/>
  <c r="CL18" i="3"/>
  <c r="CL19" i="3"/>
  <c r="CL20" i="3"/>
  <c r="CL21" i="3"/>
  <c r="CL22" i="3"/>
  <c r="CL23" i="3"/>
  <c r="CL24" i="3"/>
  <c r="CL25" i="3"/>
  <c r="CL26" i="3"/>
  <c r="CL27" i="3"/>
  <c r="CL28" i="3"/>
  <c r="CL29" i="3"/>
  <c r="CL30" i="3"/>
  <c r="CL31" i="3"/>
  <c r="CL32" i="3"/>
  <c r="CL33" i="3"/>
  <c r="CL34" i="3"/>
  <c r="CL35" i="3"/>
  <c r="CL36" i="3"/>
  <c r="CL37" i="3"/>
  <c r="CL38" i="3"/>
  <c r="CL39" i="3"/>
  <c r="CL40" i="3"/>
  <c r="CL41" i="3"/>
  <c r="CL42" i="3"/>
  <c r="CL43" i="3"/>
  <c r="CL44" i="3"/>
  <c r="CL45" i="3"/>
  <c r="CL46" i="3"/>
  <c r="CL47" i="3"/>
  <c r="CL48" i="3"/>
  <c r="CL49" i="3"/>
  <c r="CL50" i="3"/>
  <c r="CL51" i="3"/>
  <c r="CL52" i="3"/>
  <c r="CL53" i="3"/>
  <c r="CL54" i="3"/>
  <c r="CL55" i="3"/>
  <c r="CL56" i="3"/>
  <c r="CL57" i="3"/>
  <c r="CL58" i="3"/>
  <c r="CL59" i="3"/>
  <c r="CL60" i="3"/>
  <c r="CL61" i="3"/>
  <c r="CL62" i="3"/>
  <c r="CL63" i="3"/>
  <c r="CL64" i="3"/>
  <c r="CL65" i="3"/>
  <c r="CL9" i="3"/>
  <c r="AH33" i="7"/>
  <c r="AH52" i="7"/>
  <c r="AH50" i="7"/>
  <c r="AH47" i="7"/>
  <c r="DJ9" i="3"/>
  <c r="AB56" i="7"/>
  <c r="P56" i="7"/>
  <c r="P54" i="7"/>
  <c r="V33" i="7"/>
  <c r="L65" i="4"/>
  <c r="J65" i="4"/>
  <c r="AB54" i="7"/>
  <c r="AB35" i="7"/>
  <c r="AB37" i="7"/>
  <c r="AB42" i="7"/>
  <c r="AB44" i="7"/>
  <c r="AB62" i="7"/>
  <c r="AB64" i="7"/>
  <c r="AF22" i="7"/>
  <c r="AF58" i="7"/>
  <c r="AF35" i="7"/>
  <c r="AF37" i="7"/>
  <c r="AF42" i="7"/>
  <c r="AF44" i="7"/>
  <c r="AF62" i="7"/>
  <c r="AD54" i="7"/>
  <c r="AD35" i="7"/>
  <c r="AD37" i="7"/>
  <c r="AD42" i="7"/>
  <c r="AD44" i="7"/>
  <c r="AD62" i="7"/>
  <c r="T54" i="7"/>
  <c r="T35" i="7"/>
  <c r="T37" i="7"/>
  <c r="T42" i="7"/>
  <c r="T44" i="7"/>
  <c r="T62" i="7"/>
  <c r="P35" i="7"/>
  <c r="P37" i="7"/>
  <c r="P42" i="7"/>
  <c r="P44" i="7"/>
  <c r="P62" i="7"/>
  <c r="N54" i="7"/>
  <c r="L35" i="7"/>
  <c r="L37" i="7"/>
  <c r="L44" i="7"/>
  <c r="L62" i="7"/>
  <c r="L64" i="7"/>
  <c r="N55" i="7"/>
  <c r="N35" i="7"/>
  <c r="N37" i="7"/>
  <c r="N44" i="7"/>
  <c r="N62" i="7"/>
  <c r="AQ37" i="3"/>
  <c r="AR37" i="3"/>
  <c r="AS37" i="3"/>
  <c r="AQ102" i="3"/>
  <c r="AR102" i="3"/>
  <c r="A12" i="15"/>
  <c r="O4" i="20"/>
  <c r="DJ10" i="3"/>
  <c r="DU10" i="3"/>
  <c r="DJ11" i="3"/>
  <c r="DU11" i="3"/>
  <c r="DJ12" i="3"/>
  <c r="DU12" i="3"/>
  <c r="DJ14" i="3"/>
  <c r="DU14" i="3"/>
  <c r="DJ15" i="3"/>
  <c r="DU15" i="3"/>
  <c r="DJ16" i="3"/>
  <c r="DU16" i="3"/>
  <c r="DJ17" i="3"/>
  <c r="DU17" i="3"/>
  <c r="DJ18" i="3"/>
  <c r="DU18" i="3"/>
  <c r="DJ19" i="3"/>
  <c r="DU19" i="3"/>
  <c r="DJ20" i="3"/>
  <c r="DU20" i="3"/>
  <c r="DJ21" i="3"/>
  <c r="DU21" i="3"/>
  <c r="DJ22" i="3"/>
  <c r="DU22" i="3"/>
  <c r="DJ23" i="3"/>
  <c r="DU23" i="3"/>
  <c r="DJ24" i="3"/>
  <c r="DU24" i="3"/>
  <c r="DJ25" i="3"/>
  <c r="DU25" i="3"/>
  <c r="DJ26" i="3"/>
  <c r="DU26" i="3"/>
  <c r="DJ27" i="3"/>
  <c r="DU27" i="3"/>
  <c r="DJ28" i="3"/>
  <c r="DU28" i="3"/>
  <c r="DJ29" i="3"/>
  <c r="DU29" i="3"/>
  <c r="DJ30" i="3"/>
  <c r="DU30" i="3"/>
  <c r="DJ31" i="3"/>
  <c r="DU31" i="3"/>
  <c r="DJ32" i="3"/>
  <c r="DU32" i="3"/>
  <c r="DJ33" i="3"/>
  <c r="DU33" i="3"/>
  <c r="DJ34" i="3"/>
  <c r="DU34" i="3"/>
  <c r="DJ35" i="3"/>
  <c r="DU35" i="3"/>
  <c r="DJ36" i="3"/>
  <c r="DU36" i="3"/>
  <c r="DJ37" i="3"/>
  <c r="DU37" i="3"/>
  <c r="DJ38" i="3"/>
  <c r="DU38" i="3"/>
  <c r="DJ39" i="3"/>
  <c r="DU39" i="3"/>
  <c r="DJ40" i="3"/>
  <c r="DU40" i="3"/>
  <c r="DJ41" i="3"/>
  <c r="DU41" i="3"/>
  <c r="DJ42" i="3"/>
  <c r="DU42" i="3"/>
  <c r="DJ43" i="3"/>
  <c r="DU43" i="3"/>
  <c r="DJ44" i="3"/>
  <c r="DU44" i="3"/>
  <c r="DJ45" i="3"/>
  <c r="DU45" i="3"/>
  <c r="DJ46" i="3"/>
  <c r="DU46" i="3"/>
  <c r="DJ47" i="3"/>
  <c r="DU47" i="3"/>
  <c r="DJ48" i="3"/>
  <c r="DU48" i="3"/>
  <c r="DJ49" i="3"/>
  <c r="DU49" i="3"/>
  <c r="DJ50" i="3"/>
  <c r="DU50" i="3"/>
  <c r="DJ51" i="3"/>
  <c r="DU51" i="3"/>
  <c r="DJ52" i="3"/>
  <c r="DU52" i="3"/>
  <c r="DJ53" i="3"/>
  <c r="DU53" i="3"/>
  <c r="DJ54" i="3"/>
  <c r="DU54" i="3"/>
  <c r="DJ56" i="3"/>
  <c r="DU56" i="3"/>
  <c r="DJ57" i="3"/>
  <c r="DU57" i="3"/>
  <c r="DJ58" i="3"/>
  <c r="DU58" i="3"/>
  <c r="DJ59" i="3"/>
  <c r="DU59" i="3"/>
  <c r="DJ60" i="3"/>
  <c r="DU60" i="3"/>
  <c r="DJ61" i="3"/>
  <c r="DU61" i="3"/>
  <c r="DJ62" i="3"/>
  <c r="DU62" i="3"/>
  <c r="DJ63" i="3"/>
  <c r="DU63" i="3"/>
  <c r="DJ64" i="3"/>
  <c r="DU64" i="3"/>
  <c r="DJ65" i="3"/>
  <c r="DU65" i="3"/>
  <c r="A157" i="15"/>
  <c r="K5" i="8"/>
  <c r="L5" i="8"/>
  <c r="J5" i="8"/>
  <c r="K4" i="8"/>
  <c r="L4" i="8"/>
  <c r="J4" i="8"/>
  <c r="I18" i="8"/>
  <c r="I19" i="8"/>
  <c r="I20" i="8"/>
  <c r="I27" i="8"/>
  <c r="I38" i="8"/>
  <c r="I39" i="8"/>
  <c r="I55" i="8"/>
  <c r="I56" i="8"/>
  <c r="I64" i="8"/>
  <c r="I65" i="8"/>
  <c r="I66" i="8"/>
  <c r="I67" i="8"/>
  <c r="I68" i="8"/>
  <c r="I74" i="8"/>
  <c r="I75" i="8"/>
  <c r="I78" i="8"/>
  <c r="I79" i="8"/>
  <c r="I80" i="8"/>
  <c r="I89" i="8"/>
  <c r="I90" i="8"/>
  <c r="I91" i="8"/>
  <c r="I92" i="8"/>
  <c r="I93" i="8"/>
  <c r="I94" i="8"/>
  <c r="I108" i="8"/>
  <c r="I122" i="8"/>
  <c r="I123" i="8"/>
  <c r="I126" i="8"/>
  <c r="I127" i="8"/>
  <c r="I128" i="8"/>
  <c r="I150" i="8"/>
  <c r="I151" i="8"/>
  <c r="I152" i="8"/>
  <c r="I181" i="8"/>
  <c r="I182" i="8"/>
  <c r="I190" i="8"/>
  <c r="I191" i="8"/>
  <c r="I199" i="8"/>
  <c r="I209" i="8"/>
  <c r="I210" i="8"/>
  <c r="I211" i="8"/>
  <c r="I212" i="8"/>
  <c r="I219" i="8"/>
  <c r="I220" i="8"/>
  <c r="I225" i="8"/>
  <c r="I226" i="8"/>
  <c r="I243" i="8"/>
  <c r="I244" i="8"/>
  <c r="I245" i="8"/>
  <c r="I250" i="8"/>
  <c r="I255" i="8"/>
  <c r="I256" i="8"/>
  <c r="I257" i="8"/>
  <c r="I268" i="8"/>
  <c r="I269" i="8"/>
  <c r="I270" i="8"/>
  <c r="I271" i="8"/>
  <c r="I272" i="8"/>
  <c r="I273" i="8"/>
  <c r="I277" i="8"/>
  <c r="I289" i="8"/>
  <c r="I290" i="8"/>
  <c r="I291" i="8"/>
  <c r="I292" i="8"/>
  <c r="I293" i="8"/>
  <c r="I294" i="8"/>
  <c r="I302" i="8"/>
  <c r="I303" i="8"/>
  <c r="I304" i="8"/>
  <c r="I309" i="8"/>
  <c r="I313" i="8"/>
  <c r="I314" i="8"/>
  <c r="I320" i="8"/>
  <c r="I321" i="8"/>
  <c r="I326" i="8"/>
  <c r="I327" i="8"/>
  <c r="I328" i="8"/>
  <c r="I329" i="8"/>
  <c r="I330" i="8"/>
  <c r="I331" i="8"/>
  <c r="I361" i="8"/>
  <c r="I373" i="8"/>
  <c r="I374" i="8"/>
  <c r="I378" i="8"/>
  <c r="I379" i="8"/>
  <c r="I380" i="8"/>
  <c r="I384" i="8"/>
  <c r="I396" i="8"/>
  <c r="I407" i="8"/>
  <c r="I411" i="8"/>
  <c r="I412" i="8"/>
  <c r="I421" i="8"/>
  <c r="I422" i="8"/>
  <c r="I423" i="8"/>
  <c r="I424" i="8"/>
  <c r="I438" i="8"/>
  <c r="I444" i="8"/>
  <c r="I445" i="8"/>
  <c r="I446" i="8"/>
  <c r="I454" i="8"/>
  <c r="I455" i="8"/>
  <c r="I461" i="8"/>
  <c r="I462" i="8"/>
  <c r="I465" i="8"/>
  <c r="I471" i="8"/>
  <c r="I472" i="8"/>
  <c r="I473" i="8"/>
  <c r="I474" i="8"/>
  <c r="I491" i="8"/>
  <c r="I498" i="8"/>
  <c r="I499" i="8"/>
  <c r="I500" i="8"/>
  <c r="I520" i="8"/>
  <c r="I521" i="8"/>
  <c r="I526" i="8"/>
  <c r="I538" i="8"/>
  <c r="I542" i="8"/>
  <c r="I543" i="8"/>
  <c r="I544" i="8"/>
  <c r="I545" i="8"/>
  <c r="I546" i="8"/>
  <c r="I561" i="8"/>
  <c r="I562" i="8"/>
  <c r="I563" i="8"/>
  <c r="I564" i="8"/>
  <c r="I575" i="8"/>
  <c r="I576" i="8"/>
  <c r="I577" i="8"/>
  <c r="I578" i="8"/>
  <c r="I579" i="8"/>
  <c r="I592" i="8"/>
  <c r="I593" i="8"/>
  <c r="I594" i="8"/>
  <c r="I595" i="8"/>
  <c r="I609" i="8"/>
  <c r="I610" i="8"/>
  <c r="I611" i="8"/>
  <c r="I612" i="8"/>
  <c r="I613" i="8"/>
  <c r="I614" i="8"/>
  <c r="I615" i="8"/>
  <c r="I626" i="8"/>
  <c r="I627" i="8"/>
  <c r="I628" i="8"/>
  <c r="I640" i="8"/>
  <c r="I641" i="8"/>
  <c r="I642" i="8"/>
  <c r="I643" i="8"/>
  <c r="I644" i="8"/>
  <c r="I645" i="8"/>
  <c r="I646" i="8"/>
  <c r="I647" i="8"/>
  <c r="I656" i="8"/>
  <c r="I657" i="8"/>
  <c r="I658" i="8"/>
  <c r="I684" i="8"/>
  <c r="I685" i="8"/>
  <c r="I686" i="8"/>
  <c r="I689" i="8"/>
  <c r="I690" i="8"/>
  <c r="I691" i="8"/>
  <c r="I695" i="8"/>
  <c r="I696" i="8"/>
  <c r="I712" i="8"/>
  <c r="I713" i="8"/>
  <c r="I744" i="8"/>
  <c r="I745" i="8"/>
  <c r="I746" i="8"/>
  <c r="I747" i="8"/>
  <c r="I759" i="8"/>
  <c r="I760" i="8"/>
  <c r="I761" i="8"/>
  <c r="I764" i="8"/>
  <c r="I765" i="8"/>
  <c r="I766" i="8"/>
  <c r="I767" i="8"/>
  <c r="Y8" i="12"/>
  <c r="AG10" i="3"/>
  <c r="AJ10" i="3"/>
  <c r="Z8" i="12"/>
  <c r="AH10" i="3"/>
  <c r="AK10" i="3"/>
  <c r="Y9" i="12"/>
  <c r="AG11" i="3"/>
  <c r="AJ11" i="3"/>
  <c r="Z9" i="12"/>
  <c r="AH11" i="3"/>
  <c r="AK11" i="3"/>
  <c r="Y10" i="12"/>
  <c r="AG12" i="3"/>
  <c r="AJ12" i="3"/>
  <c r="Z10" i="12"/>
  <c r="AH12" i="3"/>
  <c r="AK12" i="3"/>
  <c r="Y11" i="12"/>
  <c r="AG14" i="3"/>
  <c r="AJ14" i="3"/>
  <c r="Z11" i="12"/>
  <c r="AH14" i="3"/>
  <c r="AK14" i="3"/>
  <c r="V12" i="12"/>
  <c r="U12" i="12"/>
  <c r="T12" i="12"/>
  <c r="S12" i="12"/>
  <c r="Y12" i="12"/>
  <c r="AG15" i="3"/>
  <c r="AJ15" i="3"/>
  <c r="Z12" i="12"/>
  <c r="AH15" i="3"/>
  <c r="AK15" i="3"/>
  <c r="Y13" i="12"/>
  <c r="AG16" i="3"/>
  <c r="AJ16" i="3"/>
  <c r="Z13" i="12"/>
  <c r="AH16" i="3"/>
  <c r="AK16" i="3"/>
  <c r="V15" i="12"/>
  <c r="U15" i="12"/>
  <c r="T15" i="12"/>
  <c r="S15" i="12"/>
  <c r="Y15" i="12"/>
  <c r="AG17" i="3"/>
  <c r="AJ17" i="3"/>
  <c r="Z15" i="12"/>
  <c r="AH17" i="3"/>
  <c r="AK17" i="3"/>
  <c r="V18" i="12"/>
  <c r="U18" i="12"/>
  <c r="T18" i="12"/>
  <c r="S18" i="12"/>
  <c r="Y18" i="12"/>
  <c r="AG18" i="3"/>
  <c r="AJ18" i="3"/>
  <c r="Z18" i="12"/>
  <c r="AH18" i="3"/>
  <c r="AK18" i="3"/>
  <c r="Y21" i="12"/>
  <c r="AG19" i="3"/>
  <c r="AJ19" i="3"/>
  <c r="Z21" i="12"/>
  <c r="AH19" i="3"/>
  <c r="AK19" i="3"/>
  <c r="Y22" i="12"/>
  <c r="AG20" i="3"/>
  <c r="AJ20" i="3"/>
  <c r="Z22" i="12"/>
  <c r="AH20" i="3"/>
  <c r="AK20" i="3"/>
  <c r="V23" i="12"/>
  <c r="U23" i="12"/>
  <c r="T23" i="12"/>
  <c r="S23" i="12"/>
  <c r="Y23" i="12"/>
  <c r="AG21" i="3"/>
  <c r="AJ21" i="3"/>
  <c r="Z23" i="12"/>
  <c r="AH21" i="3"/>
  <c r="AK21" i="3"/>
  <c r="V25" i="12"/>
  <c r="U25" i="12"/>
  <c r="T25" i="12"/>
  <c r="S25" i="12"/>
  <c r="Y25" i="12"/>
  <c r="AG22" i="3"/>
  <c r="AJ22" i="3"/>
  <c r="Z25" i="12"/>
  <c r="AH22" i="3"/>
  <c r="AK22" i="3"/>
  <c r="V26" i="12"/>
  <c r="U26" i="12"/>
  <c r="T26" i="12"/>
  <c r="S26" i="12"/>
  <c r="Y26" i="12"/>
  <c r="AG23" i="3"/>
  <c r="AJ23" i="3"/>
  <c r="Z26" i="12"/>
  <c r="AH23" i="3"/>
  <c r="AK23" i="3"/>
  <c r="V27" i="12"/>
  <c r="U27" i="12"/>
  <c r="T27" i="12"/>
  <c r="S27" i="12"/>
  <c r="Y27" i="12"/>
  <c r="AG24" i="3"/>
  <c r="AJ24" i="3"/>
  <c r="Z27" i="12"/>
  <c r="AH24" i="3"/>
  <c r="AK24" i="3"/>
  <c r="Y28" i="12"/>
  <c r="AG25" i="3"/>
  <c r="AJ25" i="3"/>
  <c r="Z28" i="12"/>
  <c r="AH25" i="3"/>
  <c r="AK25" i="3"/>
  <c r="AG26" i="3"/>
  <c r="AJ26" i="3"/>
  <c r="AH26" i="3"/>
  <c r="AK26" i="3"/>
  <c r="V31" i="12"/>
  <c r="U31" i="12"/>
  <c r="T31" i="12"/>
  <c r="S31" i="12"/>
  <c r="Y31" i="12"/>
  <c r="AG27" i="3"/>
  <c r="AJ27" i="3"/>
  <c r="Z31" i="12"/>
  <c r="AH27" i="3"/>
  <c r="AK27" i="3"/>
  <c r="V32" i="12"/>
  <c r="U32" i="12"/>
  <c r="T32" i="12"/>
  <c r="S32" i="12"/>
  <c r="Y32" i="12"/>
  <c r="AG28" i="3"/>
  <c r="AJ28" i="3"/>
  <c r="Z32" i="12"/>
  <c r="AH28" i="3"/>
  <c r="AK28" i="3"/>
  <c r="V33" i="12"/>
  <c r="U33" i="12"/>
  <c r="T33" i="12"/>
  <c r="S33" i="12"/>
  <c r="Y33" i="12"/>
  <c r="AG29" i="3"/>
  <c r="AJ29" i="3"/>
  <c r="Z33" i="12"/>
  <c r="AH29" i="3"/>
  <c r="AK29" i="3"/>
  <c r="Y34" i="12"/>
  <c r="AG30" i="3"/>
  <c r="AJ30" i="3"/>
  <c r="Z34" i="12"/>
  <c r="AH30" i="3"/>
  <c r="AK30" i="3"/>
  <c r="Y35" i="12"/>
  <c r="AG31" i="3"/>
  <c r="AJ31" i="3"/>
  <c r="Z35" i="12"/>
  <c r="AH31" i="3"/>
  <c r="AK31" i="3"/>
  <c r="V37" i="12"/>
  <c r="U37" i="12"/>
  <c r="T37" i="12"/>
  <c r="S37" i="12"/>
  <c r="Y37" i="12"/>
  <c r="AG32" i="3"/>
  <c r="AJ32" i="3"/>
  <c r="Z37" i="12"/>
  <c r="AH32" i="3"/>
  <c r="AK32" i="3"/>
  <c r="V38" i="12"/>
  <c r="U38" i="12"/>
  <c r="T38" i="12"/>
  <c r="S38" i="12"/>
  <c r="Y38" i="12"/>
  <c r="AG33" i="3"/>
  <c r="AJ33" i="3"/>
  <c r="Z38" i="12"/>
  <c r="AH33" i="3"/>
  <c r="AK33" i="3"/>
  <c r="Y39" i="12"/>
  <c r="AG34" i="3"/>
  <c r="AJ34" i="3"/>
  <c r="Z39" i="12"/>
  <c r="AH34" i="3"/>
  <c r="AK34" i="3"/>
  <c r="Y40" i="12"/>
  <c r="AG35" i="3"/>
  <c r="AJ35" i="3"/>
  <c r="Z40" i="12"/>
  <c r="AH35" i="3"/>
  <c r="AK35" i="3"/>
  <c r="Y43" i="12"/>
  <c r="AG36" i="3"/>
  <c r="AJ36" i="3"/>
  <c r="Z43" i="12"/>
  <c r="AH36" i="3"/>
  <c r="AK36" i="3"/>
  <c r="V45" i="12"/>
  <c r="U45" i="12"/>
  <c r="T45" i="12"/>
  <c r="S45" i="12"/>
  <c r="Y45" i="12"/>
  <c r="AG37" i="3"/>
  <c r="AJ37" i="3"/>
  <c r="Z45" i="12"/>
  <c r="AH37" i="3"/>
  <c r="AK37" i="3"/>
  <c r="AG38" i="3"/>
  <c r="AJ38" i="3"/>
  <c r="AH38" i="3"/>
  <c r="AK38" i="3"/>
  <c r="Y46" i="12"/>
  <c r="AG39" i="3"/>
  <c r="AJ39" i="3"/>
  <c r="Z46" i="12"/>
  <c r="AH39" i="3"/>
  <c r="AK39" i="3"/>
  <c r="V47" i="12"/>
  <c r="U47" i="12"/>
  <c r="T47" i="12"/>
  <c r="S47" i="12"/>
  <c r="Y47" i="12"/>
  <c r="AG40" i="3"/>
  <c r="AJ40" i="3"/>
  <c r="Z47" i="12"/>
  <c r="AH40" i="3"/>
  <c r="AK40" i="3"/>
  <c r="Y49" i="12"/>
  <c r="AG41" i="3"/>
  <c r="AJ41" i="3"/>
  <c r="Z49" i="12"/>
  <c r="AH41" i="3"/>
  <c r="AK41" i="3"/>
  <c r="V50" i="12"/>
  <c r="U50" i="12"/>
  <c r="T50" i="12"/>
  <c r="S50" i="12"/>
  <c r="Y50" i="12"/>
  <c r="AG42" i="3"/>
  <c r="AJ42" i="3"/>
  <c r="Z50" i="12"/>
  <c r="AH42" i="3"/>
  <c r="AK42" i="3"/>
  <c r="Y54" i="12"/>
  <c r="AG43" i="3"/>
  <c r="AJ43" i="3"/>
  <c r="Z54" i="12"/>
  <c r="AH43" i="3"/>
  <c r="AK43" i="3"/>
  <c r="V55" i="12"/>
  <c r="U55" i="12"/>
  <c r="T55" i="12"/>
  <c r="S55" i="12"/>
  <c r="Y55" i="12"/>
  <c r="AG44" i="3"/>
  <c r="AJ44" i="3"/>
  <c r="Z55" i="12"/>
  <c r="AH44" i="3"/>
  <c r="AK44" i="3"/>
  <c r="Y56" i="12"/>
  <c r="AG45" i="3"/>
  <c r="AJ45" i="3"/>
  <c r="Z56" i="12"/>
  <c r="AH45" i="3"/>
  <c r="AK45" i="3"/>
  <c r="Y58" i="12"/>
  <c r="AG46" i="3"/>
  <c r="AJ46" i="3"/>
  <c r="Z58" i="12"/>
  <c r="AH46" i="3"/>
  <c r="AK46" i="3"/>
  <c r="Y59" i="12"/>
  <c r="AG47" i="3"/>
  <c r="AJ47" i="3"/>
  <c r="Z59" i="12"/>
  <c r="AH47" i="3"/>
  <c r="AK47" i="3"/>
  <c r="V60" i="12"/>
  <c r="U60" i="12"/>
  <c r="T60" i="12"/>
  <c r="S60" i="12"/>
  <c r="Y60" i="12"/>
  <c r="AG48" i="3"/>
  <c r="AJ48" i="3"/>
  <c r="Z60" i="12"/>
  <c r="AH48" i="3"/>
  <c r="AK48" i="3"/>
  <c r="Y62" i="12"/>
  <c r="AG49" i="3"/>
  <c r="AJ49" i="3"/>
  <c r="Z62" i="12"/>
  <c r="AH49" i="3"/>
  <c r="AK49" i="3"/>
  <c r="V64" i="12"/>
  <c r="U64" i="12"/>
  <c r="T64" i="12"/>
  <c r="S64" i="12"/>
  <c r="Y64" i="12"/>
  <c r="AG50" i="3"/>
  <c r="AJ50" i="3"/>
  <c r="Z64" i="12"/>
  <c r="AH50" i="3"/>
  <c r="AK50" i="3"/>
  <c r="Y65" i="12"/>
  <c r="AG51" i="3"/>
  <c r="AJ51" i="3"/>
  <c r="Z65" i="12"/>
  <c r="AH51" i="3"/>
  <c r="AK51" i="3"/>
  <c r="Y66" i="12"/>
  <c r="AG52" i="3"/>
  <c r="AJ52" i="3"/>
  <c r="Z66" i="12"/>
  <c r="AH52" i="3"/>
  <c r="AK52" i="3"/>
  <c r="Y67" i="12"/>
  <c r="AG53" i="3"/>
  <c r="AJ53" i="3"/>
  <c r="Z67" i="12"/>
  <c r="AH53" i="3"/>
  <c r="AK53" i="3"/>
  <c r="V69" i="12"/>
  <c r="U69" i="12"/>
  <c r="T69" i="12"/>
  <c r="S69" i="12"/>
  <c r="Y69" i="12"/>
  <c r="AG54" i="3"/>
  <c r="AJ54" i="3"/>
  <c r="Z69" i="12"/>
  <c r="AH54" i="3"/>
  <c r="AK54" i="3"/>
  <c r="V70" i="12"/>
  <c r="U70" i="12"/>
  <c r="T70" i="12"/>
  <c r="S70" i="12"/>
  <c r="Y70" i="12"/>
  <c r="AG55" i="3"/>
  <c r="AJ55" i="3"/>
  <c r="Z70" i="12"/>
  <c r="AH55" i="3"/>
  <c r="AK55" i="3"/>
  <c r="V71" i="12"/>
  <c r="U71" i="12"/>
  <c r="T71" i="12"/>
  <c r="S71" i="12"/>
  <c r="Y71" i="12"/>
  <c r="AG56" i="3"/>
  <c r="AJ56" i="3"/>
  <c r="Z71" i="12"/>
  <c r="AH56" i="3"/>
  <c r="AK56" i="3"/>
  <c r="Y72" i="12"/>
  <c r="AG57" i="3"/>
  <c r="AJ57" i="3"/>
  <c r="Z72" i="12"/>
  <c r="AH57" i="3"/>
  <c r="AK57" i="3"/>
  <c r="V73" i="12"/>
  <c r="U73" i="12"/>
  <c r="T73" i="12"/>
  <c r="S73" i="12"/>
  <c r="Y73" i="12"/>
  <c r="AG58" i="3"/>
  <c r="AJ58" i="3"/>
  <c r="Z73" i="12"/>
  <c r="AH58" i="3"/>
  <c r="AK58" i="3"/>
  <c r="AG59" i="3"/>
  <c r="AJ59" i="3"/>
  <c r="AH59" i="3"/>
  <c r="AK59" i="3"/>
  <c r="AG60" i="3"/>
  <c r="AJ60" i="3"/>
  <c r="AH60" i="3"/>
  <c r="AK60" i="3"/>
  <c r="Y77" i="12"/>
  <c r="AG61" i="3"/>
  <c r="AJ61" i="3"/>
  <c r="Z77" i="12"/>
  <c r="AH61" i="3"/>
  <c r="AK61" i="3"/>
  <c r="V78" i="12"/>
  <c r="U78" i="12"/>
  <c r="T78" i="12"/>
  <c r="S78" i="12"/>
  <c r="Y78" i="12"/>
  <c r="AG62" i="3"/>
  <c r="AJ62" i="3"/>
  <c r="Z78" i="12"/>
  <c r="AH62" i="3"/>
  <c r="AK62" i="3"/>
  <c r="Y80" i="12"/>
  <c r="AG63" i="3"/>
  <c r="AJ63" i="3"/>
  <c r="Z80" i="12"/>
  <c r="AH63" i="3"/>
  <c r="AK63" i="3"/>
  <c r="Y81" i="12"/>
  <c r="AG64" i="3"/>
  <c r="AJ64" i="3"/>
  <c r="Z81" i="12"/>
  <c r="AH64" i="3"/>
  <c r="AK64" i="3"/>
  <c r="Y82" i="12"/>
  <c r="AG65" i="3"/>
  <c r="AJ65" i="3"/>
  <c r="Z82" i="12"/>
  <c r="AH65" i="3"/>
  <c r="AK65" i="3"/>
  <c r="Y85" i="12"/>
  <c r="AG66" i="3"/>
  <c r="AJ66" i="3"/>
  <c r="Z85" i="12"/>
  <c r="AH66" i="3"/>
  <c r="AK66" i="3"/>
  <c r="Y86" i="12"/>
  <c r="AG67" i="3"/>
  <c r="AJ67" i="3"/>
  <c r="Z86" i="12"/>
  <c r="AH67" i="3"/>
  <c r="AK67" i="3"/>
  <c r="V87" i="12"/>
  <c r="U87" i="12"/>
  <c r="T87" i="12"/>
  <c r="S87" i="12"/>
  <c r="Y87" i="12"/>
  <c r="AG68" i="3"/>
  <c r="AJ68" i="3"/>
  <c r="Z87" i="12"/>
  <c r="AH68" i="3"/>
  <c r="AK68" i="3"/>
  <c r="V88" i="12"/>
  <c r="U88" i="12"/>
  <c r="T88" i="12"/>
  <c r="S88" i="12"/>
  <c r="Y88" i="12"/>
  <c r="AG69" i="3"/>
  <c r="AJ69" i="3"/>
  <c r="Z88" i="12"/>
  <c r="AH69" i="3"/>
  <c r="AK69" i="3"/>
  <c r="Y89" i="12"/>
  <c r="AG70" i="3"/>
  <c r="AJ70" i="3"/>
  <c r="Z89" i="12"/>
  <c r="AH70" i="3"/>
  <c r="AK70" i="3"/>
  <c r="V90" i="12"/>
  <c r="U90" i="12"/>
  <c r="T90" i="12"/>
  <c r="S90" i="12"/>
  <c r="Y90" i="12"/>
  <c r="AG71" i="3"/>
  <c r="AJ71" i="3"/>
  <c r="Z90" i="12"/>
  <c r="AH71" i="3"/>
  <c r="AK71" i="3"/>
  <c r="Y91" i="12"/>
  <c r="AG72" i="3"/>
  <c r="AJ72" i="3"/>
  <c r="Z91" i="12"/>
  <c r="AH72" i="3"/>
  <c r="AK72" i="3"/>
  <c r="Y92" i="12"/>
  <c r="AG73" i="3"/>
  <c r="AJ73" i="3"/>
  <c r="Z92" i="12"/>
  <c r="AH73" i="3"/>
  <c r="AK73" i="3"/>
  <c r="Y93" i="12"/>
  <c r="AG74" i="3"/>
  <c r="AJ74" i="3"/>
  <c r="Z93" i="12"/>
  <c r="AH74" i="3"/>
  <c r="AK74" i="3"/>
  <c r="V94" i="12"/>
  <c r="U94" i="12"/>
  <c r="T94" i="12"/>
  <c r="S94" i="12"/>
  <c r="Y94" i="12"/>
  <c r="AG75" i="3"/>
  <c r="AJ75" i="3"/>
  <c r="Z94" i="12"/>
  <c r="AH75" i="3"/>
  <c r="AK75" i="3"/>
  <c r="V95" i="12"/>
  <c r="U95" i="12"/>
  <c r="T95" i="12"/>
  <c r="S95" i="12"/>
  <c r="Y95" i="12"/>
  <c r="AG76" i="3"/>
  <c r="AJ76" i="3"/>
  <c r="Z95" i="12"/>
  <c r="AH76" i="3"/>
  <c r="AK76" i="3"/>
  <c r="Y96" i="12"/>
  <c r="AG77" i="3"/>
  <c r="AJ77" i="3"/>
  <c r="Z96" i="12"/>
  <c r="AH77" i="3"/>
  <c r="AK77" i="3"/>
  <c r="Y52" i="12"/>
  <c r="AG78" i="3"/>
  <c r="AJ78" i="3"/>
  <c r="Z52" i="12"/>
  <c r="AH78" i="3"/>
  <c r="AK78" i="3"/>
  <c r="Y144" i="12"/>
  <c r="AG79" i="3"/>
  <c r="AJ79" i="3"/>
  <c r="Z144" i="12"/>
  <c r="AH79" i="3"/>
  <c r="AK79" i="3"/>
  <c r="V97" i="12"/>
  <c r="U97" i="12"/>
  <c r="T97" i="12"/>
  <c r="S97" i="12"/>
  <c r="Y97" i="12"/>
  <c r="AG80" i="3"/>
  <c r="AJ80" i="3"/>
  <c r="Z97" i="12"/>
  <c r="AH80" i="3"/>
  <c r="AK80" i="3"/>
  <c r="V98" i="12"/>
  <c r="U98" i="12"/>
  <c r="T98" i="12"/>
  <c r="S98" i="12"/>
  <c r="Y98" i="12"/>
  <c r="AG81" i="3"/>
  <c r="AJ81" i="3"/>
  <c r="Z98" i="12"/>
  <c r="AH81" i="3"/>
  <c r="AK81" i="3"/>
  <c r="V99" i="12"/>
  <c r="U99" i="12"/>
  <c r="T99" i="12"/>
  <c r="S99" i="12"/>
  <c r="Y99" i="12"/>
  <c r="AG82" i="3"/>
  <c r="AJ82" i="3"/>
  <c r="Z99" i="12"/>
  <c r="AH82" i="3"/>
  <c r="AK82" i="3"/>
  <c r="V101" i="12"/>
  <c r="U101" i="12"/>
  <c r="T101" i="12"/>
  <c r="S101" i="12"/>
  <c r="Y101" i="12"/>
  <c r="AG83" i="3"/>
  <c r="AJ83" i="3"/>
  <c r="Z101" i="12"/>
  <c r="AH83" i="3"/>
  <c r="AK83" i="3"/>
  <c r="V103" i="12"/>
  <c r="U103" i="12"/>
  <c r="T103" i="12"/>
  <c r="S103" i="12"/>
  <c r="Y103" i="12"/>
  <c r="AG84" i="3"/>
  <c r="AJ84" i="3"/>
  <c r="Z103" i="12"/>
  <c r="AH84" i="3"/>
  <c r="AK84" i="3"/>
  <c r="Y104" i="12"/>
  <c r="AG85" i="3"/>
  <c r="AJ85" i="3"/>
  <c r="Z104" i="12"/>
  <c r="AH85" i="3"/>
  <c r="AK85" i="3"/>
  <c r="V169" i="12"/>
  <c r="U169" i="12"/>
  <c r="T169" i="12"/>
  <c r="S169" i="12"/>
  <c r="Y169" i="12"/>
  <c r="AG86" i="3"/>
  <c r="AJ86" i="3"/>
  <c r="Z169" i="12"/>
  <c r="AH86" i="3"/>
  <c r="AK86" i="3"/>
  <c r="Y107" i="12"/>
  <c r="AG87" i="3"/>
  <c r="AJ87" i="3"/>
  <c r="Z107" i="12"/>
  <c r="AH87" i="3"/>
  <c r="AK87" i="3"/>
  <c r="V108" i="12"/>
  <c r="U108" i="12"/>
  <c r="T108" i="12"/>
  <c r="S108" i="12"/>
  <c r="Y108" i="12"/>
  <c r="AG88" i="3"/>
  <c r="AJ88" i="3"/>
  <c r="Z108" i="12"/>
  <c r="AH88" i="3"/>
  <c r="AK88" i="3"/>
  <c r="V109" i="12"/>
  <c r="U109" i="12"/>
  <c r="T109" i="12"/>
  <c r="S109" i="12"/>
  <c r="Y109" i="12"/>
  <c r="AG89" i="3"/>
  <c r="AJ89" i="3"/>
  <c r="Z109" i="12"/>
  <c r="AH89" i="3"/>
  <c r="AK89" i="3"/>
  <c r="V111" i="12"/>
  <c r="U111" i="12"/>
  <c r="T111" i="12"/>
  <c r="S111" i="12"/>
  <c r="Y111" i="12"/>
  <c r="AG90" i="3"/>
  <c r="AJ90" i="3"/>
  <c r="Z111" i="12"/>
  <c r="AH90" i="3"/>
  <c r="AK90" i="3"/>
  <c r="Y112" i="12"/>
  <c r="AG91" i="3"/>
  <c r="AJ91" i="3"/>
  <c r="Z112" i="12"/>
  <c r="AH91" i="3"/>
  <c r="AK91" i="3"/>
  <c r="Y114" i="12"/>
  <c r="AG92" i="3"/>
  <c r="AJ92" i="3"/>
  <c r="Z114" i="12"/>
  <c r="AH92" i="3"/>
  <c r="AK92" i="3"/>
  <c r="Y115" i="12"/>
  <c r="AG93" i="3"/>
  <c r="AJ93" i="3"/>
  <c r="Z115" i="12"/>
  <c r="AH93" i="3"/>
  <c r="AK93" i="3"/>
  <c r="Y116" i="12"/>
  <c r="AG94" i="3"/>
  <c r="AJ94" i="3"/>
  <c r="Z116" i="12"/>
  <c r="AH94" i="3"/>
  <c r="AK94" i="3"/>
  <c r="V145" i="12"/>
  <c r="U145" i="12"/>
  <c r="T145" i="12"/>
  <c r="S145" i="12"/>
  <c r="Y145" i="12"/>
  <c r="AG95" i="3"/>
  <c r="AJ95" i="3"/>
  <c r="Z145" i="12"/>
  <c r="AH95" i="3"/>
  <c r="AK95" i="3"/>
  <c r="V117" i="12"/>
  <c r="U117" i="12"/>
  <c r="T117" i="12"/>
  <c r="S117" i="12"/>
  <c r="Y117" i="12"/>
  <c r="AG96" i="3"/>
  <c r="AJ96" i="3"/>
  <c r="Z117" i="12"/>
  <c r="AH96" i="3"/>
  <c r="AK96" i="3"/>
  <c r="Y118" i="12"/>
  <c r="AG97" i="3"/>
  <c r="AJ97" i="3"/>
  <c r="Z118" i="12"/>
  <c r="AH97" i="3"/>
  <c r="AK97" i="3"/>
  <c r="Y119" i="12"/>
  <c r="AG98" i="3"/>
  <c r="AJ98" i="3"/>
  <c r="Z119" i="12"/>
  <c r="AH98" i="3"/>
  <c r="AK98" i="3"/>
  <c r="V120" i="12"/>
  <c r="U120" i="12"/>
  <c r="T120" i="12"/>
  <c r="S120" i="12"/>
  <c r="Y120" i="12"/>
  <c r="AG99" i="3"/>
  <c r="AJ99" i="3"/>
  <c r="Z120" i="12"/>
  <c r="AH99" i="3"/>
  <c r="AK99" i="3"/>
  <c r="Y121" i="12"/>
  <c r="AG100" i="3"/>
  <c r="AJ100" i="3"/>
  <c r="Z121" i="12"/>
  <c r="AH100" i="3"/>
  <c r="AK100" i="3"/>
  <c r="V122" i="12"/>
  <c r="U122" i="12"/>
  <c r="T122" i="12"/>
  <c r="S122" i="12"/>
  <c r="Y122" i="12"/>
  <c r="AG101" i="3"/>
  <c r="AJ101" i="3"/>
  <c r="Z122" i="12"/>
  <c r="AH101" i="3"/>
  <c r="AK101" i="3"/>
  <c r="Y123" i="12"/>
  <c r="AG102" i="3"/>
  <c r="AJ102" i="3"/>
  <c r="Z123" i="12"/>
  <c r="AH102" i="3"/>
  <c r="AK102" i="3"/>
  <c r="Y126" i="12"/>
  <c r="AG103" i="3"/>
  <c r="AJ103" i="3"/>
  <c r="Z126" i="12"/>
  <c r="AH103" i="3"/>
  <c r="AK103" i="3"/>
  <c r="Y127" i="12"/>
  <c r="AG104" i="3"/>
  <c r="AJ104" i="3"/>
  <c r="Z127" i="12"/>
  <c r="AH104" i="3"/>
  <c r="AK104" i="3"/>
  <c r="V128" i="12"/>
  <c r="U128" i="12"/>
  <c r="T128" i="12"/>
  <c r="S128" i="12"/>
  <c r="Y128" i="12"/>
  <c r="AG105" i="3"/>
  <c r="AJ105" i="3"/>
  <c r="Z128" i="12"/>
  <c r="AH105" i="3"/>
  <c r="AK105" i="3"/>
  <c r="V129" i="12"/>
  <c r="U129" i="12"/>
  <c r="T129" i="12"/>
  <c r="S129" i="12"/>
  <c r="Y129" i="12"/>
  <c r="AG106" i="3"/>
  <c r="AJ106" i="3"/>
  <c r="Z129" i="12"/>
  <c r="AH106" i="3"/>
  <c r="AK106" i="3"/>
  <c r="Y130" i="12"/>
  <c r="AG107" i="3"/>
  <c r="AJ107" i="3"/>
  <c r="Z130" i="12"/>
  <c r="AH107" i="3"/>
  <c r="AK107" i="3"/>
  <c r="Y132" i="12"/>
  <c r="AG108" i="3"/>
  <c r="AJ108" i="3"/>
  <c r="Z132" i="12"/>
  <c r="AH108" i="3"/>
  <c r="AK108" i="3"/>
  <c r="V133" i="12"/>
  <c r="U133" i="12"/>
  <c r="T133" i="12"/>
  <c r="S133" i="12"/>
  <c r="Y133" i="12"/>
  <c r="AG109" i="3"/>
  <c r="AJ109" i="3"/>
  <c r="Z133" i="12"/>
  <c r="AH109" i="3"/>
  <c r="AK109" i="3"/>
  <c r="Y134" i="12"/>
  <c r="AG110" i="3"/>
  <c r="AJ110" i="3"/>
  <c r="Z134" i="12"/>
  <c r="AH110" i="3"/>
  <c r="AK110" i="3"/>
  <c r="V136" i="12"/>
  <c r="U136" i="12"/>
  <c r="T136" i="12"/>
  <c r="S136" i="12"/>
  <c r="Y136" i="12"/>
  <c r="AG111" i="3"/>
  <c r="AJ111" i="3"/>
  <c r="Z136" i="12"/>
  <c r="AH111" i="3"/>
  <c r="AK111" i="3"/>
  <c r="Y137" i="12"/>
  <c r="AG112" i="3"/>
  <c r="AJ112" i="3"/>
  <c r="Z137" i="12"/>
  <c r="AH112" i="3"/>
  <c r="AK112" i="3"/>
  <c r="Y138" i="12"/>
  <c r="AG113" i="3"/>
  <c r="AJ113" i="3"/>
  <c r="Z138" i="12"/>
  <c r="AH113" i="3"/>
  <c r="AK113" i="3"/>
  <c r="Y140" i="12"/>
  <c r="AG114" i="3"/>
  <c r="AJ114" i="3"/>
  <c r="Z140" i="12"/>
  <c r="AH114" i="3"/>
  <c r="AK114" i="3"/>
  <c r="Y141" i="12"/>
  <c r="AG115" i="3"/>
  <c r="AJ115" i="3"/>
  <c r="Z141" i="12"/>
  <c r="AH115" i="3"/>
  <c r="AK115" i="3"/>
  <c r="V142" i="12"/>
  <c r="U142" i="12"/>
  <c r="T142" i="12"/>
  <c r="S142" i="12"/>
  <c r="Y142" i="12"/>
  <c r="AG116" i="3"/>
  <c r="AJ116" i="3"/>
  <c r="Z142" i="12"/>
  <c r="AH116" i="3"/>
  <c r="AK116" i="3"/>
  <c r="Y147" i="12"/>
  <c r="AG117" i="3"/>
  <c r="AJ117" i="3"/>
  <c r="Z147" i="12"/>
  <c r="AH117" i="3"/>
  <c r="AK117" i="3"/>
  <c r="V148" i="12"/>
  <c r="U148" i="12"/>
  <c r="T148" i="12"/>
  <c r="S148" i="12"/>
  <c r="Y148" i="12"/>
  <c r="AG118" i="3"/>
  <c r="AJ118" i="3"/>
  <c r="Z148" i="12"/>
  <c r="AH118" i="3"/>
  <c r="AK118" i="3"/>
  <c r="Y150" i="12"/>
  <c r="AG119" i="3"/>
  <c r="AJ119" i="3"/>
  <c r="Z150" i="12"/>
  <c r="AH119" i="3"/>
  <c r="AK119" i="3"/>
  <c r="V151" i="12"/>
  <c r="U151" i="12"/>
  <c r="T151" i="12"/>
  <c r="S151" i="12"/>
  <c r="Y151" i="12"/>
  <c r="AG120" i="3"/>
  <c r="AJ120" i="3"/>
  <c r="Z151" i="12"/>
  <c r="AH120" i="3"/>
  <c r="AK120" i="3"/>
  <c r="AG121" i="3"/>
  <c r="AJ121" i="3"/>
  <c r="AH121" i="3"/>
  <c r="AK121" i="3"/>
  <c r="AG122" i="3"/>
  <c r="AJ122" i="3"/>
  <c r="AH122" i="3"/>
  <c r="AK122" i="3"/>
  <c r="V152" i="12"/>
  <c r="U152" i="12"/>
  <c r="T152" i="12"/>
  <c r="S152" i="12"/>
  <c r="Y152" i="12"/>
  <c r="AG123" i="3"/>
  <c r="AJ123" i="3"/>
  <c r="Z152" i="12"/>
  <c r="AH123" i="3"/>
  <c r="AK123" i="3"/>
  <c r="Y157" i="12"/>
  <c r="AG124" i="3"/>
  <c r="AJ124" i="3"/>
  <c r="Z157" i="12"/>
  <c r="AH124" i="3"/>
  <c r="AK124" i="3"/>
  <c r="Y158" i="12"/>
  <c r="AG125" i="3"/>
  <c r="AJ125" i="3"/>
  <c r="Z158" i="12"/>
  <c r="AH125" i="3"/>
  <c r="AK125" i="3"/>
  <c r="Y159" i="12"/>
  <c r="AG126" i="3"/>
  <c r="AJ126" i="3"/>
  <c r="Z159" i="12"/>
  <c r="AH126" i="3"/>
  <c r="AK126" i="3"/>
  <c r="Y160" i="12"/>
  <c r="AG127" i="3"/>
  <c r="AJ127" i="3"/>
  <c r="Z160" i="12"/>
  <c r="AH127" i="3"/>
  <c r="AK127" i="3"/>
  <c r="V161" i="12"/>
  <c r="U161" i="12"/>
  <c r="T161" i="12"/>
  <c r="S161" i="12"/>
  <c r="Y161" i="12"/>
  <c r="AG128" i="3"/>
  <c r="AJ128" i="3"/>
  <c r="Z161" i="12"/>
  <c r="AH128" i="3"/>
  <c r="AK128" i="3"/>
  <c r="Y162" i="12"/>
  <c r="AG129" i="3"/>
  <c r="AJ129" i="3"/>
  <c r="Z162" i="12"/>
  <c r="AH129" i="3"/>
  <c r="AK129" i="3"/>
  <c r="V163" i="12"/>
  <c r="U163" i="12"/>
  <c r="T163" i="12"/>
  <c r="S163" i="12"/>
  <c r="Y163" i="12"/>
  <c r="AG130" i="3"/>
  <c r="AJ130" i="3"/>
  <c r="Z163" i="12"/>
  <c r="AH130" i="3"/>
  <c r="AK130" i="3"/>
  <c r="Y164" i="12"/>
  <c r="AG131" i="3"/>
  <c r="AJ131" i="3"/>
  <c r="Z164" i="12"/>
  <c r="AH131" i="3"/>
  <c r="AK131" i="3"/>
  <c r="V165" i="12"/>
  <c r="U165" i="12"/>
  <c r="T165" i="12"/>
  <c r="S165" i="12"/>
  <c r="Y165" i="12"/>
  <c r="AG132" i="3"/>
  <c r="AJ132" i="3"/>
  <c r="Z165" i="12"/>
  <c r="AH132" i="3"/>
  <c r="AK132" i="3"/>
  <c r="V166" i="12"/>
  <c r="U166" i="12"/>
  <c r="T166" i="12"/>
  <c r="S166" i="12"/>
  <c r="Y166" i="12"/>
  <c r="AG133" i="3"/>
  <c r="AJ133" i="3"/>
  <c r="Z166" i="12"/>
  <c r="AH133" i="3"/>
  <c r="AK133" i="3"/>
  <c r="V168" i="12"/>
  <c r="U168" i="12"/>
  <c r="T168" i="12"/>
  <c r="S168" i="12"/>
  <c r="Y168" i="12"/>
  <c r="AG134" i="3"/>
  <c r="AJ134" i="3"/>
  <c r="Z168" i="12"/>
  <c r="AH134" i="3"/>
  <c r="AK134" i="3"/>
  <c r="AG135" i="3"/>
  <c r="AJ135" i="3"/>
  <c r="AH135" i="3"/>
  <c r="AK135" i="3"/>
  <c r="V170" i="12"/>
  <c r="U170" i="12"/>
  <c r="T170" i="12"/>
  <c r="S170" i="12"/>
  <c r="Y170" i="12"/>
  <c r="AG136" i="3"/>
  <c r="AJ136" i="3"/>
  <c r="Z170" i="12"/>
  <c r="AH136" i="3"/>
  <c r="AK136" i="3"/>
  <c r="V171" i="12"/>
  <c r="U171" i="12"/>
  <c r="T171" i="12"/>
  <c r="S171" i="12"/>
  <c r="Y171" i="12"/>
  <c r="AG137" i="3"/>
  <c r="AJ137" i="3"/>
  <c r="Z171" i="12"/>
  <c r="AH137" i="3"/>
  <c r="AK137" i="3"/>
  <c r="Y172" i="12"/>
  <c r="AG138" i="3"/>
  <c r="AJ138" i="3"/>
  <c r="Z172" i="12"/>
  <c r="AH138" i="3"/>
  <c r="AK138" i="3"/>
  <c r="Y173" i="12"/>
  <c r="AG139" i="3"/>
  <c r="AJ139" i="3"/>
  <c r="Z173" i="12"/>
  <c r="AH139" i="3"/>
  <c r="AK139" i="3"/>
  <c r="Y174" i="12"/>
  <c r="AG140" i="3"/>
  <c r="AJ140" i="3"/>
  <c r="Z174" i="12"/>
  <c r="AH140" i="3"/>
  <c r="AK140" i="3"/>
  <c r="V175" i="12"/>
  <c r="U175" i="12"/>
  <c r="T175" i="12"/>
  <c r="S175" i="12"/>
  <c r="Y175" i="12"/>
  <c r="AG141" i="3"/>
  <c r="AJ141" i="3"/>
  <c r="Z175" i="12"/>
  <c r="AH141" i="3"/>
  <c r="AK141" i="3"/>
  <c r="V176" i="12"/>
  <c r="U176" i="12"/>
  <c r="T176" i="12"/>
  <c r="S176" i="12"/>
  <c r="Y176" i="12"/>
  <c r="AG142" i="3"/>
  <c r="AJ142" i="3"/>
  <c r="Z176" i="12"/>
  <c r="AH142" i="3"/>
  <c r="AK142" i="3"/>
  <c r="Y177" i="12"/>
  <c r="AG143" i="3"/>
  <c r="AJ143" i="3"/>
  <c r="Z177" i="12"/>
  <c r="AH143" i="3"/>
  <c r="AK143" i="3"/>
  <c r="V178" i="12"/>
  <c r="U178" i="12"/>
  <c r="T178" i="12"/>
  <c r="S178" i="12"/>
  <c r="Y178" i="12"/>
  <c r="AG144" i="3"/>
  <c r="AJ144" i="3"/>
  <c r="Z178" i="12"/>
  <c r="AH144" i="3"/>
  <c r="AK144" i="3"/>
  <c r="Y179" i="12"/>
  <c r="AG145" i="3"/>
  <c r="AJ145" i="3"/>
  <c r="Z179" i="12"/>
  <c r="AH145" i="3"/>
  <c r="AK145" i="3"/>
  <c r="Y181" i="12"/>
  <c r="AG146" i="3"/>
  <c r="AJ146" i="3"/>
  <c r="Z181" i="12"/>
  <c r="AH146" i="3"/>
  <c r="AK146" i="3"/>
  <c r="Y182" i="12"/>
  <c r="AG147" i="3"/>
  <c r="AJ147" i="3"/>
  <c r="Z182" i="12"/>
  <c r="AH147" i="3"/>
  <c r="AK147" i="3"/>
  <c r="V183" i="12"/>
  <c r="U183" i="12"/>
  <c r="T183" i="12"/>
  <c r="S183" i="12"/>
  <c r="Y183" i="12"/>
  <c r="AG148" i="3"/>
  <c r="AJ148" i="3"/>
  <c r="Z183" i="12"/>
  <c r="AH148" i="3"/>
  <c r="AK148" i="3"/>
  <c r="Y185" i="12"/>
  <c r="AG149" i="3"/>
  <c r="AJ149" i="3"/>
  <c r="Z185" i="12"/>
  <c r="AH149" i="3"/>
  <c r="AK149" i="3"/>
  <c r="Y186" i="12"/>
  <c r="AG150" i="3"/>
  <c r="AJ150" i="3"/>
  <c r="Z186" i="12"/>
  <c r="AH150" i="3"/>
  <c r="AK150" i="3"/>
  <c r="AG151" i="3"/>
  <c r="AJ151" i="3"/>
  <c r="AH151" i="3"/>
  <c r="AK151" i="3"/>
  <c r="Y188" i="12"/>
  <c r="AG152" i="3"/>
  <c r="AJ152" i="3"/>
  <c r="Z188" i="12"/>
  <c r="AH152" i="3"/>
  <c r="AK152" i="3"/>
  <c r="V190" i="12"/>
  <c r="U190" i="12"/>
  <c r="T190" i="12"/>
  <c r="S190" i="12"/>
  <c r="Y190" i="12"/>
  <c r="AG153" i="3"/>
  <c r="AJ153" i="3"/>
  <c r="Z190" i="12"/>
  <c r="AH153" i="3"/>
  <c r="AK153" i="3"/>
  <c r="V191" i="12"/>
  <c r="U191" i="12"/>
  <c r="T191" i="12"/>
  <c r="S191" i="12"/>
  <c r="Y191" i="12"/>
  <c r="AG154" i="3"/>
  <c r="AJ154" i="3"/>
  <c r="Z191" i="12"/>
  <c r="AH154" i="3"/>
  <c r="AK154" i="3"/>
  <c r="V7" i="12"/>
  <c r="U7" i="12"/>
  <c r="T7" i="12"/>
  <c r="S7" i="12"/>
  <c r="Y7" i="12"/>
  <c r="AG9" i="3"/>
  <c r="AJ9" i="3"/>
  <c r="Z7" i="12"/>
  <c r="AH9" i="3"/>
  <c r="AK9" i="3"/>
  <c r="AQ9" i="3"/>
  <c r="AR9" i="3"/>
  <c r="AQ10" i="3"/>
  <c r="AR10" i="3"/>
  <c r="AQ11" i="3"/>
  <c r="AR11" i="3"/>
  <c r="AQ12" i="3"/>
  <c r="AR12" i="3"/>
  <c r="AQ13" i="3"/>
  <c r="AR13" i="3"/>
  <c r="AQ14" i="3"/>
  <c r="AR14" i="3"/>
  <c r="AQ15" i="3"/>
  <c r="AR15" i="3"/>
  <c r="AQ16" i="3"/>
  <c r="AR16" i="3"/>
  <c r="AQ17" i="3"/>
  <c r="AR17" i="3"/>
  <c r="AQ18" i="3"/>
  <c r="AR18" i="3"/>
  <c r="AQ19" i="3"/>
  <c r="AR19" i="3"/>
  <c r="AQ20" i="3"/>
  <c r="AR20" i="3"/>
  <c r="AQ21" i="3"/>
  <c r="AR21" i="3"/>
  <c r="AQ22" i="3"/>
  <c r="AR22" i="3"/>
  <c r="AQ23" i="3"/>
  <c r="AR23" i="3"/>
  <c r="AQ24" i="3"/>
  <c r="AR24" i="3"/>
  <c r="AQ25" i="3"/>
  <c r="AR25" i="3"/>
  <c r="AQ26" i="3"/>
  <c r="AR26" i="3"/>
  <c r="AQ27" i="3"/>
  <c r="AR27" i="3"/>
  <c r="AQ28" i="3"/>
  <c r="AR28" i="3"/>
  <c r="AQ29" i="3"/>
  <c r="AR29" i="3"/>
  <c r="AQ30" i="3"/>
  <c r="AR30" i="3"/>
  <c r="AR31" i="3"/>
  <c r="AQ32" i="3"/>
  <c r="AR32" i="3"/>
  <c r="AQ33" i="3"/>
  <c r="AR33" i="3"/>
  <c r="AQ34" i="3"/>
  <c r="AR34" i="3"/>
  <c r="AQ35" i="3"/>
  <c r="AR35" i="3"/>
  <c r="AQ36" i="3"/>
  <c r="AR36" i="3"/>
  <c r="AQ38" i="3"/>
  <c r="AR38" i="3"/>
  <c r="AQ39" i="3"/>
  <c r="AR39" i="3"/>
  <c r="AQ40" i="3"/>
  <c r="AR40" i="3"/>
  <c r="AQ41" i="3"/>
  <c r="AR41" i="3"/>
  <c r="AQ42" i="3"/>
  <c r="AR42" i="3"/>
  <c r="AQ43" i="3"/>
  <c r="AR43" i="3"/>
  <c r="AQ44" i="3"/>
  <c r="AR44" i="3"/>
  <c r="AQ45" i="3"/>
  <c r="AR45" i="3"/>
  <c r="AQ46" i="3"/>
  <c r="AR46" i="3"/>
  <c r="AQ47" i="3"/>
  <c r="AR47" i="3"/>
  <c r="AQ48" i="3"/>
  <c r="AR48" i="3"/>
  <c r="AQ49" i="3"/>
  <c r="AR49" i="3"/>
  <c r="AQ50" i="3"/>
  <c r="AR50" i="3"/>
  <c r="AQ51" i="3"/>
  <c r="AR51" i="3"/>
  <c r="AQ52" i="3"/>
  <c r="AR52" i="3"/>
  <c r="AQ53" i="3"/>
  <c r="AR53" i="3"/>
  <c r="AQ54" i="3"/>
  <c r="AR54" i="3"/>
  <c r="W70" i="12"/>
  <c r="AL55" i="3"/>
  <c r="AQ55" i="3"/>
  <c r="AR55" i="3"/>
  <c r="AQ56" i="3"/>
  <c r="AR56" i="3"/>
  <c r="AQ57" i="3"/>
  <c r="AR57" i="3"/>
  <c r="AQ58" i="3"/>
  <c r="AR58" i="3"/>
  <c r="AQ60" i="3"/>
  <c r="AR60" i="3"/>
  <c r="AQ61" i="3"/>
  <c r="AR61" i="3"/>
  <c r="AQ62" i="3"/>
  <c r="AR62" i="3"/>
  <c r="AQ63" i="3"/>
  <c r="AR63" i="3"/>
  <c r="AQ64" i="3"/>
  <c r="AR64" i="3"/>
  <c r="AQ65" i="3"/>
  <c r="AR65" i="3"/>
  <c r="AQ66" i="3"/>
  <c r="AR66" i="3"/>
  <c r="AQ67" i="3"/>
  <c r="AR67" i="3"/>
  <c r="AQ68" i="3"/>
  <c r="AR68" i="3"/>
  <c r="AQ69" i="3"/>
  <c r="AR69" i="3"/>
  <c r="AQ70" i="3"/>
  <c r="AR70" i="3"/>
  <c r="AQ71" i="3"/>
  <c r="AR71" i="3"/>
  <c r="AQ72" i="3"/>
  <c r="AR72" i="3"/>
  <c r="AQ73" i="3"/>
  <c r="AR73" i="3"/>
  <c r="AQ74" i="3"/>
  <c r="AR74" i="3"/>
  <c r="AQ75" i="3"/>
  <c r="AR75" i="3"/>
  <c r="AQ76" i="3"/>
  <c r="AR76" i="3"/>
  <c r="AQ77" i="3"/>
  <c r="AR77" i="3"/>
  <c r="AQ78" i="3"/>
  <c r="AR78" i="3"/>
  <c r="AQ79" i="3"/>
  <c r="AR79" i="3"/>
  <c r="AQ80" i="3"/>
  <c r="AR80" i="3"/>
  <c r="AQ81" i="3"/>
  <c r="AR81" i="3"/>
  <c r="AQ82" i="3"/>
  <c r="AR82" i="3"/>
  <c r="AQ83" i="3"/>
  <c r="AR83" i="3"/>
  <c r="AQ84" i="3"/>
  <c r="AR84" i="3"/>
  <c r="AQ85" i="3"/>
  <c r="AR85" i="3"/>
  <c r="AQ86" i="3"/>
  <c r="AR86" i="3"/>
  <c r="AQ87" i="3"/>
  <c r="AR87" i="3"/>
  <c r="AQ88" i="3"/>
  <c r="AR88" i="3"/>
  <c r="AQ89" i="3"/>
  <c r="AR89" i="3"/>
  <c r="AQ90" i="3"/>
  <c r="AR90" i="3"/>
  <c r="AQ91" i="3"/>
  <c r="AR91" i="3"/>
  <c r="AQ92" i="3"/>
  <c r="AR92" i="3"/>
  <c r="AQ93" i="3"/>
  <c r="AR93" i="3"/>
  <c r="AQ94" i="3"/>
  <c r="AR94" i="3"/>
  <c r="AQ95" i="3"/>
  <c r="AR95" i="3"/>
  <c r="AQ96" i="3"/>
  <c r="AR96" i="3"/>
  <c r="AQ97" i="3"/>
  <c r="AR97" i="3"/>
  <c r="AQ98" i="3"/>
  <c r="AR98" i="3"/>
  <c r="AQ99" i="3"/>
  <c r="AR99" i="3"/>
  <c r="AQ100" i="3"/>
  <c r="AR100" i="3"/>
  <c r="AQ101" i="3"/>
  <c r="AR101" i="3"/>
  <c r="AQ103" i="3"/>
  <c r="AR103" i="3"/>
  <c r="AQ104" i="3"/>
  <c r="AR104" i="3"/>
  <c r="AQ105" i="3"/>
  <c r="AR105" i="3"/>
  <c r="AQ106" i="3"/>
  <c r="AR106" i="3"/>
  <c r="AQ107" i="3"/>
  <c r="AR107" i="3"/>
  <c r="AQ108" i="3"/>
  <c r="AR108" i="3"/>
  <c r="AQ109" i="3"/>
  <c r="AR109" i="3"/>
  <c r="AQ110" i="3"/>
  <c r="AR110" i="3"/>
  <c r="AQ111" i="3"/>
  <c r="AR111" i="3"/>
  <c r="AQ112" i="3"/>
  <c r="AR112" i="3"/>
  <c r="AQ113" i="3"/>
  <c r="AR113" i="3"/>
  <c r="AQ114" i="3"/>
  <c r="AR114" i="3"/>
  <c r="AQ115" i="3"/>
  <c r="AR115" i="3"/>
  <c r="AQ116" i="3"/>
  <c r="AR116" i="3"/>
  <c r="AQ117" i="3"/>
  <c r="AR117" i="3"/>
  <c r="AQ118" i="3"/>
  <c r="AR118" i="3"/>
  <c r="AQ119" i="3"/>
  <c r="AR119" i="3"/>
  <c r="AQ120" i="3"/>
  <c r="AR120" i="3"/>
  <c r="AQ121" i="3"/>
  <c r="AR121" i="3"/>
  <c r="AL122" i="3"/>
  <c r="AQ122" i="3"/>
  <c r="AR122" i="3"/>
  <c r="AQ123" i="3"/>
  <c r="AR123" i="3"/>
  <c r="AQ124" i="3"/>
  <c r="AR124" i="3"/>
  <c r="AQ125" i="3"/>
  <c r="AR125" i="3"/>
  <c r="AQ126" i="3"/>
  <c r="AR126" i="3"/>
  <c r="AQ127" i="3"/>
  <c r="AR127" i="3"/>
  <c r="AQ128" i="3"/>
  <c r="AR128" i="3"/>
  <c r="AQ129" i="3"/>
  <c r="AR129" i="3"/>
  <c r="AQ130" i="3"/>
  <c r="AR130" i="3"/>
  <c r="AQ131" i="3"/>
  <c r="AR131" i="3"/>
  <c r="AQ132" i="3"/>
  <c r="AR132" i="3"/>
  <c r="AQ133" i="3"/>
  <c r="AR133" i="3"/>
  <c r="AQ134" i="3"/>
  <c r="AR134" i="3"/>
  <c r="AQ135" i="3"/>
  <c r="AR135" i="3"/>
  <c r="AQ136" i="3"/>
  <c r="AR136" i="3"/>
  <c r="AQ137" i="3"/>
  <c r="AR137" i="3"/>
  <c r="AQ138" i="3"/>
  <c r="AR138" i="3"/>
  <c r="AQ139" i="3"/>
  <c r="AR139" i="3"/>
  <c r="AQ140" i="3"/>
  <c r="AR140" i="3"/>
  <c r="AQ141" i="3"/>
  <c r="AR141" i="3"/>
  <c r="AQ142" i="3"/>
  <c r="AR142" i="3"/>
  <c r="AQ143" i="3"/>
  <c r="AR143" i="3"/>
  <c r="AQ144" i="3"/>
  <c r="AR144" i="3"/>
  <c r="AQ145" i="3"/>
  <c r="AR145" i="3"/>
  <c r="AQ146" i="3"/>
  <c r="AR146" i="3"/>
  <c r="AQ147" i="3"/>
  <c r="AR147" i="3"/>
  <c r="AQ148" i="3"/>
  <c r="AR148" i="3"/>
  <c r="AQ149" i="3"/>
  <c r="AR149" i="3"/>
  <c r="AQ150" i="3"/>
  <c r="AR150" i="3"/>
  <c r="AL151" i="3"/>
  <c r="AQ151" i="3"/>
  <c r="AR151" i="3"/>
  <c r="AQ152" i="3"/>
  <c r="AR152" i="3"/>
  <c r="AQ153" i="3"/>
  <c r="AR153" i="3"/>
  <c r="AQ154" i="3"/>
  <c r="AR154" i="3"/>
  <c r="AE12" i="12"/>
  <c r="DU13" i="3"/>
  <c r="DU55" i="3"/>
  <c r="DJ13" i="3"/>
  <c r="DJ55" i="3"/>
  <c r="F23" i="6"/>
  <c r="F52" i="4"/>
  <c r="F46" i="4"/>
  <c r="F70" i="4"/>
  <c r="F38" i="4"/>
  <c r="F25" i="4"/>
  <c r="F76" i="4"/>
  <c r="J22" i="4"/>
  <c r="J60" i="4"/>
  <c r="J33" i="4"/>
  <c r="J62" i="4"/>
  <c r="J67" i="4"/>
  <c r="J73" i="4"/>
  <c r="BE13" i="3"/>
  <c r="BE14" i="3"/>
  <c r="H65" i="4"/>
  <c r="H60" i="4"/>
  <c r="H62" i="4"/>
  <c r="H67" i="4"/>
  <c r="H73" i="4"/>
  <c r="L22" i="4"/>
  <c r="L60" i="4"/>
  <c r="L62" i="4"/>
  <c r="L67" i="4"/>
  <c r="L73" i="4"/>
  <c r="N19" i="4"/>
  <c r="N22" i="4"/>
  <c r="N65" i="4"/>
  <c r="N60" i="4"/>
  <c r="N33" i="4"/>
  <c r="N62" i="4"/>
  <c r="N67" i="4"/>
  <c r="N73" i="4"/>
  <c r="P65" i="4"/>
  <c r="P60" i="4"/>
  <c r="P62" i="4"/>
  <c r="P67" i="4"/>
  <c r="P73" i="4"/>
  <c r="Z51" i="4"/>
  <c r="Z65" i="4"/>
  <c r="Z60" i="4"/>
  <c r="Z62" i="4"/>
  <c r="Z67" i="4"/>
  <c r="Z73" i="4"/>
  <c r="BE15" i="3"/>
  <c r="BE16" i="3"/>
  <c r="BE17" i="3"/>
  <c r="BE18" i="3"/>
  <c r="BE19" i="3"/>
  <c r="BE20" i="3"/>
  <c r="BE21" i="3"/>
  <c r="BE22" i="3"/>
  <c r="BE23" i="3"/>
  <c r="BE24" i="3"/>
  <c r="BE25" i="3"/>
  <c r="BE26" i="3"/>
  <c r="BE27" i="3"/>
  <c r="BE28" i="3"/>
  <c r="BE29" i="3"/>
  <c r="BE30" i="3"/>
  <c r="BE31" i="3"/>
  <c r="BE32" i="3"/>
  <c r="BE33" i="3"/>
  <c r="BE34" i="3"/>
  <c r="BE35" i="3"/>
  <c r="BE36" i="3"/>
  <c r="BE37" i="3"/>
  <c r="BE38" i="3"/>
  <c r="BE39" i="3"/>
  <c r="BE40" i="3"/>
  <c r="BE41" i="3"/>
  <c r="BE42" i="3"/>
  <c r="BE43" i="3"/>
  <c r="BE44" i="3"/>
  <c r="BE45" i="3"/>
  <c r="BE46" i="3"/>
  <c r="BE47" i="3"/>
  <c r="BE48" i="3"/>
  <c r="BE49" i="3"/>
  <c r="BE50" i="3"/>
  <c r="BE51" i="3"/>
  <c r="BE52" i="3"/>
  <c r="BE53" i="3"/>
  <c r="BE54" i="3"/>
  <c r="BE55" i="3"/>
  <c r="BE56" i="3"/>
  <c r="BE57" i="3"/>
  <c r="BE58" i="3"/>
  <c r="BE59" i="3"/>
  <c r="BE60" i="3"/>
  <c r="BE61" i="3"/>
  <c r="BE62" i="3"/>
  <c r="BE63" i="3"/>
  <c r="BE64" i="3"/>
  <c r="BE65" i="3"/>
  <c r="BE10" i="3"/>
  <c r="BE11" i="3"/>
  <c r="BE12" i="3"/>
  <c r="BE9" i="3"/>
  <c r="AA19" i="13"/>
  <c r="W19" i="13"/>
  <c r="O40" i="11"/>
  <c r="AG46" i="12"/>
  <c r="F49" i="4"/>
  <c r="F53" i="4"/>
  <c r="E44" i="5"/>
  <c r="E45" i="5"/>
  <c r="E46" i="5"/>
  <c r="E52" i="5"/>
  <c r="E54" i="5"/>
  <c r="F12" i="2"/>
  <c r="H12" i="2"/>
  <c r="D12" i="2"/>
  <c r="F50" i="7"/>
  <c r="AF50" i="7"/>
  <c r="AD50" i="7"/>
  <c r="W14" i="12"/>
  <c r="W16" i="12"/>
  <c r="W17" i="12"/>
  <c r="W19" i="12"/>
  <c r="W20" i="12"/>
  <c r="W24" i="12"/>
  <c r="W29" i="12"/>
  <c r="W30" i="12"/>
  <c r="W36" i="12"/>
  <c r="W41" i="12"/>
  <c r="W42" i="12"/>
  <c r="W44" i="12"/>
  <c r="W48" i="12"/>
  <c r="W51" i="12"/>
  <c r="W53" i="12"/>
  <c r="W57" i="12"/>
  <c r="W61" i="12"/>
  <c r="W63" i="12"/>
  <c r="W68" i="12"/>
  <c r="W74" i="12"/>
  <c r="W75" i="12"/>
  <c r="W76" i="12"/>
  <c r="W79" i="12"/>
  <c r="W83" i="12"/>
  <c r="W84" i="12"/>
  <c r="W100" i="12"/>
  <c r="W102" i="12"/>
  <c r="W105" i="12"/>
  <c r="W106" i="12"/>
  <c r="W110" i="12"/>
  <c r="W113" i="12"/>
  <c r="W124" i="12"/>
  <c r="W125" i="12"/>
  <c r="W131" i="12"/>
  <c r="W135" i="12"/>
  <c r="W139" i="12"/>
  <c r="W143" i="12"/>
  <c r="W146" i="12"/>
  <c r="W149" i="12"/>
  <c r="W153" i="12"/>
  <c r="W154" i="12"/>
  <c r="W155" i="12"/>
  <c r="W156" i="12"/>
  <c r="W167" i="12"/>
  <c r="W180" i="12"/>
  <c r="W184" i="12"/>
  <c r="W187" i="12"/>
  <c r="W189" i="12"/>
  <c r="AB23" i="4"/>
  <c r="Z23" i="4"/>
  <c r="X23" i="4"/>
  <c r="P23" i="4"/>
  <c r="N23" i="4"/>
  <c r="L23" i="4"/>
  <c r="J23" i="4"/>
  <c r="AB22" i="4"/>
  <c r="AB24" i="4"/>
  <c r="Z24" i="4"/>
  <c r="X22" i="4"/>
  <c r="X24" i="4"/>
  <c r="P24" i="4"/>
  <c r="N24" i="4"/>
  <c r="L24" i="4"/>
  <c r="J24" i="4"/>
  <c r="H23" i="4"/>
  <c r="H24" i="4"/>
  <c r="F22" i="4"/>
  <c r="F23" i="4"/>
  <c r="F24" i="4"/>
  <c r="AA34" i="13"/>
  <c r="AA23" i="13"/>
  <c r="AA27" i="13"/>
  <c r="AA35" i="13"/>
  <c r="W34" i="13"/>
  <c r="W23" i="13"/>
  <c r="W27" i="13"/>
  <c r="W35" i="13"/>
  <c r="AA65" i="13"/>
  <c r="AA70" i="13"/>
  <c r="AA69" i="13"/>
  <c r="AA71" i="13"/>
  <c r="Y70" i="13"/>
  <c r="Y69" i="13"/>
  <c r="Y71" i="13"/>
  <c r="W65" i="13"/>
  <c r="W70" i="13"/>
  <c r="W69" i="13"/>
  <c r="W71" i="13"/>
  <c r="U70" i="13"/>
  <c r="U69" i="13"/>
  <c r="U71" i="13"/>
  <c r="O70" i="13"/>
  <c r="O69" i="13"/>
  <c r="O71" i="13"/>
  <c r="M70" i="13"/>
  <c r="M69" i="13"/>
  <c r="M71" i="13"/>
  <c r="K70" i="13"/>
  <c r="K69" i="13"/>
  <c r="K71" i="13"/>
  <c r="I69" i="13"/>
  <c r="I70" i="13"/>
  <c r="I71" i="13"/>
  <c r="G70" i="13"/>
  <c r="G69" i="13"/>
  <c r="G71" i="13"/>
  <c r="AA54" i="13"/>
  <c r="AA57" i="13"/>
  <c r="AB14" i="4"/>
  <c r="AB83" i="4"/>
  <c r="AB84" i="4"/>
  <c r="AB86" i="4"/>
  <c r="AA63" i="13"/>
  <c r="AA66" i="13"/>
  <c r="Y66" i="13"/>
  <c r="X14" i="4"/>
  <c r="X83" i="4"/>
  <c r="X84" i="4"/>
  <c r="X86" i="4"/>
  <c r="W63" i="13"/>
  <c r="W66" i="13"/>
  <c r="U66" i="13"/>
  <c r="O66" i="13"/>
  <c r="M66" i="13"/>
  <c r="K66" i="13"/>
  <c r="I66" i="13"/>
  <c r="V20" i="14"/>
  <c r="T20" i="14"/>
  <c r="N20" i="14"/>
  <c r="L20" i="14"/>
  <c r="J20" i="14"/>
  <c r="H20" i="14"/>
  <c r="G90" i="13"/>
  <c r="G79" i="13"/>
  <c r="G80" i="13"/>
  <c r="AC33" i="13"/>
  <c r="AA36" i="13"/>
  <c r="AA37" i="13"/>
  <c r="AA33" i="13"/>
  <c r="Y33" i="13"/>
  <c r="W36" i="13"/>
  <c r="W37" i="13"/>
  <c r="W33" i="13"/>
  <c r="U33" i="13"/>
  <c r="O33" i="13"/>
  <c r="M33" i="13"/>
  <c r="K33" i="13"/>
  <c r="I33" i="13"/>
  <c r="N10" i="7"/>
  <c r="Y90" i="13"/>
  <c r="AD10" i="7"/>
  <c r="J33" i="7"/>
  <c r="J24" i="7"/>
  <c r="F71" i="4"/>
  <c r="F35" i="4"/>
  <c r="F72" i="4"/>
  <c r="F65" i="4"/>
  <c r="F66" i="4"/>
  <c r="F43" i="4"/>
  <c r="F60" i="4"/>
  <c r="F61" i="4"/>
  <c r="F47" i="4"/>
  <c r="F74" i="4"/>
  <c r="F62" i="4"/>
  <c r="F67" i="4"/>
  <c r="F73" i="4"/>
  <c r="F78" i="4"/>
  <c r="F80" i="4"/>
  <c r="AB65" i="4"/>
  <c r="X65" i="4"/>
  <c r="AB45" i="4"/>
  <c r="AB60" i="4"/>
  <c r="X60" i="4"/>
  <c r="O79" i="13"/>
  <c r="O80" i="13"/>
  <c r="T33" i="7"/>
  <c r="M79" i="13"/>
  <c r="M80" i="13"/>
  <c r="AF33" i="7"/>
  <c r="AB33" i="7"/>
  <c r="J52" i="7"/>
  <c r="U79" i="13"/>
  <c r="U80" i="13"/>
  <c r="F55" i="4"/>
  <c r="X56" i="4"/>
  <c r="AB56" i="4"/>
  <c r="F56" i="4"/>
  <c r="X55" i="4"/>
  <c r="AB55" i="4"/>
  <c r="H71" i="4"/>
  <c r="H72" i="4"/>
  <c r="H49" i="4"/>
  <c r="H66" i="4"/>
  <c r="H43" i="4"/>
  <c r="H61" i="4"/>
  <c r="H53" i="4"/>
  <c r="H47" i="4"/>
  <c r="H74" i="4"/>
  <c r="H78" i="4"/>
  <c r="H79" i="4"/>
  <c r="H80" i="4"/>
  <c r="AB41" i="4"/>
  <c r="Z41" i="4"/>
  <c r="U9" i="18"/>
  <c r="W9" i="18"/>
  <c r="E9" i="18"/>
  <c r="AD33" i="7"/>
  <c r="Y79" i="13"/>
  <c r="Y80" i="13"/>
  <c r="S7" i="18"/>
  <c r="X35" i="4"/>
  <c r="R33" i="7"/>
  <c r="K79" i="13"/>
  <c r="K80" i="13"/>
  <c r="I7" i="18"/>
  <c r="F83" i="4"/>
  <c r="F84" i="4"/>
  <c r="AF47" i="7"/>
  <c r="AD47" i="7"/>
  <c r="V14" i="7"/>
  <c r="F47" i="7"/>
  <c r="O74" i="13"/>
  <c r="O76" i="13"/>
  <c r="O82" i="13"/>
  <c r="O83" i="13"/>
  <c r="O84" i="13"/>
  <c r="O46" i="13"/>
  <c r="P33" i="7"/>
  <c r="I79" i="13"/>
  <c r="I80" i="13"/>
  <c r="AA74" i="13"/>
  <c r="AA76" i="13"/>
  <c r="Y74" i="13"/>
  <c r="Y76" i="13"/>
  <c r="W74" i="13"/>
  <c r="W76" i="13"/>
  <c r="U74" i="13"/>
  <c r="U76" i="13"/>
  <c r="M74" i="13"/>
  <c r="M76" i="13"/>
  <c r="K74" i="13"/>
  <c r="K76" i="13"/>
  <c r="I74" i="13"/>
  <c r="I76" i="13"/>
  <c r="G74" i="13"/>
  <c r="AA40" i="13"/>
  <c r="W40" i="13"/>
  <c r="G76" i="13"/>
  <c r="AA41" i="13"/>
  <c r="AA42" i="13"/>
  <c r="W41" i="13"/>
  <c r="W42" i="13"/>
  <c r="AC46" i="13"/>
  <c r="AC23" i="13"/>
  <c r="V32" i="14"/>
  <c r="T32" i="14"/>
  <c r="J32" i="14"/>
  <c r="H32" i="14"/>
  <c r="F32" i="14"/>
  <c r="F20" i="14"/>
  <c r="N33" i="7"/>
  <c r="L33" i="7"/>
  <c r="N32" i="14"/>
  <c r="E51" i="5"/>
  <c r="E56" i="5"/>
  <c r="M82" i="13"/>
  <c r="M83" i="13"/>
  <c r="M84" i="13"/>
  <c r="K82" i="13"/>
  <c r="K83" i="13"/>
  <c r="K84" i="13"/>
  <c r="I82" i="13"/>
  <c r="I83" i="13"/>
  <c r="I84" i="13"/>
  <c r="J49" i="4"/>
  <c r="L49" i="4"/>
  <c r="N49" i="4"/>
  <c r="P49" i="4"/>
  <c r="X49" i="4"/>
  <c r="Z49" i="4"/>
  <c r="AB49" i="4"/>
  <c r="AB43" i="4"/>
  <c r="Z43" i="4"/>
  <c r="X43" i="4"/>
  <c r="P43" i="4"/>
  <c r="N43" i="4"/>
  <c r="L43" i="4"/>
  <c r="J43" i="4"/>
  <c r="M46" i="13"/>
  <c r="K46" i="13"/>
  <c r="I46" i="13"/>
  <c r="G46" i="13"/>
  <c r="V8" i="14"/>
  <c r="F8" i="14"/>
  <c r="L32" i="14"/>
  <c r="AA88" i="13"/>
  <c r="AA79" i="13"/>
  <c r="AA82" i="13"/>
  <c r="AA83" i="13"/>
  <c r="AA84" i="13"/>
  <c r="AA80" i="13"/>
  <c r="Y82" i="13"/>
  <c r="Y83" i="13"/>
  <c r="Y84" i="13"/>
  <c r="AA45" i="13"/>
  <c r="AA48" i="13"/>
  <c r="AA49" i="13"/>
  <c r="AA50" i="13"/>
  <c r="AA46" i="13"/>
  <c r="Y46" i="13"/>
  <c r="W88" i="13"/>
  <c r="W79" i="13"/>
  <c r="W82" i="13"/>
  <c r="W83" i="13"/>
  <c r="W84" i="13"/>
  <c r="W80" i="13"/>
  <c r="W45" i="13"/>
  <c r="W48" i="13"/>
  <c r="W49" i="13"/>
  <c r="W50" i="13"/>
  <c r="W46" i="13"/>
  <c r="U82" i="13"/>
  <c r="U83" i="13"/>
  <c r="U84" i="13"/>
  <c r="U46" i="13"/>
  <c r="AC53" i="13"/>
  <c r="AB71" i="4"/>
  <c r="AB72" i="4"/>
  <c r="AB53" i="4"/>
  <c r="AB47" i="4"/>
  <c r="AB66" i="4"/>
  <c r="AB61" i="4"/>
  <c r="AB74" i="4"/>
  <c r="AB62" i="4"/>
  <c r="AB67" i="4"/>
  <c r="AB73" i="4"/>
  <c r="AB78" i="4"/>
  <c r="Z71" i="4"/>
  <c r="Z72" i="4"/>
  <c r="Z53" i="4"/>
  <c r="Z47" i="4"/>
  <c r="Z66" i="4"/>
  <c r="Z61" i="4"/>
  <c r="Z74" i="4"/>
  <c r="Z78" i="4"/>
  <c r="X71" i="4"/>
  <c r="X72" i="4"/>
  <c r="X53" i="4"/>
  <c r="X47" i="4"/>
  <c r="X66" i="4"/>
  <c r="X61" i="4"/>
  <c r="X74" i="4"/>
  <c r="X62" i="4"/>
  <c r="X67" i="4"/>
  <c r="X73" i="4"/>
  <c r="X78" i="4"/>
  <c r="P71" i="4"/>
  <c r="P72" i="4"/>
  <c r="P53" i="4"/>
  <c r="P47" i="4"/>
  <c r="P66" i="4"/>
  <c r="P61" i="4"/>
  <c r="P74" i="4"/>
  <c r="P78" i="4"/>
  <c r="L71" i="4"/>
  <c r="L72" i="4"/>
  <c r="L53" i="4"/>
  <c r="L47" i="4"/>
  <c r="L66" i="4"/>
  <c r="L61" i="4"/>
  <c r="L74" i="4"/>
  <c r="L78" i="4"/>
  <c r="N71" i="4"/>
  <c r="N72" i="4"/>
  <c r="N53" i="4"/>
  <c r="N47" i="4"/>
  <c r="N66" i="4"/>
  <c r="N61" i="4"/>
  <c r="N74" i="4"/>
  <c r="N78" i="4"/>
  <c r="J71" i="4"/>
  <c r="J72" i="4"/>
  <c r="J53" i="4"/>
  <c r="J47" i="4"/>
  <c r="J66" i="4"/>
  <c r="J61" i="4"/>
  <c r="J74" i="4"/>
  <c r="J78" i="4"/>
  <c r="AA90" i="13"/>
  <c r="W90" i="13"/>
  <c r="AB79" i="4"/>
  <c r="Z79" i="4"/>
  <c r="X79" i="4"/>
  <c r="V79" i="4"/>
  <c r="P79" i="4"/>
  <c r="L79" i="4"/>
  <c r="N79" i="4"/>
  <c r="J79" i="4"/>
  <c r="F79" i="4"/>
  <c r="G83" i="13"/>
  <c r="G82" i="13"/>
  <c r="G84" i="13"/>
  <c r="AD24" i="7"/>
  <c r="A13" i="15"/>
  <c r="A14" i="15"/>
  <c r="A15" i="15"/>
  <c r="A16" i="15"/>
  <c r="A17" i="15"/>
  <c r="A18" i="15"/>
  <c r="A19" i="15"/>
  <c r="A20" i="15"/>
  <c r="A21" i="15"/>
  <c r="A22" i="15"/>
  <c r="A23" i="15"/>
  <c r="A24" i="15"/>
  <c r="A25" i="15"/>
  <c r="A26" i="15"/>
  <c r="A27" i="15"/>
  <c r="A28" i="15"/>
  <c r="A29" i="15"/>
  <c r="A30" i="15"/>
  <c r="A31" i="15"/>
  <c r="A32" i="15"/>
  <c r="A33" i="15"/>
  <c r="A34" i="15"/>
  <c r="A35" i="15"/>
  <c r="A36" i="15"/>
  <c r="B36" i="15"/>
  <c r="A37" i="15"/>
  <c r="B37" i="15"/>
  <c r="A38" i="15"/>
  <c r="A39" i="15"/>
  <c r="A40" i="15"/>
  <c r="A41" i="15"/>
  <c r="A42" i="15"/>
  <c r="A43" i="15"/>
  <c r="A44" i="15"/>
  <c r="A45" i="15"/>
  <c r="A46" i="15"/>
  <c r="A47" i="15"/>
  <c r="A48" i="15"/>
  <c r="A49" i="15"/>
  <c r="A50" i="15"/>
  <c r="A51" i="15"/>
  <c r="A52" i="15"/>
  <c r="A53" i="15"/>
  <c r="A54" i="15"/>
  <c r="A55" i="15"/>
  <c r="A56" i="15"/>
  <c r="A57" i="15"/>
  <c r="A58" i="15"/>
  <c r="A59" i="15"/>
  <c r="A60" i="15"/>
  <c r="A61" i="15"/>
  <c r="A62" i="15"/>
  <c r="A63" i="15"/>
  <c r="A64" i="15"/>
  <c r="A9" i="15"/>
  <c r="A10" i="15"/>
  <c r="A11" i="15"/>
  <c r="A8" i="15"/>
  <c r="A5" i="15"/>
  <c r="AA20" i="13"/>
  <c r="Y20" i="13"/>
  <c r="W20" i="13"/>
  <c r="U20" i="13"/>
  <c r="K20" i="13"/>
  <c r="I20" i="13"/>
  <c r="G20" i="13"/>
  <c r="R24" i="7"/>
  <c r="AB80" i="4"/>
  <c r="P80" i="4"/>
  <c r="J23" i="7"/>
  <c r="AP140" i="3"/>
  <c r="N41" i="4"/>
  <c r="Z80" i="4"/>
  <c r="X80" i="4"/>
  <c r="V80" i="4"/>
  <c r="L80" i="4"/>
  <c r="J80" i="4"/>
  <c r="N80" i="4"/>
  <c r="AP143" i="3"/>
  <c r="AP114" i="3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43" i="8"/>
  <c r="J144" i="8"/>
  <c r="J145" i="8"/>
  <c r="J146" i="8"/>
  <c r="J147" i="8"/>
  <c r="J148" i="8"/>
  <c r="J149" i="8"/>
  <c r="J150" i="8"/>
  <c r="J151" i="8"/>
  <c r="J152" i="8"/>
  <c r="J153" i="8"/>
  <c r="J154" i="8"/>
  <c r="J155" i="8"/>
  <c r="J156" i="8"/>
  <c r="J157" i="8"/>
  <c r="J158" i="8"/>
  <c r="J159" i="8"/>
  <c r="J160" i="8"/>
  <c r="J161" i="8"/>
  <c r="J162" i="8"/>
  <c r="J163" i="8"/>
  <c r="J164" i="8"/>
  <c r="J165" i="8"/>
  <c r="J166" i="8"/>
  <c r="J167" i="8"/>
  <c r="J168" i="8"/>
  <c r="J169" i="8"/>
  <c r="J170" i="8"/>
  <c r="J171" i="8"/>
  <c r="J172" i="8"/>
  <c r="J173" i="8"/>
  <c r="J174" i="8"/>
  <c r="J175" i="8"/>
  <c r="J176" i="8"/>
  <c r="J177" i="8"/>
  <c r="J178" i="8"/>
  <c r="J179" i="8"/>
  <c r="J180" i="8"/>
  <c r="J181" i="8"/>
  <c r="J182" i="8"/>
  <c r="J183" i="8"/>
  <c r="J184" i="8"/>
  <c r="J185" i="8"/>
  <c r="J186" i="8"/>
  <c r="J187" i="8"/>
  <c r="J188" i="8"/>
  <c r="J189" i="8"/>
  <c r="J190" i="8"/>
  <c r="J191" i="8"/>
  <c r="J192" i="8"/>
  <c r="J193" i="8"/>
  <c r="J194" i="8"/>
  <c r="J195" i="8"/>
  <c r="J196" i="8"/>
  <c r="J197" i="8"/>
  <c r="J198" i="8"/>
  <c r="J199" i="8"/>
  <c r="J200" i="8"/>
  <c r="J201" i="8"/>
  <c r="J202" i="8"/>
  <c r="J203" i="8"/>
  <c r="J204" i="8"/>
  <c r="J205" i="8"/>
  <c r="J206" i="8"/>
  <c r="J207" i="8"/>
  <c r="J208" i="8"/>
  <c r="J209" i="8"/>
  <c r="J210" i="8"/>
  <c r="J211" i="8"/>
  <c r="J212" i="8"/>
  <c r="J213" i="8"/>
  <c r="J214" i="8"/>
  <c r="J215" i="8"/>
  <c r="J216" i="8"/>
  <c r="J217" i="8"/>
  <c r="J218" i="8"/>
  <c r="J219" i="8"/>
  <c r="J220" i="8"/>
  <c r="J221" i="8"/>
  <c r="J222" i="8"/>
  <c r="J223" i="8"/>
  <c r="J224" i="8"/>
  <c r="J225" i="8"/>
  <c r="J226" i="8"/>
  <c r="J227" i="8"/>
  <c r="J228" i="8"/>
  <c r="J229" i="8"/>
  <c r="J230" i="8"/>
  <c r="J231" i="8"/>
  <c r="J232" i="8"/>
  <c r="J233" i="8"/>
  <c r="J234" i="8"/>
  <c r="J235" i="8"/>
  <c r="J236" i="8"/>
  <c r="J237" i="8"/>
  <c r="J238" i="8"/>
  <c r="J239" i="8"/>
  <c r="J240" i="8"/>
  <c r="J241" i="8"/>
  <c r="J242" i="8"/>
  <c r="J243" i="8"/>
  <c r="J244" i="8"/>
  <c r="J245" i="8"/>
  <c r="J246" i="8"/>
  <c r="J247" i="8"/>
  <c r="J248" i="8"/>
  <c r="J249" i="8"/>
  <c r="J250" i="8"/>
  <c r="J251" i="8"/>
  <c r="J252" i="8"/>
  <c r="J253" i="8"/>
  <c r="J254" i="8"/>
  <c r="J255" i="8"/>
  <c r="J256" i="8"/>
  <c r="J257" i="8"/>
  <c r="J258" i="8"/>
  <c r="J259" i="8"/>
  <c r="J260" i="8"/>
  <c r="J261" i="8"/>
  <c r="J262" i="8"/>
  <c r="J263" i="8"/>
  <c r="J264" i="8"/>
  <c r="J265" i="8"/>
  <c r="J266" i="8"/>
  <c r="J267" i="8"/>
  <c r="J268" i="8"/>
  <c r="J269" i="8"/>
  <c r="J270" i="8"/>
  <c r="J271" i="8"/>
  <c r="J272" i="8"/>
  <c r="J273" i="8"/>
  <c r="J274" i="8"/>
  <c r="J275" i="8"/>
  <c r="J276" i="8"/>
  <c r="J277" i="8"/>
  <c r="J278" i="8"/>
  <c r="J279" i="8"/>
  <c r="J280" i="8"/>
  <c r="J281" i="8"/>
  <c r="J282" i="8"/>
  <c r="J283" i="8"/>
  <c r="J284" i="8"/>
  <c r="J285" i="8"/>
  <c r="J286" i="8"/>
  <c r="J287" i="8"/>
  <c r="J288" i="8"/>
  <c r="J289" i="8"/>
  <c r="J290" i="8"/>
  <c r="J291" i="8"/>
  <c r="J292" i="8"/>
  <c r="J293" i="8"/>
  <c r="J294" i="8"/>
  <c r="J295" i="8"/>
  <c r="J296" i="8"/>
  <c r="J297" i="8"/>
  <c r="J298" i="8"/>
  <c r="J299" i="8"/>
  <c r="J300" i="8"/>
  <c r="J301" i="8"/>
  <c r="J302" i="8"/>
  <c r="J303" i="8"/>
  <c r="J304" i="8"/>
  <c r="J305" i="8"/>
  <c r="J306" i="8"/>
  <c r="J307" i="8"/>
  <c r="J308" i="8"/>
  <c r="J309" i="8"/>
  <c r="J310" i="8"/>
  <c r="J311" i="8"/>
  <c r="J312" i="8"/>
  <c r="J313" i="8"/>
  <c r="J314" i="8"/>
  <c r="J315" i="8"/>
  <c r="J316" i="8"/>
  <c r="J317" i="8"/>
  <c r="J318" i="8"/>
  <c r="J319" i="8"/>
  <c r="J320" i="8"/>
  <c r="J321" i="8"/>
  <c r="J322" i="8"/>
  <c r="J323" i="8"/>
  <c r="J324" i="8"/>
  <c r="J325" i="8"/>
  <c r="J326" i="8"/>
  <c r="J327" i="8"/>
  <c r="J328" i="8"/>
  <c r="J329" i="8"/>
  <c r="J330" i="8"/>
  <c r="J331" i="8"/>
  <c r="J332" i="8"/>
  <c r="J333" i="8"/>
  <c r="J334" i="8"/>
  <c r="J335" i="8"/>
  <c r="J336" i="8"/>
  <c r="J337" i="8"/>
  <c r="J338" i="8"/>
  <c r="J339" i="8"/>
  <c r="J340" i="8"/>
  <c r="J341" i="8"/>
  <c r="J342" i="8"/>
  <c r="J343" i="8"/>
  <c r="J344" i="8"/>
  <c r="J345" i="8"/>
  <c r="J346" i="8"/>
  <c r="J347" i="8"/>
  <c r="J348" i="8"/>
  <c r="J349" i="8"/>
  <c r="J350" i="8"/>
  <c r="J351" i="8"/>
  <c r="J352" i="8"/>
  <c r="J353" i="8"/>
  <c r="J354" i="8"/>
  <c r="J355" i="8"/>
  <c r="J356" i="8"/>
  <c r="J357" i="8"/>
  <c r="J358" i="8"/>
  <c r="J359" i="8"/>
  <c r="J360" i="8"/>
  <c r="J361" i="8"/>
  <c r="J362" i="8"/>
  <c r="J363" i="8"/>
  <c r="J364" i="8"/>
  <c r="J365" i="8"/>
  <c r="J366" i="8"/>
  <c r="J367" i="8"/>
  <c r="J368" i="8"/>
  <c r="J369" i="8"/>
  <c r="J370" i="8"/>
  <c r="J371" i="8"/>
  <c r="J372" i="8"/>
  <c r="J373" i="8"/>
  <c r="J374" i="8"/>
  <c r="J375" i="8"/>
  <c r="J376" i="8"/>
  <c r="J377" i="8"/>
  <c r="J378" i="8"/>
  <c r="J379" i="8"/>
  <c r="J380" i="8"/>
  <c r="J381" i="8"/>
  <c r="J382" i="8"/>
  <c r="J383" i="8"/>
  <c r="J384" i="8"/>
  <c r="J385" i="8"/>
  <c r="J386" i="8"/>
  <c r="J387" i="8"/>
  <c r="J388" i="8"/>
  <c r="J389" i="8"/>
  <c r="J390" i="8"/>
  <c r="J391" i="8"/>
  <c r="J392" i="8"/>
  <c r="J393" i="8"/>
  <c r="J394" i="8"/>
  <c r="J395" i="8"/>
  <c r="J396" i="8"/>
  <c r="J397" i="8"/>
  <c r="J398" i="8"/>
  <c r="J399" i="8"/>
  <c r="J400" i="8"/>
  <c r="J401" i="8"/>
  <c r="J402" i="8"/>
  <c r="J403" i="8"/>
  <c r="J404" i="8"/>
  <c r="J405" i="8"/>
  <c r="J406" i="8"/>
  <c r="J407" i="8"/>
  <c r="J408" i="8"/>
  <c r="J409" i="8"/>
  <c r="J410" i="8"/>
  <c r="J411" i="8"/>
  <c r="J412" i="8"/>
  <c r="J413" i="8"/>
  <c r="J414" i="8"/>
  <c r="J415" i="8"/>
  <c r="J416" i="8"/>
  <c r="J417" i="8"/>
  <c r="J418" i="8"/>
  <c r="J419" i="8"/>
  <c r="J420" i="8"/>
  <c r="J421" i="8"/>
  <c r="J422" i="8"/>
  <c r="J423" i="8"/>
  <c r="J424" i="8"/>
  <c r="J425" i="8"/>
  <c r="J426" i="8"/>
  <c r="J427" i="8"/>
  <c r="J428" i="8"/>
  <c r="J429" i="8"/>
  <c r="J430" i="8"/>
  <c r="J431" i="8"/>
  <c r="J432" i="8"/>
  <c r="J433" i="8"/>
  <c r="J434" i="8"/>
  <c r="J435" i="8"/>
  <c r="J436" i="8"/>
  <c r="J437" i="8"/>
  <c r="J438" i="8"/>
  <c r="J439" i="8"/>
  <c r="J440" i="8"/>
  <c r="J441" i="8"/>
  <c r="J442" i="8"/>
  <c r="J443" i="8"/>
  <c r="J444" i="8"/>
  <c r="J445" i="8"/>
  <c r="J446" i="8"/>
  <c r="J447" i="8"/>
  <c r="J448" i="8"/>
  <c r="J449" i="8"/>
  <c r="J450" i="8"/>
  <c r="J451" i="8"/>
  <c r="J452" i="8"/>
  <c r="J453" i="8"/>
  <c r="J454" i="8"/>
  <c r="J455" i="8"/>
  <c r="J456" i="8"/>
  <c r="J457" i="8"/>
  <c r="J458" i="8"/>
  <c r="J459" i="8"/>
  <c r="J460" i="8"/>
  <c r="J461" i="8"/>
  <c r="J462" i="8"/>
  <c r="J463" i="8"/>
  <c r="J464" i="8"/>
  <c r="J465" i="8"/>
  <c r="J466" i="8"/>
  <c r="J467" i="8"/>
  <c r="J468" i="8"/>
  <c r="J469" i="8"/>
  <c r="J470" i="8"/>
  <c r="J471" i="8"/>
  <c r="J472" i="8"/>
  <c r="J473" i="8"/>
  <c r="J474" i="8"/>
  <c r="J475" i="8"/>
  <c r="J476" i="8"/>
  <c r="J477" i="8"/>
  <c r="J478" i="8"/>
  <c r="J479" i="8"/>
  <c r="J480" i="8"/>
  <c r="J481" i="8"/>
  <c r="J482" i="8"/>
  <c r="J483" i="8"/>
  <c r="J484" i="8"/>
  <c r="J485" i="8"/>
  <c r="J486" i="8"/>
  <c r="J487" i="8"/>
  <c r="J488" i="8"/>
  <c r="J489" i="8"/>
  <c r="J490" i="8"/>
  <c r="J491" i="8"/>
  <c r="J492" i="8"/>
  <c r="J493" i="8"/>
  <c r="J494" i="8"/>
  <c r="J495" i="8"/>
  <c r="J496" i="8"/>
  <c r="J497" i="8"/>
  <c r="J498" i="8"/>
  <c r="J499" i="8"/>
  <c r="J500" i="8"/>
  <c r="J501" i="8"/>
  <c r="J502" i="8"/>
  <c r="J503" i="8"/>
  <c r="J504" i="8"/>
  <c r="J505" i="8"/>
  <c r="J506" i="8"/>
  <c r="J507" i="8"/>
  <c r="J508" i="8"/>
  <c r="J509" i="8"/>
  <c r="J510" i="8"/>
  <c r="J511" i="8"/>
  <c r="J512" i="8"/>
  <c r="J513" i="8"/>
  <c r="J514" i="8"/>
  <c r="J515" i="8"/>
  <c r="J516" i="8"/>
  <c r="J517" i="8"/>
  <c r="J518" i="8"/>
  <c r="J519" i="8"/>
  <c r="J520" i="8"/>
  <c r="J521" i="8"/>
  <c r="J522" i="8"/>
  <c r="J523" i="8"/>
  <c r="J524" i="8"/>
  <c r="J525" i="8"/>
  <c r="J526" i="8"/>
  <c r="J527" i="8"/>
  <c r="J528" i="8"/>
  <c r="J529" i="8"/>
  <c r="J530" i="8"/>
  <c r="J531" i="8"/>
  <c r="J532" i="8"/>
  <c r="J533" i="8"/>
  <c r="J534" i="8"/>
  <c r="J535" i="8"/>
  <c r="J536" i="8"/>
  <c r="J537" i="8"/>
  <c r="J538" i="8"/>
  <c r="J539" i="8"/>
  <c r="J540" i="8"/>
  <c r="J541" i="8"/>
  <c r="J542" i="8"/>
  <c r="J543" i="8"/>
  <c r="J544" i="8"/>
  <c r="J545" i="8"/>
  <c r="J546" i="8"/>
  <c r="J547" i="8"/>
  <c r="J548" i="8"/>
  <c r="J549" i="8"/>
  <c r="J550" i="8"/>
  <c r="J551" i="8"/>
  <c r="J552" i="8"/>
  <c r="J553" i="8"/>
  <c r="J554" i="8"/>
  <c r="J555" i="8"/>
  <c r="J556" i="8"/>
  <c r="J557" i="8"/>
  <c r="J558" i="8"/>
  <c r="J559" i="8"/>
  <c r="J560" i="8"/>
  <c r="J561" i="8"/>
  <c r="J562" i="8"/>
  <c r="J563" i="8"/>
  <c r="J564" i="8"/>
  <c r="J565" i="8"/>
  <c r="J566" i="8"/>
  <c r="J567" i="8"/>
  <c r="J568" i="8"/>
  <c r="J569" i="8"/>
  <c r="J570" i="8"/>
  <c r="J571" i="8"/>
  <c r="J572" i="8"/>
  <c r="J573" i="8"/>
  <c r="J574" i="8"/>
  <c r="J575" i="8"/>
  <c r="J576" i="8"/>
  <c r="J577" i="8"/>
  <c r="J578" i="8"/>
  <c r="J579" i="8"/>
  <c r="J580" i="8"/>
  <c r="J581" i="8"/>
  <c r="J582" i="8"/>
  <c r="J583" i="8"/>
  <c r="J584" i="8"/>
  <c r="J585" i="8"/>
  <c r="J586" i="8"/>
  <c r="J587" i="8"/>
  <c r="J588" i="8"/>
  <c r="J589" i="8"/>
  <c r="J590" i="8"/>
  <c r="J591" i="8"/>
  <c r="J592" i="8"/>
  <c r="J593" i="8"/>
  <c r="J594" i="8"/>
  <c r="J595" i="8"/>
  <c r="J596" i="8"/>
  <c r="J597" i="8"/>
  <c r="J598" i="8"/>
  <c r="J599" i="8"/>
  <c r="J600" i="8"/>
  <c r="J601" i="8"/>
  <c r="J602" i="8"/>
  <c r="J603" i="8"/>
  <c r="J604" i="8"/>
  <c r="J605" i="8"/>
  <c r="J606" i="8"/>
  <c r="J607" i="8"/>
  <c r="J608" i="8"/>
  <c r="J609" i="8"/>
  <c r="J610" i="8"/>
  <c r="J611" i="8"/>
  <c r="J612" i="8"/>
  <c r="J613" i="8"/>
  <c r="J614" i="8"/>
  <c r="J615" i="8"/>
  <c r="J616" i="8"/>
  <c r="J617" i="8"/>
  <c r="J618" i="8"/>
  <c r="J619" i="8"/>
  <c r="J620" i="8"/>
  <c r="J621" i="8"/>
  <c r="J622" i="8"/>
  <c r="J623" i="8"/>
  <c r="J624" i="8"/>
  <c r="J625" i="8"/>
  <c r="J626" i="8"/>
  <c r="J627" i="8"/>
  <c r="J628" i="8"/>
  <c r="J629" i="8"/>
  <c r="J630" i="8"/>
  <c r="J631" i="8"/>
  <c r="J632" i="8"/>
  <c r="J633" i="8"/>
  <c r="J634" i="8"/>
  <c r="J635" i="8"/>
  <c r="J636" i="8"/>
  <c r="J637" i="8"/>
  <c r="J638" i="8"/>
  <c r="J639" i="8"/>
  <c r="J640" i="8"/>
  <c r="J641" i="8"/>
  <c r="J642" i="8"/>
  <c r="J643" i="8"/>
  <c r="J644" i="8"/>
  <c r="J645" i="8"/>
  <c r="J646" i="8"/>
  <c r="J647" i="8"/>
  <c r="J648" i="8"/>
  <c r="J649" i="8"/>
  <c r="J650" i="8"/>
  <c r="J651" i="8"/>
  <c r="J652" i="8"/>
  <c r="J653" i="8"/>
  <c r="J654" i="8"/>
  <c r="J655" i="8"/>
  <c r="J656" i="8"/>
  <c r="J657" i="8"/>
  <c r="J658" i="8"/>
  <c r="J659" i="8"/>
  <c r="J660" i="8"/>
  <c r="J661" i="8"/>
  <c r="J662" i="8"/>
  <c r="J663" i="8"/>
  <c r="J664" i="8"/>
  <c r="J665" i="8"/>
  <c r="J666" i="8"/>
  <c r="J667" i="8"/>
  <c r="J668" i="8"/>
  <c r="J669" i="8"/>
  <c r="J670" i="8"/>
  <c r="J671" i="8"/>
  <c r="J672" i="8"/>
  <c r="J673" i="8"/>
  <c r="J674" i="8"/>
  <c r="J675" i="8"/>
  <c r="J676" i="8"/>
  <c r="J677" i="8"/>
  <c r="J678" i="8"/>
  <c r="J679" i="8"/>
  <c r="J680" i="8"/>
  <c r="J681" i="8"/>
  <c r="J682" i="8"/>
  <c r="J683" i="8"/>
  <c r="J684" i="8"/>
  <c r="J685" i="8"/>
  <c r="J686" i="8"/>
  <c r="J687" i="8"/>
  <c r="J688" i="8"/>
  <c r="J689" i="8"/>
  <c r="J690" i="8"/>
  <c r="J691" i="8"/>
  <c r="J692" i="8"/>
  <c r="J693" i="8"/>
  <c r="J694" i="8"/>
  <c r="J695" i="8"/>
  <c r="J696" i="8"/>
  <c r="J697" i="8"/>
  <c r="J698" i="8"/>
  <c r="J699" i="8"/>
  <c r="J700" i="8"/>
  <c r="J701" i="8"/>
  <c r="J702" i="8"/>
  <c r="J703" i="8"/>
  <c r="J704" i="8"/>
  <c r="J705" i="8"/>
  <c r="J706" i="8"/>
  <c r="J707" i="8"/>
  <c r="J708" i="8"/>
  <c r="J709" i="8"/>
  <c r="J710" i="8"/>
  <c r="J711" i="8"/>
  <c r="J712" i="8"/>
  <c r="J713" i="8"/>
  <c r="J714" i="8"/>
  <c r="J715" i="8"/>
  <c r="J716" i="8"/>
  <c r="J717" i="8"/>
  <c r="J718" i="8"/>
  <c r="J719" i="8"/>
  <c r="J720" i="8"/>
  <c r="J721" i="8"/>
  <c r="J722" i="8"/>
  <c r="J723" i="8"/>
  <c r="J724" i="8"/>
  <c r="J725" i="8"/>
  <c r="J726" i="8"/>
  <c r="J727" i="8"/>
  <c r="J728" i="8"/>
  <c r="J729" i="8"/>
  <c r="J730" i="8"/>
  <c r="J731" i="8"/>
  <c r="J732" i="8"/>
  <c r="J733" i="8"/>
  <c r="J734" i="8"/>
  <c r="J735" i="8"/>
  <c r="J736" i="8"/>
  <c r="J737" i="8"/>
  <c r="J738" i="8"/>
  <c r="J739" i="8"/>
  <c r="J740" i="8"/>
  <c r="J741" i="8"/>
  <c r="J742" i="8"/>
  <c r="J743" i="8"/>
  <c r="J744" i="8"/>
  <c r="J745" i="8"/>
  <c r="J746" i="8"/>
  <c r="J747" i="8"/>
  <c r="J748" i="8"/>
  <c r="J749" i="8"/>
  <c r="J750" i="8"/>
  <c r="J751" i="8"/>
  <c r="J752" i="8"/>
  <c r="J753" i="8"/>
  <c r="J754" i="8"/>
  <c r="J755" i="8"/>
  <c r="J756" i="8"/>
  <c r="J757" i="8"/>
  <c r="J758" i="8"/>
  <c r="J759" i="8"/>
  <c r="J760" i="8"/>
  <c r="J761" i="8"/>
  <c r="J762" i="8"/>
  <c r="J763" i="8"/>
  <c r="J764" i="8"/>
  <c r="J765" i="8"/>
  <c r="J766" i="8"/>
  <c r="J767" i="8"/>
  <c r="J768" i="8"/>
  <c r="J769" i="8"/>
  <c r="J770" i="8"/>
  <c r="J771" i="8"/>
  <c r="J772" i="8"/>
  <c r="J773" i="8"/>
  <c r="J774" i="8"/>
  <c r="J775" i="8"/>
  <c r="J776" i="8"/>
  <c r="J777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8" i="8"/>
  <c r="H13" i="2"/>
  <c r="F13" i="2"/>
  <c r="F14" i="2"/>
  <c r="D13" i="2"/>
  <c r="D14" i="2"/>
  <c r="H14" i="2"/>
  <c r="K8" i="11"/>
  <c r="H8" i="11"/>
  <c r="L8" i="11"/>
  <c r="K10" i="11"/>
  <c r="H10" i="11"/>
  <c r="L10" i="11"/>
  <c r="K11" i="11"/>
  <c r="H11" i="11"/>
  <c r="L11" i="11"/>
  <c r="K15" i="11"/>
  <c r="H15" i="11"/>
  <c r="L15" i="11"/>
  <c r="K16" i="11"/>
  <c r="H16" i="11"/>
  <c r="L16" i="11"/>
  <c r="K18" i="11"/>
  <c r="H18" i="11"/>
  <c r="L18" i="11"/>
  <c r="K25" i="11"/>
  <c r="H25" i="11"/>
  <c r="L25" i="11"/>
  <c r="K26" i="11"/>
  <c r="H26" i="11"/>
  <c r="L26" i="11"/>
  <c r="K27" i="11"/>
  <c r="H27" i="11"/>
  <c r="L27" i="11"/>
  <c r="K29" i="11"/>
  <c r="H29" i="11"/>
  <c r="L29" i="11"/>
  <c r="K31" i="11"/>
  <c r="H31" i="11"/>
  <c r="L31" i="11"/>
  <c r="K34" i="11"/>
  <c r="H34" i="11"/>
  <c r="L34" i="11"/>
  <c r="K36" i="11"/>
  <c r="H36" i="11"/>
  <c r="L36" i="11"/>
  <c r="K47" i="11"/>
  <c r="H47" i="11"/>
  <c r="L47" i="11"/>
  <c r="K48" i="11"/>
  <c r="H48" i="11"/>
  <c r="L48" i="11"/>
  <c r="K52" i="11"/>
  <c r="H52" i="11"/>
  <c r="L52" i="11"/>
  <c r="K55" i="11"/>
  <c r="H55" i="11"/>
  <c r="L55" i="11"/>
  <c r="K62" i="11"/>
  <c r="H62" i="11"/>
  <c r="L62" i="11"/>
  <c r="K64" i="11"/>
  <c r="H64" i="11"/>
  <c r="L64" i="11"/>
  <c r="K68" i="11"/>
  <c r="H68" i="11"/>
  <c r="L68" i="11"/>
  <c r="K70" i="11"/>
  <c r="H70" i="11"/>
  <c r="L70" i="11"/>
  <c r="K71" i="11"/>
  <c r="H71" i="11"/>
  <c r="L71" i="11"/>
  <c r="K76" i="11"/>
  <c r="H76" i="11"/>
  <c r="L76" i="11"/>
  <c r="K78" i="11"/>
  <c r="H78" i="11"/>
  <c r="L78" i="11"/>
  <c r="K79" i="11"/>
  <c r="H79" i="11"/>
  <c r="L79" i="11"/>
  <c r="K80" i="11"/>
  <c r="H80" i="11"/>
  <c r="L80" i="11"/>
  <c r="K81" i="11"/>
  <c r="H81" i="11"/>
  <c r="L81" i="11"/>
  <c r="K82" i="11"/>
  <c r="H82" i="11"/>
  <c r="L82" i="11"/>
  <c r="K86" i="11"/>
  <c r="H86" i="11"/>
  <c r="L86" i="11"/>
  <c r="K87" i="11"/>
  <c r="H87" i="11"/>
  <c r="L87" i="11"/>
  <c r="K90" i="11"/>
  <c r="H90" i="11"/>
  <c r="L90" i="11"/>
  <c r="K92" i="11"/>
  <c r="H92" i="11"/>
  <c r="L92" i="11"/>
  <c r="K98" i="11"/>
  <c r="H98" i="11"/>
  <c r="L98" i="11"/>
  <c r="K108" i="11"/>
  <c r="H108" i="11"/>
  <c r="L108" i="11"/>
  <c r="K115" i="11"/>
  <c r="H115" i="11"/>
  <c r="L115" i="11"/>
  <c r="K116" i="11"/>
  <c r="H116" i="11"/>
  <c r="L116" i="11"/>
  <c r="K118" i="11"/>
  <c r="H118" i="11"/>
  <c r="L118" i="11"/>
  <c r="K119" i="11"/>
  <c r="H119" i="11"/>
  <c r="L119" i="11"/>
  <c r="K120" i="11"/>
  <c r="H120" i="11"/>
  <c r="L120" i="11"/>
  <c r="K121" i="11"/>
  <c r="H121" i="11"/>
  <c r="L121" i="11"/>
  <c r="K123" i="11"/>
  <c r="H123" i="11"/>
  <c r="L123" i="11"/>
  <c r="K126" i="11"/>
  <c r="H126" i="11"/>
  <c r="L126" i="11"/>
  <c r="K133" i="11"/>
  <c r="H133" i="11"/>
  <c r="L133" i="11"/>
  <c r="K136" i="11"/>
  <c r="H136" i="11"/>
  <c r="L136" i="11"/>
  <c r="K137" i="11"/>
  <c r="H137" i="11"/>
  <c r="L137" i="11"/>
  <c r="K141" i="11"/>
  <c r="H141" i="11"/>
  <c r="L141" i="11"/>
  <c r="K143" i="11"/>
  <c r="H143" i="11"/>
  <c r="L143" i="11"/>
  <c r="K156" i="11"/>
  <c r="H156" i="11"/>
  <c r="L156" i="11"/>
  <c r="K157" i="11"/>
  <c r="H157" i="11"/>
  <c r="L157" i="11"/>
  <c r="K162" i="11"/>
  <c r="H162" i="11"/>
  <c r="L162" i="11"/>
  <c r="K164" i="11"/>
  <c r="H164" i="11"/>
  <c r="L164" i="11"/>
  <c r="K165" i="11"/>
  <c r="H165" i="11"/>
  <c r="L165" i="11"/>
  <c r="K171" i="11"/>
  <c r="H171" i="11"/>
  <c r="L171" i="11"/>
  <c r="K172" i="11"/>
  <c r="H172" i="11"/>
  <c r="L172" i="11"/>
  <c r="K173" i="11"/>
  <c r="H173" i="11"/>
  <c r="L173" i="11"/>
  <c r="K176" i="11"/>
  <c r="H176" i="11"/>
  <c r="L176" i="11"/>
  <c r="K178" i="11"/>
  <c r="H178" i="11"/>
  <c r="L178" i="11"/>
  <c r="K180" i="11"/>
  <c r="H180" i="11"/>
  <c r="L180" i="11"/>
  <c r="K182" i="11"/>
  <c r="H182" i="11"/>
  <c r="L182" i="11"/>
  <c r="K183" i="11"/>
  <c r="H183" i="11"/>
  <c r="L183" i="11"/>
  <c r="K188" i="11"/>
  <c r="H188" i="11"/>
  <c r="L188" i="11"/>
  <c r="K194" i="11"/>
  <c r="H194" i="11"/>
  <c r="L194" i="11"/>
  <c r="K195" i="11"/>
  <c r="H195" i="11"/>
  <c r="L195" i="11"/>
  <c r="K199" i="11"/>
  <c r="H199" i="11"/>
  <c r="L199" i="11"/>
  <c r="K203" i="11"/>
  <c r="H203" i="11"/>
  <c r="L203" i="11"/>
  <c r="K207" i="11"/>
  <c r="H207" i="11"/>
  <c r="L207" i="11"/>
  <c r="K209" i="11"/>
  <c r="H209" i="11"/>
  <c r="L209" i="11"/>
  <c r="K211" i="11"/>
  <c r="H211" i="11"/>
  <c r="L211" i="11"/>
  <c r="K212" i="11"/>
  <c r="H212" i="11"/>
  <c r="L212" i="11"/>
  <c r="K213" i="11"/>
  <c r="H213" i="11"/>
  <c r="L213" i="11"/>
  <c r="K214" i="11"/>
  <c r="H214" i="11"/>
  <c r="L214" i="11"/>
  <c r="K215" i="11"/>
  <c r="H215" i="11"/>
  <c r="L215" i="11"/>
  <c r="K216" i="11"/>
  <c r="H216" i="11"/>
  <c r="L216" i="11"/>
  <c r="K219" i="11"/>
  <c r="H219" i="11"/>
  <c r="L219" i="11"/>
  <c r="H5" i="11"/>
  <c r="L5" i="11"/>
  <c r="G8" i="11"/>
  <c r="J8" i="11"/>
  <c r="G10" i="11"/>
  <c r="J10" i="11"/>
  <c r="G11" i="11"/>
  <c r="J11" i="11"/>
  <c r="G15" i="11"/>
  <c r="J15" i="11"/>
  <c r="G16" i="11"/>
  <c r="J16" i="11"/>
  <c r="G18" i="11"/>
  <c r="J18" i="11"/>
  <c r="G25" i="11"/>
  <c r="J25" i="11"/>
  <c r="G26" i="11"/>
  <c r="J26" i="11"/>
  <c r="G27" i="11"/>
  <c r="J27" i="11"/>
  <c r="G29" i="11"/>
  <c r="J29" i="11"/>
  <c r="G31" i="11"/>
  <c r="J31" i="11"/>
  <c r="G34" i="11"/>
  <c r="J34" i="11"/>
  <c r="G36" i="11"/>
  <c r="J36" i="11"/>
  <c r="G47" i="11"/>
  <c r="J47" i="11"/>
  <c r="G48" i="11"/>
  <c r="J48" i="11"/>
  <c r="G52" i="11"/>
  <c r="J52" i="11"/>
  <c r="G55" i="11"/>
  <c r="J55" i="11"/>
  <c r="G62" i="11"/>
  <c r="J62" i="11"/>
  <c r="G64" i="11"/>
  <c r="J64" i="11"/>
  <c r="G68" i="11"/>
  <c r="J68" i="11"/>
  <c r="G70" i="11"/>
  <c r="J70" i="11"/>
  <c r="G71" i="11"/>
  <c r="J71" i="11"/>
  <c r="G76" i="11"/>
  <c r="J76" i="11"/>
  <c r="G78" i="11"/>
  <c r="J78" i="11"/>
  <c r="G79" i="11"/>
  <c r="J79" i="11"/>
  <c r="G80" i="11"/>
  <c r="J80" i="11"/>
  <c r="G81" i="11"/>
  <c r="J81" i="11"/>
  <c r="G82" i="11"/>
  <c r="J82" i="11"/>
  <c r="G86" i="11"/>
  <c r="J86" i="11"/>
  <c r="G87" i="11"/>
  <c r="J87" i="11"/>
  <c r="G90" i="11"/>
  <c r="J90" i="11"/>
  <c r="G92" i="11"/>
  <c r="J92" i="11"/>
  <c r="G98" i="11"/>
  <c r="J98" i="11"/>
  <c r="G108" i="11"/>
  <c r="J108" i="11"/>
  <c r="G115" i="11"/>
  <c r="J115" i="11"/>
  <c r="G116" i="11"/>
  <c r="J116" i="11"/>
  <c r="G118" i="11"/>
  <c r="J118" i="11"/>
  <c r="G119" i="11"/>
  <c r="J119" i="11"/>
  <c r="G120" i="11"/>
  <c r="J120" i="11"/>
  <c r="G121" i="11"/>
  <c r="J121" i="11"/>
  <c r="G123" i="11"/>
  <c r="J123" i="11"/>
  <c r="G126" i="11"/>
  <c r="J126" i="11"/>
  <c r="G133" i="11"/>
  <c r="J133" i="11"/>
  <c r="G136" i="11"/>
  <c r="J136" i="11"/>
  <c r="G137" i="11"/>
  <c r="J137" i="11"/>
  <c r="G141" i="11"/>
  <c r="J141" i="11"/>
  <c r="G143" i="11"/>
  <c r="J143" i="11"/>
  <c r="G156" i="11"/>
  <c r="J156" i="11"/>
  <c r="G157" i="11"/>
  <c r="J157" i="11"/>
  <c r="G162" i="11"/>
  <c r="J162" i="11"/>
  <c r="G164" i="11"/>
  <c r="J164" i="11"/>
  <c r="G165" i="11"/>
  <c r="J165" i="11"/>
  <c r="G171" i="11"/>
  <c r="J171" i="11"/>
  <c r="G172" i="11"/>
  <c r="J172" i="11"/>
  <c r="G173" i="11"/>
  <c r="J173" i="11"/>
  <c r="G176" i="11"/>
  <c r="J176" i="11"/>
  <c r="G178" i="11"/>
  <c r="J178" i="11"/>
  <c r="G180" i="11"/>
  <c r="J180" i="11"/>
  <c r="G182" i="11"/>
  <c r="J182" i="11"/>
  <c r="G183" i="11"/>
  <c r="J183" i="11"/>
  <c r="G188" i="11"/>
  <c r="J188" i="11"/>
  <c r="G194" i="11"/>
  <c r="J194" i="11"/>
  <c r="G195" i="11"/>
  <c r="J195" i="11"/>
  <c r="G199" i="11"/>
  <c r="J199" i="11"/>
  <c r="G203" i="11"/>
  <c r="J203" i="11"/>
  <c r="G207" i="11"/>
  <c r="J207" i="11"/>
  <c r="G209" i="11"/>
  <c r="J209" i="11"/>
  <c r="G211" i="11"/>
  <c r="J211" i="11"/>
  <c r="G212" i="11"/>
  <c r="J212" i="11"/>
  <c r="G213" i="11"/>
  <c r="J213" i="11"/>
  <c r="G214" i="11"/>
  <c r="J214" i="11"/>
  <c r="G215" i="11"/>
  <c r="J215" i="11"/>
  <c r="G216" i="11"/>
  <c r="J216" i="11"/>
  <c r="G219" i="11"/>
  <c r="J219" i="11"/>
  <c r="K5" i="11"/>
  <c r="AA14" i="12"/>
  <c r="S16" i="12"/>
  <c r="T16" i="12"/>
  <c r="U16" i="12"/>
  <c r="V16" i="12"/>
  <c r="AA16" i="12"/>
  <c r="AA17" i="12"/>
  <c r="S19" i="12"/>
  <c r="T19" i="12"/>
  <c r="U19" i="12"/>
  <c r="V19" i="12"/>
  <c r="AA19" i="12"/>
  <c r="AA20" i="12"/>
  <c r="AA24" i="12"/>
  <c r="AA29" i="12"/>
  <c r="S30" i="12"/>
  <c r="T30" i="12"/>
  <c r="U30" i="12"/>
  <c r="V30" i="12"/>
  <c r="AA30" i="12"/>
  <c r="S36" i="12"/>
  <c r="T36" i="12"/>
  <c r="U36" i="12"/>
  <c r="V36" i="12"/>
  <c r="AA36" i="12"/>
  <c r="AA41" i="12"/>
  <c r="AA42" i="12"/>
  <c r="AA44" i="12"/>
  <c r="AA48" i="12"/>
  <c r="AA51" i="12"/>
  <c r="AA53" i="12"/>
  <c r="AA57" i="12"/>
  <c r="AA61" i="12"/>
  <c r="S63" i="12"/>
  <c r="T63" i="12"/>
  <c r="U63" i="12"/>
  <c r="V63" i="12"/>
  <c r="AA63" i="12"/>
  <c r="S68" i="12"/>
  <c r="T68" i="12"/>
  <c r="U68" i="12"/>
  <c r="V68" i="12"/>
  <c r="AA68" i="12"/>
  <c r="S74" i="12"/>
  <c r="T74" i="12"/>
  <c r="U74" i="12"/>
  <c r="V74" i="12"/>
  <c r="AA74" i="12"/>
  <c r="AA75" i="12"/>
  <c r="S76" i="12"/>
  <c r="T76" i="12"/>
  <c r="U76" i="12"/>
  <c r="V76" i="12"/>
  <c r="AA76" i="12"/>
  <c r="AA79" i="12"/>
  <c r="AA83" i="12"/>
  <c r="S84" i="12"/>
  <c r="T84" i="12"/>
  <c r="U84" i="12"/>
  <c r="V84" i="12"/>
  <c r="AA84" i="12"/>
  <c r="S100" i="12"/>
  <c r="T100" i="12"/>
  <c r="U100" i="12"/>
  <c r="V100" i="12"/>
  <c r="AA100" i="12"/>
  <c r="AA102" i="12"/>
  <c r="S105" i="12"/>
  <c r="T105" i="12"/>
  <c r="U105" i="12"/>
  <c r="V105" i="12"/>
  <c r="AA105" i="12"/>
  <c r="AA106" i="12"/>
  <c r="AA110" i="12"/>
  <c r="S113" i="12"/>
  <c r="T113" i="12"/>
  <c r="U113" i="12"/>
  <c r="V113" i="12"/>
  <c r="AA113" i="12"/>
  <c r="S124" i="12"/>
  <c r="T124" i="12"/>
  <c r="U124" i="12"/>
  <c r="V124" i="12"/>
  <c r="AA124" i="12"/>
  <c r="S125" i="12"/>
  <c r="T125" i="12"/>
  <c r="U125" i="12"/>
  <c r="V125" i="12"/>
  <c r="AA125" i="12"/>
  <c r="AA131" i="12"/>
  <c r="S135" i="12"/>
  <c r="T135" i="12"/>
  <c r="U135" i="12"/>
  <c r="V135" i="12"/>
  <c r="AA135" i="12"/>
  <c r="S139" i="12"/>
  <c r="T139" i="12"/>
  <c r="U139" i="12"/>
  <c r="V139" i="12"/>
  <c r="AA139" i="12"/>
  <c r="S143" i="12"/>
  <c r="T143" i="12"/>
  <c r="U143" i="12"/>
  <c r="V143" i="12"/>
  <c r="AA143" i="12"/>
  <c r="S146" i="12"/>
  <c r="T146" i="12"/>
  <c r="U146" i="12"/>
  <c r="V146" i="12"/>
  <c r="AA146" i="12"/>
  <c r="S149" i="12"/>
  <c r="T149" i="12"/>
  <c r="U149" i="12"/>
  <c r="V149" i="12"/>
  <c r="AA149" i="12"/>
  <c r="AA153" i="12"/>
  <c r="AA154" i="12"/>
  <c r="AA155" i="12"/>
  <c r="S156" i="12"/>
  <c r="T156" i="12"/>
  <c r="U156" i="12"/>
  <c r="V156" i="12"/>
  <c r="AA156" i="12"/>
  <c r="S167" i="12"/>
  <c r="T167" i="12"/>
  <c r="U167" i="12"/>
  <c r="V167" i="12"/>
  <c r="AA167" i="12"/>
  <c r="S180" i="12"/>
  <c r="T180" i="12"/>
  <c r="U180" i="12"/>
  <c r="V180" i="12"/>
  <c r="AA180" i="12"/>
  <c r="S184" i="12"/>
  <c r="T184" i="12"/>
  <c r="U184" i="12"/>
  <c r="V184" i="12"/>
  <c r="AA184" i="12"/>
  <c r="S187" i="12"/>
  <c r="T187" i="12"/>
  <c r="U187" i="12"/>
  <c r="V187" i="12"/>
  <c r="AA187" i="12"/>
  <c r="AA189" i="12"/>
  <c r="S192" i="12"/>
  <c r="T192" i="12"/>
  <c r="U192" i="12"/>
  <c r="V192" i="12"/>
  <c r="AA192" i="12"/>
  <c r="V14" i="12"/>
  <c r="U14" i="12"/>
  <c r="T14" i="12"/>
  <c r="S14" i="12"/>
  <c r="Y14" i="12"/>
  <c r="Z14" i="12"/>
  <c r="Y16" i="12"/>
  <c r="Z16" i="12"/>
  <c r="V17" i="12"/>
  <c r="U17" i="12"/>
  <c r="T17" i="12"/>
  <c r="S17" i="12"/>
  <c r="Y17" i="12"/>
  <c r="Z17" i="12"/>
  <c r="Y19" i="12"/>
  <c r="Z19" i="12"/>
  <c r="V20" i="12"/>
  <c r="U20" i="12"/>
  <c r="T20" i="12"/>
  <c r="S20" i="12"/>
  <c r="Y20" i="12"/>
  <c r="Z20" i="12"/>
  <c r="V24" i="12"/>
  <c r="U24" i="12"/>
  <c r="T24" i="12"/>
  <c r="S24" i="12"/>
  <c r="Y24" i="12"/>
  <c r="Z24" i="12"/>
  <c r="V29" i="12"/>
  <c r="U29" i="12"/>
  <c r="T29" i="12"/>
  <c r="S29" i="12"/>
  <c r="Y29" i="12"/>
  <c r="Z29" i="12"/>
  <c r="Y30" i="12"/>
  <c r="Z30" i="12"/>
  <c r="Y36" i="12"/>
  <c r="Z36" i="12"/>
  <c r="V41" i="12"/>
  <c r="U41" i="12"/>
  <c r="T41" i="12"/>
  <c r="S41" i="12"/>
  <c r="Y41" i="12"/>
  <c r="Z41" i="12"/>
  <c r="V42" i="12"/>
  <c r="U42" i="12"/>
  <c r="T42" i="12"/>
  <c r="S42" i="12"/>
  <c r="Y42" i="12"/>
  <c r="Z42" i="12"/>
  <c r="V44" i="12"/>
  <c r="U44" i="12"/>
  <c r="T44" i="12"/>
  <c r="S44" i="12"/>
  <c r="Y44" i="12"/>
  <c r="Z44" i="12"/>
  <c r="V48" i="12"/>
  <c r="U48" i="12"/>
  <c r="T48" i="12"/>
  <c r="S48" i="12"/>
  <c r="Y48" i="12"/>
  <c r="Z48" i="12"/>
  <c r="V51" i="12"/>
  <c r="U51" i="12"/>
  <c r="T51" i="12"/>
  <c r="S51" i="12"/>
  <c r="Y51" i="12"/>
  <c r="Z51" i="12"/>
  <c r="V53" i="12"/>
  <c r="U53" i="12"/>
  <c r="T53" i="12"/>
  <c r="S53" i="12"/>
  <c r="Y53" i="12"/>
  <c r="Z53" i="12"/>
  <c r="V57" i="12"/>
  <c r="U57" i="12"/>
  <c r="T57" i="12"/>
  <c r="S57" i="12"/>
  <c r="Y57" i="12"/>
  <c r="Z57" i="12"/>
  <c r="V61" i="12"/>
  <c r="U61" i="12"/>
  <c r="T61" i="12"/>
  <c r="S61" i="12"/>
  <c r="Y61" i="12"/>
  <c r="Z61" i="12"/>
  <c r="Y63" i="12"/>
  <c r="Z63" i="12"/>
  <c r="Y68" i="12"/>
  <c r="Z68" i="12"/>
  <c r="Y74" i="12"/>
  <c r="Z74" i="12"/>
  <c r="V75" i="12"/>
  <c r="U75" i="12"/>
  <c r="T75" i="12"/>
  <c r="S75" i="12"/>
  <c r="Y75" i="12"/>
  <c r="Z75" i="12"/>
  <c r="Y76" i="12"/>
  <c r="Z76" i="12"/>
  <c r="V79" i="12"/>
  <c r="U79" i="12"/>
  <c r="T79" i="12"/>
  <c r="S79" i="12"/>
  <c r="Y79" i="12"/>
  <c r="Z79" i="12"/>
  <c r="V83" i="12"/>
  <c r="U83" i="12"/>
  <c r="T83" i="12"/>
  <c r="S83" i="12"/>
  <c r="Y83" i="12"/>
  <c r="Z83" i="12"/>
  <c r="Y84" i="12"/>
  <c r="Z84" i="12"/>
  <c r="Y100" i="12"/>
  <c r="Z100" i="12"/>
  <c r="V102" i="12"/>
  <c r="U102" i="12"/>
  <c r="T102" i="12"/>
  <c r="S102" i="12"/>
  <c r="Y102" i="12"/>
  <c r="Z102" i="12"/>
  <c r="Y105" i="12"/>
  <c r="Z105" i="12"/>
  <c r="V106" i="12"/>
  <c r="U106" i="12"/>
  <c r="T106" i="12"/>
  <c r="S106" i="12"/>
  <c r="Y106" i="12"/>
  <c r="Z106" i="12"/>
  <c r="V110" i="12"/>
  <c r="U110" i="12"/>
  <c r="T110" i="12"/>
  <c r="S110" i="12"/>
  <c r="Y110" i="12"/>
  <c r="Z110" i="12"/>
  <c r="Y113" i="12"/>
  <c r="Z113" i="12"/>
  <c r="Y124" i="12"/>
  <c r="Z124" i="12"/>
  <c r="Y125" i="12"/>
  <c r="Z125" i="12"/>
  <c r="V131" i="12"/>
  <c r="U131" i="12"/>
  <c r="T131" i="12"/>
  <c r="S131" i="12"/>
  <c r="Y131" i="12"/>
  <c r="Z131" i="12"/>
  <c r="Y135" i="12"/>
  <c r="Z135" i="12"/>
  <c r="Y139" i="12"/>
  <c r="Z139" i="12"/>
  <c r="Y143" i="12"/>
  <c r="Z143" i="12"/>
  <c r="Y146" i="12"/>
  <c r="Z146" i="12"/>
  <c r="Y149" i="12"/>
  <c r="Z149" i="12"/>
  <c r="V153" i="12"/>
  <c r="U153" i="12"/>
  <c r="T153" i="12"/>
  <c r="S153" i="12"/>
  <c r="Y153" i="12"/>
  <c r="Z153" i="12"/>
  <c r="V154" i="12"/>
  <c r="U154" i="12"/>
  <c r="T154" i="12"/>
  <c r="S154" i="12"/>
  <c r="Y154" i="12"/>
  <c r="Z154" i="12"/>
  <c r="V155" i="12"/>
  <c r="U155" i="12"/>
  <c r="T155" i="12"/>
  <c r="S155" i="12"/>
  <c r="Y155" i="12"/>
  <c r="Z155" i="12"/>
  <c r="Y156" i="12"/>
  <c r="Z156" i="12"/>
  <c r="Y167" i="12"/>
  <c r="Z167" i="12"/>
  <c r="Y180" i="12"/>
  <c r="Z180" i="12"/>
  <c r="Y184" i="12"/>
  <c r="Z184" i="12"/>
  <c r="Y187" i="12"/>
  <c r="Z187" i="12"/>
  <c r="V189" i="12"/>
  <c r="U189" i="12"/>
  <c r="T189" i="12"/>
  <c r="S189" i="12"/>
  <c r="Y189" i="12"/>
  <c r="Z189" i="12"/>
  <c r="Y192" i="12"/>
  <c r="Z192" i="12"/>
  <c r="W192" i="12"/>
  <c r="I219" i="11"/>
  <c r="I216" i="11"/>
  <c r="I215" i="11"/>
  <c r="I214" i="11"/>
  <c r="I213" i="11"/>
  <c r="I212" i="11"/>
  <c r="I211" i="11"/>
  <c r="I209" i="11"/>
  <c r="I207" i="11"/>
  <c r="I203" i="11"/>
  <c r="I199" i="11"/>
  <c r="I195" i="11"/>
  <c r="I194" i="11"/>
  <c r="I188" i="11"/>
  <c r="I183" i="11"/>
  <c r="I182" i="11"/>
  <c r="I180" i="11"/>
  <c r="I178" i="11"/>
  <c r="I176" i="11"/>
  <c r="I173" i="11"/>
  <c r="I172" i="11"/>
  <c r="I171" i="11"/>
  <c r="I165" i="11"/>
  <c r="I164" i="11"/>
  <c r="I162" i="11"/>
  <c r="I157" i="11"/>
  <c r="I156" i="11"/>
  <c r="I143" i="11"/>
  <c r="I141" i="11"/>
  <c r="I137" i="11"/>
  <c r="I136" i="11"/>
  <c r="I133" i="11"/>
  <c r="I126" i="11"/>
  <c r="I123" i="11"/>
  <c r="I121" i="11"/>
  <c r="I120" i="11"/>
  <c r="I119" i="11"/>
  <c r="I118" i="11"/>
  <c r="I116" i="11"/>
  <c r="I115" i="11"/>
  <c r="I108" i="11"/>
  <c r="I98" i="11"/>
  <c r="I92" i="11"/>
  <c r="I90" i="11"/>
  <c r="I87" i="11"/>
  <c r="I86" i="11"/>
  <c r="I82" i="11"/>
  <c r="I81" i="11"/>
  <c r="I80" i="11"/>
  <c r="I79" i="11"/>
  <c r="I78" i="11"/>
  <c r="I76" i="11"/>
  <c r="I71" i="11"/>
  <c r="I70" i="11"/>
  <c r="I68" i="11"/>
  <c r="I64" i="11"/>
  <c r="I62" i="11"/>
  <c r="I55" i="11"/>
  <c r="I52" i="11"/>
  <c r="I48" i="11"/>
  <c r="I47" i="11"/>
  <c r="I36" i="11"/>
  <c r="I34" i="11"/>
  <c r="I31" i="11"/>
  <c r="I29" i="11"/>
  <c r="I27" i="11"/>
  <c r="I26" i="11"/>
  <c r="I25" i="11"/>
  <c r="I18" i="11"/>
  <c r="I16" i="11"/>
  <c r="I15" i="11"/>
  <c r="I11" i="11"/>
  <c r="I10" i="11"/>
  <c r="I8" i="11"/>
  <c r="I5" i="11"/>
  <c r="AP154" i="3"/>
  <c r="AP153" i="3"/>
  <c r="AP152" i="3"/>
  <c r="AP150" i="3"/>
  <c r="AP149" i="3"/>
  <c r="AP148" i="3"/>
  <c r="AP147" i="3"/>
  <c r="AP146" i="3"/>
  <c r="AP145" i="3"/>
  <c r="AP144" i="3"/>
  <c r="AP141" i="3"/>
  <c r="AP139" i="3"/>
  <c r="AP138" i="3"/>
  <c r="AP137" i="3"/>
  <c r="AP136" i="3"/>
  <c r="AP135" i="3"/>
  <c r="AP134" i="3"/>
  <c r="AP133" i="3"/>
  <c r="AP132" i="3"/>
  <c r="AP131" i="3"/>
  <c r="AP128" i="3"/>
  <c r="AP127" i="3"/>
  <c r="AP126" i="3"/>
  <c r="AP125" i="3"/>
  <c r="AP121" i="3"/>
  <c r="AP120" i="3"/>
  <c r="AP119" i="3"/>
  <c r="AP117" i="3"/>
  <c r="AP116" i="3"/>
  <c r="AP113" i="3"/>
  <c r="AP112" i="3"/>
  <c r="AP111" i="3"/>
  <c r="AP110" i="3"/>
  <c r="AP109" i="3"/>
  <c r="AP108" i="3"/>
  <c r="AP107" i="3"/>
  <c r="AP106" i="3"/>
  <c r="AP104" i="3"/>
  <c r="AP103" i="3"/>
  <c r="AP102" i="3"/>
  <c r="AP101" i="3"/>
  <c r="AP100" i="3"/>
  <c r="AP99" i="3"/>
  <c r="AP98" i="3"/>
  <c r="AP97" i="3"/>
  <c r="AP96" i="3"/>
  <c r="AP95" i="3"/>
  <c r="AP94" i="3"/>
  <c r="AP91" i="3"/>
  <c r="AP89" i="3"/>
  <c r="AP86" i="3"/>
  <c r="AP85" i="3"/>
  <c r="AP83" i="3"/>
  <c r="AP81" i="3"/>
  <c r="AP80" i="3"/>
  <c r="AP79" i="3"/>
  <c r="AP78" i="3"/>
  <c r="AP77" i="3"/>
  <c r="AP76" i="3"/>
  <c r="AP75" i="3"/>
  <c r="AP74" i="3"/>
  <c r="AP73" i="3"/>
  <c r="AP72" i="3"/>
  <c r="AP71" i="3"/>
  <c r="AP70" i="3"/>
  <c r="AP69" i="3"/>
  <c r="AP68" i="3"/>
  <c r="AP67" i="3"/>
  <c r="AP66" i="3"/>
  <c r="AP65" i="3"/>
  <c r="AP64" i="3"/>
  <c r="AP61" i="3"/>
  <c r="AP58" i="3"/>
  <c r="AP57" i="3"/>
  <c r="AP56" i="3"/>
  <c r="AP54" i="3"/>
  <c r="AP53" i="3"/>
  <c r="AP52" i="3"/>
  <c r="AP50" i="3"/>
  <c r="AP49" i="3"/>
  <c r="AP48" i="3"/>
  <c r="AP47" i="3"/>
  <c r="AP46" i="3"/>
  <c r="AP45" i="3"/>
  <c r="AP43" i="3"/>
  <c r="AP42" i="3"/>
  <c r="AP41" i="3"/>
  <c r="AP40" i="3"/>
  <c r="AP39" i="3"/>
  <c r="AP38" i="3"/>
  <c r="AP37" i="3"/>
  <c r="AP36" i="3"/>
  <c r="AP35" i="3"/>
  <c r="AP34" i="3"/>
  <c r="AP31" i="3"/>
  <c r="AP30" i="3"/>
  <c r="AP29" i="3"/>
  <c r="AP26" i="3"/>
  <c r="AP25" i="3"/>
  <c r="AP24" i="3"/>
  <c r="AP23" i="3"/>
  <c r="AP22" i="3"/>
  <c r="AP21" i="3"/>
  <c r="AP20" i="3"/>
  <c r="AP19" i="3"/>
  <c r="AP18" i="3"/>
  <c r="AP17" i="3"/>
  <c r="AP16" i="3"/>
  <c r="AP15" i="3"/>
  <c r="AP14" i="3"/>
  <c r="AP12" i="3"/>
  <c r="AP11" i="3"/>
  <c r="AP10" i="3"/>
  <c r="AP9" i="3"/>
  <c r="C777" i="8"/>
  <c r="C776" i="8"/>
  <c r="C775" i="8"/>
  <c r="C774" i="8"/>
  <c r="C773" i="8"/>
  <c r="C772" i="8"/>
  <c r="C771" i="8"/>
  <c r="C770" i="8"/>
  <c r="C769" i="8"/>
  <c r="C768" i="8"/>
  <c r="C767" i="8"/>
  <c r="C766" i="8"/>
  <c r="C765" i="8"/>
  <c r="C764" i="8"/>
  <c r="C763" i="8"/>
  <c r="C762" i="8"/>
  <c r="C761" i="8"/>
  <c r="C760" i="8"/>
  <c r="C759" i="8"/>
  <c r="C758" i="8"/>
  <c r="C757" i="8"/>
  <c r="C756" i="8"/>
  <c r="C755" i="8"/>
  <c r="C754" i="8"/>
  <c r="C753" i="8"/>
  <c r="C752" i="8"/>
  <c r="C751" i="8"/>
  <c r="C750" i="8"/>
  <c r="C749" i="8"/>
  <c r="C748" i="8"/>
  <c r="C747" i="8"/>
  <c r="C746" i="8"/>
  <c r="C745" i="8"/>
  <c r="C744" i="8"/>
  <c r="C743" i="8"/>
  <c r="C742" i="8"/>
  <c r="C741" i="8"/>
  <c r="C740" i="8"/>
  <c r="C739" i="8"/>
  <c r="C738" i="8"/>
  <c r="C737" i="8"/>
  <c r="C736" i="8"/>
  <c r="C735" i="8"/>
  <c r="C734" i="8"/>
  <c r="C733" i="8"/>
  <c r="C732" i="8"/>
  <c r="C731" i="8"/>
  <c r="C730" i="8"/>
  <c r="C729" i="8"/>
  <c r="C728" i="8"/>
  <c r="C727" i="8"/>
  <c r="C726" i="8"/>
  <c r="C725" i="8"/>
  <c r="C724" i="8"/>
  <c r="C723" i="8"/>
  <c r="C722" i="8"/>
  <c r="C721" i="8"/>
  <c r="C720" i="8"/>
  <c r="C719" i="8"/>
  <c r="C718" i="8"/>
  <c r="C717" i="8"/>
  <c r="C716" i="8"/>
  <c r="C715" i="8"/>
  <c r="C714" i="8"/>
  <c r="C713" i="8"/>
  <c r="C712" i="8"/>
  <c r="C711" i="8"/>
  <c r="C710" i="8"/>
  <c r="C709" i="8"/>
  <c r="C708" i="8"/>
  <c r="C707" i="8"/>
  <c r="C706" i="8"/>
  <c r="C705" i="8"/>
  <c r="C704" i="8"/>
  <c r="C703" i="8"/>
  <c r="C702" i="8"/>
  <c r="C701" i="8"/>
  <c r="C700" i="8"/>
  <c r="C699" i="8"/>
  <c r="C698" i="8"/>
  <c r="C697" i="8"/>
  <c r="C696" i="8"/>
  <c r="C695" i="8"/>
  <c r="C694" i="8"/>
  <c r="C693" i="8"/>
  <c r="C692" i="8"/>
  <c r="C691" i="8"/>
  <c r="C690" i="8"/>
  <c r="C689" i="8"/>
  <c r="C688" i="8"/>
  <c r="C687" i="8"/>
  <c r="C686" i="8"/>
  <c r="C685" i="8"/>
  <c r="C684" i="8"/>
  <c r="C683" i="8"/>
  <c r="C682" i="8"/>
  <c r="C681" i="8"/>
  <c r="C680" i="8"/>
  <c r="C679" i="8"/>
  <c r="C678" i="8"/>
  <c r="C677" i="8"/>
  <c r="C676" i="8"/>
  <c r="C675" i="8"/>
  <c r="C674" i="8"/>
  <c r="C673" i="8"/>
  <c r="C672" i="8"/>
  <c r="C671" i="8"/>
  <c r="C670" i="8"/>
  <c r="C669" i="8"/>
  <c r="C668" i="8"/>
  <c r="C667" i="8"/>
  <c r="C666" i="8"/>
  <c r="C665" i="8"/>
  <c r="C664" i="8"/>
  <c r="C663" i="8"/>
  <c r="C662" i="8"/>
  <c r="C661" i="8"/>
  <c r="C660" i="8"/>
  <c r="C659" i="8"/>
  <c r="C658" i="8"/>
  <c r="C657" i="8"/>
  <c r="C656" i="8"/>
  <c r="C655" i="8"/>
  <c r="C654" i="8"/>
  <c r="C653" i="8"/>
  <c r="C652" i="8"/>
  <c r="C651" i="8"/>
  <c r="C650" i="8"/>
  <c r="C649" i="8"/>
  <c r="C648" i="8"/>
  <c r="C647" i="8"/>
  <c r="C646" i="8"/>
  <c r="C645" i="8"/>
  <c r="C644" i="8"/>
  <c r="C643" i="8"/>
  <c r="C642" i="8"/>
  <c r="C641" i="8"/>
  <c r="C640" i="8"/>
  <c r="C639" i="8"/>
  <c r="C638" i="8"/>
  <c r="C637" i="8"/>
  <c r="C636" i="8"/>
  <c r="C635" i="8"/>
  <c r="C634" i="8"/>
  <c r="C633" i="8"/>
  <c r="C632" i="8"/>
  <c r="C631" i="8"/>
  <c r="C630" i="8"/>
  <c r="C629" i="8"/>
  <c r="C628" i="8"/>
  <c r="C627" i="8"/>
  <c r="C626" i="8"/>
  <c r="C625" i="8"/>
  <c r="C624" i="8"/>
  <c r="C623" i="8"/>
  <c r="C622" i="8"/>
  <c r="C621" i="8"/>
  <c r="C620" i="8"/>
  <c r="C619" i="8"/>
  <c r="C618" i="8"/>
  <c r="C617" i="8"/>
  <c r="C616" i="8"/>
  <c r="C615" i="8"/>
  <c r="C614" i="8"/>
  <c r="C613" i="8"/>
  <c r="C612" i="8"/>
  <c r="C611" i="8"/>
  <c r="C610" i="8"/>
  <c r="C609" i="8"/>
  <c r="C608" i="8"/>
  <c r="C607" i="8"/>
  <c r="C606" i="8"/>
  <c r="C605" i="8"/>
  <c r="C604" i="8"/>
  <c r="C603" i="8"/>
  <c r="C602" i="8"/>
  <c r="C601" i="8"/>
  <c r="C600" i="8"/>
  <c r="C599" i="8"/>
  <c r="C598" i="8"/>
  <c r="C597" i="8"/>
  <c r="C596" i="8"/>
  <c r="C595" i="8"/>
  <c r="C594" i="8"/>
  <c r="C593" i="8"/>
  <c r="C592" i="8"/>
  <c r="C591" i="8"/>
  <c r="C590" i="8"/>
  <c r="C589" i="8"/>
  <c r="C588" i="8"/>
  <c r="C587" i="8"/>
  <c r="C586" i="8"/>
  <c r="C585" i="8"/>
  <c r="C584" i="8"/>
  <c r="C583" i="8"/>
  <c r="C582" i="8"/>
  <c r="C581" i="8"/>
  <c r="C580" i="8"/>
  <c r="C579" i="8"/>
  <c r="C578" i="8"/>
  <c r="C577" i="8"/>
  <c r="C576" i="8"/>
  <c r="C575" i="8"/>
  <c r="C574" i="8"/>
  <c r="C573" i="8"/>
  <c r="C572" i="8"/>
  <c r="C571" i="8"/>
  <c r="C570" i="8"/>
  <c r="C569" i="8"/>
  <c r="C568" i="8"/>
  <c r="C567" i="8"/>
  <c r="C566" i="8"/>
  <c r="C565" i="8"/>
  <c r="C564" i="8"/>
  <c r="C563" i="8"/>
  <c r="C562" i="8"/>
  <c r="C561" i="8"/>
  <c r="C560" i="8"/>
  <c r="C559" i="8"/>
  <c r="C558" i="8"/>
  <c r="C557" i="8"/>
  <c r="C556" i="8"/>
  <c r="C555" i="8"/>
  <c r="C554" i="8"/>
  <c r="C553" i="8"/>
  <c r="C552" i="8"/>
  <c r="C551" i="8"/>
  <c r="C550" i="8"/>
  <c r="C549" i="8"/>
  <c r="C548" i="8"/>
  <c r="C547" i="8"/>
  <c r="C546" i="8"/>
  <c r="C545" i="8"/>
  <c r="C544" i="8"/>
  <c r="C543" i="8"/>
  <c r="C542" i="8"/>
  <c r="C541" i="8"/>
  <c r="C540" i="8"/>
  <c r="C539" i="8"/>
  <c r="C538" i="8"/>
  <c r="C537" i="8"/>
  <c r="C536" i="8"/>
  <c r="C535" i="8"/>
  <c r="C534" i="8"/>
  <c r="C533" i="8"/>
  <c r="C532" i="8"/>
  <c r="C531" i="8"/>
  <c r="C530" i="8"/>
  <c r="C529" i="8"/>
  <c r="C528" i="8"/>
  <c r="C527" i="8"/>
  <c r="C526" i="8"/>
  <c r="C525" i="8"/>
  <c r="C524" i="8"/>
  <c r="C523" i="8"/>
  <c r="C522" i="8"/>
  <c r="C521" i="8"/>
  <c r="C520" i="8"/>
  <c r="C519" i="8"/>
  <c r="C518" i="8"/>
  <c r="C517" i="8"/>
  <c r="C516" i="8"/>
  <c r="C515" i="8"/>
  <c r="C514" i="8"/>
  <c r="C513" i="8"/>
  <c r="C512" i="8"/>
  <c r="C511" i="8"/>
  <c r="C510" i="8"/>
  <c r="C509" i="8"/>
  <c r="C508" i="8"/>
  <c r="C507" i="8"/>
  <c r="C506" i="8"/>
  <c r="C505" i="8"/>
  <c r="C504" i="8"/>
  <c r="C503" i="8"/>
  <c r="C502" i="8"/>
  <c r="C501" i="8"/>
  <c r="C500" i="8"/>
  <c r="C499" i="8"/>
  <c r="C498" i="8"/>
  <c r="C497" i="8"/>
  <c r="C496" i="8"/>
  <c r="C495" i="8"/>
  <c r="C494" i="8"/>
  <c r="C493" i="8"/>
  <c r="C492" i="8"/>
  <c r="C491" i="8"/>
  <c r="C490" i="8"/>
  <c r="C489" i="8"/>
  <c r="C488" i="8"/>
  <c r="C487" i="8"/>
  <c r="C486" i="8"/>
  <c r="C485" i="8"/>
  <c r="C484" i="8"/>
  <c r="C483" i="8"/>
  <c r="C482" i="8"/>
  <c r="C481" i="8"/>
  <c r="C480" i="8"/>
  <c r="C479" i="8"/>
  <c r="C478" i="8"/>
  <c r="C477" i="8"/>
  <c r="C476" i="8"/>
  <c r="C475" i="8"/>
  <c r="C474" i="8"/>
  <c r="C473" i="8"/>
  <c r="C472" i="8"/>
  <c r="C471" i="8"/>
  <c r="C470" i="8"/>
  <c r="C469" i="8"/>
  <c r="C468" i="8"/>
  <c r="C467" i="8"/>
  <c r="C466" i="8"/>
  <c r="C465" i="8"/>
  <c r="C464" i="8"/>
  <c r="C463" i="8"/>
  <c r="C462" i="8"/>
  <c r="C461" i="8"/>
  <c r="C460" i="8"/>
  <c r="C459" i="8"/>
  <c r="C458" i="8"/>
  <c r="C457" i="8"/>
  <c r="C456" i="8"/>
  <c r="C455" i="8"/>
  <c r="C454" i="8"/>
  <c r="C453" i="8"/>
  <c r="C452" i="8"/>
  <c r="C451" i="8"/>
  <c r="C450" i="8"/>
  <c r="C449" i="8"/>
  <c r="C448" i="8"/>
  <c r="C447" i="8"/>
  <c r="C446" i="8"/>
  <c r="C445" i="8"/>
  <c r="C444" i="8"/>
  <c r="C443" i="8"/>
  <c r="C442" i="8"/>
  <c r="C441" i="8"/>
  <c r="C440" i="8"/>
  <c r="C439" i="8"/>
  <c r="C438" i="8"/>
  <c r="C437" i="8"/>
  <c r="C436" i="8"/>
  <c r="C435" i="8"/>
  <c r="C434" i="8"/>
  <c r="C433" i="8"/>
  <c r="C432" i="8"/>
  <c r="C431" i="8"/>
  <c r="C430" i="8"/>
  <c r="C429" i="8"/>
  <c r="C428" i="8"/>
  <c r="C427" i="8"/>
  <c r="C426" i="8"/>
  <c r="C425" i="8"/>
  <c r="C424" i="8"/>
  <c r="C423" i="8"/>
  <c r="C422" i="8"/>
  <c r="C421" i="8"/>
  <c r="C420" i="8"/>
  <c r="C419" i="8"/>
  <c r="C418" i="8"/>
  <c r="C417" i="8"/>
  <c r="C416" i="8"/>
  <c r="C415" i="8"/>
  <c r="C414" i="8"/>
  <c r="C413" i="8"/>
  <c r="C412" i="8"/>
  <c r="C411" i="8"/>
  <c r="C410" i="8"/>
  <c r="C409" i="8"/>
  <c r="C408" i="8"/>
  <c r="C407" i="8"/>
  <c r="C406" i="8"/>
  <c r="C405" i="8"/>
  <c r="C404" i="8"/>
  <c r="C403" i="8"/>
  <c r="C402" i="8"/>
  <c r="C401" i="8"/>
  <c r="C400" i="8"/>
  <c r="C399" i="8"/>
  <c r="C398" i="8"/>
  <c r="C397" i="8"/>
  <c r="C396" i="8"/>
  <c r="C395" i="8"/>
  <c r="C394" i="8"/>
  <c r="C393" i="8"/>
  <c r="C392" i="8"/>
  <c r="C391" i="8"/>
  <c r="C390" i="8"/>
  <c r="C389" i="8"/>
  <c r="C388" i="8"/>
  <c r="C387" i="8"/>
  <c r="C386" i="8"/>
  <c r="C385" i="8"/>
  <c r="C384" i="8"/>
  <c r="C383" i="8"/>
  <c r="C382" i="8"/>
  <c r="C381" i="8"/>
  <c r="C380" i="8"/>
  <c r="C379" i="8"/>
  <c r="C378" i="8"/>
  <c r="C377" i="8"/>
  <c r="C376" i="8"/>
  <c r="C375" i="8"/>
  <c r="C374" i="8"/>
  <c r="C373" i="8"/>
  <c r="C372" i="8"/>
  <c r="C371" i="8"/>
  <c r="C370" i="8"/>
  <c r="C369" i="8"/>
  <c r="C368" i="8"/>
  <c r="C367" i="8"/>
  <c r="C366" i="8"/>
  <c r="C365" i="8"/>
  <c r="C364" i="8"/>
  <c r="C363" i="8"/>
  <c r="C362" i="8"/>
  <c r="C361" i="8"/>
  <c r="C360" i="8"/>
  <c r="C359" i="8"/>
  <c r="C358" i="8"/>
  <c r="C357" i="8"/>
  <c r="C356" i="8"/>
  <c r="C355" i="8"/>
  <c r="C354" i="8"/>
  <c r="C353" i="8"/>
  <c r="C352" i="8"/>
  <c r="C351" i="8"/>
  <c r="C350" i="8"/>
  <c r="C349" i="8"/>
  <c r="C348" i="8"/>
  <c r="C347" i="8"/>
  <c r="C346" i="8"/>
  <c r="C345" i="8"/>
  <c r="C344" i="8"/>
  <c r="C343" i="8"/>
  <c r="C342" i="8"/>
  <c r="C341" i="8"/>
  <c r="C340" i="8"/>
  <c r="C339" i="8"/>
  <c r="C338" i="8"/>
  <c r="C337" i="8"/>
  <c r="C336" i="8"/>
  <c r="C335" i="8"/>
  <c r="C334" i="8"/>
  <c r="C333" i="8"/>
  <c r="C332" i="8"/>
  <c r="C331" i="8"/>
  <c r="C330" i="8"/>
  <c r="C329" i="8"/>
  <c r="C328" i="8"/>
  <c r="C327" i="8"/>
  <c r="C326" i="8"/>
  <c r="C325" i="8"/>
  <c r="C324" i="8"/>
  <c r="C323" i="8"/>
  <c r="C322" i="8"/>
  <c r="C321" i="8"/>
  <c r="C320" i="8"/>
  <c r="C319" i="8"/>
  <c r="C318" i="8"/>
  <c r="C317" i="8"/>
  <c r="C316" i="8"/>
  <c r="C315" i="8"/>
  <c r="C314" i="8"/>
  <c r="C313" i="8"/>
  <c r="C312" i="8"/>
  <c r="C311" i="8"/>
  <c r="C310" i="8"/>
  <c r="C309" i="8"/>
  <c r="C308" i="8"/>
  <c r="C307" i="8"/>
  <c r="C306" i="8"/>
  <c r="C305" i="8"/>
  <c r="C304" i="8"/>
  <c r="C303" i="8"/>
  <c r="C302" i="8"/>
  <c r="C301" i="8"/>
  <c r="C300" i="8"/>
  <c r="C299" i="8"/>
  <c r="C298" i="8"/>
  <c r="C297" i="8"/>
  <c r="C296" i="8"/>
  <c r="C295" i="8"/>
  <c r="C294" i="8"/>
  <c r="C293" i="8"/>
  <c r="C292" i="8"/>
  <c r="C291" i="8"/>
  <c r="C290" i="8"/>
  <c r="C289" i="8"/>
  <c r="C288" i="8"/>
  <c r="C287" i="8"/>
  <c r="C286" i="8"/>
  <c r="C285" i="8"/>
  <c r="C284" i="8"/>
  <c r="C283" i="8"/>
  <c r="C282" i="8"/>
  <c r="C281" i="8"/>
  <c r="C280" i="8"/>
  <c r="C279" i="8"/>
  <c r="C278" i="8"/>
  <c r="C277" i="8"/>
  <c r="C276" i="8"/>
  <c r="C275" i="8"/>
  <c r="C274" i="8"/>
  <c r="C273" i="8"/>
  <c r="C272" i="8"/>
  <c r="C271" i="8"/>
  <c r="C270" i="8"/>
  <c r="C269" i="8"/>
  <c r="C268" i="8"/>
  <c r="C267" i="8"/>
  <c r="C266" i="8"/>
  <c r="C265" i="8"/>
  <c r="C264" i="8"/>
  <c r="C263" i="8"/>
  <c r="C262" i="8"/>
  <c r="C261" i="8"/>
  <c r="C260" i="8"/>
  <c r="C259" i="8"/>
  <c r="C258" i="8"/>
  <c r="C257" i="8"/>
  <c r="C256" i="8"/>
  <c r="C255" i="8"/>
  <c r="C254" i="8"/>
  <c r="C253" i="8"/>
  <c r="C252" i="8"/>
  <c r="C251" i="8"/>
  <c r="C250" i="8"/>
  <c r="C249" i="8"/>
  <c r="C248" i="8"/>
  <c r="C247" i="8"/>
  <c r="C246" i="8"/>
  <c r="C245" i="8"/>
  <c r="C244" i="8"/>
  <c r="C243" i="8"/>
  <c r="C242" i="8"/>
  <c r="C241" i="8"/>
  <c r="C240" i="8"/>
  <c r="C239" i="8"/>
  <c r="C238" i="8"/>
  <c r="C237" i="8"/>
  <c r="C236" i="8"/>
  <c r="C235" i="8"/>
  <c r="C234" i="8"/>
  <c r="C233" i="8"/>
  <c r="C232" i="8"/>
  <c r="C231" i="8"/>
  <c r="C230" i="8"/>
  <c r="C229" i="8"/>
  <c r="C228" i="8"/>
  <c r="C227" i="8"/>
  <c r="C226" i="8"/>
  <c r="C225" i="8"/>
  <c r="C224" i="8"/>
  <c r="C223" i="8"/>
  <c r="C222" i="8"/>
  <c r="C221" i="8"/>
  <c r="C220" i="8"/>
  <c r="C219" i="8"/>
  <c r="C218" i="8"/>
  <c r="C217" i="8"/>
  <c r="C216" i="8"/>
  <c r="C215" i="8"/>
  <c r="C214" i="8"/>
  <c r="C213" i="8"/>
  <c r="C212" i="8"/>
  <c r="C211" i="8"/>
  <c r="C210" i="8"/>
  <c r="C209" i="8"/>
  <c r="C208" i="8"/>
  <c r="C207" i="8"/>
  <c r="C206" i="8"/>
  <c r="C205" i="8"/>
  <c r="C204" i="8"/>
  <c r="C203" i="8"/>
  <c r="C202" i="8"/>
  <c r="C201" i="8"/>
  <c r="C200" i="8"/>
  <c r="C199" i="8"/>
  <c r="C198" i="8"/>
  <c r="C197" i="8"/>
  <c r="C196" i="8"/>
  <c r="C195" i="8"/>
  <c r="C194" i="8"/>
  <c r="C193" i="8"/>
  <c r="C192" i="8"/>
  <c r="C191" i="8"/>
  <c r="C190" i="8"/>
  <c r="C189" i="8"/>
  <c r="C188" i="8"/>
  <c r="C187" i="8"/>
  <c r="C186" i="8"/>
  <c r="C185" i="8"/>
  <c r="C184" i="8"/>
  <c r="C183" i="8"/>
  <c r="C182" i="8"/>
  <c r="C181" i="8"/>
  <c r="C180" i="8"/>
  <c r="C179" i="8"/>
  <c r="C178" i="8"/>
  <c r="C177" i="8"/>
  <c r="C176" i="8"/>
  <c r="C175" i="8"/>
  <c r="C174" i="8"/>
  <c r="C173" i="8"/>
  <c r="C172" i="8"/>
  <c r="C171" i="8"/>
  <c r="C170" i="8"/>
  <c r="C169" i="8"/>
  <c r="C168" i="8"/>
  <c r="C167" i="8"/>
  <c r="C166" i="8"/>
  <c r="C165" i="8"/>
  <c r="C164" i="8"/>
  <c r="C163" i="8"/>
  <c r="C162" i="8"/>
  <c r="C161" i="8"/>
  <c r="C160" i="8"/>
  <c r="C159" i="8"/>
  <c r="C158" i="8"/>
  <c r="C157" i="8"/>
  <c r="C156" i="8"/>
  <c r="C155" i="8"/>
  <c r="C154" i="8"/>
  <c r="C153" i="8"/>
  <c r="C152" i="8"/>
  <c r="C151" i="8"/>
  <c r="C150" i="8"/>
  <c r="C149" i="8"/>
  <c r="C148" i="8"/>
  <c r="C147" i="8"/>
  <c r="C146" i="8"/>
  <c r="C145" i="8"/>
  <c r="C144" i="8"/>
  <c r="C143" i="8"/>
  <c r="C142" i="8"/>
  <c r="C141" i="8"/>
  <c r="C140" i="8"/>
  <c r="C139" i="8"/>
  <c r="C138" i="8"/>
  <c r="C137" i="8"/>
  <c r="C136" i="8"/>
  <c r="C135" i="8"/>
  <c r="C134" i="8"/>
  <c r="C133" i="8"/>
  <c r="C132" i="8"/>
  <c r="C131" i="8"/>
  <c r="C130" i="8"/>
  <c r="C129" i="8"/>
  <c r="C128" i="8"/>
  <c r="C127" i="8"/>
  <c r="C126" i="8"/>
  <c r="C125" i="8"/>
  <c r="C124" i="8"/>
  <c r="C123" i="8"/>
  <c r="C122" i="8"/>
  <c r="C121" i="8"/>
  <c r="C120" i="8"/>
  <c r="C119" i="8"/>
  <c r="C118" i="8"/>
  <c r="C117" i="8"/>
  <c r="C116" i="8"/>
  <c r="C115" i="8"/>
  <c r="C114" i="8"/>
  <c r="C113" i="8"/>
  <c r="C112" i="8"/>
  <c r="C111" i="8"/>
  <c r="C110" i="8"/>
  <c r="C109" i="8"/>
  <c r="C108" i="8"/>
  <c r="C107" i="8"/>
  <c r="C106" i="8"/>
  <c r="C105" i="8"/>
  <c r="C104" i="8"/>
  <c r="C103" i="8"/>
  <c r="C102" i="8"/>
  <c r="C101" i="8"/>
  <c r="C100" i="8"/>
  <c r="C99" i="8"/>
  <c r="C98" i="8"/>
  <c r="C97" i="8"/>
  <c r="C96" i="8"/>
  <c r="C95" i="8"/>
  <c r="C94" i="8"/>
  <c r="C93" i="8"/>
  <c r="C92" i="8"/>
  <c r="C91" i="8"/>
  <c r="C90" i="8"/>
  <c r="C89" i="8"/>
  <c r="C88" i="8"/>
  <c r="C87" i="8"/>
  <c r="C86" i="8"/>
  <c r="C85" i="8"/>
  <c r="C84" i="8"/>
  <c r="C83" i="8"/>
  <c r="C82" i="8"/>
  <c r="C81" i="8"/>
  <c r="C80" i="8"/>
  <c r="C79" i="8"/>
  <c r="C78" i="8"/>
  <c r="C77" i="8"/>
  <c r="C76" i="8"/>
  <c r="C75" i="8"/>
  <c r="C74" i="8"/>
  <c r="C73" i="8"/>
  <c r="C72" i="8"/>
  <c r="C71" i="8"/>
  <c r="C70" i="8"/>
  <c r="C69" i="8"/>
  <c r="C68" i="8"/>
  <c r="C67" i="8"/>
  <c r="C66" i="8"/>
  <c r="C65" i="8"/>
  <c r="C64" i="8"/>
  <c r="C63" i="8"/>
  <c r="C62" i="8"/>
  <c r="C61" i="8"/>
  <c r="C60" i="8"/>
  <c r="C59" i="8"/>
  <c r="C58" i="8"/>
  <c r="C57" i="8"/>
  <c r="C56" i="8"/>
  <c r="C55" i="8"/>
  <c r="C54" i="8"/>
  <c r="C53" i="8"/>
  <c r="C52" i="8"/>
  <c r="C51" i="8"/>
  <c r="C50" i="8"/>
  <c r="C49" i="8"/>
  <c r="C48" i="8"/>
  <c r="C47" i="8"/>
  <c r="C46" i="8"/>
  <c r="C45" i="8"/>
  <c r="C44" i="8"/>
  <c r="C43" i="8"/>
  <c r="C42" i="8"/>
  <c r="C41" i="8"/>
  <c r="C40" i="8"/>
  <c r="C39" i="8"/>
  <c r="C38" i="8"/>
  <c r="C37" i="8"/>
  <c r="C36" i="8"/>
  <c r="C35" i="8"/>
  <c r="C34" i="8"/>
  <c r="C33" i="8"/>
  <c r="C32" i="8"/>
  <c r="C31" i="8"/>
  <c r="C30" i="8"/>
  <c r="C29" i="8"/>
  <c r="C28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3" i="8"/>
  <c r="C12" i="8"/>
  <c r="C11" i="8"/>
  <c r="C10" i="8"/>
  <c r="C9" i="8"/>
  <c r="C8" i="8"/>
  <c r="J7" i="8"/>
  <c r="C7" i="8"/>
  <c r="J6" i="8"/>
  <c r="C6" i="8"/>
  <c r="C5" i="8"/>
  <c r="C4" i="8"/>
  <c r="H33" i="7"/>
  <c r="H52" i="7"/>
  <c r="H23" i="7"/>
  <c r="F33" i="7"/>
  <c r="F52" i="7"/>
  <c r="T64" i="7"/>
  <c r="AF64" i="7"/>
  <c r="AD64" i="7"/>
  <c r="P64" i="7"/>
  <c r="N64" i="7"/>
  <c r="V4" i="20"/>
  <c r="FE102" i="3"/>
  <c r="EE102" i="3"/>
  <c r="BL10" i="3"/>
  <c r="BL12" i="3"/>
  <c r="BL11" i="3"/>
  <c r="BL16" i="3"/>
  <c r="BL15" i="3"/>
  <c r="BM15" i="3"/>
  <c r="BL14" i="3"/>
  <c r="BL13" i="3"/>
  <c r="BM13" i="3"/>
  <c r="BL25" i="3"/>
  <c r="BL24" i="3"/>
  <c r="BM24" i="3"/>
  <c r="BL23" i="3"/>
  <c r="BM23" i="3"/>
  <c r="BL22" i="3"/>
  <c r="BM22" i="3"/>
  <c r="BL21" i="3"/>
  <c r="BL20" i="3"/>
  <c r="BL19" i="3"/>
  <c r="BL18" i="3"/>
  <c r="BL17" i="3"/>
  <c r="BM17" i="3"/>
  <c r="BL26" i="3"/>
  <c r="BM26" i="3"/>
  <c r="BL27" i="3"/>
  <c r="BM27" i="3"/>
  <c r="BL28" i="3"/>
  <c r="BM28" i="3"/>
  <c r="BL29" i="3"/>
  <c r="BM29" i="3"/>
  <c r="BL30" i="3"/>
  <c r="BL31" i="3"/>
  <c r="BL32" i="3"/>
  <c r="BM32" i="3"/>
  <c r="BL33" i="3"/>
  <c r="BM33" i="3"/>
  <c r="BL35" i="3"/>
  <c r="BL36" i="3"/>
  <c r="BL37" i="3"/>
  <c r="BL38" i="3"/>
  <c r="BL39" i="3"/>
  <c r="BL40" i="3"/>
  <c r="BM40" i="3"/>
  <c r="BL41" i="3"/>
  <c r="BL42" i="3"/>
  <c r="BL43" i="3"/>
  <c r="BL44" i="3"/>
  <c r="BL45" i="3"/>
  <c r="BL47" i="3"/>
  <c r="BL49" i="3"/>
  <c r="BL50" i="3"/>
  <c r="BM50" i="3"/>
  <c r="BL52" i="3"/>
  <c r="BL53" i="3"/>
  <c r="BL54" i="3"/>
  <c r="BL55" i="3"/>
  <c r="BL56" i="3"/>
  <c r="BL57" i="3"/>
  <c r="BL58" i="3"/>
  <c r="BL59" i="3"/>
  <c r="BL60" i="3"/>
  <c r="BL62" i="3"/>
  <c r="BL63" i="3"/>
  <c r="BL64" i="3"/>
  <c r="BL65" i="3"/>
  <c r="BL66" i="3"/>
  <c r="BL67" i="3"/>
  <c r="BL68" i="3"/>
  <c r="BL69" i="3"/>
  <c r="BL70" i="3"/>
  <c r="BL71" i="3"/>
  <c r="BL72" i="3"/>
  <c r="BL73" i="3"/>
  <c r="BL74" i="3"/>
  <c r="BL75" i="3"/>
  <c r="BL76" i="3"/>
  <c r="BM76" i="3"/>
  <c r="BL77" i="3"/>
  <c r="BL78" i="3"/>
  <c r="BL79" i="3"/>
  <c r="BL80" i="3"/>
  <c r="BL81" i="3"/>
  <c r="BM81" i="3"/>
  <c r="BL82" i="3"/>
  <c r="BM82" i="3"/>
  <c r="BL83" i="3"/>
  <c r="BL84" i="3"/>
  <c r="BL85" i="3"/>
  <c r="BL86" i="3"/>
  <c r="BM86" i="3"/>
  <c r="BL87" i="3"/>
  <c r="BL88" i="3"/>
  <c r="BM88" i="3"/>
  <c r="BL89" i="3"/>
  <c r="BL90" i="3"/>
  <c r="BM90" i="3"/>
  <c r="BL91" i="3"/>
  <c r="BL92" i="3"/>
  <c r="BL93" i="3"/>
  <c r="BL95" i="3"/>
  <c r="BM95" i="3"/>
  <c r="BL96" i="3"/>
  <c r="BM96" i="3"/>
  <c r="BL97" i="3"/>
  <c r="BL98" i="3"/>
  <c r="BL99" i="3"/>
  <c r="BL100" i="3"/>
  <c r="BL101" i="3"/>
  <c r="BM101" i="3"/>
  <c r="BL105" i="3"/>
  <c r="BM105" i="3"/>
  <c r="BL106" i="3"/>
  <c r="BL107" i="3"/>
  <c r="BL108" i="3"/>
  <c r="BL109" i="3"/>
  <c r="BL110" i="3"/>
  <c r="BL111" i="3"/>
  <c r="BM111" i="3"/>
  <c r="BL113" i="3"/>
  <c r="BL114" i="3"/>
  <c r="BL115" i="3"/>
  <c r="BL116" i="3"/>
  <c r="BL117" i="3"/>
  <c r="BL118" i="3"/>
  <c r="BM118" i="3"/>
  <c r="BL119" i="3"/>
  <c r="BL120" i="3"/>
  <c r="BL121" i="3"/>
  <c r="BL122" i="3"/>
  <c r="BL123" i="3"/>
  <c r="BL124" i="3"/>
  <c r="BL125" i="3"/>
  <c r="BL126" i="3"/>
  <c r="BL127" i="3"/>
  <c r="BL128" i="3"/>
  <c r="BL129" i="3"/>
  <c r="BL130" i="3"/>
  <c r="BM130" i="3"/>
  <c r="BL131" i="3"/>
  <c r="BL132" i="3"/>
  <c r="BM132" i="3"/>
  <c r="BL133" i="3"/>
  <c r="BL134" i="3"/>
  <c r="BM134" i="3"/>
  <c r="BL135" i="3"/>
  <c r="BL136" i="3"/>
  <c r="BL137" i="3"/>
  <c r="BL138" i="3"/>
  <c r="BL139" i="3"/>
  <c r="BL140" i="3"/>
  <c r="BL141" i="3"/>
  <c r="BM141" i="3"/>
  <c r="BL142" i="3"/>
  <c r="BM142" i="3"/>
  <c r="BL143" i="3"/>
  <c r="BL144" i="3"/>
  <c r="BL145" i="3"/>
  <c r="BL146" i="3"/>
  <c r="BL147" i="3"/>
  <c r="BL148" i="3"/>
  <c r="BM148" i="3"/>
  <c r="BL149" i="3"/>
  <c r="BL150" i="3"/>
  <c r="BL151" i="3"/>
  <c r="BM151" i="3"/>
  <c r="BL152" i="3"/>
  <c r="BL153" i="3"/>
  <c r="BM153" i="3"/>
  <c r="BL154" i="3"/>
  <c r="BM154" i="3"/>
  <c r="BL112" i="3"/>
  <c r="BL104" i="3"/>
  <c r="BL103" i="3"/>
  <c r="BL94" i="3"/>
  <c r="BL61" i="3"/>
  <c r="BL51" i="3"/>
  <c r="BL48" i="3"/>
  <c r="BL46" i="3"/>
  <c r="BL34" i="3"/>
  <c r="BL9" i="3"/>
  <c r="BM9" i="3"/>
  <c r="AD65" i="4"/>
  <c r="AD66" i="4"/>
  <c r="AD60" i="4"/>
  <c r="AD61" i="4"/>
  <c r="AD53" i="4"/>
  <c r="AD47" i="4"/>
  <c r="AD74" i="4"/>
  <c r="AD78" i="4"/>
  <c r="AD79" i="4"/>
  <c r="AD80" i="4"/>
  <c r="Q9" i="3" a="1"/>
  <c r="Q9" i="3"/>
  <c r="N9" i="3"/>
  <c r="I4" i="8"/>
  <c r="I5" i="8"/>
  <c r="I6" i="8"/>
  <c r="I7" i="8"/>
  <c r="I8" i="8"/>
  <c r="Q10" i="3" a="1"/>
  <c r="Q10" i="3"/>
  <c r="N10" i="3"/>
  <c r="I9" i="8"/>
  <c r="I10" i="8"/>
  <c r="I11" i="8"/>
  <c r="Q11" i="3" a="1"/>
  <c r="Q11" i="3"/>
  <c r="N11" i="3"/>
  <c r="I12" i="8"/>
  <c r="I13" i="8"/>
  <c r="I14" i="8"/>
  <c r="I15" i="8"/>
  <c r="I16" i="8"/>
  <c r="I17" i="8"/>
  <c r="Q12" i="3" a="1"/>
  <c r="Q12" i="3"/>
  <c r="N12" i="3"/>
  <c r="I21" i="8"/>
  <c r="I22" i="8"/>
  <c r="I23" i="8"/>
  <c r="I24" i="8"/>
  <c r="I25" i="8"/>
  <c r="I26" i="8"/>
  <c r="Q13" i="3" a="1"/>
  <c r="Q13" i="3"/>
  <c r="N13" i="3"/>
  <c r="I28" i="8"/>
  <c r="I29" i="8"/>
  <c r="I30" i="8"/>
  <c r="I31" i="8"/>
  <c r="I32" i="8"/>
  <c r="I33" i="8"/>
  <c r="I34" i="8"/>
  <c r="I35" i="8"/>
  <c r="I36" i="8"/>
  <c r="I37" i="8"/>
  <c r="Q14" i="3" a="1"/>
  <c r="Q14" i="3"/>
  <c r="N14" i="3"/>
  <c r="I40" i="8"/>
  <c r="I41" i="8"/>
  <c r="I42" i="8"/>
  <c r="I43" i="8"/>
  <c r="I44" i="8"/>
  <c r="I45" i="8"/>
  <c r="I46" i="8"/>
  <c r="I47" i="8"/>
  <c r="I48" i="8"/>
  <c r="I49" i="8"/>
  <c r="I50" i="8"/>
  <c r="Q15" i="3" a="1"/>
  <c r="Q15" i="3"/>
  <c r="N15" i="3"/>
  <c r="I51" i="8"/>
  <c r="I52" i="8"/>
  <c r="I53" i="8"/>
  <c r="I54" i="8"/>
  <c r="Q16" i="3" a="1"/>
  <c r="Q16" i="3"/>
  <c r="N16" i="3"/>
  <c r="I57" i="8"/>
  <c r="I58" i="8"/>
  <c r="I59" i="8"/>
  <c r="I60" i="8"/>
  <c r="I61" i="8"/>
  <c r="I62" i="8"/>
  <c r="I63" i="8"/>
  <c r="Q17" i="3" a="1"/>
  <c r="Q17" i="3"/>
  <c r="N17" i="3"/>
  <c r="I69" i="8"/>
  <c r="I70" i="8"/>
  <c r="I71" i="8"/>
  <c r="I72" i="8"/>
  <c r="I73" i="8"/>
  <c r="Q18" i="3" a="1"/>
  <c r="Q18" i="3"/>
  <c r="N18" i="3"/>
  <c r="I76" i="8"/>
  <c r="I77" i="8"/>
  <c r="Q19" i="3" a="1"/>
  <c r="Q19" i="3"/>
  <c r="N19" i="3"/>
  <c r="I81" i="8"/>
  <c r="I82" i="8"/>
  <c r="Q20" i="3" a="1"/>
  <c r="Q20" i="3"/>
  <c r="N20" i="3"/>
  <c r="I83" i="8"/>
  <c r="I84" i="8"/>
  <c r="Q21" i="3" a="1"/>
  <c r="Q21" i="3"/>
  <c r="N21" i="3"/>
  <c r="I85" i="8"/>
  <c r="I86" i="8"/>
  <c r="I87" i="8"/>
  <c r="I88" i="8"/>
  <c r="Q22" i="3" a="1"/>
  <c r="Q22" i="3"/>
  <c r="N22" i="3"/>
  <c r="I95" i="8"/>
  <c r="I96" i="8"/>
  <c r="I97" i="8"/>
  <c r="I98" i="8"/>
  <c r="I99" i="8"/>
  <c r="I100" i="8"/>
  <c r="I101" i="8"/>
  <c r="Q23" i="3" a="1"/>
  <c r="Q23" i="3"/>
  <c r="N23" i="3"/>
  <c r="I102" i="8"/>
  <c r="I103" i="8"/>
  <c r="I104" i="8"/>
  <c r="I105" i="8"/>
  <c r="Q24" i="3" a="1"/>
  <c r="Q24" i="3"/>
  <c r="N24" i="3"/>
  <c r="I106" i="8"/>
  <c r="I107" i="8"/>
  <c r="Q25" i="3" a="1"/>
  <c r="Q25" i="3"/>
  <c r="N25" i="3"/>
  <c r="I109" i="8"/>
  <c r="I110" i="8"/>
  <c r="I111" i="8"/>
  <c r="I112" i="8"/>
  <c r="I113" i="8"/>
  <c r="I114" i="8"/>
  <c r="I115" i="8"/>
  <c r="I116" i="8"/>
  <c r="I117" i="8"/>
  <c r="I118" i="8"/>
  <c r="I119" i="8"/>
  <c r="I120" i="8"/>
  <c r="I121" i="8"/>
  <c r="Q26" i="3" a="1"/>
  <c r="Q26" i="3"/>
  <c r="N26" i="3"/>
  <c r="I124" i="8"/>
  <c r="I125" i="8"/>
  <c r="Q27" i="3" a="1"/>
  <c r="Q27" i="3"/>
  <c r="N27" i="3"/>
  <c r="I129" i="8"/>
  <c r="I130" i="8"/>
  <c r="Q28" i="3" a="1"/>
  <c r="Q28" i="3"/>
  <c r="N28" i="3"/>
  <c r="I131" i="8"/>
  <c r="I132" i="8"/>
  <c r="I133" i="8"/>
  <c r="Q29" i="3" a="1"/>
  <c r="Q29" i="3"/>
  <c r="N29" i="3"/>
  <c r="I134" i="8"/>
  <c r="I135" i="8"/>
  <c r="I136" i="8"/>
  <c r="Q30" i="3" a="1"/>
  <c r="Q30" i="3"/>
  <c r="N30" i="3"/>
  <c r="I137" i="8"/>
  <c r="I138" i="8"/>
  <c r="I139" i="8"/>
  <c r="I140" i="8"/>
  <c r="I141" i="8"/>
  <c r="Q31" i="3" a="1"/>
  <c r="Q31" i="3"/>
  <c r="N31" i="3"/>
  <c r="I142" i="8"/>
  <c r="I143" i="8"/>
  <c r="I144" i="8"/>
  <c r="I145" i="8"/>
  <c r="I146" i="8"/>
  <c r="I147" i="8"/>
  <c r="I148" i="8"/>
  <c r="I149" i="8"/>
  <c r="Q32" i="3" a="1"/>
  <c r="Q32" i="3"/>
  <c r="N32" i="3"/>
  <c r="I153" i="8"/>
  <c r="I154" i="8"/>
  <c r="I155" i="8"/>
  <c r="I156" i="8"/>
  <c r="Q33" i="3" a="1"/>
  <c r="Q33" i="3"/>
  <c r="N33" i="3"/>
  <c r="I157" i="8"/>
  <c r="I158" i="8"/>
  <c r="I159" i="8"/>
  <c r="I160" i="8"/>
  <c r="Q34" i="3" a="1"/>
  <c r="Q34" i="3"/>
  <c r="N34" i="3"/>
  <c r="I161" i="8"/>
  <c r="I162" i="8"/>
  <c r="I163" i="8"/>
  <c r="I164" i="8"/>
  <c r="I165" i="8"/>
  <c r="I166" i="8"/>
  <c r="I167" i="8"/>
  <c r="I168" i="8"/>
  <c r="I169" i="8"/>
  <c r="I170" i="8"/>
  <c r="I171" i="8"/>
  <c r="Q35" i="3" a="1"/>
  <c r="Q35" i="3"/>
  <c r="N35" i="3"/>
  <c r="I172" i="8"/>
  <c r="I173" i="8"/>
  <c r="I174" i="8"/>
  <c r="I175" i="8"/>
  <c r="I176" i="8"/>
  <c r="I177" i="8"/>
  <c r="I178" i="8"/>
  <c r="I179" i="8"/>
  <c r="I180" i="8"/>
  <c r="Q36" i="3" a="1"/>
  <c r="Q36" i="3"/>
  <c r="N36" i="3"/>
  <c r="I183" i="8"/>
  <c r="I184" i="8"/>
  <c r="I185" i="8"/>
  <c r="I186" i="8"/>
  <c r="I187" i="8"/>
  <c r="I188" i="8"/>
  <c r="I189" i="8"/>
  <c r="Q37" i="3" a="1"/>
  <c r="Q37" i="3"/>
  <c r="N37" i="3"/>
  <c r="I192" i="8"/>
  <c r="I193" i="8"/>
  <c r="I194" i="8"/>
  <c r="I195" i="8"/>
  <c r="I196" i="8"/>
  <c r="I197" i="8"/>
  <c r="I198" i="8"/>
  <c r="Q39" i="3" a="1"/>
  <c r="Q39" i="3"/>
  <c r="N39" i="3"/>
  <c r="I200" i="8"/>
  <c r="I201" i="8"/>
  <c r="I202" i="8"/>
  <c r="I203" i="8"/>
  <c r="I204" i="8"/>
  <c r="Q40" i="3" a="1"/>
  <c r="Q40" i="3"/>
  <c r="N40" i="3"/>
  <c r="I205" i="8"/>
  <c r="I206" i="8"/>
  <c r="I207" i="8"/>
  <c r="I208" i="8"/>
  <c r="Q41" i="3" a="1"/>
  <c r="Q41" i="3"/>
  <c r="N41" i="3"/>
  <c r="I213" i="8"/>
  <c r="I214" i="8"/>
  <c r="I215" i="8"/>
  <c r="I216" i="8"/>
  <c r="Q42" i="3" a="1"/>
  <c r="Q42" i="3"/>
  <c r="N42" i="3"/>
  <c r="I217" i="8"/>
  <c r="I218" i="8"/>
  <c r="Q43" i="3" a="1"/>
  <c r="Q43" i="3"/>
  <c r="N43" i="3"/>
  <c r="I221" i="8"/>
  <c r="I222" i="8"/>
  <c r="Q44" i="3" a="1"/>
  <c r="Q44" i="3"/>
  <c r="N44" i="3"/>
  <c r="I223" i="8"/>
  <c r="I224" i="8"/>
  <c r="Q45" i="3" a="1"/>
  <c r="Q45" i="3"/>
  <c r="N45" i="3"/>
  <c r="I227" i="8"/>
  <c r="I228" i="8"/>
  <c r="I229" i="8"/>
  <c r="Q46" i="3" a="1"/>
  <c r="Q46" i="3"/>
  <c r="N46" i="3"/>
  <c r="I230" i="8"/>
  <c r="I231" i="8"/>
  <c r="I232" i="8"/>
  <c r="I233" i="8"/>
  <c r="I234" i="8"/>
  <c r="I235" i="8"/>
  <c r="Q47" i="3" a="1"/>
  <c r="Q47" i="3"/>
  <c r="N47" i="3"/>
  <c r="I236" i="8"/>
  <c r="I237" i="8"/>
  <c r="I238" i="8"/>
  <c r="I239" i="8"/>
  <c r="I240" i="8"/>
  <c r="Q48" i="3" a="1"/>
  <c r="Q48" i="3"/>
  <c r="N48" i="3"/>
  <c r="I241" i="8"/>
  <c r="I242" i="8"/>
  <c r="Q49" i="3" a="1"/>
  <c r="Q49" i="3"/>
  <c r="N49" i="3"/>
  <c r="I246" i="8"/>
  <c r="I247" i="8"/>
  <c r="I248" i="8"/>
  <c r="I249" i="8"/>
  <c r="Q50" i="3" a="1"/>
  <c r="Q50" i="3"/>
  <c r="N50" i="3"/>
  <c r="I251" i="8"/>
  <c r="I252" i="8"/>
  <c r="I253" i="8"/>
  <c r="I254" i="8"/>
  <c r="Q51" i="3" a="1"/>
  <c r="Q51" i="3"/>
  <c r="N51" i="3"/>
  <c r="I258" i="8"/>
  <c r="I259" i="8"/>
  <c r="I260" i="8"/>
  <c r="Q52" i="3" a="1"/>
  <c r="Q52" i="3"/>
  <c r="N52" i="3"/>
  <c r="I261" i="8"/>
  <c r="I262" i="8"/>
  <c r="Q53" i="3" a="1"/>
  <c r="Q53" i="3"/>
  <c r="N53" i="3"/>
  <c r="I263" i="8"/>
  <c r="I264" i="8"/>
  <c r="I265" i="8"/>
  <c r="I266" i="8"/>
  <c r="I267" i="8"/>
  <c r="Q54" i="3" a="1"/>
  <c r="Q54" i="3"/>
  <c r="N54" i="3"/>
  <c r="I274" i="8"/>
  <c r="I275" i="8"/>
  <c r="I276" i="8"/>
  <c r="Q56" i="3" a="1"/>
  <c r="Q56" i="3"/>
  <c r="N56" i="3"/>
  <c r="I278" i="8"/>
  <c r="I279" i="8"/>
  <c r="I280" i="8"/>
  <c r="Q57" i="3" a="1"/>
  <c r="Q57" i="3"/>
  <c r="N57" i="3"/>
  <c r="I281" i="8"/>
  <c r="I282" i="8"/>
  <c r="I283" i="8"/>
  <c r="I284" i="8"/>
  <c r="Q58" i="3" a="1"/>
  <c r="Q58" i="3"/>
  <c r="N58" i="3"/>
  <c r="I285" i="8"/>
  <c r="I286" i="8"/>
  <c r="I287" i="8"/>
  <c r="I288" i="8"/>
  <c r="Q59" i="3" a="1"/>
  <c r="Q59" i="3"/>
  <c r="N59" i="3"/>
  <c r="I295" i="8"/>
  <c r="I296" i="8"/>
  <c r="I297" i="8"/>
  <c r="I298" i="8"/>
  <c r="I299" i="8"/>
  <c r="I300" i="8"/>
  <c r="Q60" i="3" a="1"/>
  <c r="Q60" i="3"/>
  <c r="N60" i="3"/>
  <c r="I301" i="8"/>
  <c r="Q61" i="3" a="1"/>
  <c r="Q61" i="3"/>
  <c r="N61" i="3"/>
  <c r="I305" i="8"/>
  <c r="I306" i="8"/>
  <c r="I307" i="8"/>
  <c r="I308" i="8"/>
  <c r="Q62" i="3" a="1"/>
  <c r="Q62" i="3"/>
  <c r="N62" i="3"/>
  <c r="I310" i="8"/>
  <c r="I311" i="8"/>
  <c r="I312" i="8"/>
  <c r="Q63" i="3" a="1"/>
  <c r="Q63" i="3"/>
  <c r="N63" i="3"/>
  <c r="I315" i="8"/>
  <c r="I316" i="8"/>
  <c r="I317" i="8"/>
  <c r="Q64" i="3" a="1"/>
  <c r="Q64" i="3"/>
  <c r="N64" i="3"/>
  <c r="I318" i="8"/>
  <c r="I319" i="8"/>
  <c r="Q65" i="3" a="1"/>
  <c r="Q65" i="3"/>
  <c r="N65" i="3"/>
  <c r="I322" i="8"/>
  <c r="I323" i="8"/>
  <c r="I324" i="8"/>
  <c r="I325" i="8"/>
  <c r="Q66" i="3" a="1"/>
  <c r="Q66" i="3"/>
  <c r="N66" i="3"/>
  <c r="I332" i="8"/>
  <c r="I333" i="8"/>
  <c r="I334" i="8"/>
  <c r="I335" i="8"/>
  <c r="I336" i="8"/>
  <c r="I337" i="8"/>
  <c r="I338" i="8"/>
  <c r="I339" i="8"/>
  <c r="Q67" i="3" a="1"/>
  <c r="Q67" i="3"/>
  <c r="N67" i="3"/>
  <c r="I340" i="8"/>
  <c r="I341" i="8"/>
  <c r="I342" i="8"/>
  <c r="I343" i="8"/>
  <c r="I344" i="8"/>
  <c r="I345" i="8"/>
  <c r="Q68" i="3" a="1"/>
  <c r="Q68" i="3"/>
  <c r="N68" i="3"/>
  <c r="I346" i="8"/>
  <c r="I347" i="8"/>
  <c r="I348" i="8"/>
  <c r="I349" i="8"/>
  <c r="I350" i="8"/>
  <c r="I351" i="8"/>
  <c r="I352" i="8"/>
  <c r="Q69" i="3" a="1"/>
  <c r="Q69" i="3"/>
  <c r="N69" i="3"/>
  <c r="I353" i="8"/>
  <c r="I354" i="8"/>
  <c r="I355" i="8"/>
  <c r="I356" i="8"/>
  <c r="I357" i="8"/>
  <c r="Q70" i="3" a="1"/>
  <c r="Q70" i="3"/>
  <c r="N70" i="3"/>
  <c r="I358" i="8"/>
  <c r="I359" i="8"/>
  <c r="I360" i="8"/>
  <c r="Q71" i="3" a="1"/>
  <c r="Q71" i="3"/>
  <c r="N71" i="3"/>
  <c r="I362" i="8"/>
  <c r="I363" i="8"/>
  <c r="I364" i="8"/>
  <c r="I365" i="8"/>
  <c r="Q72" i="3" a="1"/>
  <c r="Q72" i="3"/>
  <c r="N72" i="3"/>
  <c r="I366" i="8"/>
  <c r="I367" i="8"/>
  <c r="I368" i="8"/>
  <c r="I369" i="8"/>
  <c r="I370" i="8"/>
  <c r="Q73" i="3" a="1"/>
  <c r="Q73" i="3"/>
  <c r="N73" i="3"/>
  <c r="I371" i="8"/>
  <c r="I372" i="8"/>
  <c r="Q74" i="3" a="1"/>
  <c r="Q74" i="3"/>
  <c r="N74" i="3"/>
  <c r="I375" i="8"/>
  <c r="I376" i="8"/>
  <c r="I377" i="8"/>
  <c r="Q75" i="3" a="1"/>
  <c r="Q75" i="3"/>
  <c r="N75" i="3"/>
  <c r="I381" i="8"/>
  <c r="I382" i="8"/>
  <c r="I383" i="8"/>
  <c r="Q76" i="3" a="1"/>
  <c r="Q76" i="3"/>
  <c r="N76" i="3"/>
  <c r="I385" i="8"/>
  <c r="I386" i="8"/>
  <c r="I387" i="8"/>
  <c r="I388" i="8"/>
  <c r="I389" i="8"/>
  <c r="Q77" i="3" a="1"/>
  <c r="Q77" i="3"/>
  <c r="N77" i="3"/>
  <c r="I390" i="8"/>
  <c r="I391" i="8"/>
  <c r="I392" i="8"/>
  <c r="I393" i="8"/>
  <c r="I394" i="8"/>
  <c r="I395" i="8"/>
  <c r="Q80" i="3" a="1"/>
  <c r="Q80" i="3"/>
  <c r="N80" i="3"/>
  <c r="I397" i="8"/>
  <c r="I398" i="8"/>
  <c r="Q81" i="3" a="1"/>
  <c r="Q81" i="3"/>
  <c r="N81" i="3"/>
  <c r="I399" i="8"/>
  <c r="I400" i="8"/>
  <c r="I401" i="8"/>
  <c r="I402" i="8"/>
  <c r="Q82" i="3" a="1"/>
  <c r="Q82" i="3"/>
  <c r="N82" i="3"/>
  <c r="I403" i="8"/>
  <c r="I404" i="8"/>
  <c r="I405" i="8"/>
  <c r="I406" i="8"/>
  <c r="Q83" i="3" a="1"/>
  <c r="Q83" i="3"/>
  <c r="N83" i="3"/>
  <c r="I408" i="8"/>
  <c r="I409" i="8"/>
  <c r="I410" i="8"/>
  <c r="Q84" i="3" a="1"/>
  <c r="Q84" i="3"/>
  <c r="N84" i="3"/>
  <c r="I413" i="8"/>
  <c r="I414" i="8"/>
  <c r="I415" i="8"/>
  <c r="Q85" i="3" a="1"/>
  <c r="Q85" i="3"/>
  <c r="N85" i="3"/>
  <c r="I416" i="8"/>
  <c r="I417" i="8"/>
  <c r="I418" i="8"/>
  <c r="I419" i="8"/>
  <c r="I420" i="8"/>
  <c r="Q86" i="3" a="1"/>
  <c r="Q86" i="3"/>
  <c r="N86" i="3"/>
  <c r="I425" i="8"/>
  <c r="I426" i="8"/>
  <c r="Q87" i="3" a="1"/>
  <c r="Q87" i="3"/>
  <c r="N87" i="3"/>
  <c r="I427" i="8"/>
  <c r="I428" i="8"/>
  <c r="I429" i="8"/>
  <c r="I430" i="8"/>
  <c r="I431" i="8"/>
  <c r="Q88" i="3" a="1"/>
  <c r="Q88" i="3"/>
  <c r="N88" i="3"/>
  <c r="I432" i="8"/>
  <c r="I433" i="8"/>
  <c r="Q89" i="3" a="1"/>
  <c r="Q89" i="3"/>
  <c r="N89" i="3"/>
  <c r="I434" i="8"/>
  <c r="I435" i="8"/>
  <c r="I436" i="8"/>
  <c r="I437" i="8"/>
  <c r="Q90" i="3" a="1"/>
  <c r="Q90" i="3"/>
  <c r="N90" i="3"/>
  <c r="I439" i="8"/>
  <c r="I440" i="8"/>
  <c r="I441" i="8"/>
  <c r="I442" i="8"/>
  <c r="Q91" i="3" a="1"/>
  <c r="Q91" i="3"/>
  <c r="N91" i="3"/>
  <c r="I443" i="8"/>
  <c r="Q92" i="3" a="1"/>
  <c r="Q92" i="3"/>
  <c r="N92" i="3"/>
  <c r="I447" i="8"/>
  <c r="I448" i="8"/>
  <c r="I449" i="8"/>
  <c r="I450" i="8"/>
  <c r="Q93" i="3" a="1"/>
  <c r="Q93" i="3"/>
  <c r="N93" i="3"/>
  <c r="I451" i="8"/>
  <c r="I452" i="8"/>
  <c r="I453" i="8"/>
  <c r="Q94" i="3" a="1"/>
  <c r="Q94" i="3"/>
  <c r="N94" i="3"/>
  <c r="I456" i="8"/>
  <c r="I457" i="8"/>
  <c r="I458" i="8"/>
  <c r="I459" i="8"/>
  <c r="I460" i="8"/>
  <c r="Q95" i="3" a="1"/>
  <c r="Q95" i="3"/>
  <c r="N95" i="3"/>
  <c r="I463" i="8"/>
  <c r="I464" i="8"/>
  <c r="Q96" i="3" a="1"/>
  <c r="Q96" i="3"/>
  <c r="N96" i="3"/>
  <c r="I466" i="8"/>
  <c r="I467" i="8"/>
  <c r="I468" i="8"/>
  <c r="I469" i="8"/>
  <c r="I470" i="8"/>
  <c r="Q97" i="3" a="1"/>
  <c r="Q97" i="3"/>
  <c r="N97" i="3"/>
  <c r="I475" i="8"/>
  <c r="I476" i="8"/>
  <c r="I477" i="8"/>
  <c r="I478" i="8"/>
  <c r="Q98" i="3" a="1"/>
  <c r="Q98" i="3"/>
  <c r="N98" i="3"/>
  <c r="I479" i="8"/>
  <c r="I480" i="8"/>
  <c r="I481" i="8"/>
  <c r="Q99" i="3" a="1"/>
  <c r="Q99" i="3"/>
  <c r="N99" i="3"/>
  <c r="I482" i="8"/>
  <c r="I483" i="8"/>
  <c r="I484" i="8"/>
  <c r="I485" i="8"/>
  <c r="Q100" i="3" a="1"/>
  <c r="Q100" i="3"/>
  <c r="N100" i="3"/>
  <c r="I486" i="8"/>
  <c r="I487" i="8"/>
  <c r="I488" i="8"/>
  <c r="I489" i="8"/>
  <c r="I490" i="8"/>
  <c r="Q101" i="3" a="1"/>
  <c r="Q101" i="3"/>
  <c r="N101" i="3"/>
  <c r="I492" i="8"/>
  <c r="I493" i="8"/>
  <c r="I494" i="8"/>
  <c r="I495" i="8"/>
  <c r="Q102" i="3" a="1"/>
  <c r="Q102" i="3"/>
  <c r="N102" i="3"/>
  <c r="I496" i="8"/>
  <c r="I497" i="8"/>
  <c r="Q103" i="3" a="1"/>
  <c r="Q103" i="3"/>
  <c r="N103" i="3"/>
  <c r="I501" i="8"/>
  <c r="I502" i="8"/>
  <c r="I503" i="8"/>
  <c r="I504" i="8"/>
  <c r="I505" i="8"/>
  <c r="Q104" i="3" a="1"/>
  <c r="Q104" i="3"/>
  <c r="N104" i="3"/>
  <c r="I506" i="8"/>
  <c r="I507" i="8"/>
  <c r="I508" i="8"/>
  <c r="I509" i="8"/>
  <c r="I510" i="8"/>
  <c r="Q105" i="3" a="1"/>
  <c r="Q105" i="3"/>
  <c r="N105" i="3"/>
  <c r="I511" i="8"/>
  <c r="I512" i="8"/>
  <c r="I513" i="8"/>
  <c r="I514" i="8"/>
  <c r="Q106" i="3" a="1"/>
  <c r="Q106" i="3"/>
  <c r="N106" i="3"/>
  <c r="I515" i="8"/>
  <c r="I516" i="8"/>
  <c r="I517" i="8"/>
  <c r="I518" i="8"/>
  <c r="I519" i="8"/>
  <c r="Q78" i="3" a="1"/>
  <c r="Q78" i="3"/>
  <c r="N78" i="3"/>
  <c r="I522" i="8"/>
  <c r="I523" i="8"/>
  <c r="I524" i="8"/>
  <c r="I525" i="8"/>
  <c r="Q107" i="3" a="1"/>
  <c r="Q107" i="3"/>
  <c r="N107" i="3"/>
  <c r="I527" i="8"/>
  <c r="I528" i="8"/>
  <c r="I529" i="8"/>
  <c r="Q108" i="3" a="1"/>
  <c r="Q108" i="3"/>
  <c r="N108" i="3"/>
  <c r="I530" i="8"/>
  <c r="I531" i="8"/>
  <c r="I532" i="8"/>
  <c r="Q109" i="3" a="1"/>
  <c r="Q109" i="3"/>
  <c r="N109" i="3"/>
  <c r="I533" i="8"/>
  <c r="I534" i="8"/>
  <c r="I535" i="8"/>
  <c r="I536" i="8"/>
  <c r="I537" i="8"/>
  <c r="Q110" i="3" a="1"/>
  <c r="Q110" i="3"/>
  <c r="N110" i="3"/>
  <c r="I539" i="8"/>
  <c r="I540" i="8"/>
  <c r="I541" i="8"/>
  <c r="Q111" i="3" a="1"/>
  <c r="Q111" i="3"/>
  <c r="N111" i="3"/>
  <c r="I547" i="8"/>
  <c r="I548" i="8"/>
  <c r="I549" i="8"/>
  <c r="Q112" i="3" a="1"/>
  <c r="Q112" i="3"/>
  <c r="N112" i="3"/>
  <c r="I550" i="8"/>
  <c r="I551" i="8"/>
  <c r="I552" i="8"/>
  <c r="I553" i="8"/>
  <c r="I554" i="8"/>
  <c r="I555" i="8"/>
  <c r="I556" i="8"/>
  <c r="Q113" i="3" a="1"/>
  <c r="Q113" i="3"/>
  <c r="N113" i="3"/>
  <c r="I557" i="8"/>
  <c r="I558" i="8"/>
  <c r="I559" i="8"/>
  <c r="I560" i="8"/>
  <c r="Q114" i="3" a="1"/>
  <c r="Q114" i="3"/>
  <c r="N114" i="3"/>
  <c r="I565" i="8"/>
  <c r="I566" i="8"/>
  <c r="I567" i="8"/>
  <c r="I568" i="8"/>
  <c r="Q115" i="3" a="1"/>
  <c r="Q115" i="3"/>
  <c r="N115" i="3"/>
  <c r="I569" i="8"/>
  <c r="I570" i="8"/>
  <c r="I571" i="8"/>
  <c r="Q116" i="3" a="1"/>
  <c r="Q116" i="3"/>
  <c r="N116" i="3"/>
  <c r="I572" i="8"/>
  <c r="I573" i="8"/>
  <c r="I574" i="8"/>
  <c r="Q117" i="3" a="1"/>
  <c r="Q117" i="3"/>
  <c r="N117" i="3"/>
  <c r="I580" i="8"/>
  <c r="I581" i="8"/>
  <c r="I582" i="8"/>
  <c r="I583" i="8"/>
  <c r="I584" i="8"/>
  <c r="I585" i="8"/>
  <c r="I586" i="8"/>
  <c r="I587" i="8"/>
  <c r="I588" i="8"/>
  <c r="Q118" i="3" a="1"/>
  <c r="Q118" i="3"/>
  <c r="N118" i="3"/>
  <c r="I589" i="8"/>
  <c r="I590" i="8"/>
  <c r="I591" i="8"/>
  <c r="Q119" i="3" a="1"/>
  <c r="Q119" i="3"/>
  <c r="N119" i="3"/>
  <c r="I596" i="8"/>
  <c r="I597" i="8"/>
  <c r="I598" i="8"/>
  <c r="I599" i="8"/>
  <c r="Q120" i="3" a="1"/>
  <c r="Q120" i="3"/>
  <c r="N120" i="3"/>
  <c r="I600" i="8"/>
  <c r="I601" i="8"/>
  <c r="I602" i="8"/>
  <c r="Q121" i="3" a="1"/>
  <c r="Q121" i="3"/>
  <c r="N121" i="3"/>
  <c r="I603" i="8"/>
  <c r="I604" i="8"/>
  <c r="I605" i="8"/>
  <c r="Q122" i="3" a="1"/>
  <c r="Q122" i="3"/>
  <c r="N122" i="3"/>
  <c r="I606" i="8"/>
  <c r="Q123" i="3" a="1"/>
  <c r="Q123" i="3"/>
  <c r="N123" i="3"/>
  <c r="I607" i="8"/>
  <c r="I608" i="8"/>
  <c r="Q124" i="3" a="1"/>
  <c r="Q124" i="3"/>
  <c r="N124" i="3"/>
  <c r="I616" i="8"/>
  <c r="I617" i="8"/>
  <c r="I618" i="8"/>
  <c r="I619" i="8"/>
  <c r="Q125" i="3" a="1"/>
  <c r="Q125" i="3"/>
  <c r="N125" i="3"/>
  <c r="I620" i="8"/>
  <c r="I621" i="8"/>
  <c r="I622" i="8"/>
  <c r="I623" i="8"/>
  <c r="I624" i="8"/>
  <c r="I625" i="8"/>
  <c r="Q79" i="3" a="1"/>
  <c r="Q79" i="3"/>
  <c r="N79" i="3"/>
  <c r="I629" i="8"/>
  <c r="I630" i="8"/>
  <c r="I631" i="8"/>
  <c r="Q126" i="3" a="1"/>
  <c r="Q126" i="3"/>
  <c r="N126" i="3"/>
  <c r="I632" i="8"/>
  <c r="I633" i="8"/>
  <c r="I634" i="8"/>
  <c r="I635" i="8"/>
  <c r="I636" i="8"/>
  <c r="Q127" i="3" a="1"/>
  <c r="Q127" i="3"/>
  <c r="N127" i="3"/>
  <c r="I637" i="8"/>
  <c r="I638" i="8"/>
  <c r="I639" i="8"/>
  <c r="Q128" i="3" a="1"/>
  <c r="Q128" i="3"/>
  <c r="N128" i="3"/>
  <c r="I648" i="8"/>
  <c r="I649" i="8"/>
  <c r="I650" i="8"/>
  <c r="I651" i="8"/>
  <c r="I652" i="8"/>
  <c r="Q129" i="3" a="1"/>
  <c r="Q129" i="3"/>
  <c r="N129" i="3"/>
  <c r="I653" i="8"/>
  <c r="I654" i="8"/>
  <c r="I655" i="8"/>
  <c r="Q130" i="3" a="1"/>
  <c r="Q130" i="3"/>
  <c r="N130" i="3"/>
  <c r="I659" i="8"/>
  <c r="Q131" i="3" a="1"/>
  <c r="Q131" i="3"/>
  <c r="N131" i="3"/>
  <c r="I660" i="8"/>
  <c r="I661" i="8"/>
  <c r="I662" i="8"/>
  <c r="Q132" i="3" a="1"/>
  <c r="Q132" i="3"/>
  <c r="N132" i="3"/>
  <c r="I663" i="8"/>
  <c r="I664" i="8"/>
  <c r="I665" i="8"/>
  <c r="I666" i="8"/>
  <c r="I667" i="8"/>
  <c r="Q133" i="3" a="1"/>
  <c r="Q133" i="3"/>
  <c r="N133" i="3"/>
  <c r="I668" i="8"/>
  <c r="I669" i="8"/>
  <c r="I670" i="8"/>
  <c r="I671" i="8"/>
  <c r="Q134" i="3" a="1"/>
  <c r="Q134" i="3"/>
  <c r="N134" i="3"/>
  <c r="I672" i="8"/>
  <c r="I673" i="8"/>
  <c r="I674" i="8"/>
  <c r="I675" i="8"/>
  <c r="Q135" i="3" a="1"/>
  <c r="Q135" i="3"/>
  <c r="N135" i="3"/>
  <c r="I676" i="8"/>
  <c r="I677" i="8"/>
  <c r="I678" i="8"/>
  <c r="I679" i="8"/>
  <c r="I680" i="8"/>
  <c r="Q136" i="3" a="1"/>
  <c r="Q136" i="3"/>
  <c r="N136" i="3"/>
  <c r="I681" i="8"/>
  <c r="I682" i="8"/>
  <c r="I683" i="8"/>
  <c r="Q55" i="3" a="1"/>
  <c r="Q55" i="3"/>
  <c r="N55" i="3"/>
  <c r="I687" i="8"/>
  <c r="I688" i="8"/>
  <c r="Q137" i="3" a="1"/>
  <c r="Q137" i="3"/>
  <c r="N137" i="3"/>
  <c r="I692" i="8"/>
  <c r="I693" i="8"/>
  <c r="I694" i="8"/>
  <c r="Q138" i="3" a="1"/>
  <c r="Q138" i="3"/>
  <c r="N138" i="3"/>
  <c r="I697" i="8"/>
  <c r="I698" i="8"/>
  <c r="Q139" i="3" a="1"/>
  <c r="Q139" i="3"/>
  <c r="N139" i="3"/>
  <c r="I699" i="8"/>
  <c r="I700" i="8"/>
  <c r="I701" i="8"/>
  <c r="I702" i="8"/>
  <c r="I703" i="8"/>
  <c r="Q140" i="3" a="1"/>
  <c r="Q140" i="3"/>
  <c r="N140" i="3"/>
  <c r="I704" i="8"/>
  <c r="I705" i="8"/>
  <c r="I706" i="8"/>
  <c r="I707" i="8"/>
  <c r="I708" i="8"/>
  <c r="Q141" i="3" a="1"/>
  <c r="Q141" i="3"/>
  <c r="N141" i="3"/>
  <c r="I709" i="8"/>
  <c r="I710" i="8"/>
  <c r="I711" i="8"/>
  <c r="Q142" i="3" a="1"/>
  <c r="Q142" i="3"/>
  <c r="N142" i="3"/>
  <c r="I714" i="8"/>
  <c r="I715" i="8"/>
  <c r="I716" i="8"/>
  <c r="I717" i="8"/>
  <c r="I718" i="8"/>
  <c r="Q143" i="3" a="1"/>
  <c r="Q143" i="3"/>
  <c r="N143" i="3"/>
  <c r="I719" i="8"/>
  <c r="I720" i="8"/>
  <c r="I721" i="8"/>
  <c r="I722" i="8"/>
  <c r="Q144" i="3" a="1"/>
  <c r="Q144" i="3"/>
  <c r="N144" i="3"/>
  <c r="I723" i="8"/>
  <c r="I724" i="8"/>
  <c r="Q145" i="3" a="1"/>
  <c r="Q145" i="3"/>
  <c r="N145" i="3"/>
  <c r="I725" i="8"/>
  <c r="I726" i="8"/>
  <c r="I727" i="8"/>
  <c r="I728" i="8"/>
  <c r="Q146" i="3" a="1"/>
  <c r="Q146" i="3"/>
  <c r="N146" i="3"/>
  <c r="I729" i="8"/>
  <c r="I730" i="8"/>
  <c r="I731" i="8"/>
  <c r="I732" i="8"/>
  <c r="I733" i="8"/>
  <c r="I734" i="8"/>
  <c r="I735" i="8"/>
  <c r="I736" i="8"/>
  <c r="I737" i="8"/>
  <c r="I738" i="8"/>
  <c r="Q147" i="3" a="1"/>
  <c r="Q147" i="3"/>
  <c r="N147" i="3"/>
  <c r="I739" i="8"/>
  <c r="I740" i="8"/>
  <c r="Q148" i="3" a="1"/>
  <c r="Q148" i="3"/>
  <c r="N148" i="3"/>
  <c r="I741" i="8"/>
  <c r="I742" i="8"/>
  <c r="I743" i="8"/>
  <c r="Q149" i="3" a="1"/>
  <c r="Q149" i="3"/>
  <c r="N149" i="3"/>
  <c r="I748" i="8"/>
  <c r="I749" i="8"/>
  <c r="I750" i="8"/>
  <c r="I751" i="8"/>
  <c r="I752" i="8"/>
  <c r="I753" i="8"/>
  <c r="Q150" i="3" a="1"/>
  <c r="Q150" i="3"/>
  <c r="N150" i="3"/>
  <c r="I754" i="8"/>
  <c r="I755" i="8"/>
  <c r="I756" i="8"/>
  <c r="I757" i="8"/>
  <c r="I758" i="8"/>
  <c r="Q151" i="3" a="1"/>
  <c r="Q151" i="3"/>
  <c r="N151" i="3"/>
  <c r="I762" i="8"/>
  <c r="I763" i="8"/>
  <c r="Q152" i="3" a="1"/>
  <c r="Q152" i="3"/>
  <c r="N152" i="3"/>
  <c r="I768" i="8"/>
  <c r="I769" i="8"/>
  <c r="I770" i="8"/>
  <c r="Q153" i="3" a="1"/>
  <c r="Q153" i="3"/>
  <c r="N153" i="3"/>
  <c r="I771" i="8"/>
  <c r="I772" i="8"/>
  <c r="I773" i="8"/>
  <c r="Q154" i="3" a="1"/>
  <c r="Q154" i="3"/>
  <c r="N154" i="3"/>
  <c r="I774" i="8"/>
  <c r="I775" i="8"/>
  <c r="I776" i="8"/>
  <c r="I777" i="8"/>
  <c r="P9" i="3" a="1"/>
  <c r="P9" i="3"/>
  <c r="S9" i="3"/>
  <c r="AU9" i="3"/>
  <c r="EZ9" i="3"/>
  <c r="FE9" i="3"/>
  <c r="FG5" i="3"/>
  <c r="EM9" i="3"/>
  <c r="ER9" i="3"/>
  <c r="ET5" i="3"/>
  <c r="DZ9" i="3"/>
  <c r="EE9" i="3"/>
  <c r="EG5" i="3"/>
  <c r="BN9" i="3"/>
  <c r="AV9" i="3"/>
  <c r="BD9" i="3"/>
  <c r="DB9" i="3"/>
  <c r="DC9" i="3"/>
  <c r="DF9" i="3"/>
  <c r="DI9" i="3"/>
  <c r="DM9" i="3"/>
  <c r="DN9" i="3"/>
  <c r="DQ9" i="3"/>
  <c r="DT9" i="3"/>
  <c r="AW9" i="3"/>
  <c r="AZ9" i="3"/>
  <c r="O8" i="15"/>
  <c r="BQ9" i="3"/>
  <c r="BR9" i="3"/>
  <c r="BS9" i="3"/>
  <c r="BV9" i="3"/>
  <c r="BY9" i="3"/>
  <c r="P8" i="15"/>
  <c r="BP9" i="3"/>
  <c r="CC9" i="3"/>
  <c r="CE9" i="3"/>
  <c r="CH9" i="3"/>
  <c r="CK9" i="3"/>
  <c r="Q8" i="15"/>
  <c r="CP9" i="3"/>
  <c r="CR9" i="3"/>
  <c r="CU9" i="3"/>
  <c r="CX9" i="3"/>
  <c r="R8" i="15"/>
  <c r="EY9" i="3"/>
  <c r="FA9" i="3"/>
  <c r="FD9" i="3"/>
  <c r="FG9" i="3"/>
  <c r="U8" i="15"/>
  <c r="BA9" i="3"/>
  <c r="D8" i="15"/>
  <c r="BF9" i="3"/>
  <c r="BG9" i="3"/>
  <c r="E8" i="15"/>
  <c r="CA9" i="3"/>
  <c r="F8" i="15"/>
  <c r="CB9" i="3"/>
  <c r="CD9" i="3"/>
  <c r="CN9" i="3"/>
  <c r="G8" i="15"/>
  <c r="CO9" i="3"/>
  <c r="CQ9" i="3"/>
  <c r="DA9" i="3"/>
  <c r="H8" i="15"/>
  <c r="DL9" i="3"/>
  <c r="I8" i="15"/>
  <c r="DW9" i="3"/>
  <c r="J8" i="15"/>
  <c r="DX9" i="3"/>
  <c r="EJ9" i="3"/>
  <c r="K8" i="15"/>
  <c r="EK9" i="3"/>
  <c r="EW9" i="3"/>
  <c r="L8" i="15"/>
  <c r="EX9" i="3"/>
  <c r="FJ9" i="3"/>
  <c r="M8" i="15"/>
  <c r="FK9" i="3"/>
  <c r="FL9" i="3"/>
  <c r="FO9" i="3"/>
  <c r="FR9" i="3"/>
  <c r="FT9" i="3"/>
  <c r="N8" i="15"/>
  <c r="C8" i="15"/>
  <c r="FV9" i="3"/>
  <c r="FY9" i="3"/>
  <c r="V8" i="15"/>
  <c r="GF9" i="3"/>
  <c r="AC8" i="15"/>
  <c r="GC9" i="3"/>
  <c r="Z8" i="15"/>
  <c r="GB9" i="3"/>
  <c r="Y8" i="15"/>
  <c r="GA9" i="3"/>
  <c r="X8" i="15"/>
  <c r="FZ9" i="3"/>
  <c r="W8" i="15"/>
  <c r="DY9" i="3"/>
  <c r="EA9" i="3"/>
  <c r="ED9" i="3"/>
  <c r="EG9" i="3"/>
  <c r="S8" i="15"/>
  <c r="EL9" i="3"/>
  <c r="EN9" i="3"/>
  <c r="EQ9" i="3"/>
  <c r="ET9" i="3"/>
  <c r="T8" i="15"/>
  <c r="GD9" i="3"/>
  <c r="AA8" i="15"/>
  <c r="GE9" i="3"/>
  <c r="AB8" i="15"/>
  <c r="V66" i="3" a="1"/>
  <c r="V66" i="3"/>
  <c r="AS66" i="3"/>
  <c r="B65" i="15"/>
  <c r="P66" i="3" a="1"/>
  <c r="P66" i="3"/>
  <c r="S66" i="3"/>
  <c r="AU66" i="3"/>
  <c r="AW66" i="3"/>
  <c r="AZ66" i="3"/>
  <c r="BA66" i="3"/>
  <c r="D65" i="15"/>
  <c r="AV66" i="3"/>
  <c r="BD66" i="3"/>
  <c r="BF66" i="3"/>
  <c r="BG66" i="3"/>
  <c r="E65" i="15"/>
  <c r="BQ66" i="3"/>
  <c r="BR66" i="3"/>
  <c r="BS66" i="3"/>
  <c r="BN66" i="3"/>
  <c r="BU66" i="3"/>
  <c r="BV66" i="3"/>
  <c r="BY66" i="3"/>
  <c r="CA66" i="3"/>
  <c r="F65" i="15"/>
  <c r="CB66" i="3"/>
  <c r="CD66" i="3"/>
  <c r="CG66" i="3"/>
  <c r="CN66" i="3"/>
  <c r="G65" i="15"/>
  <c r="CO66" i="3"/>
  <c r="CQ66" i="3"/>
  <c r="CT66" i="3"/>
  <c r="DA66" i="3"/>
  <c r="H65" i="15"/>
  <c r="DB66" i="3"/>
  <c r="DC66" i="3"/>
  <c r="DE66" i="3"/>
  <c r="DF66" i="3"/>
  <c r="DL66" i="3"/>
  <c r="I65" i="15"/>
  <c r="DM66" i="3"/>
  <c r="DN66" i="3"/>
  <c r="DP66" i="3"/>
  <c r="DQ66" i="3"/>
  <c r="DW66" i="3"/>
  <c r="J65" i="15"/>
  <c r="DX66" i="3"/>
  <c r="DZ66" i="3"/>
  <c r="EC66" i="3"/>
  <c r="EJ66" i="3"/>
  <c r="K65" i="15"/>
  <c r="EK66" i="3"/>
  <c r="EM66" i="3"/>
  <c r="EP66" i="3"/>
  <c r="EW66" i="3"/>
  <c r="L65" i="15"/>
  <c r="EX66" i="3"/>
  <c r="EZ66" i="3"/>
  <c r="FC66" i="3"/>
  <c r="FJ66" i="3"/>
  <c r="M65" i="15"/>
  <c r="FK66" i="3"/>
  <c r="FL66" i="3"/>
  <c r="FN66" i="3"/>
  <c r="FO66" i="3"/>
  <c r="FR66" i="3"/>
  <c r="FT66" i="3"/>
  <c r="N65" i="15"/>
  <c r="C65" i="15"/>
  <c r="O65" i="15"/>
  <c r="P65" i="15"/>
  <c r="BP66" i="3"/>
  <c r="CC66" i="3"/>
  <c r="CE66" i="3"/>
  <c r="CH66" i="3"/>
  <c r="CK66" i="3"/>
  <c r="Q65" i="15"/>
  <c r="CP66" i="3"/>
  <c r="CR66" i="3"/>
  <c r="CU66" i="3"/>
  <c r="CX66" i="3"/>
  <c r="R65" i="15"/>
  <c r="DY66" i="3"/>
  <c r="EA66" i="3"/>
  <c r="ED66" i="3"/>
  <c r="EG66" i="3"/>
  <c r="S65" i="15"/>
  <c r="EL66" i="3"/>
  <c r="EN66" i="3"/>
  <c r="EQ66" i="3"/>
  <c r="ET66" i="3"/>
  <c r="T65" i="15"/>
  <c r="EY66" i="3"/>
  <c r="FA66" i="3"/>
  <c r="FD66" i="3"/>
  <c r="FG66" i="3"/>
  <c r="U65" i="15"/>
  <c r="FV66" i="3"/>
  <c r="FY66" i="3"/>
  <c r="V65" i="15"/>
  <c r="FZ66" i="3"/>
  <c r="W65" i="15"/>
  <c r="GA66" i="3"/>
  <c r="X65" i="15"/>
  <c r="GB66" i="3"/>
  <c r="Y65" i="15"/>
  <c r="GC66" i="3"/>
  <c r="Z65" i="15"/>
  <c r="GD66" i="3"/>
  <c r="AA65" i="15"/>
  <c r="GE66" i="3"/>
  <c r="AB65" i="15"/>
  <c r="GF66" i="3"/>
  <c r="AC65" i="15"/>
  <c r="V67" i="3" a="1"/>
  <c r="V67" i="3"/>
  <c r="AS67" i="3"/>
  <c r="B66" i="15"/>
  <c r="P67" i="3" a="1"/>
  <c r="P67" i="3"/>
  <c r="S67" i="3"/>
  <c r="AU67" i="3"/>
  <c r="AW67" i="3"/>
  <c r="AZ67" i="3"/>
  <c r="BA67" i="3"/>
  <c r="D66" i="15"/>
  <c r="AV67" i="3"/>
  <c r="BD67" i="3"/>
  <c r="BF67" i="3"/>
  <c r="BG67" i="3"/>
  <c r="E66" i="15"/>
  <c r="BQ67" i="3"/>
  <c r="BR67" i="3"/>
  <c r="BS67" i="3"/>
  <c r="BN67" i="3"/>
  <c r="BU67" i="3"/>
  <c r="BV67" i="3"/>
  <c r="BY67" i="3"/>
  <c r="CA67" i="3"/>
  <c r="F66" i="15"/>
  <c r="CB67" i="3"/>
  <c r="CD67" i="3"/>
  <c r="CG67" i="3"/>
  <c r="CN67" i="3"/>
  <c r="G66" i="15"/>
  <c r="CO67" i="3"/>
  <c r="CQ67" i="3"/>
  <c r="CT67" i="3"/>
  <c r="DA67" i="3"/>
  <c r="H66" i="15"/>
  <c r="DB67" i="3"/>
  <c r="DC67" i="3"/>
  <c r="DE67" i="3"/>
  <c r="DF67" i="3"/>
  <c r="DL67" i="3"/>
  <c r="I66" i="15"/>
  <c r="DM67" i="3"/>
  <c r="DN67" i="3"/>
  <c r="DP67" i="3"/>
  <c r="DQ67" i="3"/>
  <c r="DW67" i="3"/>
  <c r="J66" i="15"/>
  <c r="DX67" i="3"/>
  <c r="DZ67" i="3"/>
  <c r="EC67" i="3"/>
  <c r="EJ67" i="3"/>
  <c r="K66" i="15"/>
  <c r="EK67" i="3"/>
  <c r="EM67" i="3"/>
  <c r="EP67" i="3"/>
  <c r="EW67" i="3"/>
  <c r="L66" i="15"/>
  <c r="EX67" i="3"/>
  <c r="EZ67" i="3"/>
  <c r="FC67" i="3"/>
  <c r="FJ67" i="3"/>
  <c r="M66" i="15"/>
  <c r="FK67" i="3"/>
  <c r="FL67" i="3"/>
  <c r="FN67" i="3"/>
  <c r="FO67" i="3"/>
  <c r="FR67" i="3"/>
  <c r="FT67" i="3"/>
  <c r="N66" i="15"/>
  <c r="C66" i="15"/>
  <c r="O66" i="15"/>
  <c r="P66" i="15"/>
  <c r="BP67" i="3"/>
  <c r="CC67" i="3"/>
  <c r="CE67" i="3"/>
  <c r="CH67" i="3"/>
  <c r="CK67" i="3"/>
  <c r="Q66" i="15"/>
  <c r="CP67" i="3"/>
  <c r="CR67" i="3"/>
  <c r="CU67" i="3"/>
  <c r="CX67" i="3"/>
  <c r="R66" i="15"/>
  <c r="DY67" i="3"/>
  <c r="EA67" i="3"/>
  <c r="ED67" i="3"/>
  <c r="EG67" i="3"/>
  <c r="S66" i="15"/>
  <c r="EL67" i="3"/>
  <c r="EN67" i="3"/>
  <c r="EQ67" i="3"/>
  <c r="ET67" i="3"/>
  <c r="T66" i="15"/>
  <c r="EY67" i="3"/>
  <c r="FA67" i="3"/>
  <c r="FD67" i="3"/>
  <c r="FG67" i="3"/>
  <c r="U66" i="15"/>
  <c r="FV67" i="3"/>
  <c r="FY67" i="3"/>
  <c r="V66" i="15"/>
  <c r="FZ67" i="3"/>
  <c r="W66" i="15"/>
  <c r="GA67" i="3"/>
  <c r="X66" i="15"/>
  <c r="GB67" i="3"/>
  <c r="Y66" i="15"/>
  <c r="GC67" i="3"/>
  <c r="Z66" i="15"/>
  <c r="GD67" i="3"/>
  <c r="AA66" i="15"/>
  <c r="GE67" i="3"/>
  <c r="AB66" i="15"/>
  <c r="GF67" i="3"/>
  <c r="AC66" i="15"/>
  <c r="V68" i="3" a="1"/>
  <c r="V68" i="3"/>
  <c r="AS68" i="3"/>
  <c r="B67" i="15"/>
  <c r="P68" i="3" a="1"/>
  <c r="P68" i="3"/>
  <c r="S68" i="3"/>
  <c r="AU68" i="3"/>
  <c r="AW68" i="3"/>
  <c r="AZ68" i="3"/>
  <c r="BA68" i="3"/>
  <c r="D67" i="15"/>
  <c r="AV68" i="3"/>
  <c r="BD68" i="3"/>
  <c r="BF68" i="3"/>
  <c r="BG68" i="3"/>
  <c r="E67" i="15"/>
  <c r="BQ68" i="3"/>
  <c r="BR68" i="3"/>
  <c r="BS68" i="3"/>
  <c r="BN68" i="3"/>
  <c r="BU68" i="3"/>
  <c r="BV68" i="3"/>
  <c r="BY68" i="3"/>
  <c r="CA68" i="3"/>
  <c r="F67" i="15"/>
  <c r="CB68" i="3"/>
  <c r="CD68" i="3"/>
  <c r="CG68" i="3"/>
  <c r="CN68" i="3"/>
  <c r="G67" i="15"/>
  <c r="CO68" i="3"/>
  <c r="CQ68" i="3"/>
  <c r="CT68" i="3"/>
  <c r="DA68" i="3"/>
  <c r="H67" i="15"/>
  <c r="DB68" i="3"/>
  <c r="DC68" i="3"/>
  <c r="DE68" i="3"/>
  <c r="DF68" i="3"/>
  <c r="DL68" i="3"/>
  <c r="I67" i="15"/>
  <c r="DM68" i="3"/>
  <c r="DN68" i="3"/>
  <c r="DP68" i="3"/>
  <c r="DQ68" i="3"/>
  <c r="DW68" i="3"/>
  <c r="J67" i="15"/>
  <c r="DX68" i="3"/>
  <c r="DZ68" i="3"/>
  <c r="EC68" i="3"/>
  <c r="EJ68" i="3"/>
  <c r="K67" i="15"/>
  <c r="EK68" i="3"/>
  <c r="EM68" i="3"/>
  <c r="EP68" i="3"/>
  <c r="EW68" i="3"/>
  <c r="L67" i="15"/>
  <c r="EX68" i="3"/>
  <c r="EZ68" i="3"/>
  <c r="FC68" i="3"/>
  <c r="FJ68" i="3"/>
  <c r="M67" i="15"/>
  <c r="FK68" i="3"/>
  <c r="FL68" i="3"/>
  <c r="FN68" i="3"/>
  <c r="FO68" i="3"/>
  <c r="FR68" i="3"/>
  <c r="FT68" i="3"/>
  <c r="N67" i="15"/>
  <c r="C67" i="15"/>
  <c r="O67" i="15"/>
  <c r="P67" i="15"/>
  <c r="BP68" i="3"/>
  <c r="CC68" i="3"/>
  <c r="CE68" i="3"/>
  <c r="CH68" i="3"/>
  <c r="CK68" i="3"/>
  <c r="Q67" i="15"/>
  <c r="CP68" i="3"/>
  <c r="CR68" i="3"/>
  <c r="CU68" i="3"/>
  <c r="CX68" i="3"/>
  <c r="R67" i="15"/>
  <c r="DY68" i="3"/>
  <c r="EA68" i="3"/>
  <c r="ED68" i="3"/>
  <c r="EG68" i="3"/>
  <c r="S67" i="15"/>
  <c r="EL68" i="3"/>
  <c r="EN68" i="3"/>
  <c r="EQ68" i="3"/>
  <c r="ET68" i="3"/>
  <c r="T67" i="15"/>
  <c r="EY68" i="3"/>
  <c r="FA68" i="3"/>
  <c r="FD68" i="3"/>
  <c r="FG68" i="3"/>
  <c r="U67" i="15"/>
  <c r="FV68" i="3"/>
  <c r="FY68" i="3"/>
  <c r="V67" i="15"/>
  <c r="FZ68" i="3"/>
  <c r="W67" i="15"/>
  <c r="GA68" i="3"/>
  <c r="X67" i="15"/>
  <c r="GB68" i="3"/>
  <c r="Y67" i="15"/>
  <c r="GC68" i="3"/>
  <c r="Z67" i="15"/>
  <c r="GD68" i="3"/>
  <c r="AA67" i="15"/>
  <c r="GE68" i="3"/>
  <c r="AB67" i="15"/>
  <c r="GF68" i="3"/>
  <c r="AC67" i="15"/>
  <c r="V69" i="3" a="1"/>
  <c r="V69" i="3"/>
  <c r="AS69" i="3"/>
  <c r="B68" i="15"/>
  <c r="P69" i="3" a="1"/>
  <c r="P69" i="3"/>
  <c r="S69" i="3"/>
  <c r="AU69" i="3"/>
  <c r="AW69" i="3"/>
  <c r="AZ69" i="3"/>
  <c r="BA69" i="3"/>
  <c r="D68" i="15"/>
  <c r="AV69" i="3"/>
  <c r="BD69" i="3"/>
  <c r="BF69" i="3"/>
  <c r="BG69" i="3"/>
  <c r="E68" i="15"/>
  <c r="BQ69" i="3"/>
  <c r="BR69" i="3"/>
  <c r="BS69" i="3"/>
  <c r="BN69" i="3"/>
  <c r="BU69" i="3"/>
  <c r="BV69" i="3"/>
  <c r="BY69" i="3"/>
  <c r="CA69" i="3"/>
  <c r="F68" i="15"/>
  <c r="CB69" i="3"/>
  <c r="CD69" i="3"/>
  <c r="CG69" i="3"/>
  <c r="CN69" i="3"/>
  <c r="G68" i="15"/>
  <c r="CO69" i="3"/>
  <c r="CQ69" i="3"/>
  <c r="CT69" i="3"/>
  <c r="DA69" i="3"/>
  <c r="H68" i="15"/>
  <c r="DB69" i="3"/>
  <c r="DC69" i="3"/>
  <c r="DE69" i="3"/>
  <c r="DF69" i="3"/>
  <c r="DL69" i="3"/>
  <c r="I68" i="15"/>
  <c r="DM69" i="3"/>
  <c r="DN69" i="3"/>
  <c r="DP69" i="3"/>
  <c r="DQ69" i="3"/>
  <c r="DW69" i="3"/>
  <c r="J68" i="15"/>
  <c r="DX69" i="3"/>
  <c r="DZ69" i="3"/>
  <c r="EC69" i="3"/>
  <c r="EJ69" i="3"/>
  <c r="K68" i="15"/>
  <c r="EK69" i="3"/>
  <c r="EM69" i="3"/>
  <c r="EP69" i="3"/>
  <c r="EW69" i="3"/>
  <c r="L68" i="15"/>
  <c r="EX69" i="3"/>
  <c r="EZ69" i="3"/>
  <c r="FC69" i="3"/>
  <c r="FJ69" i="3"/>
  <c r="M68" i="15"/>
  <c r="FK69" i="3"/>
  <c r="FL69" i="3"/>
  <c r="FN69" i="3"/>
  <c r="FO69" i="3"/>
  <c r="FR69" i="3"/>
  <c r="FT69" i="3"/>
  <c r="N68" i="15"/>
  <c r="C68" i="15"/>
  <c r="O68" i="15"/>
  <c r="P68" i="15"/>
  <c r="BP69" i="3"/>
  <c r="CC69" i="3"/>
  <c r="CE69" i="3"/>
  <c r="CH69" i="3"/>
  <c r="CK69" i="3"/>
  <c r="Q68" i="15"/>
  <c r="CP69" i="3"/>
  <c r="CR69" i="3"/>
  <c r="CU69" i="3"/>
  <c r="CX69" i="3"/>
  <c r="R68" i="15"/>
  <c r="DY69" i="3"/>
  <c r="EA69" i="3"/>
  <c r="ED69" i="3"/>
  <c r="EG69" i="3"/>
  <c r="S68" i="15"/>
  <c r="EL69" i="3"/>
  <c r="EN69" i="3"/>
  <c r="EQ69" i="3"/>
  <c r="ET69" i="3"/>
  <c r="T68" i="15"/>
  <c r="EY69" i="3"/>
  <c r="FA69" i="3"/>
  <c r="FD69" i="3"/>
  <c r="FG69" i="3"/>
  <c r="U68" i="15"/>
  <c r="FV69" i="3"/>
  <c r="FY69" i="3"/>
  <c r="V68" i="15"/>
  <c r="FZ69" i="3"/>
  <c r="W68" i="15"/>
  <c r="GA69" i="3"/>
  <c r="X68" i="15"/>
  <c r="GB69" i="3"/>
  <c r="Y68" i="15"/>
  <c r="GC69" i="3"/>
  <c r="Z68" i="15"/>
  <c r="GD69" i="3"/>
  <c r="AA68" i="15"/>
  <c r="GE69" i="3"/>
  <c r="AB68" i="15"/>
  <c r="GF69" i="3"/>
  <c r="AC68" i="15"/>
  <c r="V70" i="3" a="1"/>
  <c r="V70" i="3"/>
  <c r="AS70" i="3"/>
  <c r="B69" i="15"/>
  <c r="P70" i="3" a="1"/>
  <c r="P70" i="3"/>
  <c r="S70" i="3"/>
  <c r="AU70" i="3"/>
  <c r="AW70" i="3"/>
  <c r="AZ70" i="3"/>
  <c r="BA70" i="3"/>
  <c r="D69" i="15"/>
  <c r="AV70" i="3"/>
  <c r="BD70" i="3"/>
  <c r="BF70" i="3"/>
  <c r="BG70" i="3"/>
  <c r="E69" i="15"/>
  <c r="BQ70" i="3"/>
  <c r="BR70" i="3"/>
  <c r="BS70" i="3"/>
  <c r="BN70" i="3"/>
  <c r="BU70" i="3"/>
  <c r="BV70" i="3"/>
  <c r="BY70" i="3"/>
  <c r="CA70" i="3"/>
  <c r="F69" i="15"/>
  <c r="CB70" i="3"/>
  <c r="CD70" i="3"/>
  <c r="CG70" i="3"/>
  <c r="CN70" i="3"/>
  <c r="G69" i="15"/>
  <c r="CO70" i="3"/>
  <c r="CQ70" i="3"/>
  <c r="CT70" i="3"/>
  <c r="DA70" i="3"/>
  <c r="H69" i="15"/>
  <c r="DB70" i="3"/>
  <c r="DC70" i="3"/>
  <c r="DE70" i="3"/>
  <c r="DF70" i="3"/>
  <c r="DL70" i="3"/>
  <c r="I69" i="15"/>
  <c r="DM70" i="3"/>
  <c r="DN70" i="3"/>
  <c r="DP70" i="3"/>
  <c r="DQ70" i="3"/>
  <c r="DW70" i="3"/>
  <c r="J69" i="15"/>
  <c r="DX70" i="3"/>
  <c r="DZ70" i="3"/>
  <c r="EC70" i="3"/>
  <c r="EJ70" i="3"/>
  <c r="K69" i="15"/>
  <c r="EK70" i="3"/>
  <c r="EM70" i="3"/>
  <c r="EP70" i="3"/>
  <c r="EW70" i="3"/>
  <c r="L69" i="15"/>
  <c r="EX70" i="3"/>
  <c r="EZ70" i="3"/>
  <c r="FC70" i="3"/>
  <c r="FJ70" i="3"/>
  <c r="M69" i="15"/>
  <c r="FK70" i="3"/>
  <c r="FL70" i="3"/>
  <c r="FN70" i="3"/>
  <c r="FO70" i="3"/>
  <c r="FR70" i="3"/>
  <c r="FT70" i="3"/>
  <c r="N69" i="15"/>
  <c r="C69" i="15"/>
  <c r="O69" i="15"/>
  <c r="P69" i="15"/>
  <c r="BP70" i="3"/>
  <c r="CC70" i="3"/>
  <c r="CE70" i="3"/>
  <c r="CH70" i="3"/>
  <c r="CK70" i="3"/>
  <c r="Q69" i="15"/>
  <c r="CP70" i="3"/>
  <c r="CR70" i="3"/>
  <c r="CU70" i="3"/>
  <c r="CX70" i="3"/>
  <c r="R69" i="15"/>
  <c r="DY70" i="3"/>
  <c r="EA70" i="3"/>
  <c r="ED70" i="3"/>
  <c r="EG70" i="3"/>
  <c r="S69" i="15"/>
  <c r="EL70" i="3"/>
  <c r="EN70" i="3"/>
  <c r="EQ70" i="3"/>
  <c r="ET70" i="3"/>
  <c r="T69" i="15"/>
  <c r="EY70" i="3"/>
  <c r="FA70" i="3"/>
  <c r="FD70" i="3"/>
  <c r="FG70" i="3"/>
  <c r="U69" i="15"/>
  <c r="FV70" i="3"/>
  <c r="FY70" i="3"/>
  <c r="V69" i="15"/>
  <c r="FZ70" i="3"/>
  <c r="W69" i="15"/>
  <c r="GA70" i="3"/>
  <c r="X69" i="15"/>
  <c r="GB70" i="3"/>
  <c r="Y69" i="15"/>
  <c r="GC70" i="3"/>
  <c r="Z69" i="15"/>
  <c r="GD70" i="3"/>
  <c r="AA69" i="15"/>
  <c r="GE70" i="3"/>
  <c r="AB69" i="15"/>
  <c r="GF70" i="3"/>
  <c r="AC69" i="15"/>
  <c r="V71" i="3" a="1"/>
  <c r="V71" i="3"/>
  <c r="AS71" i="3"/>
  <c r="B70" i="15"/>
  <c r="P71" i="3" a="1"/>
  <c r="P71" i="3"/>
  <c r="S71" i="3"/>
  <c r="AU71" i="3"/>
  <c r="AW71" i="3"/>
  <c r="AZ71" i="3"/>
  <c r="BA71" i="3"/>
  <c r="D70" i="15"/>
  <c r="AV71" i="3"/>
  <c r="BD71" i="3"/>
  <c r="BF71" i="3"/>
  <c r="BG71" i="3"/>
  <c r="E70" i="15"/>
  <c r="BQ71" i="3"/>
  <c r="BR71" i="3"/>
  <c r="BS71" i="3"/>
  <c r="BN71" i="3"/>
  <c r="BU71" i="3"/>
  <c r="BV71" i="3"/>
  <c r="BY71" i="3"/>
  <c r="CA71" i="3"/>
  <c r="F70" i="15"/>
  <c r="CB71" i="3"/>
  <c r="CD71" i="3"/>
  <c r="CG71" i="3"/>
  <c r="CN71" i="3"/>
  <c r="G70" i="15"/>
  <c r="CO71" i="3"/>
  <c r="CQ71" i="3"/>
  <c r="CT71" i="3"/>
  <c r="DA71" i="3"/>
  <c r="H70" i="15"/>
  <c r="DB71" i="3"/>
  <c r="DC71" i="3"/>
  <c r="DE71" i="3"/>
  <c r="DF71" i="3"/>
  <c r="DL71" i="3"/>
  <c r="I70" i="15"/>
  <c r="DM71" i="3"/>
  <c r="DN71" i="3"/>
  <c r="DP71" i="3"/>
  <c r="DQ71" i="3"/>
  <c r="DW71" i="3"/>
  <c r="J70" i="15"/>
  <c r="DX71" i="3"/>
  <c r="DZ71" i="3"/>
  <c r="EC71" i="3"/>
  <c r="EJ71" i="3"/>
  <c r="K70" i="15"/>
  <c r="EK71" i="3"/>
  <c r="EM71" i="3"/>
  <c r="EP71" i="3"/>
  <c r="EW71" i="3"/>
  <c r="L70" i="15"/>
  <c r="EX71" i="3"/>
  <c r="EZ71" i="3"/>
  <c r="FC71" i="3"/>
  <c r="FJ71" i="3"/>
  <c r="M70" i="15"/>
  <c r="FK71" i="3"/>
  <c r="FL71" i="3"/>
  <c r="FN71" i="3"/>
  <c r="FO71" i="3"/>
  <c r="FR71" i="3"/>
  <c r="FT71" i="3"/>
  <c r="N70" i="15"/>
  <c r="C70" i="15"/>
  <c r="O70" i="15"/>
  <c r="P70" i="15"/>
  <c r="BP71" i="3"/>
  <c r="CC71" i="3"/>
  <c r="CE71" i="3"/>
  <c r="CH71" i="3"/>
  <c r="CK71" i="3"/>
  <c r="Q70" i="15"/>
  <c r="CP71" i="3"/>
  <c r="CR71" i="3"/>
  <c r="CU71" i="3"/>
  <c r="CX71" i="3"/>
  <c r="R70" i="15"/>
  <c r="DY71" i="3"/>
  <c r="EA71" i="3"/>
  <c r="ED71" i="3"/>
  <c r="EG71" i="3"/>
  <c r="S70" i="15"/>
  <c r="EL71" i="3"/>
  <c r="EN71" i="3"/>
  <c r="EQ71" i="3"/>
  <c r="ET71" i="3"/>
  <c r="T70" i="15"/>
  <c r="EY71" i="3"/>
  <c r="FA71" i="3"/>
  <c r="FD71" i="3"/>
  <c r="FG71" i="3"/>
  <c r="U70" i="15"/>
  <c r="FV71" i="3"/>
  <c r="FY71" i="3"/>
  <c r="V70" i="15"/>
  <c r="FZ71" i="3"/>
  <c r="W70" i="15"/>
  <c r="GA71" i="3"/>
  <c r="X70" i="15"/>
  <c r="GB71" i="3"/>
  <c r="Y70" i="15"/>
  <c r="GC71" i="3"/>
  <c r="Z70" i="15"/>
  <c r="GD71" i="3"/>
  <c r="AA70" i="15"/>
  <c r="GE71" i="3"/>
  <c r="AB70" i="15"/>
  <c r="GF71" i="3"/>
  <c r="AC70" i="15"/>
  <c r="V72" i="3" a="1"/>
  <c r="V72" i="3"/>
  <c r="AS72" i="3"/>
  <c r="B71" i="15"/>
  <c r="P72" i="3" a="1"/>
  <c r="P72" i="3"/>
  <c r="S72" i="3"/>
  <c r="AU72" i="3"/>
  <c r="AW72" i="3"/>
  <c r="AZ72" i="3"/>
  <c r="BA72" i="3"/>
  <c r="D71" i="15"/>
  <c r="AV72" i="3"/>
  <c r="BD72" i="3"/>
  <c r="BF72" i="3"/>
  <c r="BG72" i="3"/>
  <c r="E71" i="15"/>
  <c r="BQ72" i="3"/>
  <c r="BR72" i="3"/>
  <c r="BS72" i="3"/>
  <c r="BN72" i="3"/>
  <c r="BU72" i="3"/>
  <c r="BV72" i="3"/>
  <c r="BY72" i="3"/>
  <c r="CA72" i="3"/>
  <c r="F71" i="15"/>
  <c r="CB72" i="3"/>
  <c r="CD72" i="3"/>
  <c r="CG72" i="3"/>
  <c r="CN72" i="3"/>
  <c r="G71" i="15"/>
  <c r="CO72" i="3"/>
  <c r="CQ72" i="3"/>
  <c r="CT72" i="3"/>
  <c r="DA72" i="3"/>
  <c r="H71" i="15"/>
  <c r="DB72" i="3"/>
  <c r="DC72" i="3"/>
  <c r="DE72" i="3"/>
  <c r="DF72" i="3"/>
  <c r="DL72" i="3"/>
  <c r="I71" i="15"/>
  <c r="DM72" i="3"/>
  <c r="DN72" i="3"/>
  <c r="DP72" i="3"/>
  <c r="DQ72" i="3"/>
  <c r="DW72" i="3"/>
  <c r="J71" i="15"/>
  <c r="DX72" i="3"/>
  <c r="DZ72" i="3"/>
  <c r="EC72" i="3"/>
  <c r="EJ72" i="3"/>
  <c r="K71" i="15"/>
  <c r="EK72" i="3"/>
  <c r="EM72" i="3"/>
  <c r="EP72" i="3"/>
  <c r="EW72" i="3"/>
  <c r="L71" i="15"/>
  <c r="EX72" i="3"/>
  <c r="EZ72" i="3"/>
  <c r="FC72" i="3"/>
  <c r="FJ72" i="3"/>
  <c r="M71" i="15"/>
  <c r="FK72" i="3"/>
  <c r="FL72" i="3"/>
  <c r="FN72" i="3"/>
  <c r="FO72" i="3"/>
  <c r="FR72" i="3"/>
  <c r="FT72" i="3"/>
  <c r="N71" i="15"/>
  <c r="C71" i="15"/>
  <c r="O71" i="15"/>
  <c r="P71" i="15"/>
  <c r="BP72" i="3"/>
  <c r="CC72" i="3"/>
  <c r="CE72" i="3"/>
  <c r="CH72" i="3"/>
  <c r="CK72" i="3"/>
  <c r="Q71" i="15"/>
  <c r="CP72" i="3"/>
  <c r="CR72" i="3"/>
  <c r="CU72" i="3"/>
  <c r="CX72" i="3"/>
  <c r="R71" i="15"/>
  <c r="DY72" i="3"/>
  <c r="EA72" i="3"/>
  <c r="ED72" i="3"/>
  <c r="EG72" i="3"/>
  <c r="S71" i="15"/>
  <c r="EL72" i="3"/>
  <c r="EN72" i="3"/>
  <c r="EQ72" i="3"/>
  <c r="ET72" i="3"/>
  <c r="T71" i="15"/>
  <c r="EY72" i="3"/>
  <c r="FA72" i="3"/>
  <c r="FD72" i="3"/>
  <c r="FG72" i="3"/>
  <c r="U71" i="15"/>
  <c r="FV72" i="3"/>
  <c r="FY72" i="3"/>
  <c r="V71" i="15"/>
  <c r="FZ72" i="3"/>
  <c r="W71" i="15"/>
  <c r="GA72" i="3"/>
  <c r="X71" i="15"/>
  <c r="GB72" i="3"/>
  <c r="Y71" i="15"/>
  <c r="GC72" i="3"/>
  <c r="Z71" i="15"/>
  <c r="GD72" i="3"/>
  <c r="AA71" i="15"/>
  <c r="GE72" i="3"/>
  <c r="AB71" i="15"/>
  <c r="GF72" i="3"/>
  <c r="AC71" i="15"/>
  <c r="V73" i="3" a="1"/>
  <c r="V73" i="3"/>
  <c r="AS73" i="3"/>
  <c r="B72" i="15"/>
  <c r="P73" i="3" a="1"/>
  <c r="P73" i="3"/>
  <c r="S73" i="3"/>
  <c r="AU73" i="3"/>
  <c r="AW73" i="3"/>
  <c r="AZ73" i="3"/>
  <c r="BA73" i="3"/>
  <c r="D72" i="15"/>
  <c r="AV73" i="3"/>
  <c r="BD73" i="3"/>
  <c r="BF73" i="3"/>
  <c r="BG73" i="3"/>
  <c r="E72" i="15"/>
  <c r="BQ73" i="3"/>
  <c r="BR73" i="3"/>
  <c r="BS73" i="3"/>
  <c r="BN73" i="3"/>
  <c r="BU73" i="3"/>
  <c r="BV73" i="3"/>
  <c r="BY73" i="3"/>
  <c r="CA73" i="3"/>
  <c r="F72" i="15"/>
  <c r="CB73" i="3"/>
  <c r="CD73" i="3"/>
  <c r="CG73" i="3"/>
  <c r="CN73" i="3"/>
  <c r="G72" i="15"/>
  <c r="CO73" i="3"/>
  <c r="CQ73" i="3"/>
  <c r="CT73" i="3"/>
  <c r="DA73" i="3"/>
  <c r="H72" i="15"/>
  <c r="DB73" i="3"/>
  <c r="DC73" i="3"/>
  <c r="DE73" i="3"/>
  <c r="DF73" i="3"/>
  <c r="DL73" i="3"/>
  <c r="I72" i="15"/>
  <c r="DM73" i="3"/>
  <c r="DN73" i="3"/>
  <c r="DP73" i="3"/>
  <c r="DQ73" i="3"/>
  <c r="DW73" i="3"/>
  <c r="J72" i="15"/>
  <c r="DX73" i="3"/>
  <c r="DZ73" i="3"/>
  <c r="EC73" i="3"/>
  <c r="EJ73" i="3"/>
  <c r="K72" i="15"/>
  <c r="EK73" i="3"/>
  <c r="EM73" i="3"/>
  <c r="EP73" i="3"/>
  <c r="EW73" i="3"/>
  <c r="L72" i="15"/>
  <c r="EX73" i="3"/>
  <c r="EZ73" i="3"/>
  <c r="FC73" i="3"/>
  <c r="FJ73" i="3"/>
  <c r="M72" i="15"/>
  <c r="FK73" i="3"/>
  <c r="FL73" i="3"/>
  <c r="FN73" i="3"/>
  <c r="FO73" i="3"/>
  <c r="FR73" i="3"/>
  <c r="FT73" i="3"/>
  <c r="N72" i="15"/>
  <c r="C72" i="15"/>
  <c r="O72" i="15"/>
  <c r="P72" i="15"/>
  <c r="BP73" i="3"/>
  <c r="CC73" i="3"/>
  <c r="CE73" i="3"/>
  <c r="CH73" i="3"/>
  <c r="CK73" i="3"/>
  <c r="Q72" i="15"/>
  <c r="CP73" i="3"/>
  <c r="CR73" i="3"/>
  <c r="CU73" i="3"/>
  <c r="CX73" i="3"/>
  <c r="R72" i="15"/>
  <c r="DY73" i="3"/>
  <c r="EA73" i="3"/>
  <c r="ED73" i="3"/>
  <c r="EG73" i="3"/>
  <c r="S72" i="15"/>
  <c r="EL73" i="3"/>
  <c r="EN73" i="3"/>
  <c r="EQ73" i="3"/>
  <c r="ET73" i="3"/>
  <c r="T72" i="15"/>
  <c r="EY73" i="3"/>
  <c r="FA73" i="3"/>
  <c r="FD73" i="3"/>
  <c r="FG73" i="3"/>
  <c r="U72" i="15"/>
  <c r="FV73" i="3"/>
  <c r="FY73" i="3"/>
  <c r="V72" i="15"/>
  <c r="FZ73" i="3"/>
  <c r="W72" i="15"/>
  <c r="GA73" i="3"/>
  <c r="X72" i="15"/>
  <c r="GB73" i="3"/>
  <c r="Y72" i="15"/>
  <c r="GC73" i="3"/>
  <c r="Z72" i="15"/>
  <c r="GD73" i="3"/>
  <c r="AA72" i="15"/>
  <c r="GE73" i="3"/>
  <c r="AB72" i="15"/>
  <c r="GF73" i="3"/>
  <c r="AC72" i="15"/>
  <c r="V74" i="3" a="1"/>
  <c r="V74" i="3"/>
  <c r="AS74" i="3"/>
  <c r="B73" i="15"/>
  <c r="P74" i="3" a="1"/>
  <c r="P74" i="3"/>
  <c r="S74" i="3"/>
  <c r="AU74" i="3"/>
  <c r="AW74" i="3"/>
  <c r="AZ74" i="3"/>
  <c r="BA74" i="3"/>
  <c r="D73" i="15"/>
  <c r="AV74" i="3"/>
  <c r="BD74" i="3"/>
  <c r="BF74" i="3"/>
  <c r="BG74" i="3"/>
  <c r="E73" i="15"/>
  <c r="BQ74" i="3"/>
  <c r="BR74" i="3"/>
  <c r="BS74" i="3"/>
  <c r="BN74" i="3"/>
  <c r="BU74" i="3"/>
  <c r="BV74" i="3"/>
  <c r="BY74" i="3"/>
  <c r="CA74" i="3"/>
  <c r="F73" i="15"/>
  <c r="CB74" i="3"/>
  <c r="CD74" i="3"/>
  <c r="CG74" i="3"/>
  <c r="CN74" i="3"/>
  <c r="G73" i="15"/>
  <c r="CO74" i="3"/>
  <c r="CQ74" i="3"/>
  <c r="CT74" i="3"/>
  <c r="DA74" i="3"/>
  <c r="H73" i="15"/>
  <c r="DB74" i="3"/>
  <c r="DC74" i="3"/>
  <c r="DE74" i="3"/>
  <c r="DF74" i="3"/>
  <c r="DL74" i="3"/>
  <c r="I73" i="15"/>
  <c r="DM74" i="3"/>
  <c r="DN74" i="3"/>
  <c r="DP74" i="3"/>
  <c r="DQ74" i="3"/>
  <c r="DW74" i="3"/>
  <c r="J73" i="15"/>
  <c r="DX74" i="3"/>
  <c r="DZ74" i="3"/>
  <c r="EC74" i="3"/>
  <c r="EJ74" i="3"/>
  <c r="K73" i="15"/>
  <c r="EK74" i="3"/>
  <c r="EM74" i="3"/>
  <c r="EP74" i="3"/>
  <c r="EW74" i="3"/>
  <c r="L73" i="15"/>
  <c r="EX74" i="3"/>
  <c r="EZ74" i="3"/>
  <c r="FC74" i="3"/>
  <c r="FJ74" i="3"/>
  <c r="M73" i="15"/>
  <c r="FK74" i="3"/>
  <c r="FL74" i="3"/>
  <c r="FN74" i="3"/>
  <c r="FO74" i="3"/>
  <c r="FR74" i="3"/>
  <c r="FT74" i="3"/>
  <c r="N73" i="15"/>
  <c r="C73" i="15"/>
  <c r="O73" i="15"/>
  <c r="P73" i="15"/>
  <c r="BP74" i="3"/>
  <c r="CC74" i="3"/>
  <c r="CE74" i="3"/>
  <c r="CH74" i="3"/>
  <c r="CK74" i="3"/>
  <c r="Q73" i="15"/>
  <c r="CP74" i="3"/>
  <c r="CR74" i="3"/>
  <c r="CU74" i="3"/>
  <c r="CX74" i="3"/>
  <c r="R73" i="15"/>
  <c r="DY74" i="3"/>
  <c r="EA74" i="3"/>
  <c r="ED74" i="3"/>
  <c r="EG74" i="3"/>
  <c r="S73" i="15"/>
  <c r="EL74" i="3"/>
  <c r="EN74" i="3"/>
  <c r="EQ74" i="3"/>
  <c r="ET74" i="3"/>
  <c r="T73" i="15"/>
  <c r="EY74" i="3"/>
  <c r="FA74" i="3"/>
  <c r="FD74" i="3"/>
  <c r="FG74" i="3"/>
  <c r="U73" i="15"/>
  <c r="FV74" i="3"/>
  <c r="FY74" i="3"/>
  <c r="V73" i="15"/>
  <c r="FZ74" i="3"/>
  <c r="W73" i="15"/>
  <c r="GA74" i="3"/>
  <c r="X73" i="15"/>
  <c r="GB74" i="3"/>
  <c r="Y73" i="15"/>
  <c r="GC74" i="3"/>
  <c r="Z73" i="15"/>
  <c r="GD74" i="3"/>
  <c r="AA73" i="15"/>
  <c r="GE74" i="3"/>
  <c r="AB73" i="15"/>
  <c r="GF74" i="3"/>
  <c r="AC73" i="15"/>
  <c r="V75" i="3" a="1"/>
  <c r="V75" i="3"/>
  <c r="AS75" i="3"/>
  <c r="B74" i="15"/>
  <c r="P75" i="3" a="1"/>
  <c r="P75" i="3"/>
  <c r="S75" i="3"/>
  <c r="AU75" i="3"/>
  <c r="AW75" i="3"/>
  <c r="AZ75" i="3"/>
  <c r="BA75" i="3"/>
  <c r="D74" i="15"/>
  <c r="AV75" i="3"/>
  <c r="BD75" i="3"/>
  <c r="BF75" i="3"/>
  <c r="BG75" i="3"/>
  <c r="E74" i="15"/>
  <c r="BQ75" i="3"/>
  <c r="BR75" i="3"/>
  <c r="BS75" i="3"/>
  <c r="BN75" i="3"/>
  <c r="BU75" i="3"/>
  <c r="BV75" i="3"/>
  <c r="BY75" i="3"/>
  <c r="CA75" i="3"/>
  <c r="F74" i="15"/>
  <c r="CB75" i="3"/>
  <c r="CD75" i="3"/>
  <c r="CG75" i="3"/>
  <c r="CN75" i="3"/>
  <c r="G74" i="15"/>
  <c r="CO75" i="3"/>
  <c r="CQ75" i="3"/>
  <c r="CT75" i="3"/>
  <c r="DA75" i="3"/>
  <c r="H74" i="15"/>
  <c r="DB75" i="3"/>
  <c r="DC75" i="3"/>
  <c r="DE75" i="3"/>
  <c r="DF75" i="3"/>
  <c r="DL75" i="3"/>
  <c r="I74" i="15"/>
  <c r="DM75" i="3"/>
  <c r="DN75" i="3"/>
  <c r="DP75" i="3"/>
  <c r="DQ75" i="3"/>
  <c r="DW75" i="3"/>
  <c r="J74" i="15"/>
  <c r="DX75" i="3"/>
  <c r="DZ75" i="3"/>
  <c r="EC75" i="3"/>
  <c r="EJ75" i="3"/>
  <c r="K74" i="15"/>
  <c r="EK75" i="3"/>
  <c r="EM75" i="3"/>
  <c r="EP75" i="3"/>
  <c r="EW75" i="3"/>
  <c r="L74" i="15"/>
  <c r="EX75" i="3"/>
  <c r="EZ75" i="3"/>
  <c r="FC75" i="3"/>
  <c r="FJ75" i="3"/>
  <c r="M74" i="15"/>
  <c r="FK75" i="3"/>
  <c r="FL75" i="3"/>
  <c r="FN75" i="3"/>
  <c r="FO75" i="3"/>
  <c r="FR75" i="3"/>
  <c r="FT75" i="3"/>
  <c r="N74" i="15"/>
  <c r="C74" i="15"/>
  <c r="O74" i="15"/>
  <c r="P74" i="15"/>
  <c r="BP75" i="3"/>
  <c r="CC75" i="3"/>
  <c r="CE75" i="3"/>
  <c r="CH75" i="3"/>
  <c r="CK75" i="3"/>
  <c r="Q74" i="15"/>
  <c r="CP75" i="3"/>
  <c r="CR75" i="3"/>
  <c r="CU75" i="3"/>
  <c r="CX75" i="3"/>
  <c r="R74" i="15"/>
  <c r="DY75" i="3"/>
  <c r="EA75" i="3"/>
  <c r="ED75" i="3"/>
  <c r="EG75" i="3"/>
  <c r="S74" i="15"/>
  <c r="EL75" i="3"/>
  <c r="EN75" i="3"/>
  <c r="EQ75" i="3"/>
  <c r="ET75" i="3"/>
  <c r="T74" i="15"/>
  <c r="EY75" i="3"/>
  <c r="FA75" i="3"/>
  <c r="FD75" i="3"/>
  <c r="FG75" i="3"/>
  <c r="U74" i="15"/>
  <c r="FV75" i="3"/>
  <c r="FY75" i="3"/>
  <c r="V74" i="15"/>
  <c r="FZ75" i="3"/>
  <c r="W74" i="15"/>
  <c r="GA75" i="3"/>
  <c r="X74" i="15"/>
  <c r="GB75" i="3"/>
  <c r="Y74" i="15"/>
  <c r="GC75" i="3"/>
  <c r="Z74" i="15"/>
  <c r="GD75" i="3"/>
  <c r="AA74" i="15"/>
  <c r="GE75" i="3"/>
  <c r="AB74" i="15"/>
  <c r="GF75" i="3"/>
  <c r="AC74" i="15"/>
  <c r="V76" i="3" a="1"/>
  <c r="V76" i="3"/>
  <c r="AS76" i="3"/>
  <c r="B75" i="15"/>
  <c r="P76" i="3" a="1"/>
  <c r="P76" i="3"/>
  <c r="S76" i="3"/>
  <c r="AU76" i="3"/>
  <c r="AW76" i="3"/>
  <c r="AZ76" i="3"/>
  <c r="BA76" i="3"/>
  <c r="D75" i="15"/>
  <c r="AV76" i="3"/>
  <c r="BD76" i="3"/>
  <c r="BF76" i="3"/>
  <c r="BG76" i="3"/>
  <c r="E75" i="15"/>
  <c r="BQ76" i="3"/>
  <c r="BR76" i="3"/>
  <c r="BS76" i="3"/>
  <c r="BV76" i="3"/>
  <c r="BY76" i="3"/>
  <c r="CA76" i="3"/>
  <c r="F75" i="15"/>
  <c r="CB76" i="3"/>
  <c r="CD76" i="3"/>
  <c r="CN76" i="3"/>
  <c r="G75" i="15"/>
  <c r="CO76" i="3"/>
  <c r="CQ76" i="3"/>
  <c r="DA76" i="3"/>
  <c r="H75" i="15"/>
  <c r="DB76" i="3"/>
  <c r="DC76" i="3"/>
  <c r="DF76" i="3"/>
  <c r="DL76" i="3"/>
  <c r="I75" i="15"/>
  <c r="DM76" i="3"/>
  <c r="DN76" i="3"/>
  <c r="DQ76" i="3"/>
  <c r="DW76" i="3"/>
  <c r="J75" i="15"/>
  <c r="DX76" i="3"/>
  <c r="DZ76" i="3"/>
  <c r="EJ76" i="3"/>
  <c r="K75" i="15"/>
  <c r="EK76" i="3"/>
  <c r="EM76" i="3"/>
  <c r="EW76" i="3"/>
  <c r="L75" i="15"/>
  <c r="EX76" i="3"/>
  <c r="EZ76" i="3"/>
  <c r="FJ76" i="3"/>
  <c r="M75" i="15"/>
  <c r="FK76" i="3"/>
  <c r="FL76" i="3"/>
  <c r="FO76" i="3"/>
  <c r="FR76" i="3"/>
  <c r="FT76" i="3"/>
  <c r="N75" i="15"/>
  <c r="C75" i="15"/>
  <c r="O75" i="15"/>
  <c r="P75" i="15"/>
  <c r="BP76" i="3"/>
  <c r="CC76" i="3"/>
  <c r="CE76" i="3"/>
  <c r="CH76" i="3"/>
  <c r="CK76" i="3"/>
  <c r="Q75" i="15"/>
  <c r="CP76" i="3"/>
  <c r="CR76" i="3"/>
  <c r="CU76" i="3"/>
  <c r="CX76" i="3"/>
  <c r="R75" i="15"/>
  <c r="DY76" i="3"/>
  <c r="EA76" i="3"/>
  <c r="ED76" i="3"/>
  <c r="EG76" i="3"/>
  <c r="S75" i="15"/>
  <c r="EL76" i="3"/>
  <c r="EN76" i="3"/>
  <c r="EQ76" i="3"/>
  <c r="ET76" i="3"/>
  <c r="T75" i="15"/>
  <c r="EY76" i="3"/>
  <c r="FA76" i="3"/>
  <c r="FD76" i="3"/>
  <c r="FG76" i="3"/>
  <c r="U75" i="15"/>
  <c r="FV76" i="3"/>
  <c r="FY76" i="3"/>
  <c r="V75" i="15"/>
  <c r="FZ76" i="3"/>
  <c r="W75" i="15"/>
  <c r="GA76" i="3"/>
  <c r="X75" i="15"/>
  <c r="GB76" i="3"/>
  <c r="Y75" i="15"/>
  <c r="GC76" i="3"/>
  <c r="Z75" i="15"/>
  <c r="GD76" i="3"/>
  <c r="AA75" i="15"/>
  <c r="GE76" i="3"/>
  <c r="AB75" i="15"/>
  <c r="GF76" i="3"/>
  <c r="AC75" i="15"/>
  <c r="V77" i="3" a="1"/>
  <c r="V77" i="3"/>
  <c r="AS77" i="3"/>
  <c r="B76" i="15"/>
  <c r="P77" i="3" a="1"/>
  <c r="P77" i="3"/>
  <c r="S77" i="3"/>
  <c r="AU77" i="3"/>
  <c r="AW77" i="3"/>
  <c r="AZ77" i="3"/>
  <c r="BA77" i="3"/>
  <c r="D76" i="15"/>
  <c r="AV77" i="3"/>
  <c r="BD77" i="3"/>
  <c r="BF77" i="3"/>
  <c r="BG77" i="3"/>
  <c r="E76" i="15"/>
  <c r="BQ77" i="3"/>
  <c r="BR77" i="3"/>
  <c r="BS77" i="3"/>
  <c r="BN77" i="3"/>
  <c r="BU77" i="3"/>
  <c r="BV77" i="3"/>
  <c r="BY77" i="3"/>
  <c r="CA77" i="3"/>
  <c r="F76" i="15"/>
  <c r="CB77" i="3"/>
  <c r="CD77" i="3"/>
  <c r="CG77" i="3"/>
  <c r="CN77" i="3"/>
  <c r="G76" i="15"/>
  <c r="CO77" i="3"/>
  <c r="CQ77" i="3"/>
  <c r="CT77" i="3"/>
  <c r="DA77" i="3"/>
  <c r="H76" i="15"/>
  <c r="DB77" i="3"/>
  <c r="DC77" i="3"/>
  <c r="DE77" i="3"/>
  <c r="DF77" i="3"/>
  <c r="DL77" i="3"/>
  <c r="I76" i="15"/>
  <c r="DM77" i="3"/>
  <c r="DN77" i="3"/>
  <c r="DP77" i="3"/>
  <c r="DQ77" i="3"/>
  <c r="DW77" i="3"/>
  <c r="J76" i="15"/>
  <c r="DX77" i="3"/>
  <c r="DZ77" i="3"/>
  <c r="EC77" i="3"/>
  <c r="EJ77" i="3"/>
  <c r="K76" i="15"/>
  <c r="EK77" i="3"/>
  <c r="EM77" i="3"/>
  <c r="EP77" i="3"/>
  <c r="EW77" i="3"/>
  <c r="L76" i="15"/>
  <c r="EX77" i="3"/>
  <c r="EZ77" i="3"/>
  <c r="FC77" i="3"/>
  <c r="FJ77" i="3"/>
  <c r="M76" i="15"/>
  <c r="FK77" i="3"/>
  <c r="FL77" i="3"/>
  <c r="FN77" i="3"/>
  <c r="FO77" i="3"/>
  <c r="FR77" i="3"/>
  <c r="FT77" i="3"/>
  <c r="N76" i="15"/>
  <c r="C76" i="15"/>
  <c r="O76" i="15"/>
  <c r="P76" i="15"/>
  <c r="BP77" i="3"/>
  <c r="CC77" i="3"/>
  <c r="CE77" i="3"/>
  <c r="CH77" i="3"/>
  <c r="CK77" i="3"/>
  <c r="Q76" i="15"/>
  <c r="CP77" i="3"/>
  <c r="CR77" i="3"/>
  <c r="CU77" i="3"/>
  <c r="CX77" i="3"/>
  <c r="R76" i="15"/>
  <c r="DY77" i="3"/>
  <c r="EA77" i="3"/>
  <c r="ED77" i="3"/>
  <c r="EG77" i="3"/>
  <c r="S76" i="15"/>
  <c r="EL77" i="3"/>
  <c r="EN77" i="3"/>
  <c r="EQ77" i="3"/>
  <c r="ET77" i="3"/>
  <c r="T76" i="15"/>
  <c r="EY77" i="3"/>
  <c r="FA77" i="3"/>
  <c r="FD77" i="3"/>
  <c r="FG77" i="3"/>
  <c r="U76" i="15"/>
  <c r="FV77" i="3"/>
  <c r="FY77" i="3"/>
  <c r="V76" i="15"/>
  <c r="FZ77" i="3"/>
  <c r="W76" i="15"/>
  <c r="GA77" i="3"/>
  <c r="X76" i="15"/>
  <c r="GB77" i="3"/>
  <c r="Y76" i="15"/>
  <c r="GC77" i="3"/>
  <c r="Z76" i="15"/>
  <c r="GD77" i="3"/>
  <c r="AA76" i="15"/>
  <c r="GE77" i="3"/>
  <c r="AB76" i="15"/>
  <c r="GF77" i="3"/>
  <c r="AC76" i="15"/>
  <c r="V78" i="3" a="1"/>
  <c r="V78" i="3"/>
  <c r="AS78" i="3"/>
  <c r="B77" i="15"/>
  <c r="P78" i="3" a="1"/>
  <c r="P78" i="3"/>
  <c r="S78" i="3"/>
  <c r="AU78" i="3"/>
  <c r="AW78" i="3"/>
  <c r="AZ78" i="3"/>
  <c r="BA78" i="3"/>
  <c r="D77" i="15"/>
  <c r="AV78" i="3"/>
  <c r="BD78" i="3"/>
  <c r="BF78" i="3"/>
  <c r="BG78" i="3"/>
  <c r="E77" i="15"/>
  <c r="BQ78" i="3"/>
  <c r="BR78" i="3"/>
  <c r="BS78" i="3"/>
  <c r="BN78" i="3"/>
  <c r="BU78" i="3"/>
  <c r="BV78" i="3"/>
  <c r="BY78" i="3"/>
  <c r="CA78" i="3"/>
  <c r="F77" i="15"/>
  <c r="CB78" i="3"/>
  <c r="CD78" i="3"/>
  <c r="CG78" i="3"/>
  <c r="CN78" i="3"/>
  <c r="G77" i="15"/>
  <c r="CO78" i="3"/>
  <c r="CQ78" i="3"/>
  <c r="CT78" i="3"/>
  <c r="DA78" i="3"/>
  <c r="H77" i="15"/>
  <c r="DB78" i="3"/>
  <c r="DC78" i="3"/>
  <c r="DE78" i="3"/>
  <c r="DF78" i="3"/>
  <c r="DL78" i="3"/>
  <c r="I77" i="15"/>
  <c r="DM78" i="3"/>
  <c r="DN78" i="3"/>
  <c r="DP78" i="3"/>
  <c r="DQ78" i="3"/>
  <c r="DW78" i="3"/>
  <c r="J77" i="15"/>
  <c r="DX78" i="3"/>
  <c r="DZ78" i="3"/>
  <c r="EC78" i="3"/>
  <c r="EJ78" i="3"/>
  <c r="K77" i="15"/>
  <c r="EK78" i="3"/>
  <c r="EM78" i="3"/>
  <c r="EP78" i="3"/>
  <c r="EW78" i="3"/>
  <c r="L77" i="15"/>
  <c r="EX78" i="3"/>
  <c r="EZ78" i="3"/>
  <c r="FC78" i="3"/>
  <c r="FJ78" i="3"/>
  <c r="M77" i="15"/>
  <c r="FK78" i="3"/>
  <c r="FL78" i="3"/>
  <c r="FN78" i="3"/>
  <c r="FO78" i="3"/>
  <c r="FR78" i="3"/>
  <c r="FT78" i="3"/>
  <c r="N77" i="15"/>
  <c r="C77" i="15"/>
  <c r="O77" i="15"/>
  <c r="P77" i="15"/>
  <c r="BP78" i="3"/>
  <c r="CC78" i="3"/>
  <c r="CE78" i="3"/>
  <c r="CH78" i="3"/>
  <c r="CK78" i="3"/>
  <c r="Q77" i="15"/>
  <c r="CP78" i="3"/>
  <c r="CR78" i="3"/>
  <c r="CU78" i="3"/>
  <c r="CX78" i="3"/>
  <c r="R77" i="15"/>
  <c r="DY78" i="3"/>
  <c r="EA78" i="3"/>
  <c r="ED78" i="3"/>
  <c r="EG78" i="3"/>
  <c r="S77" i="15"/>
  <c r="EL78" i="3"/>
  <c r="EN78" i="3"/>
  <c r="EQ78" i="3"/>
  <c r="ET78" i="3"/>
  <c r="T77" i="15"/>
  <c r="EY78" i="3"/>
  <c r="FA78" i="3"/>
  <c r="FD78" i="3"/>
  <c r="FG78" i="3"/>
  <c r="U77" i="15"/>
  <c r="FV78" i="3"/>
  <c r="FY78" i="3"/>
  <c r="V77" i="15"/>
  <c r="FZ78" i="3"/>
  <c r="W77" i="15"/>
  <c r="GA78" i="3"/>
  <c r="X77" i="15"/>
  <c r="GB78" i="3"/>
  <c r="Y77" i="15"/>
  <c r="GC78" i="3"/>
  <c r="Z77" i="15"/>
  <c r="GD78" i="3"/>
  <c r="AA77" i="15"/>
  <c r="GE78" i="3"/>
  <c r="AB77" i="15"/>
  <c r="GF78" i="3"/>
  <c r="AC77" i="15"/>
  <c r="V79" i="3" a="1"/>
  <c r="V79" i="3"/>
  <c r="AS79" i="3"/>
  <c r="B78" i="15"/>
  <c r="P79" i="3" a="1"/>
  <c r="P79" i="3"/>
  <c r="S79" i="3"/>
  <c r="AU79" i="3"/>
  <c r="AW79" i="3"/>
  <c r="AZ79" i="3"/>
  <c r="BA79" i="3"/>
  <c r="D78" i="15"/>
  <c r="AV79" i="3"/>
  <c r="BD79" i="3"/>
  <c r="BF79" i="3"/>
  <c r="BG79" i="3"/>
  <c r="E78" i="15"/>
  <c r="BQ79" i="3"/>
  <c r="BR79" i="3"/>
  <c r="BS79" i="3"/>
  <c r="BN79" i="3"/>
  <c r="BU79" i="3"/>
  <c r="BV79" i="3"/>
  <c r="BY79" i="3"/>
  <c r="CA79" i="3"/>
  <c r="F78" i="15"/>
  <c r="CB79" i="3"/>
  <c r="CD79" i="3"/>
  <c r="CG79" i="3"/>
  <c r="CN79" i="3"/>
  <c r="G78" i="15"/>
  <c r="CO79" i="3"/>
  <c r="CQ79" i="3"/>
  <c r="CT79" i="3"/>
  <c r="DA79" i="3"/>
  <c r="H78" i="15"/>
  <c r="DB79" i="3"/>
  <c r="DC79" i="3"/>
  <c r="DE79" i="3"/>
  <c r="DF79" i="3"/>
  <c r="DL79" i="3"/>
  <c r="I78" i="15"/>
  <c r="DM79" i="3"/>
  <c r="DN79" i="3"/>
  <c r="DP79" i="3"/>
  <c r="DQ79" i="3"/>
  <c r="DW79" i="3"/>
  <c r="J78" i="15"/>
  <c r="DX79" i="3"/>
  <c r="DZ79" i="3"/>
  <c r="EC79" i="3"/>
  <c r="EJ79" i="3"/>
  <c r="K78" i="15"/>
  <c r="EK79" i="3"/>
  <c r="EM79" i="3"/>
  <c r="EP79" i="3"/>
  <c r="EW79" i="3"/>
  <c r="L78" i="15"/>
  <c r="EX79" i="3"/>
  <c r="EZ79" i="3"/>
  <c r="FC79" i="3"/>
  <c r="FJ79" i="3"/>
  <c r="M78" i="15"/>
  <c r="FK79" i="3"/>
  <c r="FL79" i="3"/>
  <c r="FN79" i="3"/>
  <c r="FO79" i="3"/>
  <c r="FR79" i="3"/>
  <c r="FT79" i="3"/>
  <c r="N78" i="15"/>
  <c r="C78" i="15"/>
  <c r="O78" i="15"/>
  <c r="P78" i="15"/>
  <c r="BP79" i="3"/>
  <c r="CC79" i="3"/>
  <c r="CE79" i="3"/>
  <c r="CH79" i="3"/>
  <c r="CK79" i="3"/>
  <c r="Q78" i="15"/>
  <c r="CP79" i="3"/>
  <c r="CR79" i="3"/>
  <c r="CU79" i="3"/>
  <c r="CX79" i="3"/>
  <c r="R78" i="15"/>
  <c r="DY79" i="3"/>
  <c r="EA79" i="3"/>
  <c r="ED79" i="3"/>
  <c r="EG79" i="3"/>
  <c r="S78" i="15"/>
  <c r="EL79" i="3"/>
  <c r="EN79" i="3"/>
  <c r="EQ79" i="3"/>
  <c r="ET79" i="3"/>
  <c r="T78" i="15"/>
  <c r="EY79" i="3"/>
  <c r="FA79" i="3"/>
  <c r="FD79" i="3"/>
  <c r="FG79" i="3"/>
  <c r="U78" i="15"/>
  <c r="FV79" i="3"/>
  <c r="FY79" i="3"/>
  <c r="V78" i="15"/>
  <c r="FZ79" i="3"/>
  <c r="W78" i="15"/>
  <c r="GA79" i="3"/>
  <c r="X78" i="15"/>
  <c r="GB79" i="3"/>
  <c r="Y78" i="15"/>
  <c r="GC79" i="3"/>
  <c r="Z78" i="15"/>
  <c r="GD79" i="3"/>
  <c r="AA78" i="15"/>
  <c r="GE79" i="3"/>
  <c r="AB78" i="15"/>
  <c r="GF79" i="3"/>
  <c r="AC78" i="15"/>
  <c r="V80" i="3" a="1"/>
  <c r="V80" i="3"/>
  <c r="AS80" i="3"/>
  <c r="B79" i="15"/>
  <c r="P80" i="3" a="1"/>
  <c r="P80" i="3"/>
  <c r="S80" i="3"/>
  <c r="AU80" i="3"/>
  <c r="AW80" i="3"/>
  <c r="AZ80" i="3"/>
  <c r="BA80" i="3"/>
  <c r="D79" i="15"/>
  <c r="AV80" i="3"/>
  <c r="BD80" i="3"/>
  <c r="BF80" i="3"/>
  <c r="BG80" i="3"/>
  <c r="E79" i="15"/>
  <c r="BQ80" i="3"/>
  <c r="BR80" i="3"/>
  <c r="BS80" i="3"/>
  <c r="BN80" i="3"/>
  <c r="BU80" i="3"/>
  <c r="BV80" i="3"/>
  <c r="BY80" i="3"/>
  <c r="CA80" i="3"/>
  <c r="F79" i="15"/>
  <c r="CB80" i="3"/>
  <c r="CD80" i="3"/>
  <c r="CG80" i="3"/>
  <c r="CN80" i="3"/>
  <c r="G79" i="15"/>
  <c r="CO80" i="3"/>
  <c r="CQ80" i="3"/>
  <c r="CT80" i="3"/>
  <c r="DA80" i="3"/>
  <c r="H79" i="15"/>
  <c r="DB80" i="3"/>
  <c r="DC80" i="3"/>
  <c r="DE80" i="3"/>
  <c r="DF80" i="3"/>
  <c r="DL80" i="3"/>
  <c r="I79" i="15"/>
  <c r="DM80" i="3"/>
  <c r="DN80" i="3"/>
  <c r="DP80" i="3"/>
  <c r="DQ80" i="3"/>
  <c r="DW80" i="3"/>
  <c r="J79" i="15"/>
  <c r="DX80" i="3"/>
  <c r="DZ80" i="3"/>
  <c r="EC80" i="3"/>
  <c r="EJ80" i="3"/>
  <c r="K79" i="15"/>
  <c r="EK80" i="3"/>
  <c r="EM80" i="3"/>
  <c r="EP80" i="3"/>
  <c r="EW80" i="3"/>
  <c r="L79" i="15"/>
  <c r="EX80" i="3"/>
  <c r="EZ80" i="3"/>
  <c r="FC80" i="3"/>
  <c r="FJ80" i="3"/>
  <c r="M79" i="15"/>
  <c r="FK80" i="3"/>
  <c r="FL80" i="3"/>
  <c r="FN80" i="3"/>
  <c r="FO80" i="3"/>
  <c r="FR80" i="3"/>
  <c r="FT80" i="3"/>
  <c r="N79" i="15"/>
  <c r="C79" i="15"/>
  <c r="O79" i="15"/>
  <c r="P79" i="15"/>
  <c r="BP80" i="3"/>
  <c r="CC80" i="3"/>
  <c r="CE80" i="3"/>
  <c r="CH80" i="3"/>
  <c r="CK80" i="3"/>
  <c r="Q79" i="15"/>
  <c r="CP80" i="3"/>
  <c r="CR80" i="3"/>
  <c r="CU80" i="3"/>
  <c r="CX80" i="3"/>
  <c r="R79" i="15"/>
  <c r="DY80" i="3"/>
  <c r="EA80" i="3"/>
  <c r="ED80" i="3"/>
  <c r="EG80" i="3"/>
  <c r="S79" i="15"/>
  <c r="EL80" i="3"/>
  <c r="EN80" i="3"/>
  <c r="EQ80" i="3"/>
  <c r="ET80" i="3"/>
  <c r="T79" i="15"/>
  <c r="EY80" i="3"/>
  <c r="FA80" i="3"/>
  <c r="FD80" i="3"/>
  <c r="FG80" i="3"/>
  <c r="U79" i="15"/>
  <c r="FV80" i="3"/>
  <c r="FY80" i="3"/>
  <c r="V79" i="15"/>
  <c r="FZ80" i="3"/>
  <c r="W79" i="15"/>
  <c r="GA80" i="3"/>
  <c r="X79" i="15"/>
  <c r="GB80" i="3"/>
  <c r="Y79" i="15"/>
  <c r="GC80" i="3"/>
  <c r="Z79" i="15"/>
  <c r="GD80" i="3"/>
  <c r="AA79" i="15"/>
  <c r="GE80" i="3"/>
  <c r="AB79" i="15"/>
  <c r="GF80" i="3"/>
  <c r="AC79" i="15"/>
  <c r="V81" i="3" a="1"/>
  <c r="V81" i="3"/>
  <c r="AS81" i="3"/>
  <c r="B80" i="15"/>
  <c r="P81" i="3" a="1"/>
  <c r="P81" i="3"/>
  <c r="S81" i="3"/>
  <c r="AU81" i="3"/>
  <c r="AW81" i="3"/>
  <c r="AZ81" i="3"/>
  <c r="BA81" i="3"/>
  <c r="D80" i="15"/>
  <c r="AV81" i="3"/>
  <c r="BD81" i="3"/>
  <c r="BF81" i="3"/>
  <c r="BG81" i="3"/>
  <c r="E80" i="15"/>
  <c r="BQ81" i="3"/>
  <c r="BR81" i="3"/>
  <c r="BS81" i="3"/>
  <c r="BV81" i="3"/>
  <c r="BY81" i="3"/>
  <c r="CA81" i="3"/>
  <c r="F80" i="15"/>
  <c r="CB81" i="3"/>
  <c r="CD81" i="3"/>
  <c r="CN81" i="3"/>
  <c r="G80" i="15"/>
  <c r="CO81" i="3"/>
  <c r="CQ81" i="3"/>
  <c r="DA81" i="3"/>
  <c r="H80" i="15"/>
  <c r="DB81" i="3"/>
  <c r="DC81" i="3"/>
  <c r="DF81" i="3"/>
  <c r="DL81" i="3"/>
  <c r="I80" i="15"/>
  <c r="DM81" i="3"/>
  <c r="DN81" i="3"/>
  <c r="DQ81" i="3"/>
  <c r="DW81" i="3"/>
  <c r="J80" i="15"/>
  <c r="DX81" i="3"/>
  <c r="DZ81" i="3"/>
  <c r="EJ81" i="3"/>
  <c r="K80" i="15"/>
  <c r="EK81" i="3"/>
  <c r="EM81" i="3"/>
  <c r="EW81" i="3"/>
  <c r="L80" i="15"/>
  <c r="EX81" i="3"/>
  <c r="EZ81" i="3"/>
  <c r="FJ81" i="3"/>
  <c r="M80" i="15"/>
  <c r="FK81" i="3"/>
  <c r="FL81" i="3"/>
  <c r="FO81" i="3"/>
  <c r="FR81" i="3"/>
  <c r="FT81" i="3"/>
  <c r="N80" i="15"/>
  <c r="C80" i="15"/>
  <c r="O80" i="15"/>
  <c r="P80" i="15"/>
  <c r="BP81" i="3"/>
  <c r="CC81" i="3"/>
  <c r="CE81" i="3"/>
  <c r="CH81" i="3"/>
  <c r="CK81" i="3"/>
  <c r="Q80" i="15"/>
  <c r="CP81" i="3"/>
  <c r="CR81" i="3"/>
  <c r="CU81" i="3"/>
  <c r="CX81" i="3"/>
  <c r="R80" i="15"/>
  <c r="DY81" i="3"/>
  <c r="EA81" i="3"/>
  <c r="ED81" i="3"/>
  <c r="EG81" i="3"/>
  <c r="S80" i="15"/>
  <c r="EL81" i="3"/>
  <c r="EN81" i="3"/>
  <c r="EQ81" i="3"/>
  <c r="ET81" i="3"/>
  <c r="T80" i="15"/>
  <c r="EY81" i="3"/>
  <c r="FA81" i="3"/>
  <c r="FD81" i="3"/>
  <c r="FG81" i="3"/>
  <c r="U80" i="15"/>
  <c r="FV81" i="3"/>
  <c r="FY81" i="3"/>
  <c r="V80" i="15"/>
  <c r="FZ81" i="3"/>
  <c r="W80" i="15"/>
  <c r="GA81" i="3"/>
  <c r="X80" i="15"/>
  <c r="GB81" i="3"/>
  <c r="Y80" i="15"/>
  <c r="GC81" i="3"/>
  <c r="Z80" i="15"/>
  <c r="GD81" i="3"/>
  <c r="AA80" i="15"/>
  <c r="GE81" i="3"/>
  <c r="AB80" i="15"/>
  <c r="GF81" i="3"/>
  <c r="AC80" i="15"/>
  <c r="V82" i="3" a="1"/>
  <c r="V82" i="3"/>
  <c r="AS82" i="3"/>
  <c r="B81" i="15"/>
  <c r="P82" i="3" a="1"/>
  <c r="P82" i="3"/>
  <c r="S82" i="3"/>
  <c r="AU82" i="3"/>
  <c r="AW82" i="3"/>
  <c r="AZ82" i="3"/>
  <c r="BA82" i="3"/>
  <c r="D81" i="15"/>
  <c r="AV82" i="3"/>
  <c r="BD82" i="3"/>
  <c r="BF82" i="3"/>
  <c r="BG82" i="3"/>
  <c r="E81" i="15"/>
  <c r="BQ82" i="3"/>
  <c r="BR82" i="3"/>
  <c r="BS82" i="3"/>
  <c r="BV82" i="3"/>
  <c r="BY82" i="3"/>
  <c r="CA82" i="3"/>
  <c r="F81" i="15"/>
  <c r="CB82" i="3"/>
  <c r="CD82" i="3"/>
  <c r="CN82" i="3"/>
  <c r="G81" i="15"/>
  <c r="CO82" i="3"/>
  <c r="CQ82" i="3"/>
  <c r="DA82" i="3"/>
  <c r="H81" i="15"/>
  <c r="DB82" i="3"/>
  <c r="DC82" i="3"/>
  <c r="DF82" i="3"/>
  <c r="DL82" i="3"/>
  <c r="I81" i="15"/>
  <c r="DM82" i="3"/>
  <c r="DN82" i="3"/>
  <c r="DQ82" i="3"/>
  <c r="DW82" i="3"/>
  <c r="J81" i="15"/>
  <c r="DX82" i="3"/>
  <c r="DZ82" i="3"/>
  <c r="EJ82" i="3"/>
  <c r="K81" i="15"/>
  <c r="EK82" i="3"/>
  <c r="EM82" i="3"/>
  <c r="EW82" i="3"/>
  <c r="L81" i="15"/>
  <c r="EX82" i="3"/>
  <c r="EZ82" i="3"/>
  <c r="FJ82" i="3"/>
  <c r="M81" i="15"/>
  <c r="FK82" i="3"/>
  <c r="FL82" i="3"/>
  <c r="FO82" i="3"/>
  <c r="FR82" i="3"/>
  <c r="FT82" i="3"/>
  <c r="N81" i="15"/>
  <c r="C81" i="15"/>
  <c r="O81" i="15"/>
  <c r="P81" i="15"/>
  <c r="BP82" i="3"/>
  <c r="CC82" i="3"/>
  <c r="CE82" i="3"/>
  <c r="CH82" i="3"/>
  <c r="CK82" i="3"/>
  <c r="Q81" i="15"/>
  <c r="CP82" i="3"/>
  <c r="CR82" i="3"/>
  <c r="CU82" i="3"/>
  <c r="CX82" i="3"/>
  <c r="R81" i="15"/>
  <c r="DY82" i="3"/>
  <c r="EA82" i="3"/>
  <c r="ED82" i="3"/>
  <c r="EG82" i="3"/>
  <c r="S81" i="15"/>
  <c r="EL82" i="3"/>
  <c r="EN82" i="3"/>
  <c r="EQ82" i="3"/>
  <c r="ET82" i="3"/>
  <c r="T81" i="15"/>
  <c r="EY82" i="3"/>
  <c r="FA82" i="3"/>
  <c r="FD82" i="3"/>
  <c r="FG82" i="3"/>
  <c r="U81" i="15"/>
  <c r="FV82" i="3"/>
  <c r="FY82" i="3"/>
  <c r="V81" i="15"/>
  <c r="FZ82" i="3"/>
  <c r="W81" i="15"/>
  <c r="GA82" i="3"/>
  <c r="X81" i="15"/>
  <c r="GB82" i="3"/>
  <c r="Y81" i="15"/>
  <c r="GC82" i="3"/>
  <c r="Z81" i="15"/>
  <c r="GD82" i="3"/>
  <c r="AA81" i="15"/>
  <c r="GE82" i="3"/>
  <c r="AB81" i="15"/>
  <c r="GF82" i="3"/>
  <c r="AC81" i="15"/>
  <c r="V83" i="3" a="1"/>
  <c r="V83" i="3"/>
  <c r="AS83" i="3"/>
  <c r="B82" i="15"/>
  <c r="P83" i="3" a="1"/>
  <c r="P83" i="3"/>
  <c r="S83" i="3"/>
  <c r="AU83" i="3"/>
  <c r="AW83" i="3"/>
  <c r="AZ83" i="3"/>
  <c r="BA83" i="3"/>
  <c r="D82" i="15"/>
  <c r="AV83" i="3"/>
  <c r="BD83" i="3"/>
  <c r="BF83" i="3"/>
  <c r="BG83" i="3"/>
  <c r="E82" i="15"/>
  <c r="BQ83" i="3"/>
  <c r="BR83" i="3"/>
  <c r="BS83" i="3"/>
  <c r="BN83" i="3"/>
  <c r="BU83" i="3"/>
  <c r="BV83" i="3"/>
  <c r="BY83" i="3"/>
  <c r="CA83" i="3"/>
  <c r="F82" i="15"/>
  <c r="CB83" i="3"/>
  <c r="CD83" i="3"/>
  <c r="CG83" i="3"/>
  <c r="CN83" i="3"/>
  <c r="G82" i="15"/>
  <c r="CO83" i="3"/>
  <c r="CQ83" i="3"/>
  <c r="CT83" i="3"/>
  <c r="DA83" i="3"/>
  <c r="H82" i="15"/>
  <c r="DB83" i="3"/>
  <c r="DC83" i="3"/>
  <c r="DE83" i="3"/>
  <c r="DF83" i="3"/>
  <c r="DL83" i="3"/>
  <c r="I82" i="15"/>
  <c r="DM83" i="3"/>
  <c r="DN83" i="3"/>
  <c r="DP83" i="3"/>
  <c r="DQ83" i="3"/>
  <c r="DW83" i="3"/>
  <c r="J82" i="15"/>
  <c r="DX83" i="3"/>
  <c r="DZ83" i="3"/>
  <c r="EC83" i="3"/>
  <c r="EJ83" i="3"/>
  <c r="K82" i="15"/>
  <c r="EK83" i="3"/>
  <c r="EM83" i="3"/>
  <c r="EP83" i="3"/>
  <c r="EW83" i="3"/>
  <c r="L82" i="15"/>
  <c r="EX83" i="3"/>
  <c r="EZ83" i="3"/>
  <c r="FC83" i="3"/>
  <c r="FJ83" i="3"/>
  <c r="M82" i="15"/>
  <c r="FK83" i="3"/>
  <c r="FL83" i="3"/>
  <c r="FN83" i="3"/>
  <c r="FO83" i="3"/>
  <c r="FR83" i="3"/>
  <c r="FT83" i="3"/>
  <c r="N82" i="15"/>
  <c r="C82" i="15"/>
  <c r="O82" i="15"/>
  <c r="P82" i="15"/>
  <c r="BP83" i="3"/>
  <c r="CC83" i="3"/>
  <c r="CE83" i="3"/>
  <c r="CH83" i="3"/>
  <c r="CK83" i="3"/>
  <c r="Q82" i="15"/>
  <c r="CP83" i="3"/>
  <c r="CR83" i="3"/>
  <c r="CU83" i="3"/>
  <c r="CX83" i="3"/>
  <c r="R82" i="15"/>
  <c r="DY83" i="3"/>
  <c r="EA83" i="3"/>
  <c r="ED83" i="3"/>
  <c r="EG83" i="3"/>
  <c r="S82" i="15"/>
  <c r="EL83" i="3"/>
  <c r="EN83" i="3"/>
  <c r="EQ83" i="3"/>
  <c r="ET83" i="3"/>
  <c r="T82" i="15"/>
  <c r="EY83" i="3"/>
  <c r="FA83" i="3"/>
  <c r="FD83" i="3"/>
  <c r="FG83" i="3"/>
  <c r="U82" i="15"/>
  <c r="FV83" i="3"/>
  <c r="FY83" i="3"/>
  <c r="V82" i="15"/>
  <c r="FZ83" i="3"/>
  <c r="W82" i="15"/>
  <c r="GA83" i="3"/>
  <c r="X82" i="15"/>
  <c r="GB83" i="3"/>
  <c r="Y82" i="15"/>
  <c r="GC83" i="3"/>
  <c r="Z82" i="15"/>
  <c r="GD83" i="3"/>
  <c r="AA82" i="15"/>
  <c r="GE83" i="3"/>
  <c r="AB82" i="15"/>
  <c r="GF83" i="3"/>
  <c r="AC82" i="15"/>
  <c r="V84" i="3" a="1"/>
  <c r="V84" i="3"/>
  <c r="AS84" i="3"/>
  <c r="B83" i="15"/>
  <c r="P84" i="3" a="1"/>
  <c r="P84" i="3"/>
  <c r="S84" i="3"/>
  <c r="AU84" i="3"/>
  <c r="AW84" i="3"/>
  <c r="AZ84" i="3"/>
  <c r="BA84" i="3"/>
  <c r="D83" i="15"/>
  <c r="AV84" i="3"/>
  <c r="BD84" i="3"/>
  <c r="BF84" i="3"/>
  <c r="BG84" i="3"/>
  <c r="E83" i="15"/>
  <c r="BQ84" i="3"/>
  <c r="BR84" i="3"/>
  <c r="BS84" i="3"/>
  <c r="BN84" i="3"/>
  <c r="BU84" i="3"/>
  <c r="BV84" i="3"/>
  <c r="BY84" i="3"/>
  <c r="CA84" i="3"/>
  <c r="F83" i="15"/>
  <c r="CB84" i="3"/>
  <c r="CD84" i="3"/>
  <c r="CG84" i="3"/>
  <c r="CN84" i="3"/>
  <c r="G83" i="15"/>
  <c r="CO84" i="3"/>
  <c r="CQ84" i="3"/>
  <c r="CT84" i="3"/>
  <c r="DA84" i="3"/>
  <c r="H83" i="15"/>
  <c r="DB84" i="3"/>
  <c r="DC84" i="3"/>
  <c r="DE84" i="3"/>
  <c r="DF84" i="3"/>
  <c r="DL84" i="3"/>
  <c r="I83" i="15"/>
  <c r="DM84" i="3"/>
  <c r="DN84" i="3"/>
  <c r="DP84" i="3"/>
  <c r="DQ84" i="3"/>
  <c r="DW84" i="3"/>
  <c r="J83" i="15"/>
  <c r="DX84" i="3"/>
  <c r="DZ84" i="3"/>
  <c r="EC84" i="3"/>
  <c r="EJ84" i="3"/>
  <c r="K83" i="15"/>
  <c r="EK84" i="3"/>
  <c r="EM84" i="3"/>
  <c r="EP84" i="3"/>
  <c r="EW84" i="3"/>
  <c r="L83" i="15"/>
  <c r="EX84" i="3"/>
  <c r="EZ84" i="3"/>
  <c r="FC84" i="3"/>
  <c r="FJ84" i="3"/>
  <c r="M83" i="15"/>
  <c r="FK84" i="3"/>
  <c r="FL84" i="3"/>
  <c r="FN84" i="3"/>
  <c r="FO84" i="3"/>
  <c r="FR84" i="3"/>
  <c r="FT84" i="3"/>
  <c r="N83" i="15"/>
  <c r="C83" i="15"/>
  <c r="O83" i="15"/>
  <c r="P83" i="15"/>
  <c r="BP84" i="3"/>
  <c r="CC84" i="3"/>
  <c r="CE84" i="3"/>
  <c r="CH84" i="3"/>
  <c r="CK84" i="3"/>
  <c r="Q83" i="15"/>
  <c r="CP84" i="3"/>
  <c r="CR84" i="3"/>
  <c r="CU84" i="3"/>
  <c r="CX84" i="3"/>
  <c r="R83" i="15"/>
  <c r="DY84" i="3"/>
  <c r="EA84" i="3"/>
  <c r="ED84" i="3"/>
  <c r="EG84" i="3"/>
  <c r="S83" i="15"/>
  <c r="EL84" i="3"/>
  <c r="EN84" i="3"/>
  <c r="EQ84" i="3"/>
  <c r="ET84" i="3"/>
  <c r="T83" i="15"/>
  <c r="EY84" i="3"/>
  <c r="FA84" i="3"/>
  <c r="FD84" i="3"/>
  <c r="FG84" i="3"/>
  <c r="U83" i="15"/>
  <c r="FV84" i="3"/>
  <c r="FY84" i="3"/>
  <c r="V83" i="15"/>
  <c r="FZ84" i="3"/>
  <c r="W83" i="15"/>
  <c r="GA84" i="3"/>
  <c r="X83" i="15"/>
  <c r="GB84" i="3"/>
  <c r="Y83" i="15"/>
  <c r="GC84" i="3"/>
  <c r="Z83" i="15"/>
  <c r="GD84" i="3"/>
  <c r="AA83" i="15"/>
  <c r="GE84" i="3"/>
  <c r="AB83" i="15"/>
  <c r="GF84" i="3"/>
  <c r="AC83" i="15"/>
  <c r="V85" i="3" a="1"/>
  <c r="V85" i="3"/>
  <c r="AS85" i="3"/>
  <c r="B84" i="15"/>
  <c r="P85" i="3" a="1"/>
  <c r="P85" i="3"/>
  <c r="S85" i="3"/>
  <c r="AU85" i="3"/>
  <c r="AW85" i="3"/>
  <c r="AZ85" i="3"/>
  <c r="BA85" i="3"/>
  <c r="D84" i="15"/>
  <c r="AV85" i="3"/>
  <c r="BD85" i="3"/>
  <c r="BF85" i="3"/>
  <c r="BG85" i="3"/>
  <c r="E84" i="15"/>
  <c r="BQ85" i="3"/>
  <c r="BR85" i="3"/>
  <c r="BS85" i="3"/>
  <c r="BN85" i="3"/>
  <c r="BU85" i="3"/>
  <c r="BV85" i="3"/>
  <c r="BY85" i="3"/>
  <c r="CA85" i="3"/>
  <c r="F84" i="15"/>
  <c r="CB85" i="3"/>
  <c r="CD85" i="3"/>
  <c r="CG85" i="3"/>
  <c r="CN85" i="3"/>
  <c r="G84" i="15"/>
  <c r="CO85" i="3"/>
  <c r="CQ85" i="3"/>
  <c r="CT85" i="3"/>
  <c r="DA85" i="3"/>
  <c r="H84" i="15"/>
  <c r="DB85" i="3"/>
  <c r="DC85" i="3"/>
  <c r="DE85" i="3"/>
  <c r="DF85" i="3"/>
  <c r="DL85" i="3"/>
  <c r="I84" i="15"/>
  <c r="DM85" i="3"/>
  <c r="DN85" i="3"/>
  <c r="DP85" i="3"/>
  <c r="DQ85" i="3"/>
  <c r="DW85" i="3"/>
  <c r="J84" i="15"/>
  <c r="DX85" i="3"/>
  <c r="DZ85" i="3"/>
  <c r="EC85" i="3"/>
  <c r="EJ85" i="3"/>
  <c r="K84" i="15"/>
  <c r="EK85" i="3"/>
  <c r="EM85" i="3"/>
  <c r="EP85" i="3"/>
  <c r="EW85" i="3"/>
  <c r="L84" i="15"/>
  <c r="EX85" i="3"/>
  <c r="EZ85" i="3"/>
  <c r="FC85" i="3"/>
  <c r="FJ85" i="3"/>
  <c r="M84" i="15"/>
  <c r="FK85" i="3"/>
  <c r="FL85" i="3"/>
  <c r="FN85" i="3"/>
  <c r="FO85" i="3"/>
  <c r="FR85" i="3"/>
  <c r="FT85" i="3"/>
  <c r="N84" i="15"/>
  <c r="C84" i="15"/>
  <c r="O84" i="15"/>
  <c r="P84" i="15"/>
  <c r="BP85" i="3"/>
  <c r="CC85" i="3"/>
  <c r="CE85" i="3"/>
  <c r="CH85" i="3"/>
  <c r="CK85" i="3"/>
  <c r="Q84" i="15"/>
  <c r="CP85" i="3"/>
  <c r="CR85" i="3"/>
  <c r="CU85" i="3"/>
  <c r="CX85" i="3"/>
  <c r="R84" i="15"/>
  <c r="DY85" i="3"/>
  <c r="EA85" i="3"/>
  <c r="ED85" i="3"/>
  <c r="EG85" i="3"/>
  <c r="S84" i="15"/>
  <c r="EL85" i="3"/>
  <c r="EN85" i="3"/>
  <c r="EQ85" i="3"/>
  <c r="ET85" i="3"/>
  <c r="T84" i="15"/>
  <c r="EY85" i="3"/>
  <c r="FA85" i="3"/>
  <c r="FD85" i="3"/>
  <c r="FG85" i="3"/>
  <c r="U84" i="15"/>
  <c r="FV85" i="3"/>
  <c r="FY85" i="3"/>
  <c r="V84" i="15"/>
  <c r="FZ85" i="3"/>
  <c r="W84" i="15"/>
  <c r="GA85" i="3"/>
  <c r="X84" i="15"/>
  <c r="GB85" i="3"/>
  <c r="Y84" i="15"/>
  <c r="GC85" i="3"/>
  <c r="Z84" i="15"/>
  <c r="GD85" i="3"/>
  <c r="AA84" i="15"/>
  <c r="GE85" i="3"/>
  <c r="AB84" i="15"/>
  <c r="GF85" i="3"/>
  <c r="AC84" i="15"/>
  <c r="V86" i="3" a="1"/>
  <c r="V86" i="3"/>
  <c r="AS86" i="3"/>
  <c r="B85" i="15"/>
  <c r="P86" i="3" a="1"/>
  <c r="P86" i="3"/>
  <c r="S86" i="3"/>
  <c r="AU86" i="3"/>
  <c r="AW86" i="3"/>
  <c r="AZ86" i="3"/>
  <c r="BA86" i="3"/>
  <c r="D85" i="15"/>
  <c r="AV86" i="3"/>
  <c r="BD86" i="3"/>
  <c r="BF86" i="3"/>
  <c r="BG86" i="3"/>
  <c r="E85" i="15"/>
  <c r="BQ86" i="3"/>
  <c r="BR86" i="3"/>
  <c r="BS86" i="3"/>
  <c r="BV86" i="3"/>
  <c r="BY86" i="3"/>
  <c r="CA86" i="3"/>
  <c r="F85" i="15"/>
  <c r="CB86" i="3"/>
  <c r="CD86" i="3"/>
  <c r="CN86" i="3"/>
  <c r="G85" i="15"/>
  <c r="CO86" i="3"/>
  <c r="CQ86" i="3"/>
  <c r="DA86" i="3"/>
  <c r="H85" i="15"/>
  <c r="DB86" i="3"/>
  <c r="DC86" i="3"/>
  <c r="DF86" i="3"/>
  <c r="DL86" i="3"/>
  <c r="I85" i="15"/>
  <c r="DM86" i="3"/>
  <c r="DN86" i="3"/>
  <c r="DQ86" i="3"/>
  <c r="DW86" i="3"/>
  <c r="J85" i="15"/>
  <c r="DX86" i="3"/>
  <c r="DZ86" i="3"/>
  <c r="EJ86" i="3"/>
  <c r="K85" i="15"/>
  <c r="EK86" i="3"/>
  <c r="EM86" i="3"/>
  <c r="EW86" i="3"/>
  <c r="L85" i="15"/>
  <c r="EX86" i="3"/>
  <c r="EZ86" i="3"/>
  <c r="FJ86" i="3"/>
  <c r="M85" i="15"/>
  <c r="FK86" i="3"/>
  <c r="FL86" i="3"/>
  <c r="FO86" i="3"/>
  <c r="FR86" i="3"/>
  <c r="FT86" i="3"/>
  <c r="N85" i="15"/>
  <c r="C85" i="15"/>
  <c r="O85" i="15"/>
  <c r="P85" i="15"/>
  <c r="BP86" i="3"/>
  <c r="CC86" i="3"/>
  <c r="CE86" i="3"/>
  <c r="CH86" i="3"/>
  <c r="CK86" i="3"/>
  <c r="Q85" i="15"/>
  <c r="CP86" i="3"/>
  <c r="CR86" i="3"/>
  <c r="CU86" i="3"/>
  <c r="CX86" i="3"/>
  <c r="R85" i="15"/>
  <c r="DY86" i="3"/>
  <c r="EA86" i="3"/>
  <c r="ED86" i="3"/>
  <c r="EG86" i="3"/>
  <c r="S85" i="15"/>
  <c r="EL86" i="3"/>
  <c r="EN86" i="3"/>
  <c r="EQ86" i="3"/>
  <c r="ET86" i="3"/>
  <c r="T85" i="15"/>
  <c r="EY86" i="3"/>
  <c r="FA86" i="3"/>
  <c r="FD86" i="3"/>
  <c r="FG86" i="3"/>
  <c r="U85" i="15"/>
  <c r="FV86" i="3"/>
  <c r="FY86" i="3"/>
  <c r="V85" i="15"/>
  <c r="FZ86" i="3"/>
  <c r="W85" i="15"/>
  <c r="GA86" i="3"/>
  <c r="X85" i="15"/>
  <c r="GB86" i="3"/>
  <c r="Y85" i="15"/>
  <c r="GC86" i="3"/>
  <c r="Z85" i="15"/>
  <c r="GD86" i="3"/>
  <c r="AA85" i="15"/>
  <c r="GE86" i="3"/>
  <c r="AB85" i="15"/>
  <c r="GF86" i="3"/>
  <c r="AC85" i="15"/>
  <c r="V87" i="3" a="1"/>
  <c r="V87" i="3"/>
  <c r="AS87" i="3"/>
  <c r="B86" i="15"/>
  <c r="P87" i="3" a="1"/>
  <c r="P87" i="3"/>
  <c r="S87" i="3"/>
  <c r="AU87" i="3"/>
  <c r="AW87" i="3"/>
  <c r="AZ87" i="3"/>
  <c r="BA87" i="3"/>
  <c r="D86" i="15"/>
  <c r="AV87" i="3"/>
  <c r="BD87" i="3"/>
  <c r="BF87" i="3"/>
  <c r="BG87" i="3"/>
  <c r="E86" i="15"/>
  <c r="BQ87" i="3"/>
  <c r="BR87" i="3"/>
  <c r="BS87" i="3"/>
  <c r="BN87" i="3"/>
  <c r="BU87" i="3"/>
  <c r="BV87" i="3"/>
  <c r="BY87" i="3"/>
  <c r="CA87" i="3"/>
  <c r="F86" i="15"/>
  <c r="CB87" i="3"/>
  <c r="CD87" i="3"/>
  <c r="CG87" i="3"/>
  <c r="CN87" i="3"/>
  <c r="G86" i="15"/>
  <c r="CO87" i="3"/>
  <c r="CQ87" i="3"/>
  <c r="CT87" i="3"/>
  <c r="DA87" i="3"/>
  <c r="H86" i="15"/>
  <c r="DB87" i="3"/>
  <c r="DC87" i="3"/>
  <c r="DE87" i="3"/>
  <c r="DF87" i="3"/>
  <c r="DL87" i="3"/>
  <c r="I86" i="15"/>
  <c r="DM87" i="3"/>
  <c r="DN87" i="3"/>
  <c r="DP87" i="3"/>
  <c r="DQ87" i="3"/>
  <c r="DW87" i="3"/>
  <c r="J86" i="15"/>
  <c r="DX87" i="3"/>
  <c r="DZ87" i="3"/>
  <c r="EC87" i="3"/>
  <c r="EJ87" i="3"/>
  <c r="K86" i="15"/>
  <c r="EK87" i="3"/>
  <c r="EM87" i="3"/>
  <c r="EP87" i="3"/>
  <c r="EW87" i="3"/>
  <c r="L86" i="15"/>
  <c r="EX87" i="3"/>
  <c r="EZ87" i="3"/>
  <c r="FC87" i="3"/>
  <c r="FJ87" i="3"/>
  <c r="M86" i="15"/>
  <c r="FK87" i="3"/>
  <c r="FL87" i="3"/>
  <c r="FN87" i="3"/>
  <c r="FO87" i="3"/>
  <c r="FR87" i="3"/>
  <c r="FT87" i="3"/>
  <c r="N86" i="15"/>
  <c r="C86" i="15"/>
  <c r="O86" i="15"/>
  <c r="P86" i="15"/>
  <c r="BP87" i="3"/>
  <c r="CC87" i="3"/>
  <c r="CE87" i="3"/>
  <c r="CH87" i="3"/>
  <c r="CK87" i="3"/>
  <c r="Q86" i="15"/>
  <c r="CP87" i="3"/>
  <c r="CR87" i="3"/>
  <c r="CU87" i="3"/>
  <c r="CX87" i="3"/>
  <c r="R86" i="15"/>
  <c r="DY87" i="3"/>
  <c r="EA87" i="3"/>
  <c r="ED87" i="3"/>
  <c r="EG87" i="3"/>
  <c r="S86" i="15"/>
  <c r="EL87" i="3"/>
  <c r="EN87" i="3"/>
  <c r="EQ87" i="3"/>
  <c r="ET87" i="3"/>
  <c r="T86" i="15"/>
  <c r="EY87" i="3"/>
  <c r="FA87" i="3"/>
  <c r="FD87" i="3"/>
  <c r="FG87" i="3"/>
  <c r="U86" i="15"/>
  <c r="FV87" i="3"/>
  <c r="FY87" i="3"/>
  <c r="V86" i="15"/>
  <c r="FZ87" i="3"/>
  <c r="W86" i="15"/>
  <c r="GA87" i="3"/>
  <c r="X86" i="15"/>
  <c r="GB87" i="3"/>
  <c r="Y86" i="15"/>
  <c r="GC87" i="3"/>
  <c r="Z86" i="15"/>
  <c r="GD87" i="3"/>
  <c r="AA86" i="15"/>
  <c r="GE87" i="3"/>
  <c r="AB86" i="15"/>
  <c r="GF87" i="3"/>
  <c r="AC86" i="15"/>
  <c r="V88" i="3" a="1"/>
  <c r="V88" i="3"/>
  <c r="AS88" i="3"/>
  <c r="B87" i="15"/>
  <c r="P88" i="3" a="1"/>
  <c r="P88" i="3"/>
  <c r="S88" i="3"/>
  <c r="AU88" i="3"/>
  <c r="AW88" i="3"/>
  <c r="AZ88" i="3"/>
  <c r="BA88" i="3"/>
  <c r="D87" i="15"/>
  <c r="AV88" i="3"/>
  <c r="BD88" i="3"/>
  <c r="BF88" i="3"/>
  <c r="BG88" i="3"/>
  <c r="E87" i="15"/>
  <c r="BQ88" i="3"/>
  <c r="BR88" i="3"/>
  <c r="BS88" i="3"/>
  <c r="BV88" i="3"/>
  <c r="BY88" i="3"/>
  <c r="CA88" i="3"/>
  <c r="F87" i="15"/>
  <c r="CB88" i="3"/>
  <c r="CD88" i="3"/>
  <c r="CN88" i="3"/>
  <c r="G87" i="15"/>
  <c r="CO88" i="3"/>
  <c r="CQ88" i="3"/>
  <c r="DA88" i="3"/>
  <c r="H87" i="15"/>
  <c r="DB88" i="3"/>
  <c r="DC88" i="3"/>
  <c r="DF88" i="3"/>
  <c r="DL88" i="3"/>
  <c r="I87" i="15"/>
  <c r="DM88" i="3"/>
  <c r="DN88" i="3"/>
  <c r="DQ88" i="3"/>
  <c r="DW88" i="3"/>
  <c r="J87" i="15"/>
  <c r="DX88" i="3"/>
  <c r="DZ88" i="3"/>
  <c r="EJ88" i="3"/>
  <c r="K87" i="15"/>
  <c r="EK88" i="3"/>
  <c r="EM88" i="3"/>
  <c r="EW88" i="3"/>
  <c r="L87" i="15"/>
  <c r="EX88" i="3"/>
  <c r="EZ88" i="3"/>
  <c r="FJ88" i="3"/>
  <c r="M87" i="15"/>
  <c r="FK88" i="3"/>
  <c r="FL88" i="3"/>
  <c r="FO88" i="3"/>
  <c r="FR88" i="3"/>
  <c r="FT88" i="3"/>
  <c r="N87" i="15"/>
  <c r="C87" i="15"/>
  <c r="O87" i="15"/>
  <c r="P87" i="15"/>
  <c r="BP88" i="3"/>
  <c r="CC88" i="3"/>
  <c r="CE88" i="3"/>
  <c r="CH88" i="3"/>
  <c r="CK88" i="3"/>
  <c r="Q87" i="15"/>
  <c r="CP88" i="3"/>
  <c r="CR88" i="3"/>
  <c r="CU88" i="3"/>
  <c r="CX88" i="3"/>
  <c r="R87" i="15"/>
  <c r="DY88" i="3"/>
  <c r="EA88" i="3"/>
  <c r="ED88" i="3"/>
  <c r="EG88" i="3"/>
  <c r="S87" i="15"/>
  <c r="EL88" i="3"/>
  <c r="EN88" i="3"/>
  <c r="EQ88" i="3"/>
  <c r="ET88" i="3"/>
  <c r="T87" i="15"/>
  <c r="EY88" i="3"/>
  <c r="FA88" i="3"/>
  <c r="FD88" i="3"/>
  <c r="FG88" i="3"/>
  <c r="U87" i="15"/>
  <c r="FV88" i="3"/>
  <c r="FY88" i="3"/>
  <c r="V87" i="15"/>
  <c r="FZ88" i="3"/>
  <c r="W87" i="15"/>
  <c r="GA88" i="3"/>
  <c r="X87" i="15"/>
  <c r="GB88" i="3"/>
  <c r="Y87" i="15"/>
  <c r="GC88" i="3"/>
  <c r="Z87" i="15"/>
  <c r="GD88" i="3"/>
  <c r="AA87" i="15"/>
  <c r="GE88" i="3"/>
  <c r="AB87" i="15"/>
  <c r="GF88" i="3"/>
  <c r="AC87" i="15"/>
  <c r="V89" i="3" a="1"/>
  <c r="V89" i="3"/>
  <c r="AS89" i="3"/>
  <c r="B88" i="15"/>
  <c r="P89" i="3" a="1"/>
  <c r="P89" i="3"/>
  <c r="S89" i="3"/>
  <c r="AU89" i="3"/>
  <c r="AW89" i="3"/>
  <c r="AZ89" i="3"/>
  <c r="BA89" i="3"/>
  <c r="D88" i="15"/>
  <c r="AV89" i="3"/>
  <c r="BD89" i="3"/>
  <c r="BF89" i="3"/>
  <c r="BG89" i="3"/>
  <c r="E88" i="15"/>
  <c r="BQ89" i="3"/>
  <c r="BR89" i="3"/>
  <c r="BS89" i="3"/>
  <c r="BN89" i="3"/>
  <c r="BU89" i="3"/>
  <c r="BV89" i="3"/>
  <c r="BY89" i="3"/>
  <c r="CA89" i="3"/>
  <c r="F88" i="15"/>
  <c r="CB89" i="3"/>
  <c r="CD89" i="3"/>
  <c r="CG89" i="3"/>
  <c r="CN89" i="3"/>
  <c r="G88" i="15"/>
  <c r="CO89" i="3"/>
  <c r="CQ89" i="3"/>
  <c r="CT89" i="3"/>
  <c r="DA89" i="3"/>
  <c r="H88" i="15"/>
  <c r="DB89" i="3"/>
  <c r="DC89" i="3"/>
  <c r="DE89" i="3"/>
  <c r="DF89" i="3"/>
  <c r="DL89" i="3"/>
  <c r="I88" i="15"/>
  <c r="DM89" i="3"/>
  <c r="DN89" i="3"/>
  <c r="DP89" i="3"/>
  <c r="DQ89" i="3"/>
  <c r="DW89" i="3"/>
  <c r="J88" i="15"/>
  <c r="DX89" i="3"/>
  <c r="DZ89" i="3"/>
  <c r="EC89" i="3"/>
  <c r="EJ89" i="3"/>
  <c r="K88" i="15"/>
  <c r="EK89" i="3"/>
  <c r="EM89" i="3"/>
  <c r="EP89" i="3"/>
  <c r="EW89" i="3"/>
  <c r="L88" i="15"/>
  <c r="EX89" i="3"/>
  <c r="EZ89" i="3"/>
  <c r="FC89" i="3"/>
  <c r="FJ89" i="3"/>
  <c r="M88" i="15"/>
  <c r="FK89" i="3"/>
  <c r="FL89" i="3"/>
  <c r="FN89" i="3"/>
  <c r="FO89" i="3"/>
  <c r="FR89" i="3"/>
  <c r="FT89" i="3"/>
  <c r="N88" i="15"/>
  <c r="C88" i="15"/>
  <c r="O88" i="15"/>
  <c r="P88" i="15"/>
  <c r="BP89" i="3"/>
  <c r="CC89" i="3"/>
  <c r="CE89" i="3"/>
  <c r="CH89" i="3"/>
  <c r="CK89" i="3"/>
  <c r="Q88" i="15"/>
  <c r="CP89" i="3"/>
  <c r="CR89" i="3"/>
  <c r="CU89" i="3"/>
  <c r="CX89" i="3"/>
  <c r="R88" i="15"/>
  <c r="DY89" i="3"/>
  <c r="EA89" i="3"/>
  <c r="ED89" i="3"/>
  <c r="EG89" i="3"/>
  <c r="S88" i="15"/>
  <c r="EL89" i="3"/>
  <c r="EN89" i="3"/>
  <c r="EQ89" i="3"/>
  <c r="ET89" i="3"/>
  <c r="T88" i="15"/>
  <c r="EY89" i="3"/>
  <c r="FA89" i="3"/>
  <c r="FD89" i="3"/>
  <c r="FG89" i="3"/>
  <c r="U88" i="15"/>
  <c r="FV89" i="3"/>
  <c r="FY89" i="3"/>
  <c r="V88" i="15"/>
  <c r="FZ89" i="3"/>
  <c r="W88" i="15"/>
  <c r="GA89" i="3"/>
  <c r="X88" i="15"/>
  <c r="GB89" i="3"/>
  <c r="Y88" i="15"/>
  <c r="GC89" i="3"/>
  <c r="Z88" i="15"/>
  <c r="GD89" i="3"/>
  <c r="AA88" i="15"/>
  <c r="GE89" i="3"/>
  <c r="AB88" i="15"/>
  <c r="GF89" i="3"/>
  <c r="AC88" i="15"/>
  <c r="V90" i="3" a="1"/>
  <c r="V90" i="3"/>
  <c r="AS90" i="3"/>
  <c r="B89" i="15"/>
  <c r="P90" i="3" a="1"/>
  <c r="P90" i="3"/>
  <c r="S90" i="3"/>
  <c r="AU90" i="3"/>
  <c r="AW90" i="3"/>
  <c r="AZ90" i="3"/>
  <c r="BA90" i="3"/>
  <c r="D89" i="15"/>
  <c r="AV90" i="3"/>
  <c r="BD90" i="3"/>
  <c r="BF90" i="3"/>
  <c r="BG90" i="3"/>
  <c r="E89" i="15"/>
  <c r="BQ90" i="3"/>
  <c r="BR90" i="3"/>
  <c r="BS90" i="3"/>
  <c r="BV90" i="3"/>
  <c r="BY90" i="3"/>
  <c r="CA90" i="3"/>
  <c r="F89" i="15"/>
  <c r="CB90" i="3"/>
  <c r="CD90" i="3"/>
  <c r="CN90" i="3"/>
  <c r="G89" i="15"/>
  <c r="CO90" i="3"/>
  <c r="CQ90" i="3"/>
  <c r="DA90" i="3"/>
  <c r="H89" i="15"/>
  <c r="DB90" i="3"/>
  <c r="DC90" i="3"/>
  <c r="DF90" i="3"/>
  <c r="DL90" i="3"/>
  <c r="I89" i="15"/>
  <c r="DM90" i="3"/>
  <c r="DN90" i="3"/>
  <c r="DQ90" i="3"/>
  <c r="DW90" i="3"/>
  <c r="J89" i="15"/>
  <c r="DX90" i="3"/>
  <c r="DZ90" i="3"/>
  <c r="EJ90" i="3"/>
  <c r="K89" i="15"/>
  <c r="EK90" i="3"/>
  <c r="EM90" i="3"/>
  <c r="EW90" i="3"/>
  <c r="L89" i="15"/>
  <c r="EX90" i="3"/>
  <c r="EZ90" i="3"/>
  <c r="FJ90" i="3"/>
  <c r="M89" i="15"/>
  <c r="FK90" i="3"/>
  <c r="FL90" i="3"/>
  <c r="FO90" i="3"/>
  <c r="FR90" i="3"/>
  <c r="FT90" i="3"/>
  <c r="N89" i="15"/>
  <c r="C89" i="15"/>
  <c r="O89" i="15"/>
  <c r="P89" i="15"/>
  <c r="BP90" i="3"/>
  <c r="CC90" i="3"/>
  <c r="CE90" i="3"/>
  <c r="CH90" i="3"/>
  <c r="CK90" i="3"/>
  <c r="Q89" i="15"/>
  <c r="CP90" i="3"/>
  <c r="CR90" i="3"/>
  <c r="CU90" i="3"/>
  <c r="CX90" i="3"/>
  <c r="R89" i="15"/>
  <c r="DY90" i="3"/>
  <c r="EA90" i="3"/>
  <c r="ED90" i="3"/>
  <c r="EG90" i="3"/>
  <c r="S89" i="15"/>
  <c r="EL90" i="3"/>
  <c r="EN90" i="3"/>
  <c r="EQ90" i="3"/>
  <c r="ET90" i="3"/>
  <c r="T89" i="15"/>
  <c r="EY90" i="3"/>
  <c r="FA90" i="3"/>
  <c r="FD90" i="3"/>
  <c r="FG90" i="3"/>
  <c r="U89" i="15"/>
  <c r="FV90" i="3"/>
  <c r="FY90" i="3"/>
  <c r="V89" i="15"/>
  <c r="FZ90" i="3"/>
  <c r="W89" i="15"/>
  <c r="GA90" i="3"/>
  <c r="X89" i="15"/>
  <c r="GB90" i="3"/>
  <c r="Y89" i="15"/>
  <c r="GC90" i="3"/>
  <c r="Z89" i="15"/>
  <c r="GD90" i="3"/>
  <c r="AA89" i="15"/>
  <c r="GE90" i="3"/>
  <c r="AB89" i="15"/>
  <c r="GF90" i="3"/>
  <c r="AC89" i="15"/>
  <c r="V91" i="3" a="1"/>
  <c r="V91" i="3"/>
  <c r="AS91" i="3"/>
  <c r="B90" i="15"/>
  <c r="P91" i="3" a="1"/>
  <c r="P91" i="3"/>
  <c r="S91" i="3"/>
  <c r="AU91" i="3"/>
  <c r="AW91" i="3"/>
  <c r="AZ91" i="3"/>
  <c r="BA91" i="3"/>
  <c r="D90" i="15"/>
  <c r="AV91" i="3"/>
  <c r="BD91" i="3"/>
  <c r="BF91" i="3"/>
  <c r="BG91" i="3"/>
  <c r="E90" i="15"/>
  <c r="BQ91" i="3"/>
  <c r="BR91" i="3"/>
  <c r="BS91" i="3"/>
  <c r="BN91" i="3"/>
  <c r="BU91" i="3"/>
  <c r="BV91" i="3"/>
  <c r="BY91" i="3"/>
  <c r="CA91" i="3"/>
  <c r="F90" i="15"/>
  <c r="CB91" i="3"/>
  <c r="CD91" i="3"/>
  <c r="CG91" i="3"/>
  <c r="CN91" i="3"/>
  <c r="G90" i="15"/>
  <c r="CO91" i="3"/>
  <c r="CQ91" i="3"/>
  <c r="CT91" i="3"/>
  <c r="DA91" i="3"/>
  <c r="H90" i="15"/>
  <c r="DB91" i="3"/>
  <c r="DC91" i="3"/>
  <c r="DE91" i="3"/>
  <c r="DF91" i="3"/>
  <c r="DL91" i="3"/>
  <c r="I90" i="15"/>
  <c r="DM91" i="3"/>
  <c r="DN91" i="3"/>
  <c r="DP91" i="3"/>
  <c r="DQ91" i="3"/>
  <c r="DW91" i="3"/>
  <c r="J90" i="15"/>
  <c r="DX91" i="3"/>
  <c r="DZ91" i="3"/>
  <c r="EC91" i="3"/>
  <c r="EJ91" i="3"/>
  <c r="K90" i="15"/>
  <c r="EK91" i="3"/>
  <c r="EM91" i="3"/>
  <c r="EP91" i="3"/>
  <c r="EW91" i="3"/>
  <c r="L90" i="15"/>
  <c r="EX91" i="3"/>
  <c r="EZ91" i="3"/>
  <c r="FC91" i="3"/>
  <c r="FJ91" i="3"/>
  <c r="M90" i="15"/>
  <c r="FK91" i="3"/>
  <c r="FL91" i="3"/>
  <c r="FN91" i="3"/>
  <c r="FO91" i="3"/>
  <c r="FR91" i="3"/>
  <c r="FT91" i="3"/>
  <c r="N90" i="15"/>
  <c r="C90" i="15"/>
  <c r="O90" i="15"/>
  <c r="P90" i="15"/>
  <c r="BP91" i="3"/>
  <c r="CC91" i="3"/>
  <c r="CE91" i="3"/>
  <c r="CH91" i="3"/>
  <c r="CK91" i="3"/>
  <c r="Q90" i="15"/>
  <c r="CP91" i="3"/>
  <c r="CR91" i="3"/>
  <c r="CU91" i="3"/>
  <c r="CX91" i="3"/>
  <c r="R90" i="15"/>
  <c r="DY91" i="3"/>
  <c r="EA91" i="3"/>
  <c r="ED91" i="3"/>
  <c r="EG91" i="3"/>
  <c r="S90" i="15"/>
  <c r="EL91" i="3"/>
  <c r="EN91" i="3"/>
  <c r="EQ91" i="3"/>
  <c r="ET91" i="3"/>
  <c r="T90" i="15"/>
  <c r="EY91" i="3"/>
  <c r="FA91" i="3"/>
  <c r="FD91" i="3"/>
  <c r="FG91" i="3"/>
  <c r="U90" i="15"/>
  <c r="FV91" i="3"/>
  <c r="FY91" i="3"/>
  <c r="V90" i="15"/>
  <c r="FZ91" i="3"/>
  <c r="W90" i="15"/>
  <c r="GA91" i="3"/>
  <c r="X90" i="15"/>
  <c r="GB91" i="3"/>
  <c r="Y90" i="15"/>
  <c r="GC91" i="3"/>
  <c r="Z90" i="15"/>
  <c r="GD91" i="3"/>
  <c r="AA90" i="15"/>
  <c r="GE91" i="3"/>
  <c r="AB90" i="15"/>
  <c r="GF91" i="3"/>
  <c r="AC90" i="15"/>
  <c r="V92" i="3" a="1"/>
  <c r="V92" i="3"/>
  <c r="AS92" i="3"/>
  <c r="B91" i="15"/>
  <c r="P92" i="3" a="1"/>
  <c r="P92" i="3"/>
  <c r="S92" i="3"/>
  <c r="AU92" i="3"/>
  <c r="AW92" i="3"/>
  <c r="AZ92" i="3"/>
  <c r="BA92" i="3"/>
  <c r="D91" i="15"/>
  <c r="AV92" i="3"/>
  <c r="BD92" i="3"/>
  <c r="BF92" i="3"/>
  <c r="BG92" i="3"/>
  <c r="E91" i="15"/>
  <c r="BQ92" i="3"/>
  <c r="BR92" i="3"/>
  <c r="BS92" i="3"/>
  <c r="BN92" i="3"/>
  <c r="BU92" i="3"/>
  <c r="BV92" i="3"/>
  <c r="BY92" i="3"/>
  <c r="CA92" i="3"/>
  <c r="F91" i="15"/>
  <c r="CB92" i="3"/>
  <c r="CD92" i="3"/>
  <c r="CG92" i="3"/>
  <c r="CN92" i="3"/>
  <c r="G91" i="15"/>
  <c r="CO92" i="3"/>
  <c r="CQ92" i="3"/>
  <c r="CT92" i="3"/>
  <c r="DA92" i="3"/>
  <c r="H91" i="15"/>
  <c r="DB92" i="3"/>
  <c r="DC92" i="3"/>
  <c r="DE92" i="3"/>
  <c r="DF92" i="3"/>
  <c r="DL92" i="3"/>
  <c r="I91" i="15"/>
  <c r="DM92" i="3"/>
  <c r="DN92" i="3"/>
  <c r="DP92" i="3"/>
  <c r="DQ92" i="3"/>
  <c r="DW92" i="3"/>
  <c r="J91" i="15"/>
  <c r="DX92" i="3"/>
  <c r="DZ92" i="3"/>
  <c r="EC92" i="3"/>
  <c r="EJ92" i="3"/>
  <c r="K91" i="15"/>
  <c r="EK92" i="3"/>
  <c r="EM92" i="3"/>
  <c r="EP92" i="3"/>
  <c r="EW92" i="3"/>
  <c r="L91" i="15"/>
  <c r="EX92" i="3"/>
  <c r="EZ92" i="3"/>
  <c r="FC92" i="3"/>
  <c r="FJ92" i="3"/>
  <c r="M91" i="15"/>
  <c r="FK92" i="3"/>
  <c r="FL92" i="3"/>
  <c r="FN92" i="3"/>
  <c r="FO92" i="3"/>
  <c r="FR92" i="3"/>
  <c r="FT92" i="3"/>
  <c r="N91" i="15"/>
  <c r="C91" i="15"/>
  <c r="O91" i="15"/>
  <c r="P91" i="15"/>
  <c r="BP92" i="3"/>
  <c r="CC92" i="3"/>
  <c r="CE92" i="3"/>
  <c r="CH92" i="3"/>
  <c r="CK92" i="3"/>
  <c r="Q91" i="15"/>
  <c r="CP92" i="3"/>
  <c r="CR92" i="3"/>
  <c r="CU92" i="3"/>
  <c r="CX92" i="3"/>
  <c r="R91" i="15"/>
  <c r="DY92" i="3"/>
  <c r="EA92" i="3"/>
  <c r="ED92" i="3"/>
  <c r="EG92" i="3"/>
  <c r="S91" i="15"/>
  <c r="EL92" i="3"/>
  <c r="EN92" i="3"/>
  <c r="EQ92" i="3"/>
  <c r="ET92" i="3"/>
  <c r="T91" i="15"/>
  <c r="EY92" i="3"/>
  <c r="FA92" i="3"/>
  <c r="FD92" i="3"/>
  <c r="FG92" i="3"/>
  <c r="U91" i="15"/>
  <c r="FV92" i="3"/>
  <c r="FY92" i="3"/>
  <c r="V91" i="15"/>
  <c r="FZ92" i="3"/>
  <c r="W91" i="15"/>
  <c r="GA92" i="3"/>
  <c r="X91" i="15"/>
  <c r="GB92" i="3"/>
  <c r="Y91" i="15"/>
  <c r="GC92" i="3"/>
  <c r="Z91" i="15"/>
  <c r="GD92" i="3"/>
  <c r="AA91" i="15"/>
  <c r="GE92" i="3"/>
  <c r="AB91" i="15"/>
  <c r="GF92" i="3"/>
  <c r="AC91" i="15"/>
  <c r="V93" i="3" a="1"/>
  <c r="V93" i="3"/>
  <c r="AS93" i="3"/>
  <c r="B92" i="15"/>
  <c r="P93" i="3" a="1"/>
  <c r="P93" i="3"/>
  <c r="S93" i="3"/>
  <c r="AU93" i="3"/>
  <c r="AW93" i="3"/>
  <c r="AZ93" i="3"/>
  <c r="BA93" i="3"/>
  <c r="D92" i="15"/>
  <c r="AV93" i="3"/>
  <c r="BD93" i="3"/>
  <c r="BF93" i="3"/>
  <c r="BG93" i="3"/>
  <c r="E92" i="15"/>
  <c r="BQ93" i="3"/>
  <c r="BR93" i="3"/>
  <c r="BS93" i="3"/>
  <c r="BN93" i="3"/>
  <c r="BU93" i="3"/>
  <c r="BV93" i="3"/>
  <c r="BY93" i="3"/>
  <c r="CA93" i="3"/>
  <c r="F92" i="15"/>
  <c r="CB93" i="3"/>
  <c r="CD93" i="3"/>
  <c r="CG93" i="3"/>
  <c r="CN93" i="3"/>
  <c r="G92" i="15"/>
  <c r="CO93" i="3"/>
  <c r="CQ93" i="3"/>
  <c r="CT93" i="3"/>
  <c r="DA93" i="3"/>
  <c r="H92" i="15"/>
  <c r="DB93" i="3"/>
  <c r="DC93" i="3"/>
  <c r="DE93" i="3"/>
  <c r="DF93" i="3"/>
  <c r="DL93" i="3"/>
  <c r="I92" i="15"/>
  <c r="DM93" i="3"/>
  <c r="DN93" i="3"/>
  <c r="DP93" i="3"/>
  <c r="DQ93" i="3"/>
  <c r="DW93" i="3"/>
  <c r="J92" i="15"/>
  <c r="DX93" i="3"/>
  <c r="DZ93" i="3"/>
  <c r="EC93" i="3"/>
  <c r="EJ93" i="3"/>
  <c r="K92" i="15"/>
  <c r="EK93" i="3"/>
  <c r="EM93" i="3"/>
  <c r="EP93" i="3"/>
  <c r="EW93" i="3"/>
  <c r="L92" i="15"/>
  <c r="EX93" i="3"/>
  <c r="EZ93" i="3"/>
  <c r="FC93" i="3"/>
  <c r="FJ93" i="3"/>
  <c r="M92" i="15"/>
  <c r="FK93" i="3"/>
  <c r="FL93" i="3"/>
  <c r="FN93" i="3"/>
  <c r="FO93" i="3"/>
  <c r="FR93" i="3"/>
  <c r="FT93" i="3"/>
  <c r="N92" i="15"/>
  <c r="C92" i="15"/>
  <c r="O92" i="15"/>
  <c r="P92" i="15"/>
  <c r="BP93" i="3"/>
  <c r="CC93" i="3"/>
  <c r="CE93" i="3"/>
  <c r="CH93" i="3"/>
  <c r="CK93" i="3"/>
  <c r="Q92" i="15"/>
  <c r="CP93" i="3"/>
  <c r="CR93" i="3"/>
  <c r="CU93" i="3"/>
  <c r="CX93" i="3"/>
  <c r="R92" i="15"/>
  <c r="DY93" i="3"/>
  <c r="EA93" i="3"/>
  <c r="ED93" i="3"/>
  <c r="EG93" i="3"/>
  <c r="S92" i="15"/>
  <c r="EL93" i="3"/>
  <c r="EN93" i="3"/>
  <c r="EQ93" i="3"/>
  <c r="ET93" i="3"/>
  <c r="T92" i="15"/>
  <c r="EY93" i="3"/>
  <c r="FA93" i="3"/>
  <c r="FD93" i="3"/>
  <c r="FG93" i="3"/>
  <c r="U92" i="15"/>
  <c r="FV93" i="3"/>
  <c r="FY93" i="3"/>
  <c r="V92" i="15"/>
  <c r="FZ93" i="3"/>
  <c r="W92" i="15"/>
  <c r="GA93" i="3"/>
  <c r="X92" i="15"/>
  <c r="GB93" i="3"/>
  <c r="Y92" i="15"/>
  <c r="GC93" i="3"/>
  <c r="Z92" i="15"/>
  <c r="GD93" i="3"/>
  <c r="AA92" i="15"/>
  <c r="GE93" i="3"/>
  <c r="AB92" i="15"/>
  <c r="GF93" i="3"/>
  <c r="AC92" i="15"/>
  <c r="V94" i="3" a="1"/>
  <c r="V94" i="3"/>
  <c r="AS94" i="3"/>
  <c r="B93" i="15"/>
  <c r="P94" i="3" a="1"/>
  <c r="P94" i="3"/>
  <c r="S94" i="3"/>
  <c r="AU94" i="3"/>
  <c r="AW94" i="3"/>
  <c r="AZ94" i="3"/>
  <c r="BA94" i="3"/>
  <c r="D93" i="15"/>
  <c r="AV94" i="3"/>
  <c r="BD94" i="3"/>
  <c r="BF94" i="3"/>
  <c r="BG94" i="3"/>
  <c r="E93" i="15"/>
  <c r="BQ94" i="3"/>
  <c r="BR94" i="3"/>
  <c r="BS94" i="3"/>
  <c r="BN94" i="3"/>
  <c r="BU94" i="3"/>
  <c r="BV94" i="3"/>
  <c r="BY94" i="3"/>
  <c r="CA94" i="3"/>
  <c r="F93" i="15"/>
  <c r="CB94" i="3"/>
  <c r="CD94" i="3"/>
  <c r="CG94" i="3"/>
  <c r="CN94" i="3"/>
  <c r="G93" i="15"/>
  <c r="CO94" i="3"/>
  <c r="CQ94" i="3"/>
  <c r="CT94" i="3"/>
  <c r="DA94" i="3"/>
  <c r="H93" i="15"/>
  <c r="DB94" i="3"/>
  <c r="DC94" i="3"/>
  <c r="DE94" i="3"/>
  <c r="DF94" i="3"/>
  <c r="DL94" i="3"/>
  <c r="I93" i="15"/>
  <c r="DM94" i="3"/>
  <c r="DN94" i="3"/>
  <c r="DP94" i="3"/>
  <c r="DQ94" i="3"/>
  <c r="DW94" i="3"/>
  <c r="J93" i="15"/>
  <c r="DX94" i="3"/>
  <c r="DZ94" i="3"/>
  <c r="EC94" i="3"/>
  <c r="EJ94" i="3"/>
  <c r="K93" i="15"/>
  <c r="EK94" i="3"/>
  <c r="EM94" i="3"/>
  <c r="EP94" i="3"/>
  <c r="EW94" i="3"/>
  <c r="L93" i="15"/>
  <c r="EX94" i="3"/>
  <c r="EZ94" i="3"/>
  <c r="FC94" i="3"/>
  <c r="FJ94" i="3"/>
  <c r="M93" i="15"/>
  <c r="FK94" i="3"/>
  <c r="FL94" i="3"/>
  <c r="FN94" i="3"/>
  <c r="FO94" i="3"/>
  <c r="FR94" i="3"/>
  <c r="FT94" i="3"/>
  <c r="N93" i="15"/>
  <c r="C93" i="15"/>
  <c r="O93" i="15"/>
  <c r="P93" i="15"/>
  <c r="BP94" i="3"/>
  <c r="CC94" i="3"/>
  <c r="CE94" i="3"/>
  <c r="CH94" i="3"/>
  <c r="CK94" i="3"/>
  <c r="Q93" i="15"/>
  <c r="CP94" i="3"/>
  <c r="CR94" i="3"/>
  <c r="CU94" i="3"/>
  <c r="CX94" i="3"/>
  <c r="R93" i="15"/>
  <c r="DY94" i="3"/>
  <c r="EA94" i="3"/>
  <c r="ED94" i="3"/>
  <c r="EG94" i="3"/>
  <c r="S93" i="15"/>
  <c r="EL94" i="3"/>
  <c r="EN94" i="3"/>
  <c r="EQ94" i="3"/>
  <c r="ET94" i="3"/>
  <c r="T93" i="15"/>
  <c r="EY94" i="3"/>
  <c r="FA94" i="3"/>
  <c r="FD94" i="3"/>
  <c r="FG94" i="3"/>
  <c r="U93" i="15"/>
  <c r="FV94" i="3"/>
  <c r="FY94" i="3"/>
  <c r="V93" i="15"/>
  <c r="FZ94" i="3"/>
  <c r="W93" i="15"/>
  <c r="GA94" i="3"/>
  <c r="X93" i="15"/>
  <c r="GB94" i="3"/>
  <c r="Y93" i="15"/>
  <c r="GC94" i="3"/>
  <c r="Z93" i="15"/>
  <c r="GD94" i="3"/>
  <c r="AA93" i="15"/>
  <c r="GE94" i="3"/>
  <c r="AB93" i="15"/>
  <c r="GF94" i="3"/>
  <c r="AC93" i="15"/>
  <c r="V95" i="3" a="1"/>
  <c r="V95" i="3"/>
  <c r="AS95" i="3"/>
  <c r="B94" i="15"/>
  <c r="P95" i="3" a="1"/>
  <c r="P95" i="3"/>
  <c r="S95" i="3"/>
  <c r="AU95" i="3"/>
  <c r="AW95" i="3"/>
  <c r="AZ95" i="3"/>
  <c r="BA95" i="3"/>
  <c r="D94" i="15"/>
  <c r="AV95" i="3"/>
  <c r="BD95" i="3"/>
  <c r="BF95" i="3"/>
  <c r="BG95" i="3"/>
  <c r="E94" i="15"/>
  <c r="BQ95" i="3"/>
  <c r="BR95" i="3"/>
  <c r="BS95" i="3"/>
  <c r="BV95" i="3"/>
  <c r="BY95" i="3"/>
  <c r="CA95" i="3"/>
  <c r="F94" i="15"/>
  <c r="CB95" i="3"/>
  <c r="CD95" i="3"/>
  <c r="CN95" i="3"/>
  <c r="G94" i="15"/>
  <c r="CO95" i="3"/>
  <c r="CQ95" i="3"/>
  <c r="DA95" i="3"/>
  <c r="H94" i="15"/>
  <c r="DB95" i="3"/>
  <c r="DC95" i="3"/>
  <c r="DF95" i="3"/>
  <c r="DL95" i="3"/>
  <c r="I94" i="15"/>
  <c r="DM95" i="3"/>
  <c r="DN95" i="3"/>
  <c r="DQ95" i="3"/>
  <c r="DW95" i="3"/>
  <c r="J94" i="15"/>
  <c r="DX95" i="3"/>
  <c r="DZ95" i="3"/>
  <c r="EJ95" i="3"/>
  <c r="K94" i="15"/>
  <c r="EK95" i="3"/>
  <c r="EM95" i="3"/>
  <c r="EW95" i="3"/>
  <c r="L94" i="15"/>
  <c r="EX95" i="3"/>
  <c r="EZ95" i="3"/>
  <c r="FJ95" i="3"/>
  <c r="M94" i="15"/>
  <c r="FK95" i="3"/>
  <c r="FL95" i="3"/>
  <c r="FO95" i="3"/>
  <c r="FR95" i="3"/>
  <c r="FT95" i="3"/>
  <c r="N94" i="15"/>
  <c r="C94" i="15"/>
  <c r="O94" i="15"/>
  <c r="P94" i="15"/>
  <c r="BP95" i="3"/>
  <c r="CC95" i="3"/>
  <c r="CE95" i="3"/>
  <c r="CH95" i="3"/>
  <c r="CK95" i="3"/>
  <c r="Q94" i="15"/>
  <c r="CP95" i="3"/>
  <c r="CR95" i="3"/>
  <c r="CU95" i="3"/>
  <c r="CX95" i="3"/>
  <c r="R94" i="15"/>
  <c r="DY95" i="3"/>
  <c r="EA95" i="3"/>
  <c r="ED95" i="3"/>
  <c r="EG95" i="3"/>
  <c r="S94" i="15"/>
  <c r="EL95" i="3"/>
  <c r="EN95" i="3"/>
  <c r="EQ95" i="3"/>
  <c r="ET95" i="3"/>
  <c r="T94" i="15"/>
  <c r="EY95" i="3"/>
  <c r="FA95" i="3"/>
  <c r="FD95" i="3"/>
  <c r="FG95" i="3"/>
  <c r="U94" i="15"/>
  <c r="FV95" i="3"/>
  <c r="FY95" i="3"/>
  <c r="V94" i="15"/>
  <c r="FZ95" i="3"/>
  <c r="W94" i="15"/>
  <c r="GA95" i="3"/>
  <c r="X94" i="15"/>
  <c r="GB95" i="3"/>
  <c r="Y94" i="15"/>
  <c r="GC95" i="3"/>
  <c r="Z94" i="15"/>
  <c r="GD95" i="3"/>
  <c r="AA94" i="15"/>
  <c r="GE95" i="3"/>
  <c r="AB94" i="15"/>
  <c r="GF95" i="3"/>
  <c r="AC94" i="15"/>
  <c r="V96" i="3" a="1"/>
  <c r="V96" i="3"/>
  <c r="AS96" i="3"/>
  <c r="B95" i="15"/>
  <c r="P96" i="3" a="1"/>
  <c r="P96" i="3"/>
  <c r="S96" i="3"/>
  <c r="AU96" i="3"/>
  <c r="AW96" i="3"/>
  <c r="AZ96" i="3"/>
  <c r="BA96" i="3"/>
  <c r="D95" i="15"/>
  <c r="AV96" i="3"/>
  <c r="BD96" i="3"/>
  <c r="BF96" i="3"/>
  <c r="BG96" i="3"/>
  <c r="E95" i="15"/>
  <c r="BQ96" i="3"/>
  <c r="BR96" i="3"/>
  <c r="BS96" i="3"/>
  <c r="BV96" i="3"/>
  <c r="BY96" i="3"/>
  <c r="CA96" i="3"/>
  <c r="F95" i="15"/>
  <c r="CB96" i="3"/>
  <c r="CD96" i="3"/>
  <c r="CN96" i="3"/>
  <c r="G95" i="15"/>
  <c r="CO96" i="3"/>
  <c r="CQ96" i="3"/>
  <c r="DA96" i="3"/>
  <c r="H95" i="15"/>
  <c r="DB96" i="3"/>
  <c r="DC96" i="3"/>
  <c r="DF96" i="3"/>
  <c r="DL96" i="3"/>
  <c r="I95" i="15"/>
  <c r="DM96" i="3"/>
  <c r="DN96" i="3"/>
  <c r="DQ96" i="3"/>
  <c r="DW96" i="3"/>
  <c r="J95" i="15"/>
  <c r="DX96" i="3"/>
  <c r="DZ96" i="3"/>
  <c r="EJ96" i="3"/>
  <c r="K95" i="15"/>
  <c r="EK96" i="3"/>
  <c r="EM96" i="3"/>
  <c r="EW96" i="3"/>
  <c r="L95" i="15"/>
  <c r="EX96" i="3"/>
  <c r="EZ96" i="3"/>
  <c r="FJ96" i="3"/>
  <c r="M95" i="15"/>
  <c r="FK96" i="3"/>
  <c r="FL96" i="3"/>
  <c r="FO96" i="3"/>
  <c r="FR96" i="3"/>
  <c r="FT96" i="3"/>
  <c r="N95" i="15"/>
  <c r="C95" i="15"/>
  <c r="O95" i="15"/>
  <c r="P95" i="15"/>
  <c r="BP96" i="3"/>
  <c r="CC96" i="3"/>
  <c r="CE96" i="3"/>
  <c r="CH96" i="3"/>
  <c r="CK96" i="3"/>
  <c r="Q95" i="15"/>
  <c r="CP96" i="3"/>
  <c r="CR96" i="3"/>
  <c r="CU96" i="3"/>
  <c r="CX96" i="3"/>
  <c r="R95" i="15"/>
  <c r="DY96" i="3"/>
  <c r="EA96" i="3"/>
  <c r="ED96" i="3"/>
  <c r="EG96" i="3"/>
  <c r="S95" i="15"/>
  <c r="EL96" i="3"/>
  <c r="EN96" i="3"/>
  <c r="EQ96" i="3"/>
  <c r="ET96" i="3"/>
  <c r="T95" i="15"/>
  <c r="EY96" i="3"/>
  <c r="FA96" i="3"/>
  <c r="FD96" i="3"/>
  <c r="FG96" i="3"/>
  <c r="U95" i="15"/>
  <c r="FV96" i="3"/>
  <c r="FY96" i="3"/>
  <c r="V95" i="15"/>
  <c r="FZ96" i="3"/>
  <c r="W95" i="15"/>
  <c r="GA96" i="3"/>
  <c r="X95" i="15"/>
  <c r="GB96" i="3"/>
  <c r="Y95" i="15"/>
  <c r="GC96" i="3"/>
  <c r="Z95" i="15"/>
  <c r="GD96" i="3"/>
  <c r="AA95" i="15"/>
  <c r="GE96" i="3"/>
  <c r="AB95" i="15"/>
  <c r="GF96" i="3"/>
  <c r="AC95" i="15"/>
  <c r="V97" i="3" a="1"/>
  <c r="V97" i="3"/>
  <c r="AS97" i="3"/>
  <c r="B96" i="15"/>
  <c r="P97" i="3" a="1"/>
  <c r="P97" i="3"/>
  <c r="S97" i="3"/>
  <c r="AU97" i="3"/>
  <c r="AW97" i="3"/>
  <c r="AZ97" i="3"/>
  <c r="BA97" i="3"/>
  <c r="D96" i="15"/>
  <c r="AV97" i="3"/>
  <c r="BD97" i="3"/>
  <c r="BF97" i="3"/>
  <c r="BG97" i="3"/>
  <c r="E96" i="15"/>
  <c r="BQ97" i="3"/>
  <c r="BR97" i="3"/>
  <c r="BS97" i="3"/>
  <c r="BN97" i="3"/>
  <c r="BU97" i="3"/>
  <c r="BV97" i="3"/>
  <c r="BY97" i="3"/>
  <c r="CA97" i="3"/>
  <c r="F96" i="15"/>
  <c r="CB97" i="3"/>
  <c r="CD97" i="3"/>
  <c r="CG97" i="3"/>
  <c r="CN97" i="3"/>
  <c r="G96" i="15"/>
  <c r="CO97" i="3"/>
  <c r="CQ97" i="3"/>
  <c r="CT97" i="3"/>
  <c r="DA97" i="3"/>
  <c r="H96" i="15"/>
  <c r="DB97" i="3"/>
  <c r="DC97" i="3"/>
  <c r="DE97" i="3"/>
  <c r="DF97" i="3"/>
  <c r="DL97" i="3"/>
  <c r="I96" i="15"/>
  <c r="DM97" i="3"/>
  <c r="DN97" i="3"/>
  <c r="DP97" i="3"/>
  <c r="DQ97" i="3"/>
  <c r="DW97" i="3"/>
  <c r="J96" i="15"/>
  <c r="DX97" i="3"/>
  <c r="DZ97" i="3"/>
  <c r="EC97" i="3"/>
  <c r="EJ97" i="3"/>
  <c r="K96" i="15"/>
  <c r="EK97" i="3"/>
  <c r="EM97" i="3"/>
  <c r="EP97" i="3"/>
  <c r="EW97" i="3"/>
  <c r="L96" i="15"/>
  <c r="EX97" i="3"/>
  <c r="EZ97" i="3"/>
  <c r="FC97" i="3"/>
  <c r="FJ97" i="3"/>
  <c r="M96" i="15"/>
  <c r="FK97" i="3"/>
  <c r="FL97" i="3"/>
  <c r="FN97" i="3"/>
  <c r="FO97" i="3"/>
  <c r="FR97" i="3"/>
  <c r="FT97" i="3"/>
  <c r="N96" i="15"/>
  <c r="C96" i="15"/>
  <c r="O96" i="15"/>
  <c r="P96" i="15"/>
  <c r="BP97" i="3"/>
  <c r="CC97" i="3"/>
  <c r="CE97" i="3"/>
  <c r="CH97" i="3"/>
  <c r="CK97" i="3"/>
  <c r="Q96" i="15"/>
  <c r="CP97" i="3"/>
  <c r="CR97" i="3"/>
  <c r="CU97" i="3"/>
  <c r="CX97" i="3"/>
  <c r="R96" i="15"/>
  <c r="DY97" i="3"/>
  <c r="EA97" i="3"/>
  <c r="ED97" i="3"/>
  <c r="EG97" i="3"/>
  <c r="S96" i="15"/>
  <c r="EL97" i="3"/>
  <c r="EN97" i="3"/>
  <c r="EQ97" i="3"/>
  <c r="ET97" i="3"/>
  <c r="T96" i="15"/>
  <c r="EY97" i="3"/>
  <c r="FA97" i="3"/>
  <c r="FD97" i="3"/>
  <c r="FG97" i="3"/>
  <c r="U96" i="15"/>
  <c r="FV97" i="3"/>
  <c r="FY97" i="3"/>
  <c r="V96" i="15"/>
  <c r="FZ97" i="3"/>
  <c r="W96" i="15"/>
  <c r="GA97" i="3"/>
  <c r="X96" i="15"/>
  <c r="GB97" i="3"/>
  <c r="Y96" i="15"/>
  <c r="GC97" i="3"/>
  <c r="Z96" i="15"/>
  <c r="GD97" i="3"/>
  <c r="AA96" i="15"/>
  <c r="GE97" i="3"/>
  <c r="AB96" i="15"/>
  <c r="GF97" i="3"/>
  <c r="AC96" i="15"/>
  <c r="V98" i="3" a="1"/>
  <c r="V98" i="3"/>
  <c r="AS98" i="3"/>
  <c r="B97" i="15"/>
  <c r="P98" i="3" a="1"/>
  <c r="P98" i="3"/>
  <c r="S98" i="3"/>
  <c r="AU98" i="3"/>
  <c r="AW98" i="3"/>
  <c r="AZ98" i="3"/>
  <c r="BA98" i="3"/>
  <c r="D97" i="15"/>
  <c r="AV98" i="3"/>
  <c r="BD98" i="3"/>
  <c r="BF98" i="3"/>
  <c r="BG98" i="3"/>
  <c r="E97" i="15"/>
  <c r="BQ98" i="3"/>
  <c r="BR98" i="3"/>
  <c r="BS98" i="3"/>
  <c r="BN98" i="3"/>
  <c r="BU98" i="3"/>
  <c r="BV98" i="3"/>
  <c r="BY98" i="3"/>
  <c r="CA98" i="3"/>
  <c r="F97" i="15"/>
  <c r="CB98" i="3"/>
  <c r="CD98" i="3"/>
  <c r="CG98" i="3"/>
  <c r="CN98" i="3"/>
  <c r="G97" i="15"/>
  <c r="CO98" i="3"/>
  <c r="CQ98" i="3"/>
  <c r="CT98" i="3"/>
  <c r="DA98" i="3"/>
  <c r="H97" i="15"/>
  <c r="DB98" i="3"/>
  <c r="DC98" i="3"/>
  <c r="DE98" i="3"/>
  <c r="DF98" i="3"/>
  <c r="DL98" i="3"/>
  <c r="I97" i="15"/>
  <c r="DM98" i="3"/>
  <c r="DN98" i="3"/>
  <c r="DP98" i="3"/>
  <c r="DQ98" i="3"/>
  <c r="DW98" i="3"/>
  <c r="J97" i="15"/>
  <c r="DX98" i="3"/>
  <c r="DZ98" i="3"/>
  <c r="EC98" i="3"/>
  <c r="EJ98" i="3"/>
  <c r="K97" i="15"/>
  <c r="EK98" i="3"/>
  <c r="EM98" i="3"/>
  <c r="EP98" i="3"/>
  <c r="EW98" i="3"/>
  <c r="L97" i="15"/>
  <c r="EX98" i="3"/>
  <c r="EZ98" i="3"/>
  <c r="FC98" i="3"/>
  <c r="FJ98" i="3"/>
  <c r="M97" i="15"/>
  <c r="FK98" i="3"/>
  <c r="FL98" i="3"/>
  <c r="FN98" i="3"/>
  <c r="FO98" i="3"/>
  <c r="FR98" i="3"/>
  <c r="FT98" i="3"/>
  <c r="N97" i="15"/>
  <c r="C97" i="15"/>
  <c r="O97" i="15"/>
  <c r="P97" i="15"/>
  <c r="BP98" i="3"/>
  <c r="CC98" i="3"/>
  <c r="CE98" i="3"/>
  <c r="CH98" i="3"/>
  <c r="CK98" i="3"/>
  <c r="Q97" i="15"/>
  <c r="CP98" i="3"/>
  <c r="CR98" i="3"/>
  <c r="CU98" i="3"/>
  <c r="CX98" i="3"/>
  <c r="R97" i="15"/>
  <c r="DY98" i="3"/>
  <c r="EA98" i="3"/>
  <c r="ED98" i="3"/>
  <c r="EG98" i="3"/>
  <c r="S97" i="15"/>
  <c r="EL98" i="3"/>
  <c r="EN98" i="3"/>
  <c r="EQ98" i="3"/>
  <c r="ET98" i="3"/>
  <c r="T97" i="15"/>
  <c r="EY98" i="3"/>
  <c r="FA98" i="3"/>
  <c r="FD98" i="3"/>
  <c r="FG98" i="3"/>
  <c r="U97" i="15"/>
  <c r="FV98" i="3"/>
  <c r="FY98" i="3"/>
  <c r="V97" i="15"/>
  <c r="FZ98" i="3"/>
  <c r="W97" i="15"/>
  <c r="GA98" i="3"/>
  <c r="X97" i="15"/>
  <c r="GB98" i="3"/>
  <c r="Y97" i="15"/>
  <c r="GC98" i="3"/>
  <c r="Z97" i="15"/>
  <c r="GD98" i="3"/>
  <c r="AA97" i="15"/>
  <c r="GE98" i="3"/>
  <c r="AB97" i="15"/>
  <c r="GF98" i="3"/>
  <c r="AC97" i="15"/>
  <c r="V99" i="3" a="1"/>
  <c r="V99" i="3"/>
  <c r="AS99" i="3"/>
  <c r="B98" i="15"/>
  <c r="P99" i="3" a="1"/>
  <c r="P99" i="3"/>
  <c r="S99" i="3"/>
  <c r="AU99" i="3"/>
  <c r="AW99" i="3"/>
  <c r="AZ99" i="3"/>
  <c r="BA99" i="3"/>
  <c r="D98" i="15"/>
  <c r="AV99" i="3"/>
  <c r="BD99" i="3"/>
  <c r="BF99" i="3"/>
  <c r="BG99" i="3"/>
  <c r="E98" i="15"/>
  <c r="BQ99" i="3"/>
  <c r="BR99" i="3"/>
  <c r="BS99" i="3"/>
  <c r="BN99" i="3"/>
  <c r="BU99" i="3"/>
  <c r="BV99" i="3"/>
  <c r="BY99" i="3"/>
  <c r="CA99" i="3"/>
  <c r="F98" i="15"/>
  <c r="CB99" i="3"/>
  <c r="CD99" i="3"/>
  <c r="CG99" i="3"/>
  <c r="CN99" i="3"/>
  <c r="G98" i="15"/>
  <c r="CO99" i="3"/>
  <c r="CQ99" i="3"/>
  <c r="CT99" i="3"/>
  <c r="DA99" i="3"/>
  <c r="H98" i="15"/>
  <c r="DB99" i="3"/>
  <c r="DC99" i="3"/>
  <c r="DE99" i="3"/>
  <c r="DF99" i="3"/>
  <c r="DL99" i="3"/>
  <c r="I98" i="15"/>
  <c r="DM99" i="3"/>
  <c r="DN99" i="3"/>
  <c r="DP99" i="3"/>
  <c r="DQ99" i="3"/>
  <c r="DW99" i="3"/>
  <c r="J98" i="15"/>
  <c r="DX99" i="3"/>
  <c r="DZ99" i="3"/>
  <c r="EC99" i="3"/>
  <c r="EJ99" i="3"/>
  <c r="K98" i="15"/>
  <c r="EK99" i="3"/>
  <c r="EM99" i="3"/>
  <c r="EP99" i="3"/>
  <c r="EW99" i="3"/>
  <c r="L98" i="15"/>
  <c r="EX99" i="3"/>
  <c r="EZ99" i="3"/>
  <c r="FC99" i="3"/>
  <c r="FJ99" i="3"/>
  <c r="M98" i="15"/>
  <c r="FK99" i="3"/>
  <c r="FL99" i="3"/>
  <c r="FN99" i="3"/>
  <c r="FO99" i="3"/>
  <c r="FR99" i="3"/>
  <c r="FT99" i="3"/>
  <c r="N98" i="15"/>
  <c r="C98" i="15"/>
  <c r="O98" i="15"/>
  <c r="P98" i="15"/>
  <c r="BP99" i="3"/>
  <c r="CC99" i="3"/>
  <c r="CE99" i="3"/>
  <c r="CH99" i="3"/>
  <c r="CK99" i="3"/>
  <c r="Q98" i="15"/>
  <c r="CP99" i="3"/>
  <c r="CR99" i="3"/>
  <c r="CU99" i="3"/>
  <c r="CX99" i="3"/>
  <c r="R98" i="15"/>
  <c r="DY99" i="3"/>
  <c r="EA99" i="3"/>
  <c r="ED99" i="3"/>
  <c r="EG99" i="3"/>
  <c r="S98" i="15"/>
  <c r="EL99" i="3"/>
  <c r="EN99" i="3"/>
  <c r="EQ99" i="3"/>
  <c r="ET99" i="3"/>
  <c r="T98" i="15"/>
  <c r="EY99" i="3"/>
  <c r="FA99" i="3"/>
  <c r="FD99" i="3"/>
  <c r="FG99" i="3"/>
  <c r="U98" i="15"/>
  <c r="FV99" i="3"/>
  <c r="FY99" i="3"/>
  <c r="V98" i="15"/>
  <c r="FZ99" i="3"/>
  <c r="W98" i="15"/>
  <c r="GA99" i="3"/>
  <c r="X98" i="15"/>
  <c r="GB99" i="3"/>
  <c r="Y98" i="15"/>
  <c r="GC99" i="3"/>
  <c r="Z98" i="15"/>
  <c r="GD99" i="3"/>
  <c r="AA98" i="15"/>
  <c r="GE99" i="3"/>
  <c r="AB98" i="15"/>
  <c r="GF99" i="3"/>
  <c r="AC98" i="15"/>
  <c r="V100" i="3" a="1"/>
  <c r="V100" i="3"/>
  <c r="AS100" i="3"/>
  <c r="B99" i="15"/>
  <c r="P100" i="3" a="1"/>
  <c r="P100" i="3"/>
  <c r="S100" i="3"/>
  <c r="AU100" i="3"/>
  <c r="AW100" i="3"/>
  <c r="AZ100" i="3"/>
  <c r="BA100" i="3"/>
  <c r="D99" i="15"/>
  <c r="AV100" i="3"/>
  <c r="BD100" i="3"/>
  <c r="BF100" i="3"/>
  <c r="BG100" i="3"/>
  <c r="E99" i="15"/>
  <c r="BQ100" i="3"/>
  <c r="BR100" i="3"/>
  <c r="BS100" i="3"/>
  <c r="BN100" i="3"/>
  <c r="BU100" i="3"/>
  <c r="BV100" i="3"/>
  <c r="BY100" i="3"/>
  <c r="CA100" i="3"/>
  <c r="F99" i="15"/>
  <c r="CB100" i="3"/>
  <c r="CD100" i="3"/>
  <c r="CG100" i="3"/>
  <c r="CN100" i="3"/>
  <c r="G99" i="15"/>
  <c r="CO100" i="3"/>
  <c r="CQ100" i="3"/>
  <c r="CT100" i="3"/>
  <c r="DA100" i="3"/>
  <c r="H99" i="15"/>
  <c r="DB100" i="3"/>
  <c r="DC100" i="3"/>
  <c r="DE100" i="3"/>
  <c r="DF100" i="3"/>
  <c r="DL100" i="3"/>
  <c r="I99" i="15"/>
  <c r="DM100" i="3"/>
  <c r="DN100" i="3"/>
  <c r="DP100" i="3"/>
  <c r="DQ100" i="3"/>
  <c r="DW100" i="3"/>
  <c r="J99" i="15"/>
  <c r="DX100" i="3"/>
  <c r="DZ100" i="3"/>
  <c r="EC100" i="3"/>
  <c r="EJ100" i="3"/>
  <c r="K99" i="15"/>
  <c r="EK100" i="3"/>
  <c r="EM100" i="3"/>
  <c r="EP100" i="3"/>
  <c r="EW100" i="3"/>
  <c r="L99" i="15"/>
  <c r="EX100" i="3"/>
  <c r="EZ100" i="3"/>
  <c r="FC100" i="3"/>
  <c r="FJ100" i="3"/>
  <c r="M99" i="15"/>
  <c r="FK100" i="3"/>
  <c r="FL100" i="3"/>
  <c r="FN100" i="3"/>
  <c r="FO100" i="3"/>
  <c r="FR100" i="3"/>
  <c r="FT100" i="3"/>
  <c r="N99" i="15"/>
  <c r="C99" i="15"/>
  <c r="O99" i="15"/>
  <c r="P99" i="15"/>
  <c r="BP100" i="3"/>
  <c r="CC100" i="3"/>
  <c r="CE100" i="3"/>
  <c r="CH100" i="3"/>
  <c r="CK100" i="3"/>
  <c r="Q99" i="15"/>
  <c r="CP100" i="3"/>
  <c r="CR100" i="3"/>
  <c r="CU100" i="3"/>
  <c r="CX100" i="3"/>
  <c r="R99" i="15"/>
  <c r="DY100" i="3"/>
  <c r="EA100" i="3"/>
  <c r="ED100" i="3"/>
  <c r="EG100" i="3"/>
  <c r="S99" i="15"/>
  <c r="EL100" i="3"/>
  <c r="EN100" i="3"/>
  <c r="EQ100" i="3"/>
  <c r="ET100" i="3"/>
  <c r="T99" i="15"/>
  <c r="EY100" i="3"/>
  <c r="FA100" i="3"/>
  <c r="FD100" i="3"/>
  <c r="FG100" i="3"/>
  <c r="U99" i="15"/>
  <c r="FV100" i="3"/>
  <c r="FY100" i="3"/>
  <c r="V99" i="15"/>
  <c r="FZ100" i="3"/>
  <c r="W99" i="15"/>
  <c r="GA100" i="3"/>
  <c r="X99" i="15"/>
  <c r="GB100" i="3"/>
  <c r="Y99" i="15"/>
  <c r="GC100" i="3"/>
  <c r="Z99" i="15"/>
  <c r="GD100" i="3"/>
  <c r="AA99" i="15"/>
  <c r="GE100" i="3"/>
  <c r="AB99" i="15"/>
  <c r="GF100" i="3"/>
  <c r="AC99" i="15"/>
  <c r="V101" i="3" a="1"/>
  <c r="V101" i="3"/>
  <c r="AS101" i="3"/>
  <c r="B100" i="15"/>
  <c r="P101" i="3" a="1"/>
  <c r="P101" i="3"/>
  <c r="S101" i="3"/>
  <c r="AU101" i="3"/>
  <c r="AW101" i="3"/>
  <c r="AZ101" i="3"/>
  <c r="BA101" i="3"/>
  <c r="D100" i="15"/>
  <c r="AV101" i="3"/>
  <c r="BD101" i="3"/>
  <c r="BF101" i="3"/>
  <c r="BG101" i="3"/>
  <c r="E100" i="15"/>
  <c r="BQ101" i="3"/>
  <c r="BR101" i="3"/>
  <c r="BS101" i="3"/>
  <c r="BV101" i="3"/>
  <c r="BY101" i="3"/>
  <c r="CA101" i="3"/>
  <c r="F100" i="15"/>
  <c r="CB101" i="3"/>
  <c r="CD101" i="3"/>
  <c r="CN101" i="3"/>
  <c r="G100" i="15"/>
  <c r="CO101" i="3"/>
  <c r="CQ101" i="3"/>
  <c r="DA101" i="3"/>
  <c r="H100" i="15"/>
  <c r="DB101" i="3"/>
  <c r="DC101" i="3"/>
  <c r="DF101" i="3"/>
  <c r="DL101" i="3"/>
  <c r="I100" i="15"/>
  <c r="DM101" i="3"/>
  <c r="DN101" i="3"/>
  <c r="DQ101" i="3"/>
  <c r="DW101" i="3"/>
  <c r="J100" i="15"/>
  <c r="DX101" i="3"/>
  <c r="DZ101" i="3"/>
  <c r="EJ101" i="3"/>
  <c r="K100" i="15"/>
  <c r="EK101" i="3"/>
  <c r="EM101" i="3"/>
  <c r="EW101" i="3"/>
  <c r="L100" i="15"/>
  <c r="EX101" i="3"/>
  <c r="EZ101" i="3"/>
  <c r="FJ101" i="3"/>
  <c r="M100" i="15"/>
  <c r="FK101" i="3"/>
  <c r="FL101" i="3"/>
  <c r="FO101" i="3"/>
  <c r="FR101" i="3"/>
  <c r="FT101" i="3"/>
  <c r="N100" i="15"/>
  <c r="C100" i="15"/>
  <c r="O100" i="15"/>
  <c r="P100" i="15"/>
  <c r="BP101" i="3"/>
  <c r="CC101" i="3"/>
  <c r="CE101" i="3"/>
  <c r="CH101" i="3"/>
  <c r="CK101" i="3"/>
  <c r="Q100" i="15"/>
  <c r="CP101" i="3"/>
  <c r="CR101" i="3"/>
  <c r="CU101" i="3"/>
  <c r="CX101" i="3"/>
  <c r="R100" i="15"/>
  <c r="DY101" i="3"/>
  <c r="EA101" i="3"/>
  <c r="ED101" i="3"/>
  <c r="EG101" i="3"/>
  <c r="S100" i="15"/>
  <c r="EL101" i="3"/>
  <c r="EN101" i="3"/>
  <c r="EQ101" i="3"/>
  <c r="ET101" i="3"/>
  <c r="T100" i="15"/>
  <c r="EY101" i="3"/>
  <c r="FA101" i="3"/>
  <c r="FD101" i="3"/>
  <c r="FG101" i="3"/>
  <c r="U100" i="15"/>
  <c r="FV101" i="3"/>
  <c r="FY101" i="3"/>
  <c r="V100" i="15"/>
  <c r="FZ101" i="3"/>
  <c r="W100" i="15"/>
  <c r="GA101" i="3"/>
  <c r="X100" i="15"/>
  <c r="GB101" i="3"/>
  <c r="Y100" i="15"/>
  <c r="GC101" i="3"/>
  <c r="Z100" i="15"/>
  <c r="GD101" i="3"/>
  <c r="AA100" i="15"/>
  <c r="GE101" i="3"/>
  <c r="AB100" i="15"/>
  <c r="GF101" i="3"/>
  <c r="AC100" i="15"/>
  <c r="V102" i="3" a="1"/>
  <c r="V102" i="3"/>
  <c r="AS102" i="3"/>
  <c r="B101" i="15"/>
  <c r="V103" i="3" a="1"/>
  <c r="V103" i="3"/>
  <c r="AS103" i="3"/>
  <c r="B102" i="15"/>
  <c r="P103" i="3" a="1"/>
  <c r="P103" i="3"/>
  <c r="S103" i="3"/>
  <c r="AU103" i="3"/>
  <c r="AW103" i="3"/>
  <c r="AZ103" i="3"/>
  <c r="BA103" i="3"/>
  <c r="D102" i="15"/>
  <c r="AV103" i="3"/>
  <c r="BD103" i="3"/>
  <c r="BF103" i="3"/>
  <c r="BG103" i="3"/>
  <c r="E102" i="15"/>
  <c r="BQ103" i="3"/>
  <c r="BR103" i="3"/>
  <c r="BS103" i="3"/>
  <c r="BN103" i="3"/>
  <c r="BU103" i="3"/>
  <c r="BV103" i="3"/>
  <c r="BY103" i="3"/>
  <c r="CA103" i="3"/>
  <c r="F102" i="15"/>
  <c r="CB103" i="3"/>
  <c r="CD103" i="3"/>
  <c r="CG103" i="3"/>
  <c r="CN103" i="3"/>
  <c r="G102" i="15"/>
  <c r="CO103" i="3"/>
  <c r="CQ103" i="3"/>
  <c r="CT103" i="3"/>
  <c r="DA103" i="3"/>
  <c r="H102" i="15"/>
  <c r="DB103" i="3"/>
  <c r="DC103" i="3"/>
  <c r="DE103" i="3"/>
  <c r="DF103" i="3"/>
  <c r="DL103" i="3"/>
  <c r="I102" i="15"/>
  <c r="DM103" i="3"/>
  <c r="DN103" i="3"/>
  <c r="DP103" i="3"/>
  <c r="DQ103" i="3"/>
  <c r="DW103" i="3"/>
  <c r="J102" i="15"/>
  <c r="DX103" i="3"/>
  <c r="DZ103" i="3"/>
  <c r="EC103" i="3"/>
  <c r="EJ103" i="3"/>
  <c r="K102" i="15"/>
  <c r="EK103" i="3"/>
  <c r="EM103" i="3"/>
  <c r="EP103" i="3"/>
  <c r="EW103" i="3"/>
  <c r="L102" i="15"/>
  <c r="EX103" i="3"/>
  <c r="EZ103" i="3"/>
  <c r="FC103" i="3"/>
  <c r="FJ103" i="3"/>
  <c r="M102" i="15"/>
  <c r="FK103" i="3"/>
  <c r="FL103" i="3"/>
  <c r="FN103" i="3"/>
  <c r="FO103" i="3"/>
  <c r="FR103" i="3"/>
  <c r="FT103" i="3"/>
  <c r="N102" i="15"/>
  <c r="C102" i="15"/>
  <c r="O102" i="15"/>
  <c r="P102" i="15"/>
  <c r="BP103" i="3"/>
  <c r="CC103" i="3"/>
  <c r="CE103" i="3"/>
  <c r="CH103" i="3"/>
  <c r="CK103" i="3"/>
  <c r="Q102" i="15"/>
  <c r="CP103" i="3"/>
  <c r="CR103" i="3"/>
  <c r="CU103" i="3"/>
  <c r="CX103" i="3"/>
  <c r="R102" i="15"/>
  <c r="DY103" i="3"/>
  <c r="EA103" i="3"/>
  <c r="ED103" i="3"/>
  <c r="EG103" i="3"/>
  <c r="S102" i="15"/>
  <c r="EL103" i="3"/>
  <c r="EN103" i="3"/>
  <c r="EQ103" i="3"/>
  <c r="ET103" i="3"/>
  <c r="T102" i="15"/>
  <c r="EY103" i="3"/>
  <c r="FA103" i="3"/>
  <c r="FD103" i="3"/>
  <c r="FG103" i="3"/>
  <c r="U102" i="15"/>
  <c r="FV103" i="3"/>
  <c r="FY103" i="3"/>
  <c r="V102" i="15"/>
  <c r="FZ103" i="3"/>
  <c r="W102" i="15"/>
  <c r="GA103" i="3"/>
  <c r="X102" i="15"/>
  <c r="GB103" i="3"/>
  <c r="Y102" i="15"/>
  <c r="GC103" i="3"/>
  <c r="Z102" i="15"/>
  <c r="GD103" i="3"/>
  <c r="AA102" i="15"/>
  <c r="GE103" i="3"/>
  <c r="AB102" i="15"/>
  <c r="GF103" i="3"/>
  <c r="AC102" i="15"/>
  <c r="V104" i="3" a="1"/>
  <c r="V104" i="3"/>
  <c r="AS104" i="3"/>
  <c r="B103" i="15"/>
  <c r="P104" i="3" a="1"/>
  <c r="P104" i="3"/>
  <c r="S104" i="3"/>
  <c r="AU104" i="3"/>
  <c r="AW104" i="3"/>
  <c r="AZ104" i="3"/>
  <c r="BA104" i="3"/>
  <c r="D103" i="15"/>
  <c r="AV104" i="3"/>
  <c r="BD104" i="3"/>
  <c r="BF104" i="3"/>
  <c r="BG104" i="3"/>
  <c r="E103" i="15"/>
  <c r="BQ104" i="3"/>
  <c r="BR104" i="3"/>
  <c r="BS104" i="3"/>
  <c r="BN104" i="3"/>
  <c r="BU104" i="3"/>
  <c r="BV104" i="3"/>
  <c r="BY104" i="3"/>
  <c r="CA104" i="3"/>
  <c r="F103" i="15"/>
  <c r="CB104" i="3"/>
  <c r="CD104" i="3"/>
  <c r="CG104" i="3"/>
  <c r="CN104" i="3"/>
  <c r="G103" i="15"/>
  <c r="CO104" i="3"/>
  <c r="CQ104" i="3"/>
  <c r="CT104" i="3"/>
  <c r="DA104" i="3"/>
  <c r="H103" i="15"/>
  <c r="DB104" i="3"/>
  <c r="DC104" i="3"/>
  <c r="DE104" i="3"/>
  <c r="DF104" i="3"/>
  <c r="DL104" i="3"/>
  <c r="I103" i="15"/>
  <c r="DM104" i="3"/>
  <c r="DN104" i="3"/>
  <c r="DP104" i="3"/>
  <c r="DQ104" i="3"/>
  <c r="DW104" i="3"/>
  <c r="J103" i="15"/>
  <c r="DX104" i="3"/>
  <c r="DZ104" i="3"/>
  <c r="EC104" i="3"/>
  <c r="EJ104" i="3"/>
  <c r="K103" i="15"/>
  <c r="EK104" i="3"/>
  <c r="EM104" i="3"/>
  <c r="EP104" i="3"/>
  <c r="EW104" i="3"/>
  <c r="L103" i="15"/>
  <c r="EX104" i="3"/>
  <c r="EZ104" i="3"/>
  <c r="FC104" i="3"/>
  <c r="FJ104" i="3"/>
  <c r="M103" i="15"/>
  <c r="FK104" i="3"/>
  <c r="FL104" i="3"/>
  <c r="FN104" i="3"/>
  <c r="FO104" i="3"/>
  <c r="FR104" i="3"/>
  <c r="FT104" i="3"/>
  <c r="N103" i="15"/>
  <c r="C103" i="15"/>
  <c r="O103" i="15"/>
  <c r="P103" i="15"/>
  <c r="BP104" i="3"/>
  <c r="CC104" i="3"/>
  <c r="CE104" i="3"/>
  <c r="CH104" i="3"/>
  <c r="CK104" i="3"/>
  <c r="Q103" i="15"/>
  <c r="CP104" i="3"/>
  <c r="CR104" i="3"/>
  <c r="CU104" i="3"/>
  <c r="CX104" i="3"/>
  <c r="R103" i="15"/>
  <c r="DY104" i="3"/>
  <c r="EA104" i="3"/>
  <c r="ED104" i="3"/>
  <c r="EG104" i="3"/>
  <c r="S103" i="15"/>
  <c r="EL104" i="3"/>
  <c r="EN104" i="3"/>
  <c r="EQ104" i="3"/>
  <c r="ET104" i="3"/>
  <c r="T103" i="15"/>
  <c r="EY104" i="3"/>
  <c r="FA104" i="3"/>
  <c r="FD104" i="3"/>
  <c r="FG104" i="3"/>
  <c r="U103" i="15"/>
  <c r="FV104" i="3"/>
  <c r="FY104" i="3"/>
  <c r="V103" i="15"/>
  <c r="FZ104" i="3"/>
  <c r="W103" i="15"/>
  <c r="GA104" i="3"/>
  <c r="X103" i="15"/>
  <c r="GB104" i="3"/>
  <c r="Y103" i="15"/>
  <c r="GC104" i="3"/>
  <c r="Z103" i="15"/>
  <c r="GD104" i="3"/>
  <c r="AA103" i="15"/>
  <c r="GE104" i="3"/>
  <c r="AB103" i="15"/>
  <c r="GF104" i="3"/>
  <c r="AC103" i="15"/>
  <c r="V105" i="3" a="1"/>
  <c r="V105" i="3"/>
  <c r="AS105" i="3"/>
  <c r="B104" i="15"/>
  <c r="P105" i="3" a="1"/>
  <c r="P105" i="3"/>
  <c r="S105" i="3"/>
  <c r="AU105" i="3"/>
  <c r="AW105" i="3"/>
  <c r="AZ105" i="3"/>
  <c r="BA105" i="3"/>
  <c r="D104" i="15"/>
  <c r="AV105" i="3"/>
  <c r="BD105" i="3"/>
  <c r="BF105" i="3"/>
  <c r="BG105" i="3"/>
  <c r="E104" i="15"/>
  <c r="BQ105" i="3"/>
  <c r="BR105" i="3"/>
  <c r="BS105" i="3"/>
  <c r="BV105" i="3"/>
  <c r="BY105" i="3"/>
  <c r="CA105" i="3"/>
  <c r="F104" i="15"/>
  <c r="CB105" i="3"/>
  <c r="CD105" i="3"/>
  <c r="CN105" i="3"/>
  <c r="G104" i="15"/>
  <c r="CO105" i="3"/>
  <c r="CQ105" i="3"/>
  <c r="DA105" i="3"/>
  <c r="H104" i="15"/>
  <c r="DB105" i="3"/>
  <c r="DC105" i="3"/>
  <c r="DF105" i="3"/>
  <c r="DL105" i="3"/>
  <c r="I104" i="15"/>
  <c r="DM105" i="3"/>
  <c r="DN105" i="3"/>
  <c r="DQ105" i="3"/>
  <c r="DW105" i="3"/>
  <c r="J104" i="15"/>
  <c r="DX105" i="3"/>
  <c r="DZ105" i="3"/>
  <c r="EJ105" i="3"/>
  <c r="K104" i="15"/>
  <c r="EK105" i="3"/>
  <c r="EM105" i="3"/>
  <c r="EW105" i="3"/>
  <c r="L104" i="15"/>
  <c r="EX105" i="3"/>
  <c r="EZ105" i="3"/>
  <c r="FJ105" i="3"/>
  <c r="M104" i="15"/>
  <c r="FK105" i="3"/>
  <c r="FL105" i="3"/>
  <c r="FO105" i="3"/>
  <c r="FR105" i="3"/>
  <c r="FT105" i="3"/>
  <c r="N104" i="15"/>
  <c r="C104" i="15"/>
  <c r="O104" i="15"/>
  <c r="P104" i="15"/>
  <c r="BP105" i="3"/>
  <c r="CC105" i="3"/>
  <c r="CE105" i="3"/>
  <c r="CH105" i="3"/>
  <c r="CK105" i="3"/>
  <c r="Q104" i="15"/>
  <c r="CP105" i="3"/>
  <c r="CR105" i="3"/>
  <c r="CU105" i="3"/>
  <c r="CX105" i="3"/>
  <c r="R104" i="15"/>
  <c r="DY105" i="3"/>
  <c r="EA105" i="3"/>
  <c r="ED105" i="3"/>
  <c r="EG105" i="3"/>
  <c r="S104" i="15"/>
  <c r="EL105" i="3"/>
  <c r="EN105" i="3"/>
  <c r="EQ105" i="3"/>
  <c r="ET105" i="3"/>
  <c r="T104" i="15"/>
  <c r="EY105" i="3"/>
  <c r="FA105" i="3"/>
  <c r="FD105" i="3"/>
  <c r="FG105" i="3"/>
  <c r="U104" i="15"/>
  <c r="FV105" i="3"/>
  <c r="FY105" i="3"/>
  <c r="V104" i="15"/>
  <c r="FZ105" i="3"/>
  <c r="W104" i="15"/>
  <c r="GA105" i="3"/>
  <c r="X104" i="15"/>
  <c r="GB105" i="3"/>
  <c r="Y104" i="15"/>
  <c r="GC105" i="3"/>
  <c r="Z104" i="15"/>
  <c r="GD105" i="3"/>
  <c r="AA104" i="15"/>
  <c r="GE105" i="3"/>
  <c r="AB104" i="15"/>
  <c r="GF105" i="3"/>
  <c r="AC104" i="15"/>
  <c r="V106" i="3" a="1"/>
  <c r="V106" i="3"/>
  <c r="AS106" i="3"/>
  <c r="B105" i="15"/>
  <c r="P106" i="3" a="1"/>
  <c r="P106" i="3"/>
  <c r="S106" i="3"/>
  <c r="AU106" i="3"/>
  <c r="AW106" i="3"/>
  <c r="AZ106" i="3"/>
  <c r="BA106" i="3"/>
  <c r="D105" i="15"/>
  <c r="AV106" i="3"/>
  <c r="BD106" i="3"/>
  <c r="BF106" i="3"/>
  <c r="BG106" i="3"/>
  <c r="E105" i="15"/>
  <c r="BQ106" i="3"/>
  <c r="BR106" i="3"/>
  <c r="BS106" i="3"/>
  <c r="BN106" i="3"/>
  <c r="BU106" i="3"/>
  <c r="BV106" i="3"/>
  <c r="BY106" i="3"/>
  <c r="CA106" i="3"/>
  <c r="F105" i="15"/>
  <c r="CB106" i="3"/>
  <c r="CD106" i="3"/>
  <c r="CG106" i="3"/>
  <c r="CN106" i="3"/>
  <c r="G105" i="15"/>
  <c r="CO106" i="3"/>
  <c r="CQ106" i="3"/>
  <c r="CT106" i="3"/>
  <c r="DA106" i="3"/>
  <c r="H105" i="15"/>
  <c r="DB106" i="3"/>
  <c r="DC106" i="3"/>
  <c r="DE106" i="3"/>
  <c r="DF106" i="3"/>
  <c r="DL106" i="3"/>
  <c r="I105" i="15"/>
  <c r="DM106" i="3"/>
  <c r="DN106" i="3"/>
  <c r="DP106" i="3"/>
  <c r="DQ106" i="3"/>
  <c r="DW106" i="3"/>
  <c r="J105" i="15"/>
  <c r="DX106" i="3"/>
  <c r="DZ106" i="3"/>
  <c r="EC106" i="3"/>
  <c r="EJ106" i="3"/>
  <c r="K105" i="15"/>
  <c r="EK106" i="3"/>
  <c r="EM106" i="3"/>
  <c r="EP106" i="3"/>
  <c r="EW106" i="3"/>
  <c r="L105" i="15"/>
  <c r="EX106" i="3"/>
  <c r="EZ106" i="3"/>
  <c r="FC106" i="3"/>
  <c r="FJ106" i="3"/>
  <c r="M105" i="15"/>
  <c r="FK106" i="3"/>
  <c r="FL106" i="3"/>
  <c r="FN106" i="3"/>
  <c r="FO106" i="3"/>
  <c r="FR106" i="3"/>
  <c r="FT106" i="3"/>
  <c r="N105" i="15"/>
  <c r="C105" i="15"/>
  <c r="O105" i="15"/>
  <c r="P105" i="15"/>
  <c r="BP106" i="3"/>
  <c r="CC106" i="3"/>
  <c r="CE106" i="3"/>
  <c r="CH106" i="3"/>
  <c r="CK106" i="3"/>
  <c r="Q105" i="15"/>
  <c r="CP106" i="3"/>
  <c r="CR106" i="3"/>
  <c r="CU106" i="3"/>
  <c r="CX106" i="3"/>
  <c r="R105" i="15"/>
  <c r="DY106" i="3"/>
  <c r="EA106" i="3"/>
  <c r="ED106" i="3"/>
  <c r="EG106" i="3"/>
  <c r="S105" i="15"/>
  <c r="EL106" i="3"/>
  <c r="EN106" i="3"/>
  <c r="EQ106" i="3"/>
  <c r="ET106" i="3"/>
  <c r="T105" i="15"/>
  <c r="EY106" i="3"/>
  <c r="FA106" i="3"/>
  <c r="FD106" i="3"/>
  <c r="FG106" i="3"/>
  <c r="U105" i="15"/>
  <c r="FV106" i="3"/>
  <c r="FY106" i="3"/>
  <c r="V105" i="15"/>
  <c r="FZ106" i="3"/>
  <c r="W105" i="15"/>
  <c r="GA106" i="3"/>
  <c r="X105" i="15"/>
  <c r="GB106" i="3"/>
  <c r="Y105" i="15"/>
  <c r="GC106" i="3"/>
  <c r="Z105" i="15"/>
  <c r="GD106" i="3"/>
  <c r="AA105" i="15"/>
  <c r="GE106" i="3"/>
  <c r="AB105" i="15"/>
  <c r="GF106" i="3"/>
  <c r="AC105" i="15"/>
  <c r="V107" i="3" a="1"/>
  <c r="V107" i="3"/>
  <c r="AS107" i="3"/>
  <c r="B106" i="15"/>
  <c r="P107" i="3" a="1"/>
  <c r="P107" i="3"/>
  <c r="S107" i="3"/>
  <c r="AU107" i="3"/>
  <c r="AW107" i="3"/>
  <c r="AZ107" i="3"/>
  <c r="BA107" i="3"/>
  <c r="D106" i="15"/>
  <c r="AV107" i="3"/>
  <c r="BD107" i="3"/>
  <c r="BF107" i="3"/>
  <c r="BG107" i="3"/>
  <c r="E106" i="15"/>
  <c r="BQ107" i="3"/>
  <c r="BR107" i="3"/>
  <c r="BS107" i="3"/>
  <c r="BN107" i="3"/>
  <c r="BU107" i="3"/>
  <c r="BV107" i="3"/>
  <c r="BY107" i="3"/>
  <c r="CA107" i="3"/>
  <c r="F106" i="15"/>
  <c r="CB107" i="3"/>
  <c r="CD107" i="3"/>
  <c r="CG107" i="3"/>
  <c r="CN107" i="3"/>
  <c r="G106" i="15"/>
  <c r="CO107" i="3"/>
  <c r="CQ107" i="3"/>
  <c r="CT107" i="3"/>
  <c r="DA107" i="3"/>
  <c r="H106" i="15"/>
  <c r="DB107" i="3"/>
  <c r="DC107" i="3"/>
  <c r="DE107" i="3"/>
  <c r="DF107" i="3"/>
  <c r="DL107" i="3"/>
  <c r="I106" i="15"/>
  <c r="DM107" i="3"/>
  <c r="DN107" i="3"/>
  <c r="DP107" i="3"/>
  <c r="DQ107" i="3"/>
  <c r="DW107" i="3"/>
  <c r="J106" i="15"/>
  <c r="DX107" i="3"/>
  <c r="DZ107" i="3"/>
  <c r="EC107" i="3"/>
  <c r="EJ107" i="3"/>
  <c r="K106" i="15"/>
  <c r="EK107" i="3"/>
  <c r="EM107" i="3"/>
  <c r="EP107" i="3"/>
  <c r="EW107" i="3"/>
  <c r="L106" i="15"/>
  <c r="EX107" i="3"/>
  <c r="EZ107" i="3"/>
  <c r="FC107" i="3"/>
  <c r="FJ107" i="3"/>
  <c r="M106" i="15"/>
  <c r="FK107" i="3"/>
  <c r="FL107" i="3"/>
  <c r="FN107" i="3"/>
  <c r="FO107" i="3"/>
  <c r="FR107" i="3"/>
  <c r="FT107" i="3"/>
  <c r="N106" i="15"/>
  <c r="C106" i="15"/>
  <c r="O106" i="15"/>
  <c r="P106" i="15"/>
  <c r="BP107" i="3"/>
  <c r="CC107" i="3"/>
  <c r="CE107" i="3"/>
  <c r="CH107" i="3"/>
  <c r="CK107" i="3"/>
  <c r="Q106" i="15"/>
  <c r="CP107" i="3"/>
  <c r="CR107" i="3"/>
  <c r="CU107" i="3"/>
  <c r="CX107" i="3"/>
  <c r="R106" i="15"/>
  <c r="DY107" i="3"/>
  <c r="EA107" i="3"/>
  <c r="ED107" i="3"/>
  <c r="EG107" i="3"/>
  <c r="S106" i="15"/>
  <c r="EL107" i="3"/>
  <c r="EN107" i="3"/>
  <c r="EQ107" i="3"/>
  <c r="ET107" i="3"/>
  <c r="T106" i="15"/>
  <c r="EY107" i="3"/>
  <c r="FA107" i="3"/>
  <c r="FD107" i="3"/>
  <c r="FG107" i="3"/>
  <c r="U106" i="15"/>
  <c r="FV107" i="3"/>
  <c r="FY107" i="3"/>
  <c r="V106" i="15"/>
  <c r="FZ107" i="3"/>
  <c r="W106" i="15"/>
  <c r="GA107" i="3"/>
  <c r="X106" i="15"/>
  <c r="GB107" i="3"/>
  <c r="Y106" i="15"/>
  <c r="GC107" i="3"/>
  <c r="Z106" i="15"/>
  <c r="GD107" i="3"/>
  <c r="AA106" i="15"/>
  <c r="GE107" i="3"/>
  <c r="AB106" i="15"/>
  <c r="GF107" i="3"/>
  <c r="AC106" i="15"/>
  <c r="V108" i="3" a="1"/>
  <c r="V108" i="3"/>
  <c r="AS108" i="3"/>
  <c r="B107" i="15"/>
  <c r="P108" i="3" a="1"/>
  <c r="P108" i="3"/>
  <c r="S108" i="3"/>
  <c r="AU108" i="3"/>
  <c r="AW108" i="3"/>
  <c r="AZ108" i="3"/>
  <c r="BA108" i="3"/>
  <c r="D107" i="15"/>
  <c r="AV108" i="3"/>
  <c r="BD108" i="3"/>
  <c r="BF108" i="3"/>
  <c r="BG108" i="3"/>
  <c r="E107" i="15"/>
  <c r="BQ108" i="3"/>
  <c r="BR108" i="3"/>
  <c r="BS108" i="3"/>
  <c r="BN108" i="3"/>
  <c r="BU108" i="3"/>
  <c r="BV108" i="3"/>
  <c r="BY108" i="3"/>
  <c r="CA108" i="3"/>
  <c r="F107" i="15"/>
  <c r="CB108" i="3"/>
  <c r="CD108" i="3"/>
  <c r="CG108" i="3"/>
  <c r="CN108" i="3"/>
  <c r="G107" i="15"/>
  <c r="CO108" i="3"/>
  <c r="CQ108" i="3"/>
  <c r="CT108" i="3"/>
  <c r="DA108" i="3"/>
  <c r="H107" i="15"/>
  <c r="DB108" i="3"/>
  <c r="DC108" i="3"/>
  <c r="DE108" i="3"/>
  <c r="DF108" i="3"/>
  <c r="DL108" i="3"/>
  <c r="I107" i="15"/>
  <c r="DM108" i="3"/>
  <c r="DN108" i="3"/>
  <c r="DP108" i="3"/>
  <c r="DQ108" i="3"/>
  <c r="DW108" i="3"/>
  <c r="J107" i="15"/>
  <c r="DX108" i="3"/>
  <c r="DZ108" i="3"/>
  <c r="EC108" i="3"/>
  <c r="EJ108" i="3"/>
  <c r="K107" i="15"/>
  <c r="EK108" i="3"/>
  <c r="EM108" i="3"/>
  <c r="EP108" i="3"/>
  <c r="EW108" i="3"/>
  <c r="L107" i="15"/>
  <c r="EX108" i="3"/>
  <c r="EZ108" i="3"/>
  <c r="FC108" i="3"/>
  <c r="FJ108" i="3"/>
  <c r="M107" i="15"/>
  <c r="FK108" i="3"/>
  <c r="FL108" i="3"/>
  <c r="FN108" i="3"/>
  <c r="FO108" i="3"/>
  <c r="FR108" i="3"/>
  <c r="FT108" i="3"/>
  <c r="N107" i="15"/>
  <c r="C107" i="15"/>
  <c r="O107" i="15"/>
  <c r="P107" i="15"/>
  <c r="BP108" i="3"/>
  <c r="CC108" i="3"/>
  <c r="CE108" i="3"/>
  <c r="CH108" i="3"/>
  <c r="CK108" i="3"/>
  <c r="Q107" i="15"/>
  <c r="CP108" i="3"/>
  <c r="CR108" i="3"/>
  <c r="CU108" i="3"/>
  <c r="CX108" i="3"/>
  <c r="R107" i="15"/>
  <c r="DY108" i="3"/>
  <c r="EA108" i="3"/>
  <c r="ED108" i="3"/>
  <c r="EG108" i="3"/>
  <c r="S107" i="15"/>
  <c r="EL108" i="3"/>
  <c r="EN108" i="3"/>
  <c r="EQ108" i="3"/>
  <c r="ET108" i="3"/>
  <c r="T107" i="15"/>
  <c r="EY108" i="3"/>
  <c r="FA108" i="3"/>
  <c r="FD108" i="3"/>
  <c r="FG108" i="3"/>
  <c r="U107" i="15"/>
  <c r="FV108" i="3"/>
  <c r="FY108" i="3"/>
  <c r="V107" i="15"/>
  <c r="FZ108" i="3"/>
  <c r="W107" i="15"/>
  <c r="GA108" i="3"/>
  <c r="X107" i="15"/>
  <c r="GB108" i="3"/>
  <c r="Y107" i="15"/>
  <c r="GC108" i="3"/>
  <c r="Z107" i="15"/>
  <c r="GD108" i="3"/>
  <c r="AA107" i="15"/>
  <c r="GE108" i="3"/>
  <c r="AB107" i="15"/>
  <c r="GF108" i="3"/>
  <c r="AC107" i="15"/>
  <c r="V109" i="3" a="1"/>
  <c r="V109" i="3"/>
  <c r="AS109" i="3"/>
  <c r="B108" i="15"/>
  <c r="P109" i="3" a="1"/>
  <c r="P109" i="3"/>
  <c r="S109" i="3"/>
  <c r="AU109" i="3"/>
  <c r="AW109" i="3"/>
  <c r="AZ109" i="3"/>
  <c r="BA109" i="3"/>
  <c r="D108" i="15"/>
  <c r="AV109" i="3"/>
  <c r="BD109" i="3"/>
  <c r="BF109" i="3"/>
  <c r="BG109" i="3"/>
  <c r="E108" i="15"/>
  <c r="BQ109" i="3"/>
  <c r="BR109" i="3"/>
  <c r="BS109" i="3"/>
  <c r="BN109" i="3"/>
  <c r="BU109" i="3"/>
  <c r="BV109" i="3"/>
  <c r="BY109" i="3"/>
  <c r="CA109" i="3"/>
  <c r="F108" i="15"/>
  <c r="CB109" i="3"/>
  <c r="CD109" i="3"/>
  <c r="CG109" i="3"/>
  <c r="CN109" i="3"/>
  <c r="G108" i="15"/>
  <c r="CO109" i="3"/>
  <c r="CQ109" i="3"/>
  <c r="CT109" i="3"/>
  <c r="DA109" i="3"/>
  <c r="H108" i="15"/>
  <c r="DB109" i="3"/>
  <c r="DC109" i="3"/>
  <c r="DE109" i="3"/>
  <c r="DF109" i="3"/>
  <c r="DL109" i="3"/>
  <c r="I108" i="15"/>
  <c r="DM109" i="3"/>
  <c r="DN109" i="3"/>
  <c r="DP109" i="3"/>
  <c r="DQ109" i="3"/>
  <c r="DW109" i="3"/>
  <c r="J108" i="15"/>
  <c r="DX109" i="3"/>
  <c r="DZ109" i="3"/>
  <c r="EC109" i="3"/>
  <c r="EJ109" i="3"/>
  <c r="K108" i="15"/>
  <c r="EK109" i="3"/>
  <c r="EM109" i="3"/>
  <c r="EP109" i="3"/>
  <c r="EW109" i="3"/>
  <c r="L108" i="15"/>
  <c r="EX109" i="3"/>
  <c r="EZ109" i="3"/>
  <c r="FC109" i="3"/>
  <c r="FJ109" i="3"/>
  <c r="M108" i="15"/>
  <c r="FK109" i="3"/>
  <c r="FL109" i="3"/>
  <c r="FN109" i="3"/>
  <c r="FO109" i="3"/>
  <c r="FR109" i="3"/>
  <c r="FT109" i="3"/>
  <c r="N108" i="15"/>
  <c r="C108" i="15"/>
  <c r="O108" i="15"/>
  <c r="P108" i="15"/>
  <c r="BP109" i="3"/>
  <c r="CC109" i="3"/>
  <c r="CE109" i="3"/>
  <c r="CH109" i="3"/>
  <c r="CK109" i="3"/>
  <c r="Q108" i="15"/>
  <c r="CP109" i="3"/>
  <c r="CR109" i="3"/>
  <c r="CU109" i="3"/>
  <c r="CX109" i="3"/>
  <c r="R108" i="15"/>
  <c r="DY109" i="3"/>
  <c r="EA109" i="3"/>
  <c r="ED109" i="3"/>
  <c r="EG109" i="3"/>
  <c r="S108" i="15"/>
  <c r="EL109" i="3"/>
  <c r="EN109" i="3"/>
  <c r="EQ109" i="3"/>
  <c r="ET109" i="3"/>
  <c r="T108" i="15"/>
  <c r="EY109" i="3"/>
  <c r="FA109" i="3"/>
  <c r="FD109" i="3"/>
  <c r="FG109" i="3"/>
  <c r="U108" i="15"/>
  <c r="FV109" i="3"/>
  <c r="FY109" i="3"/>
  <c r="V108" i="15"/>
  <c r="FZ109" i="3"/>
  <c r="W108" i="15"/>
  <c r="GA109" i="3"/>
  <c r="X108" i="15"/>
  <c r="GB109" i="3"/>
  <c r="Y108" i="15"/>
  <c r="GC109" i="3"/>
  <c r="Z108" i="15"/>
  <c r="GD109" i="3"/>
  <c r="AA108" i="15"/>
  <c r="GE109" i="3"/>
  <c r="AB108" i="15"/>
  <c r="GF109" i="3"/>
  <c r="AC108" i="15"/>
  <c r="V110" i="3" a="1"/>
  <c r="V110" i="3"/>
  <c r="AS110" i="3"/>
  <c r="B109" i="15"/>
  <c r="P110" i="3" a="1"/>
  <c r="P110" i="3"/>
  <c r="S110" i="3"/>
  <c r="AU110" i="3"/>
  <c r="AW110" i="3"/>
  <c r="AZ110" i="3"/>
  <c r="BA110" i="3"/>
  <c r="D109" i="15"/>
  <c r="AV110" i="3"/>
  <c r="BD110" i="3"/>
  <c r="BF110" i="3"/>
  <c r="BG110" i="3"/>
  <c r="E109" i="15"/>
  <c r="BQ110" i="3"/>
  <c r="BR110" i="3"/>
  <c r="BS110" i="3"/>
  <c r="BN110" i="3"/>
  <c r="BU110" i="3"/>
  <c r="BV110" i="3"/>
  <c r="BY110" i="3"/>
  <c r="CA110" i="3"/>
  <c r="F109" i="15"/>
  <c r="CB110" i="3"/>
  <c r="CD110" i="3"/>
  <c r="CG110" i="3"/>
  <c r="CN110" i="3"/>
  <c r="G109" i="15"/>
  <c r="CO110" i="3"/>
  <c r="CQ110" i="3"/>
  <c r="CT110" i="3"/>
  <c r="DA110" i="3"/>
  <c r="H109" i="15"/>
  <c r="DB110" i="3"/>
  <c r="DC110" i="3"/>
  <c r="DE110" i="3"/>
  <c r="DF110" i="3"/>
  <c r="DL110" i="3"/>
  <c r="I109" i="15"/>
  <c r="DM110" i="3"/>
  <c r="DN110" i="3"/>
  <c r="DP110" i="3"/>
  <c r="DQ110" i="3"/>
  <c r="DW110" i="3"/>
  <c r="J109" i="15"/>
  <c r="DX110" i="3"/>
  <c r="DZ110" i="3"/>
  <c r="EC110" i="3"/>
  <c r="EJ110" i="3"/>
  <c r="K109" i="15"/>
  <c r="EK110" i="3"/>
  <c r="EM110" i="3"/>
  <c r="EP110" i="3"/>
  <c r="EW110" i="3"/>
  <c r="L109" i="15"/>
  <c r="EX110" i="3"/>
  <c r="EZ110" i="3"/>
  <c r="FC110" i="3"/>
  <c r="FJ110" i="3"/>
  <c r="M109" i="15"/>
  <c r="FK110" i="3"/>
  <c r="FL110" i="3"/>
  <c r="FN110" i="3"/>
  <c r="FO110" i="3"/>
  <c r="FR110" i="3"/>
  <c r="FT110" i="3"/>
  <c r="N109" i="15"/>
  <c r="C109" i="15"/>
  <c r="O109" i="15"/>
  <c r="P109" i="15"/>
  <c r="BP110" i="3"/>
  <c r="CC110" i="3"/>
  <c r="CE110" i="3"/>
  <c r="CH110" i="3"/>
  <c r="CK110" i="3"/>
  <c r="Q109" i="15"/>
  <c r="CP110" i="3"/>
  <c r="CR110" i="3"/>
  <c r="CU110" i="3"/>
  <c r="CX110" i="3"/>
  <c r="R109" i="15"/>
  <c r="DY110" i="3"/>
  <c r="EA110" i="3"/>
  <c r="ED110" i="3"/>
  <c r="EG110" i="3"/>
  <c r="S109" i="15"/>
  <c r="EL110" i="3"/>
  <c r="EN110" i="3"/>
  <c r="EQ110" i="3"/>
  <c r="ET110" i="3"/>
  <c r="T109" i="15"/>
  <c r="EY110" i="3"/>
  <c r="FA110" i="3"/>
  <c r="FD110" i="3"/>
  <c r="FG110" i="3"/>
  <c r="U109" i="15"/>
  <c r="FV110" i="3"/>
  <c r="FY110" i="3"/>
  <c r="V109" i="15"/>
  <c r="FZ110" i="3"/>
  <c r="W109" i="15"/>
  <c r="GA110" i="3"/>
  <c r="X109" i="15"/>
  <c r="GB110" i="3"/>
  <c r="Y109" i="15"/>
  <c r="GC110" i="3"/>
  <c r="Z109" i="15"/>
  <c r="GD110" i="3"/>
  <c r="AA109" i="15"/>
  <c r="GE110" i="3"/>
  <c r="AB109" i="15"/>
  <c r="GF110" i="3"/>
  <c r="AC109" i="15"/>
  <c r="V111" i="3" a="1"/>
  <c r="V111" i="3"/>
  <c r="AS111" i="3"/>
  <c r="B110" i="15"/>
  <c r="P111" i="3" a="1"/>
  <c r="P111" i="3"/>
  <c r="S111" i="3"/>
  <c r="AU111" i="3"/>
  <c r="AW111" i="3"/>
  <c r="AZ111" i="3"/>
  <c r="BA111" i="3"/>
  <c r="D110" i="15"/>
  <c r="AV111" i="3"/>
  <c r="BD111" i="3"/>
  <c r="BF111" i="3"/>
  <c r="BG111" i="3"/>
  <c r="E110" i="15"/>
  <c r="BQ111" i="3"/>
  <c r="BR111" i="3"/>
  <c r="BS111" i="3"/>
  <c r="BV111" i="3"/>
  <c r="BY111" i="3"/>
  <c r="CA111" i="3"/>
  <c r="F110" i="15"/>
  <c r="CB111" i="3"/>
  <c r="CD111" i="3"/>
  <c r="CN111" i="3"/>
  <c r="G110" i="15"/>
  <c r="CO111" i="3"/>
  <c r="CQ111" i="3"/>
  <c r="DA111" i="3"/>
  <c r="H110" i="15"/>
  <c r="DB111" i="3"/>
  <c r="DC111" i="3"/>
  <c r="DF111" i="3"/>
  <c r="DL111" i="3"/>
  <c r="I110" i="15"/>
  <c r="DM111" i="3"/>
  <c r="DN111" i="3"/>
  <c r="DQ111" i="3"/>
  <c r="DW111" i="3"/>
  <c r="J110" i="15"/>
  <c r="DX111" i="3"/>
  <c r="DZ111" i="3"/>
  <c r="EJ111" i="3"/>
  <c r="K110" i="15"/>
  <c r="EK111" i="3"/>
  <c r="EM111" i="3"/>
  <c r="EW111" i="3"/>
  <c r="L110" i="15"/>
  <c r="EX111" i="3"/>
  <c r="EZ111" i="3"/>
  <c r="FJ111" i="3"/>
  <c r="M110" i="15"/>
  <c r="FK111" i="3"/>
  <c r="FL111" i="3"/>
  <c r="FO111" i="3"/>
  <c r="FR111" i="3"/>
  <c r="FT111" i="3"/>
  <c r="N110" i="15"/>
  <c r="C110" i="15"/>
  <c r="O110" i="15"/>
  <c r="P110" i="15"/>
  <c r="BP111" i="3"/>
  <c r="CC111" i="3"/>
  <c r="CE111" i="3"/>
  <c r="CH111" i="3"/>
  <c r="CK111" i="3"/>
  <c r="Q110" i="15"/>
  <c r="CP111" i="3"/>
  <c r="CR111" i="3"/>
  <c r="CU111" i="3"/>
  <c r="CX111" i="3"/>
  <c r="R110" i="15"/>
  <c r="DY111" i="3"/>
  <c r="EA111" i="3"/>
  <c r="ED111" i="3"/>
  <c r="EG111" i="3"/>
  <c r="S110" i="15"/>
  <c r="EL111" i="3"/>
  <c r="EN111" i="3"/>
  <c r="EQ111" i="3"/>
  <c r="ET111" i="3"/>
  <c r="T110" i="15"/>
  <c r="EY111" i="3"/>
  <c r="FA111" i="3"/>
  <c r="FD111" i="3"/>
  <c r="FG111" i="3"/>
  <c r="U110" i="15"/>
  <c r="FV111" i="3"/>
  <c r="FY111" i="3"/>
  <c r="V110" i="15"/>
  <c r="FZ111" i="3"/>
  <c r="W110" i="15"/>
  <c r="GA111" i="3"/>
  <c r="X110" i="15"/>
  <c r="GB111" i="3"/>
  <c r="Y110" i="15"/>
  <c r="GC111" i="3"/>
  <c r="Z110" i="15"/>
  <c r="GD111" i="3"/>
  <c r="AA110" i="15"/>
  <c r="GE111" i="3"/>
  <c r="AB110" i="15"/>
  <c r="GF111" i="3"/>
  <c r="AC110" i="15"/>
  <c r="V112" i="3" a="1"/>
  <c r="V112" i="3"/>
  <c r="AS112" i="3"/>
  <c r="B111" i="15"/>
  <c r="P112" i="3" a="1"/>
  <c r="P112" i="3"/>
  <c r="S112" i="3"/>
  <c r="AU112" i="3"/>
  <c r="AW112" i="3"/>
  <c r="AZ112" i="3"/>
  <c r="BA112" i="3"/>
  <c r="D111" i="15"/>
  <c r="AV112" i="3"/>
  <c r="BD112" i="3"/>
  <c r="BF112" i="3"/>
  <c r="BG112" i="3"/>
  <c r="E111" i="15"/>
  <c r="BQ112" i="3"/>
  <c r="BR112" i="3"/>
  <c r="BS112" i="3"/>
  <c r="BN112" i="3"/>
  <c r="BU112" i="3"/>
  <c r="BV112" i="3"/>
  <c r="BY112" i="3"/>
  <c r="CA112" i="3"/>
  <c r="F111" i="15"/>
  <c r="CB112" i="3"/>
  <c r="CD112" i="3"/>
  <c r="CG112" i="3"/>
  <c r="CN112" i="3"/>
  <c r="G111" i="15"/>
  <c r="CO112" i="3"/>
  <c r="CQ112" i="3"/>
  <c r="CT112" i="3"/>
  <c r="DA112" i="3"/>
  <c r="H111" i="15"/>
  <c r="DB112" i="3"/>
  <c r="DC112" i="3"/>
  <c r="DE112" i="3"/>
  <c r="DF112" i="3"/>
  <c r="DL112" i="3"/>
  <c r="I111" i="15"/>
  <c r="DM112" i="3"/>
  <c r="DN112" i="3"/>
  <c r="DP112" i="3"/>
  <c r="DQ112" i="3"/>
  <c r="DW112" i="3"/>
  <c r="J111" i="15"/>
  <c r="DX112" i="3"/>
  <c r="DZ112" i="3"/>
  <c r="EC112" i="3"/>
  <c r="EJ112" i="3"/>
  <c r="K111" i="15"/>
  <c r="EK112" i="3"/>
  <c r="EM112" i="3"/>
  <c r="EP112" i="3"/>
  <c r="EW112" i="3"/>
  <c r="L111" i="15"/>
  <c r="EX112" i="3"/>
  <c r="EZ112" i="3"/>
  <c r="FC112" i="3"/>
  <c r="FJ112" i="3"/>
  <c r="M111" i="15"/>
  <c r="FK112" i="3"/>
  <c r="FL112" i="3"/>
  <c r="FN112" i="3"/>
  <c r="FO112" i="3"/>
  <c r="FR112" i="3"/>
  <c r="FT112" i="3"/>
  <c r="N111" i="15"/>
  <c r="C111" i="15"/>
  <c r="O111" i="15"/>
  <c r="P111" i="15"/>
  <c r="BP112" i="3"/>
  <c r="CC112" i="3"/>
  <c r="CE112" i="3"/>
  <c r="CH112" i="3"/>
  <c r="CK112" i="3"/>
  <c r="Q111" i="15"/>
  <c r="CP112" i="3"/>
  <c r="CR112" i="3"/>
  <c r="CU112" i="3"/>
  <c r="CX112" i="3"/>
  <c r="R111" i="15"/>
  <c r="DY112" i="3"/>
  <c r="EA112" i="3"/>
  <c r="ED112" i="3"/>
  <c r="EG112" i="3"/>
  <c r="S111" i="15"/>
  <c r="EL112" i="3"/>
  <c r="EN112" i="3"/>
  <c r="EQ112" i="3"/>
  <c r="ET112" i="3"/>
  <c r="T111" i="15"/>
  <c r="EY112" i="3"/>
  <c r="FA112" i="3"/>
  <c r="FD112" i="3"/>
  <c r="FG112" i="3"/>
  <c r="U111" i="15"/>
  <c r="FV112" i="3"/>
  <c r="FY112" i="3"/>
  <c r="V111" i="15"/>
  <c r="FZ112" i="3"/>
  <c r="W111" i="15"/>
  <c r="GA112" i="3"/>
  <c r="X111" i="15"/>
  <c r="GB112" i="3"/>
  <c r="Y111" i="15"/>
  <c r="GC112" i="3"/>
  <c r="Z111" i="15"/>
  <c r="GD112" i="3"/>
  <c r="AA111" i="15"/>
  <c r="GE112" i="3"/>
  <c r="AB111" i="15"/>
  <c r="GF112" i="3"/>
  <c r="AC111" i="15"/>
  <c r="V113" i="3" a="1"/>
  <c r="V113" i="3"/>
  <c r="AS113" i="3"/>
  <c r="B112" i="15"/>
  <c r="P113" i="3" a="1"/>
  <c r="P113" i="3"/>
  <c r="S113" i="3"/>
  <c r="AU113" i="3"/>
  <c r="AW113" i="3"/>
  <c r="AZ113" i="3"/>
  <c r="BA113" i="3"/>
  <c r="D112" i="15"/>
  <c r="AV113" i="3"/>
  <c r="BD113" i="3"/>
  <c r="BF113" i="3"/>
  <c r="BG113" i="3"/>
  <c r="E112" i="15"/>
  <c r="BQ113" i="3"/>
  <c r="BR113" i="3"/>
  <c r="BS113" i="3"/>
  <c r="BN113" i="3"/>
  <c r="BU113" i="3"/>
  <c r="BV113" i="3"/>
  <c r="BY113" i="3"/>
  <c r="CA113" i="3"/>
  <c r="F112" i="15"/>
  <c r="CB113" i="3"/>
  <c r="CD113" i="3"/>
  <c r="CG113" i="3"/>
  <c r="CN113" i="3"/>
  <c r="G112" i="15"/>
  <c r="CO113" i="3"/>
  <c r="CQ113" i="3"/>
  <c r="CT113" i="3"/>
  <c r="DA113" i="3"/>
  <c r="H112" i="15"/>
  <c r="DB113" i="3"/>
  <c r="DC113" i="3"/>
  <c r="DE113" i="3"/>
  <c r="DF113" i="3"/>
  <c r="DL113" i="3"/>
  <c r="I112" i="15"/>
  <c r="DM113" i="3"/>
  <c r="DN113" i="3"/>
  <c r="DP113" i="3"/>
  <c r="DQ113" i="3"/>
  <c r="DW113" i="3"/>
  <c r="J112" i="15"/>
  <c r="DX113" i="3"/>
  <c r="DZ113" i="3"/>
  <c r="EC113" i="3"/>
  <c r="EJ113" i="3"/>
  <c r="K112" i="15"/>
  <c r="EK113" i="3"/>
  <c r="EM113" i="3"/>
  <c r="EP113" i="3"/>
  <c r="EW113" i="3"/>
  <c r="L112" i="15"/>
  <c r="EX113" i="3"/>
  <c r="EZ113" i="3"/>
  <c r="FC113" i="3"/>
  <c r="FJ113" i="3"/>
  <c r="M112" i="15"/>
  <c r="FK113" i="3"/>
  <c r="FL113" i="3"/>
  <c r="FN113" i="3"/>
  <c r="FO113" i="3"/>
  <c r="FR113" i="3"/>
  <c r="FT113" i="3"/>
  <c r="N112" i="15"/>
  <c r="C112" i="15"/>
  <c r="O112" i="15"/>
  <c r="P112" i="15"/>
  <c r="BP113" i="3"/>
  <c r="CC113" i="3"/>
  <c r="CE113" i="3"/>
  <c r="CH113" i="3"/>
  <c r="CK113" i="3"/>
  <c r="Q112" i="15"/>
  <c r="CP113" i="3"/>
  <c r="CR113" i="3"/>
  <c r="CU113" i="3"/>
  <c r="CX113" i="3"/>
  <c r="R112" i="15"/>
  <c r="DY113" i="3"/>
  <c r="EA113" i="3"/>
  <c r="ED113" i="3"/>
  <c r="EG113" i="3"/>
  <c r="S112" i="15"/>
  <c r="EL113" i="3"/>
  <c r="EN113" i="3"/>
  <c r="EQ113" i="3"/>
  <c r="ET113" i="3"/>
  <c r="T112" i="15"/>
  <c r="EY113" i="3"/>
  <c r="FA113" i="3"/>
  <c r="FD113" i="3"/>
  <c r="FG113" i="3"/>
  <c r="U112" i="15"/>
  <c r="FV113" i="3"/>
  <c r="FY113" i="3"/>
  <c r="V112" i="15"/>
  <c r="FZ113" i="3"/>
  <c r="W112" i="15"/>
  <c r="GA113" i="3"/>
  <c r="X112" i="15"/>
  <c r="GB113" i="3"/>
  <c r="Y112" i="15"/>
  <c r="GC113" i="3"/>
  <c r="Z112" i="15"/>
  <c r="GD113" i="3"/>
  <c r="AA112" i="15"/>
  <c r="GE113" i="3"/>
  <c r="AB112" i="15"/>
  <c r="GF113" i="3"/>
  <c r="AC112" i="15"/>
  <c r="V114" i="3" a="1"/>
  <c r="V114" i="3"/>
  <c r="AS114" i="3"/>
  <c r="B113" i="15"/>
  <c r="P114" i="3" a="1"/>
  <c r="P114" i="3"/>
  <c r="S114" i="3"/>
  <c r="AU114" i="3"/>
  <c r="AW114" i="3"/>
  <c r="AZ114" i="3"/>
  <c r="BA114" i="3"/>
  <c r="D113" i="15"/>
  <c r="AV114" i="3"/>
  <c r="BD114" i="3"/>
  <c r="BF114" i="3"/>
  <c r="BG114" i="3"/>
  <c r="E113" i="15"/>
  <c r="BQ114" i="3"/>
  <c r="BR114" i="3"/>
  <c r="BS114" i="3"/>
  <c r="BN114" i="3"/>
  <c r="BU114" i="3"/>
  <c r="BV114" i="3"/>
  <c r="BY114" i="3"/>
  <c r="CA114" i="3"/>
  <c r="F113" i="15"/>
  <c r="CB114" i="3"/>
  <c r="CD114" i="3"/>
  <c r="CG114" i="3"/>
  <c r="CN114" i="3"/>
  <c r="G113" i="15"/>
  <c r="CO114" i="3"/>
  <c r="CQ114" i="3"/>
  <c r="CT114" i="3"/>
  <c r="DA114" i="3"/>
  <c r="H113" i="15"/>
  <c r="DB114" i="3"/>
  <c r="DC114" i="3"/>
  <c r="DE114" i="3"/>
  <c r="DF114" i="3"/>
  <c r="DL114" i="3"/>
  <c r="I113" i="15"/>
  <c r="DM114" i="3"/>
  <c r="DN114" i="3"/>
  <c r="DP114" i="3"/>
  <c r="DQ114" i="3"/>
  <c r="DW114" i="3"/>
  <c r="J113" i="15"/>
  <c r="DX114" i="3"/>
  <c r="DZ114" i="3"/>
  <c r="EC114" i="3"/>
  <c r="EJ114" i="3"/>
  <c r="K113" i="15"/>
  <c r="EK114" i="3"/>
  <c r="EM114" i="3"/>
  <c r="EP114" i="3"/>
  <c r="EW114" i="3"/>
  <c r="L113" i="15"/>
  <c r="EX114" i="3"/>
  <c r="EZ114" i="3"/>
  <c r="FC114" i="3"/>
  <c r="FJ114" i="3"/>
  <c r="M113" i="15"/>
  <c r="FK114" i="3"/>
  <c r="FL114" i="3"/>
  <c r="FN114" i="3"/>
  <c r="FO114" i="3"/>
  <c r="FR114" i="3"/>
  <c r="FT114" i="3"/>
  <c r="N113" i="15"/>
  <c r="C113" i="15"/>
  <c r="O113" i="15"/>
  <c r="P113" i="15"/>
  <c r="BP114" i="3"/>
  <c r="CC114" i="3"/>
  <c r="CE114" i="3"/>
  <c r="CH114" i="3"/>
  <c r="CK114" i="3"/>
  <c r="Q113" i="15"/>
  <c r="CP114" i="3"/>
  <c r="CR114" i="3"/>
  <c r="CU114" i="3"/>
  <c r="CX114" i="3"/>
  <c r="R113" i="15"/>
  <c r="DY114" i="3"/>
  <c r="EA114" i="3"/>
  <c r="ED114" i="3"/>
  <c r="EG114" i="3"/>
  <c r="S113" i="15"/>
  <c r="EL114" i="3"/>
  <c r="EN114" i="3"/>
  <c r="EQ114" i="3"/>
  <c r="ET114" i="3"/>
  <c r="T113" i="15"/>
  <c r="EY114" i="3"/>
  <c r="FA114" i="3"/>
  <c r="FD114" i="3"/>
  <c r="FG114" i="3"/>
  <c r="U113" i="15"/>
  <c r="FV114" i="3"/>
  <c r="FY114" i="3"/>
  <c r="V113" i="15"/>
  <c r="FZ114" i="3"/>
  <c r="W113" i="15"/>
  <c r="GA114" i="3"/>
  <c r="X113" i="15"/>
  <c r="GB114" i="3"/>
  <c r="Y113" i="15"/>
  <c r="GC114" i="3"/>
  <c r="Z113" i="15"/>
  <c r="GD114" i="3"/>
  <c r="AA113" i="15"/>
  <c r="GE114" i="3"/>
  <c r="AB113" i="15"/>
  <c r="GF114" i="3"/>
  <c r="AC113" i="15"/>
  <c r="V115" i="3" a="1"/>
  <c r="V115" i="3"/>
  <c r="AS115" i="3"/>
  <c r="B114" i="15"/>
  <c r="P115" i="3" a="1"/>
  <c r="P115" i="3"/>
  <c r="S115" i="3"/>
  <c r="AU115" i="3"/>
  <c r="AW115" i="3"/>
  <c r="AZ115" i="3"/>
  <c r="BA115" i="3"/>
  <c r="D114" i="15"/>
  <c r="AV115" i="3"/>
  <c r="BD115" i="3"/>
  <c r="BF115" i="3"/>
  <c r="BG115" i="3"/>
  <c r="E114" i="15"/>
  <c r="BQ115" i="3"/>
  <c r="BR115" i="3"/>
  <c r="BS115" i="3"/>
  <c r="BN115" i="3"/>
  <c r="BU115" i="3"/>
  <c r="BV115" i="3"/>
  <c r="BY115" i="3"/>
  <c r="CA115" i="3"/>
  <c r="F114" i="15"/>
  <c r="CB115" i="3"/>
  <c r="CD115" i="3"/>
  <c r="CG115" i="3"/>
  <c r="CN115" i="3"/>
  <c r="G114" i="15"/>
  <c r="CO115" i="3"/>
  <c r="CQ115" i="3"/>
  <c r="CT115" i="3"/>
  <c r="DA115" i="3"/>
  <c r="H114" i="15"/>
  <c r="DB115" i="3"/>
  <c r="DC115" i="3"/>
  <c r="DE115" i="3"/>
  <c r="DF115" i="3"/>
  <c r="DL115" i="3"/>
  <c r="I114" i="15"/>
  <c r="DM115" i="3"/>
  <c r="DN115" i="3"/>
  <c r="DP115" i="3"/>
  <c r="DQ115" i="3"/>
  <c r="DW115" i="3"/>
  <c r="J114" i="15"/>
  <c r="DX115" i="3"/>
  <c r="DZ115" i="3"/>
  <c r="EC115" i="3"/>
  <c r="EJ115" i="3"/>
  <c r="K114" i="15"/>
  <c r="EK115" i="3"/>
  <c r="EM115" i="3"/>
  <c r="EP115" i="3"/>
  <c r="EW115" i="3"/>
  <c r="L114" i="15"/>
  <c r="EX115" i="3"/>
  <c r="EZ115" i="3"/>
  <c r="FC115" i="3"/>
  <c r="FJ115" i="3"/>
  <c r="M114" i="15"/>
  <c r="FK115" i="3"/>
  <c r="FL115" i="3"/>
  <c r="FN115" i="3"/>
  <c r="FO115" i="3"/>
  <c r="FR115" i="3"/>
  <c r="FT115" i="3"/>
  <c r="N114" i="15"/>
  <c r="C114" i="15"/>
  <c r="O114" i="15"/>
  <c r="P114" i="15"/>
  <c r="BP115" i="3"/>
  <c r="CC115" i="3"/>
  <c r="CE115" i="3"/>
  <c r="CH115" i="3"/>
  <c r="CK115" i="3"/>
  <c r="Q114" i="15"/>
  <c r="CP115" i="3"/>
  <c r="CR115" i="3"/>
  <c r="CU115" i="3"/>
  <c r="CX115" i="3"/>
  <c r="R114" i="15"/>
  <c r="DY115" i="3"/>
  <c r="EA115" i="3"/>
  <c r="ED115" i="3"/>
  <c r="EG115" i="3"/>
  <c r="S114" i="15"/>
  <c r="EL115" i="3"/>
  <c r="EN115" i="3"/>
  <c r="EQ115" i="3"/>
  <c r="ET115" i="3"/>
  <c r="T114" i="15"/>
  <c r="EY115" i="3"/>
  <c r="FA115" i="3"/>
  <c r="FD115" i="3"/>
  <c r="FG115" i="3"/>
  <c r="U114" i="15"/>
  <c r="FV115" i="3"/>
  <c r="FY115" i="3"/>
  <c r="V114" i="15"/>
  <c r="FZ115" i="3"/>
  <c r="W114" i="15"/>
  <c r="GA115" i="3"/>
  <c r="X114" i="15"/>
  <c r="GB115" i="3"/>
  <c r="Y114" i="15"/>
  <c r="GC115" i="3"/>
  <c r="Z114" i="15"/>
  <c r="GD115" i="3"/>
  <c r="AA114" i="15"/>
  <c r="GE115" i="3"/>
  <c r="AB114" i="15"/>
  <c r="GF115" i="3"/>
  <c r="AC114" i="15"/>
  <c r="V116" i="3" a="1"/>
  <c r="V116" i="3"/>
  <c r="AS116" i="3"/>
  <c r="B115" i="15"/>
  <c r="P116" i="3" a="1"/>
  <c r="P116" i="3"/>
  <c r="S116" i="3"/>
  <c r="AU116" i="3"/>
  <c r="AW116" i="3"/>
  <c r="AZ116" i="3"/>
  <c r="BA116" i="3"/>
  <c r="D115" i="15"/>
  <c r="AV116" i="3"/>
  <c r="BD116" i="3"/>
  <c r="BF116" i="3"/>
  <c r="BG116" i="3"/>
  <c r="E115" i="15"/>
  <c r="BQ116" i="3"/>
  <c r="BR116" i="3"/>
  <c r="BS116" i="3"/>
  <c r="BN116" i="3"/>
  <c r="BU116" i="3"/>
  <c r="BV116" i="3"/>
  <c r="BY116" i="3"/>
  <c r="CA116" i="3"/>
  <c r="F115" i="15"/>
  <c r="CB116" i="3"/>
  <c r="CD116" i="3"/>
  <c r="CG116" i="3"/>
  <c r="CN116" i="3"/>
  <c r="G115" i="15"/>
  <c r="CO116" i="3"/>
  <c r="CQ116" i="3"/>
  <c r="CT116" i="3"/>
  <c r="DA116" i="3"/>
  <c r="H115" i="15"/>
  <c r="DB116" i="3"/>
  <c r="DC116" i="3"/>
  <c r="DE116" i="3"/>
  <c r="DF116" i="3"/>
  <c r="DL116" i="3"/>
  <c r="I115" i="15"/>
  <c r="DM116" i="3"/>
  <c r="DN116" i="3"/>
  <c r="DP116" i="3"/>
  <c r="DQ116" i="3"/>
  <c r="DW116" i="3"/>
  <c r="J115" i="15"/>
  <c r="DX116" i="3"/>
  <c r="DZ116" i="3"/>
  <c r="EC116" i="3"/>
  <c r="EJ116" i="3"/>
  <c r="K115" i="15"/>
  <c r="EK116" i="3"/>
  <c r="EM116" i="3"/>
  <c r="EP116" i="3"/>
  <c r="EW116" i="3"/>
  <c r="L115" i="15"/>
  <c r="EX116" i="3"/>
  <c r="EZ116" i="3"/>
  <c r="FC116" i="3"/>
  <c r="FJ116" i="3"/>
  <c r="M115" i="15"/>
  <c r="FK116" i="3"/>
  <c r="FL116" i="3"/>
  <c r="FN116" i="3"/>
  <c r="FO116" i="3"/>
  <c r="FR116" i="3"/>
  <c r="FT116" i="3"/>
  <c r="N115" i="15"/>
  <c r="C115" i="15"/>
  <c r="O115" i="15"/>
  <c r="P115" i="15"/>
  <c r="BP116" i="3"/>
  <c r="CC116" i="3"/>
  <c r="CE116" i="3"/>
  <c r="CH116" i="3"/>
  <c r="CK116" i="3"/>
  <c r="Q115" i="15"/>
  <c r="CP116" i="3"/>
  <c r="CR116" i="3"/>
  <c r="CU116" i="3"/>
  <c r="CX116" i="3"/>
  <c r="R115" i="15"/>
  <c r="DY116" i="3"/>
  <c r="EA116" i="3"/>
  <c r="ED116" i="3"/>
  <c r="EG116" i="3"/>
  <c r="S115" i="15"/>
  <c r="EL116" i="3"/>
  <c r="EN116" i="3"/>
  <c r="EQ116" i="3"/>
  <c r="ET116" i="3"/>
  <c r="T115" i="15"/>
  <c r="EY116" i="3"/>
  <c r="FA116" i="3"/>
  <c r="FD116" i="3"/>
  <c r="FG116" i="3"/>
  <c r="U115" i="15"/>
  <c r="FV116" i="3"/>
  <c r="FY116" i="3"/>
  <c r="V115" i="15"/>
  <c r="FZ116" i="3"/>
  <c r="W115" i="15"/>
  <c r="GA116" i="3"/>
  <c r="X115" i="15"/>
  <c r="GB116" i="3"/>
  <c r="Y115" i="15"/>
  <c r="GC116" i="3"/>
  <c r="Z115" i="15"/>
  <c r="GD116" i="3"/>
  <c r="AA115" i="15"/>
  <c r="GE116" i="3"/>
  <c r="AB115" i="15"/>
  <c r="GF116" i="3"/>
  <c r="AC115" i="15"/>
  <c r="V117" i="3" a="1"/>
  <c r="V117" i="3"/>
  <c r="AS117" i="3"/>
  <c r="B116" i="15"/>
  <c r="P117" i="3" a="1"/>
  <c r="P117" i="3"/>
  <c r="S117" i="3"/>
  <c r="AU117" i="3"/>
  <c r="AW117" i="3"/>
  <c r="AZ117" i="3"/>
  <c r="BA117" i="3"/>
  <c r="D116" i="15"/>
  <c r="AV117" i="3"/>
  <c r="BD117" i="3"/>
  <c r="BF117" i="3"/>
  <c r="BG117" i="3"/>
  <c r="E116" i="15"/>
  <c r="BQ117" i="3"/>
  <c r="BR117" i="3"/>
  <c r="BS117" i="3"/>
  <c r="BN117" i="3"/>
  <c r="BU117" i="3"/>
  <c r="BV117" i="3"/>
  <c r="BY117" i="3"/>
  <c r="CA117" i="3"/>
  <c r="F116" i="15"/>
  <c r="CB117" i="3"/>
  <c r="CD117" i="3"/>
  <c r="CG117" i="3"/>
  <c r="CN117" i="3"/>
  <c r="G116" i="15"/>
  <c r="CO117" i="3"/>
  <c r="CQ117" i="3"/>
  <c r="CT117" i="3"/>
  <c r="DA117" i="3"/>
  <c r="H116" i="15"/>
  <c r="DB117" i="3"/>
  <c r="DC117" i="3"/>
  <c r="DE117" i="3"/>
  <c r="DF117" i="3"/>
  <c r="DL117" i="3"/>
  <c r="I116" i="15"/>
  <c r="DM117" i="3"/>
  <c r="DN117" i="3"/>
  <c r="DP117" i="3"/>
  <c r="DQ117" i="3"/>
  <c r="DW117" i="3"/>
  <c r="J116" i="15"/>
  <c r="DX117" i="3"/>
  <c r="DZ117" i="3"/>
  <c r="EC117" i="3"/>
  <c r="EJ117" i="3"/>
  <c r="K116" i="15"/>
  <c r="EK117" i="3"/>
  <c r="EM117" i="3"/>
  <c r="EP117" i="3"/>
  <c r="EW117" i="3"/>
  <c r="L116" i="15"/>
  <c r="EX117" i="3"/>
  <c r="EZ117" i="3"/>
  <c r="FC117" i="3"/>
  <c r="FJ117" i="3"/>
  <c r="M116" i="15"/>
  <c r="FK117" i="3"/>
  <c r="FL117" i="3"/>
  <c r="FN117" i="3"/>
  <c r="FO117" i="3"/>
  <c r="FR117" i="3"/>
  <c r="FT117" i="3"/>
  <c r="N116" i="15"/>
  <c r="C116" i="15"/>
  <c r="O116" i="15"/>
  <c r="P116" i="15"/>
  <c r="BP117" i="3"/>
  <c r="CC117" i="3"/>
  <c r="CE117" i="3"/>
  <c r="CH117" i="3"/>
  <c r="CK117" i="3"/>
  <c r="Q116" i="15"/>
  <c r="CP117" i="3"/>
  <c r="CR117" i="3"/>
  <c r="CU117" i="3"/>
  <c r="CX117" i="3"/>
  <c r="R116" i="15"/>
  <c r="DY117" i="3"/>
  <c r="EA117" i="3"/>
  <c r="ED117" i="3"/>
  <c r="EG117" i="3"/>
  <c r="S116" i="15"/>
  <c r="EL117" i="3"/>
  <c r="EN117" i="3"/>
  <c r="EQ117" i="3"/>
  <c r="ET117" i="3"/>
  <c r="T116" i="15"/>
  <c r="EY117" i="3"/>
  <c r="FA117" i="3"/>
  <c r="FD117" i="3"/>
  <c r="FG117" i="3"/>
  <c r="U116" i="15"/>
  <c r="FV117" i="3"/>
  <c r="FY117" i="3"/>
  <c r="V116" i="15"/>
  <c r="FZ117" i="3"/>
  <c r="W116" i="15"/>
  <c r="GA117" i="3"/>
  <c r="X116" i="15"/>
  <c r="GB117" i="3"/>
  <c r="Y116" i="15"/>
  <c r="GC117" i="3"/>
  <c r="Z116" i="15"/>
  <c r="GD117" i="3"/>
  <c r="AA116" i="15"/>
  <c r="GE117" i="3"/>
  <c r="AB116" i="15"/>
  <c r="GF117" i="3"/>
  <c r="AC116" i="15"/>
  <c r="V118" i="3" a="1"/>
  <c r="V118" i="3"/>
  <c r="AS118" i="3"/>
  <c r="B117" i="15"/>
  <c r="P118" i="3" a="1"/>
  <c r="P118" i="3"/>
  <c r="S118" i="3"/>
  <c r="AU118" i="3"/>
  <c r="AW118" i="3"/>
  <c r="AZ118" i="3"/>
  <c r="BA118" i="3"/>
  <c r="D117" i="15"/>
  <c r="AV118" i="3"/>
  <c r="BD118" i="3"/>
  <c r="BF118" i="3"/>
  <c r="BG118" i="3"/>
  <c r="E117" i="15"/>
  <c r="BQ118" i="3"/>
  <c r="BR118" i="3"/>
  <c r="BS118" i="3"/>
  <c r="BV118" i="3"/>
  <c r="BY118" i="3"/>
  <c r="CA118" i="3"/>
  <c r="F117" i="15"/>
  <c r="CB118" i="3"/>
  <c r="CD118" i="3"/>
  <c r="CN118" i="3"/>
  <c r="G117" i="15"/>
  <c r="CO118" i="3"/>
  <c r="CQ118" i="3"/>
  <c r="DA118" i="3"/>
  <c r="H117" i="15"/>
  <c r="DB118" i="3"/>
  <c r="DC118" i="3"/>
  <c r="DF118" i="3"/>
  <c r="DL118" i="3"/>
  <c r="I117" i="15"/>
  <c r="DM118" i="3"/>
  <c r="DN118" i="3"/>
  <c r="DQ118" i="3"/>
  <c r="DW118" i="3"/>
  <c r="J117" i="15"/>
  <c r="DX118" i="3"/>
  <c r="DZ118" i="3"/>
  <c r="EJ118" i="3"/>
  <c r="K117" i="15"/>
  <c r="EK118" i="3"/>
  <c r="EM118" i="3"/>
  <c r="EW118" i="3"/>
  <c r="L117" i="15"/>
  <c r="EX118" i="3"/>
  <c r="EZ118" i="3"/>
  <c r="FJ118" i="3"/>
  <c r="M117" i="15"/>
  <c r="FK118" i="3"/>
  <c r="FL118" i="3"/>
  <c r="FO118" i="3"/>
  <c r="FR118" i="3"/>
  <c r="FT118" i="3"/>
  <c r="N117" i="15"/>
  <c r="C117" i="15"/>
  <c r="O117" i="15"/>
  <c r="P117" i="15"/>
  <c r="BP118" i="3"/>
  <c r="CC118" i="3"/>
  <c r="CE118" i="3"/>
  <c r="CH118" i="3"/>
  <c r="CK118" i="3"/>
  <c r="Q117" i="15"/>
  <c r="CP118" i="3"/>
  <c r="CR118" i="3"/>
  <c r="CU118" i="3"/>
  <c r="CX118" i="3"/>
  <c r="R117" i="15"/>
  <c r="DY118" i="3"/>
  <c r="EA118" i="3"/>
  <c r="ED118" i="3"/>
  <c r="EG118" i="3"/>
  <c r="S117" i="15"/>
  <c r="EL118" i="3"/>
  <c r="EN118" i="3"/>
  <c r="EQ118" i="3"/>
  <c r="ET118" i="3"/>
  <c r="T117" i="15"/>
  <c r="EY118" i="3"/>
  <c r="FA118" i="3"/>
  <c r="FD118" i="3"/>
  <c r="FG118" i="3"/>
  <c r="U117" i="15"/>
  <c r="FV118" i="3"/>
  <c r="FY118" i="3"/>
  <c r="V117" i="15"/>
  <c r="FZ118" i="3"/>
  <c r="W117" i="15"/>
  <c r="GA118" i="3"/>
  <c r="X117" i="15"/>
  <c r="GB118" i="3"/>
  <c r="Y117" i="15"/>
  <c r="GC118" i="3"/>
  <c r="Z117" i="15"/>
  <c r="GD118" i="3"/>
  <c r="AA117" i="15"/>
  <c r="GE118" i="3"/>
  <c r="AB117" i="15"/>
  <c r="GF118" i="3"/>
  <c r="AC117" i="15"/>
  <c r="V119" i="3" a="1"/>
  <c r="V119" i="3"/>
  <c r="AS119" i="3"/>
  <c r="B118" i="15"/>
  <c r="P119" i="3" a="1"/>
  <c r="P119" i="3"/>
  <c r="S119" i="3"/>
  <c r="AU119" i="3"/>
  <c r="AW119" i="3"/>
  <c r="AZ119" i="3"/>
  <c r="BA119" i="3"/>
  <c r="D118" i="15"/>
  <c r="AV119" i="3"/>
  <c r="BD119" i="3"/>
  <c r="BF119" i="3"/>
  <c r="BG119" i="3"/>
  <c r="E118" i="15"/>
  <c r="BQ119" i="3"/>
  <c r="BR119" i="3"/>
  <c r="BS119" i="3"/>
  <c r="BN119" i="3"/>
  <c r="BU119" i="3"/>
  <c r="BV119" i="3"/>
  <c r="BY119" i="3"/>
  <c r="CA119" i="3"/>
  <c r="F118" i="15"/>
  <c r="CB119" i="3"/>
  <c r="CD119" i="3"/>
  <c r="CG119" i="3"/>
  <c r="CN119" i="3"/>
  <c r="G118" i="15"/>
  <c r="CO119" i="3"/>
  <c r="CQ119" i="3"/>
  <c r="CT119" i="3"/>
  <c r="DA119" i="3"/>
  <c r="H118" i="15"/>
  <c r="DB119" i="3"/>
  <c r="DC119" i="3"/>
  <c r="DE119" i="3"/>
  <c r="DF119" i="3"/>
  <c r="DL119" i="3"/>
  <c r="I118" i="15"/>
  <c r="DM119" i="3"/>
  <c r="DN119" i="3"/>
  <c r="DP119" i="3"/>
  <c r="DQ119" i="3"/>
  <c r="DW119" i="3"/>
  <c r="J118" i="15"/>
  <c r="DX119" i="3"/>
  <c r="DZ119" i="3"/>
  <c r="EC119" i="3"/>
  <c r="EJ119" i="3"/>
  <c r="K118" i="15"/>
  <c r="EK119" i="3"/>
  <c r="EM119" i="3"/>
  <c r="EP119" i="3"/>
  <c r="EW119" i="3"/>
  <c r="L118" i="15"/>
  <c r="EX119" i="3"/>
  <c r="EZ119" i="3"/>
  <c r="FC119" i="3"/>
  <c r="FJ119" i="3"/>
  <c r="M118" i="15"/>
  <c r="FK119" i="3"/>
  <c r="FL119" i="3"/>
  <c r="FN119" i="3"/>
  <c r="FO119" i="3"/>
  <c r="FR119" i="3"/>
  <c r="FT119" i="3"/>
  <c r="N118" i="15"/>
  <c r="C118" i="15"/>
  <c r="O118" i="15"/>
  <c r="P118" i="15"/>
  <c r="BP119" i="3"/>
  <c r="CC119" i="3"/>
  <c r="CE119" i="3"/>
  <c r="CH119" i="3"/>
  <c r="CK119" i="3"/>
  <c r="Q118" i="15"/>
  <c r="CP119" i="3"/>
  <c r="CR119" i="3"/>
  <c r="CU119" i="3"/>
  <c r="CX119" i="3"/>
  <c r="R118" i="15"/>
  <c r="DY119" i="3"/>
  <c r="EA119" i="3"/>
  <c r="ED119" i="3"/>
  <c r="EG119" i="3"/>
  <c r="S118" i="15"/>
  <c r="EL119" i="3"/>
  <c r="EN119" i="3"/>
  <c r="EQ119" i="3"/>
  <c r="ET119" i="3"/>
  <c r="T118" i="15"/>
  <c r="EY119" i="3"/>
  <c r="FA119" i="3"/>
  <c r="FD119" i="3"/>
  <c r="FG119" i="3"/>
  <c r="U118" i="15"/>
  <c r="FV119" i="3"/>
  <c r="FY119" i="3"/>
  <c r="V118" i="15"/>
  <c r="FZ119" i="3"/>
  <c r="W118" i="15"/>
  <c r="GA119" i="3"/>
  <c r="X118" i="15"/>
  <c r="GB119" i="3"/>
  <c r="Y118" i="15"/>
  <c r="GC119" i="3"/>
  <c r="Z118" i="15"/>
  <c r="GD119" i="3"/>
  <c r="AA118" i="15"/>
  <c r="GE119" i="3"/>
  <c r="AB118" i="15"/>
  <c r="GF119" i="3"/>
  <c r="AC118" i="15"/>
  <c r="V120" i="3" a="1"/>
  <c r="V120" i="3"/>
  <c r="AS120" i="3"/>
  <c r="B119" i="15"/>
  <c r="P120" i="3" a="1"/>
  <c r="P120" i="3"/>
  <c r="S120" i="3"/>
  <c r="AU120" i="3"/>
  <c r="AW120" i="3"/>
  <c r="AZ120" i="3"/>
  <c r="BA120" i="3"/>
  <c r="D119" i="15"/>
  <c r="AV120" i="3"/>
  <c r="BD120" i="3"/>
  <c r="BF120" i="3"/>
  <c r="BG120" i="3"/>
  <c r="E119" i="15"/>
  <c r="BQ120" i="3"/>
  <c r="BR120" i="3"/>
  <c r="BS120" i="3"/>
  <c r="BN120" i="3"/>
  <c r="BU120" i="3"/>
  <c r="BV120" i="3"/>
  <c r="BY120" i="3"/>
  <c r="CA120" i="3"/>
  <c r="F119" i="15"/>
  <c r="CB120" i="3"/>
  <c r="CD120" i="3"/>
  <c r="CG120" i="3"/>
  <c r="CN120" i="3"/>
  <c r="G119" i="15"/>
  <c r="CO120" i="3"/>
  <c r="CQ120" i="3"/>
  <c r="CT120" i="3"/>
  <c r="DA120" i="3"/>
  <c r="H119" i="15"/>
  <c r="DB120" i="3"/>
  <c r="DC120" i="3"/>
  <c r="DE120" i="3"/>
  <c r="DF120" i="3"/>
  <c r="DL120" i="3"/>
  <c r="I119" i="15"/>
  <c r="DM120" i="3"/>
  <c r="DN120" i="3"/>
  <c r="DP120" i="3"/>
  <c r="DQ120" i="3"/>
  <c r="DW120" i="3"/>
  <c r="J119" i="15"/>
  <c r="DX120" i="3"/>
  <c r="DZ120" i="3"/>
  <c r="EC120" i="3"/>
  <c r="EJ120" i="3"/>
  <c r="K119" i="15"/>
  <c r="EK120" i="3"/>
  <c r="EM120" i="3"/>
  <c r="EP120" i="3"/>
  <c r="EW120" i="3"/>
  <c r="L119" i="15"/>
  <c r="EX120" i="3"/>
  <c r="EZ120" i="3"/>
  <c r="FC120" i="3"/>
  <c r="FJ120" i="3"/>
  <c r="M119" i="15"/>
  <c r="FK120" i="3"/>
  <c r="FL120" i="3"/>
  <c r="FN120" i="3"/>
  <c r="FO120" i="3"/>
  <c r="FR120" i="3"/>
  <c r="FT120" i="3"/>
  <c r="N119" i="15"/>
  <c r="C119" i="15"/>
  <c r="O119" i="15"/>
  <c r="P119" i="15"/>
  <c r="BP120" i="3"/>
  <c r="CC120" i="3"/>
  <c r="CE120" i="3"/>
  <c r="CH120" i="3"/>
  <c r="CK120" i="3"/>
  <c r="Q119" i="15"/>
  <c r="CP120" i="3"/>
  <c r="CR120" i="3"/>
  <c r="CU120" i="3"/>
  <c r="CX120" i="3"/>
  <c r="R119" i="15"/>
  <c r="DY120" i="3"/>
  <c r="EA120" i="3"/>
  <c r="ED120" i="3"/>
  <c r="EG120" i="3"/>
  <c r="S119" i="15"/>
  <c r="EL120" i="3"/>
  <c r="EN120" i="3"/>
  <c r="EQ120" i="3"/>
  <c r="ET120" i="3"/>
  <c r="T119" i="15"/>
  <c r="EY120" i="3"/>
  <c r="FA120" i="3"/>
  <c r="FD120" i="3"/>
  <c r="FG120" i="3"/>
  <c r="U119" i="15"/>
  <c r="FV120" i="3"/>
  <c r="FY120" i="3"/>
  <c r="V119" i="15"/>
  <c r="FZ120" i="3"/>
  <c r="W119" i="15"/>
  <c r="GA120" i="3"/>
  <c r="X119" i="15"/>
  <c r="GB120" i="3"/>
  <c r="Y119" i="15"/>
  <c r="GC120" i="3"/>
  <c r="Z119" i="15"/>
  <c r="GD120" i="3"/>
  <c r="AA119" i="15"/>
  <c r="GE120" i="3"/>
  <c r="AB119" i="15"/>
  <c r="GF120" i="3"/>
  <c r="AC119" i="15"/>
  <c r="V121" i="3" a="1"/>
  <c r="V121" i="3"/>
  <c r="AS121" i="3"/>
  <c r="B120" i="15"/>
  <c r="P121" i="3" a="1"/>
  <c r="P121" i="3"/>
  <c r="S121" i="3"/>
  <c r="AU121" i="3"/>
  <c r="AW121" i="3"/>
  <c r="AZ121" i="3"/>
  <c r="BA121" i="3"/>
  <c r="D120" i="15"/>
  <c r="AV121" i="3"/>
  <c r="BD121" i="3"/>
  <c r="BF121" i="3"/>
  <c r="BG121" i="3"/>
  <c r="E120" i="15"/>
  <c r="BQ121" i="3"/>
  <c r="BR121" i="3"/>
  <c r="BS121" i="3"/>
  <c r="BN121" i="3"/>
  <c r="BU121" i="3"/>
  <c r="BV121" i="3"/>
  <c r="BY121" i="3"/>
  <c r="CA121" i="3"/>
  <c r="F120" i="15"/>
  <c r="CB121" i="3"/>
  <c r="CD121" i="3"/>
  <c r="CG121" i="3"/>
  <c r="CN121" i="3"/>
  <c r="G120" i="15"/>
  <c r="CO121" i="3"/>
  <c r="CQ121" i="3"/>
  <c r="CT121" i="3"/>
  <c r="DA121" i="3"/>
  <c r="H120" i="15"/>
  <c r="DB121" i="3"/>
  <c r="DC121" i="3"/>
  <c r="DE121" i="3"/>
  <c r="DF121" i="3"/>
  <c r="DL121" i="3"/>
  <c r="I120" i="15"/>
  <c r="DM121" i="3"/>
  <c r="DN121" i="3"/>
  <c r="DP121" i="3"/>
  <c r="DQ121" i="3"/>
  <c r="DW121" i="3"/>
  <c r="J120" i="15"/>
  <c r="DX121" i="3"/>
  <c r="DZ121" i="3"/>
  <c r="EC121" i="3"/>
  <c r="EJ121" i="3"/>
  <c r="K120" i="15"/>
  <c r="EK121" i="3"/>
  <c r="EM121" i="3"/>
  <c r="EP121" i="3"/>
  <c r="EW121" i="3"/>
  <c r="L120" i="15"/>
  <c r="EX121" i="3"/>
  <c r="EZ121" i="3"/>
  <c r="FC121" i="3"/>
  <c r="FJ121" i="3"/>
  <c r="M120" i="15"/>
  <c r="FK121" i="3"/>
  <c r="FL121" i="3"/>
  <c r="FN121" i="3"/>
  <c r="FO121" i="3"/>
  <c r="FR121" i="3"/>
  <c r="FT121" i="3"/>
  <c r="N120" i="15"/>
  <c r="C120" i="15"/>
  <c r="O120" i="15"/>
  <c r="P120" i="15"/>
  <c r="BP121" i="3"/>
  <c r="CC121" i="3"/>
  <c r="CE121" i="3"/>
  <c r="CH121" i="3"/>
  <c r="CK121" i="3"/>
  <c r="Q120" i="15"/>
  <c r="CP121" i="3"/>
  <c r="CR121" i="3"/>
  <c r="CU121" i="3"/>
  <c r="CX121" i="3"/>
  <c r="R120" i="15"/>
  <c r="DY121" i="3"/>
  <c r="EA121" i="3"/>
  <c r="ED121" i="3"/>
  <c r="EG121" i="3"/>
  <c r="S120" i="15"/>
  <c r="EL121" i="3"/>
  <c r="EN121" i="3"/>
  <c r="EQ121" i="3"/>
  <c r="ET121" i="3"/>
  <c r="T120" i="15"/>
  <c r="EY121" i="3"/>
  <c r="FA121" i="3"/>
  <c r="FD121" i="3"/>
  <c r="FG121" i="3"/>
  <c r="U120" i="15"/>
  <c r="FV121" i="3"/>
  <c r="FY121" i="3"/>
  <c r="V120" i="15"/>
  <c r="FZ121" i="3"/>
  <c r="W120" i="15"/>
  <c r="GA121" i="3"/>
  <c r="X120" i="15"/>
  <c r="GB121" i="3"/>
  <c r="Y120" i="15"/>
  <c r="GC121" i="3"/>
  <c r="Z120" i="15"/>
  <c r="GD121" i="3"/>
  <c r="AA120" i="15"/>
  <c r="GE121" i="3"/>
  <c r="AB120" i="15"/>
  <c r="GF121" i="3"/>
  <c r="AC120" i="15"/>
  <c r="V122" i="3" a="1"/>
  <c r="V122" i="3"/>
  <c r="AS122" i="3"/>
  <c r="B121" i="15"/>
  <c r="P122" i="3" a="1"/>
  <c r="P122" i="3"/>
  <c r="S122" i="3"/>
  <c r="AU122" i="3"/>
  <c r="AW122" i="3"/>
  <c r="AZ122" i="3"/>
  <c r="BA122" i="3"/>
  <c r="D121" i="15"/>
  <c r="AV122" i="3"/>
  <c r="BD122" i="3"/>
  <c r="BF122" i="3"/>
  <c r="BG122" i="3"/>
  <c r="E121" i="15"/>
  <c r="BQ122" i="3"/>
  <c r="BR122" i="3"/>
  <c r="BS122" i="3"/>
  <c r="BN122" i="3"/>
  <c r="BU122" i="3"/>
  <c r="BV122" i="3"/>
  <c r="BY122" i="3"/>
  <c r="CA122" i="3"/>
  <c r="F121" i="15"/>
  <c r="CB122" i="3"/>
  <c r="CD122" i="3"/>
  <c r="CG122" i="3"/>
  <c r="CN122" i="3"/>
  <c r="G121" i="15"/>
  <c r="CO122" i="3"/>
  <c r="CQ122" i="3"/>
  <c r="CT122" i="3"/>
  <c r="DA122" i="3"/>
  <c r="H121" i="15"/>
  <c r="DB122" i="3"/>
  <c r="DC122" i="3"/>
  <c r="DE122" i="3"/>
  <c r="DF122" i="3"/>
  <c r="DL122" i="3"/>
  <c r="I121" i="15"/>
  <c r="DM122" i="3"/>
  <c r="DN122" i="3"/>
  <c r="DP122" i="3"/>
  <c r="DQ122" i="3"/>
  <c r="DW122" i="3"/>
  <c r="J121" i="15"/>
  <c r="DX122" i="3"/>
  <c r="DZ122" i="3"/>
  <c r="EC122" i="3"/>
  <c r="EJ122" i="3"/>
  <c r="K121" i="15"/>
  <c r="EK122" i="3"/>
  <c r="EM122" i="3"/>
  <c r="EP122" i="3"/>
  <c r="EW122" i="3"/>
  <c r="L121" i="15"/>
  <c r="EX122" i="3"/>
  <c r="EZ122" i="3"/>
  <c r="FC122" i="3"/>
  <c r="FJ122" i="3"/>
  <c r="M121" i="15"/>
  <c r="FK122" i="3"/>
  <c r="FL122" i="3"/>
  <c r="FN122" i="3"/>
  <c r="FO122" i="3"/>
  <c r="FR122" i="3"/>
  <c r="FT122" i="3"/>
  <c r="N121" i="15"/>
  <c r="C121" i="15"/>
  <c r="O121" i="15"/>
  <c r="P121" i="15"/>
  <c r="BP122" i="3"/>
  <c r="CC122" i="3"/>
  <c r="CE122" i="3"/>
  <c r="CH122" i="3"/>
  <c r="CK122" i="3"/>
  <c r="Q121" i="15"/>
  <c r="CP122" i="3"/>
  <c r="CR122" i="3"/>
  <c r="CU122" i="3"/>
  <c r="CX122" i="3"/>
  <c r="R121" i="15"/>
  <c r="DY122" i="3"/>
  <c r="EA122" i="3"/>
  <c r="ED122" i="3"/>
  <c r="EG122" i="3"/>
  <c r="S121" i="15"/>
  <c r="EL122" i="3"/>
  <c r="EN122" i="3"/>
  <c r="EQ122" i="3"/>
  <c r="ET122" i="3"/>
  <c r="T121" i="15"/>
  <c r="EY122" i="3"/>
  <c r="FA122" i="3"/>
  <c r="FD122" i="3"/>
  <c r="FG122" i="3"/>
  <c r="U121" i="15"/>
  <c r="FV122" i="3"/>
  <c r="FY122" i="3"/>
  <c r="V121" i="15"/>
  <c r="FZ122" i="3"/>
  <c r="W121" i="15"/>
  <c r="GA122" i="3"/>
  <c r="X121" i="15"/>
  <c r="GB122" i="3"/>
  <c r="Y121" i="15"/>
  <c r="GC122" i="3"/>
  <c r="Z121" i="15"/>
  <c r="GD122" i="3"/>
  <c r="AA121" i="15"/>
  <c r="GE122" i="3"/>
  <c r="AB121" i="15"/>
  <c r="GF122" i="3"/>
  <c r="AC121" i="15"/>
  <c r="V123" i="3" a="1"/>
  <c r="V123" i="3"/>
  <c r="AS123" i="3"/>
  <c r="B122" i="15"/>
  <c r="P123" i="3" a="1"/>
  <c r="P123" i="3"/>
  <c r="S123" i="3"/>
  <c r="AU123" i="3"/>
  <c r="AW123" i="3"/>
  <c r="AZ123" i="3"/>
  <c r="BA123" i="3"/>
  <c r="D122" i="15"/>
  <c r="AV123" i="3"/>
  <c r="BD123" i="3"/>
  <c r="BF123" i="3"/>
  <c r="BG123" i="3"/>
  <c r="E122" i="15"/>
  <c r="BQ123" i="3"/>
  <c r="BR123" i="3"/>
  <c r="BS123" i="3"/>
  <c r="BN123" i="3"/>
  <c r="BU123" i="3"/>
  <c r="BV123" i="3"/>
  <c r="BY123" i="3"/>
  <c r="CA123" i="3"/>
  <c r="F122" i="15"/>
  <c r="CB123" i="3"/>
  <c r="CD123" i="3"/>
  <c r="CG123" i="3"/>
  <c r="CN123" i="3"/>
  <c r="G122" i="15"/>
  <c r="CO123" i="3"/>
  <c r="CQ123" i="3"/>
  <c r="CT123" i="3"/>
  <c r="DA123" i="3"/>
  <c r="H122" i="15"/>
  <c r="DB123" i="3"/>
  <c r="DC123" i="3"/>
  <c r="DE123" i="3"/>
  <c r="DF123" i="3"/>
  <c r="DL123" i="3"/>
  <c r="I122" i="15"/>
  <c r="DM123" i="3"/>
  <c r="DN123" i="3"/>
  <c r="DP123" i="3"/>
  <c r="DQ123" i="3"/>
  <c r="DW123" i="3"/>
  <c r="J122" i="15"/>
  <c r="DX123" i="3"/>
  <c r="DZ123" i="3"/>
  <c r="EC123" i="3"/>
  <c r="EJ123" i="3"/>
  <c r="K122" i="15"/>
  <c r="EK123" i="3"/>
  <c r="EM123" i="3"/>
  <c r="EP123" i="3"/>
  <c r="EW123" i="3"/>
  <c r="L122" i="15"/>
  <c r="EX123" i="3"/>
  <c r="EZ123" i="3"/>
  <c r="FC123" i="3"/>
  <c r="FJ123" i="3"/>
  <c r="M122" i="15"/>
  <c r="FK123" i="3"/>
  <c r="FL123" i="3"/>
  <c r="FN123" i="3"/>
  <c r="FO123" i="3"/>
  <c r="FR123" i="3"/>
  <c r="FT123" i="3"/>
  <c r="N122" i="15"/>
  <c r="C122" i="15"/>
  <c r="O122" i="15"/>
  <c r="P122" i="15"/>
  <c r="BP123" i="3"/>
  <c r="CC123" i="3"/>
  <c r="CE123" i="3"/>
  <c r="CH123" i="3"/>
  <c r="CK123" i="3"/>
  <c r="Q122" i="15"/>
  <c r="CP123" i="3"/>
  <c r="CR123" i="3"/>
  <c r="CU123" i="3"/>
  <c r="CX123" i="3"/>
  <c r="R122" i="15"/>
  <c r="DY123" i="3"/>
  <c r="EA123" i="3"/>
  <c r="ED123" i="3"/>
  <c r="EG123" i="3"/>
  <c r="S122" i="15"/>
  <c r="EL123" i="3"/>
  <c r="EN123" i="3"/>
  <c r="EQ123" i="3"/>
  <c r="ET123" i="3"/>
  <c r="T122" i="15"/>
  <c r="EY123" i="3"/>
  <c r="FA123" i="3"/>
  <c r="FD123" i="3"/>
  <c r="FG123" i="3"/>
  <c r="U122" i="15"/>
  <c r="FV123" i="3"/>
  <c r="FY123" i="3"/>
  <c r="V122" i="15"/>
  <c r="FZ123" i="3"/>
  <c r="W122" i="15"/>
  <c r="GA123" i="3"/>
  <c r="X122" i="15"/>
  <c r="GB123" i="3"/>
  <c r="Y122" i="15"/>
  <c r="GC123" i="3"/>
  <c r="Z122" i="15"/>
  <c r="GD123" i="3"/>
  <c r="AA122" i="15"/>
  <c r="GE123" i="3"/>
  <c r="AB122" i="15"/>
  <c r="GF123" i="3"/>
  <c r="AC122" i="15"/>
  <c r="V124" i="3" a="1"/>
  <c r="V124" i="3"/>
  <c r="AS124" i="3"/>
  <c r="B123" i="15"/>
  <c r="P124" i="3" a="1"/>
  <c r="P124" i="3"/>
  <c r="S124" i="3"/>
  <c r="AU124" i="3"/>
  <c r="AW124" i="3"/>
  <c r="AZ124" i="3"/>
  <c r="BA124" i="3"/>
  <c r="D123" i="15"/>
  <c r="AV124" i="3"/>
  <c r="BD124" i="3"/>
  <c r="BF124" i="3"/>
  <c r="BG124" i="3"/>
  <c r="E123" i="15"/>
  <c r="BQ124" i="3"/>
  <c r="BR124" i="3"/>
  <c r="BS124" i="3"/>
  <c r="BN124" i="3"/>
  <c r="BU124" i="3"/>
  <c r="BV124" i="3"/>
  <c r="BY124" i="3"/>
  <c r="CA124" i="3"/>
  <c r="F123" i="15"/>
  <c r="CB124" i="3"/>
  <c r="CD124" i="3"/>
  <c r="CG124" i="3"/>
  <c r="CN124" i="3"/>
  <c r="G123" i="15"/>
  <c r="CO124" i="3"/>
  <c r="CQ124" i="3"/>
  <c r="CT124" i="3"/>
  <c r="DA124" i="3"/>
  <c r="H123" i="15"/>
  <c r="DB124" i="3"/>
  <c r="DC124" i="3"/>
  <c r="DE124" i="3"/>
  <c r="DF124" i="3"/>
  <c r="DL124" i="3"/>
  <c r="I123" i="15"/>
  <c r="DM124" i="3"/>
  <c r="DN124" i="3"/>
  <c r="DP124" i="3"/>
  <c r="DQ124" i="3"/>
  <c r="DW124" i="3"/>
  <c r="J123" i="15"/>
  <c r="DX124" i="3"/>
  <c r="DZ124" i="3"/>
  <c r="EC124" i="3"/>
  <c r="EJ124" i="3"/>
  <c r="K123" i="15"/>
  <c r="EK124" i="3"/>
  <c r="EM124" i="3"/>
  <c r="EP124" i="3"/>
  <c r="EW124" i="3"/>
  <c r="L123" i="15"/>
  <c r="EX124" i="3"/>
  <c r="EZ124" i="3"/>
  <c r="FC124" i="3"/>
  <c r="FJ124" i="3"/>
  <c r="M123" i="15"/>
  <c r="FK124" i="3"/>
  <c r="FL124" i="3"/>
  <c r="FN124" i="3"/>
  <c r="FO124" i="3"/>
  <c r="FR124" i="3"/>
  <c r="FT124" i="3"/>
  <c r="N123" i="15"/>
  <c r="C123" i="15"/>
  <c r="O123" i="15"/>
  <c r="P123" i="15"/>
  <c r="BP124" i="3"/>
  <c r="CC124" i="3"/>
  <c r="CE124" i="3"/>
  <c r="CH124" i="3"/>
  <c r="CK124" i="3"/>
  <c r="Q123" i="15"/>
  <c r="CP124" i="3"/>
  <c r="CR124" i="3"/>
  <c r="CU124" i="3"/>
  <c r="CX124" i="3"/>
  <c r="R123" i="15"/>
  <c r="DY124" i="3"/>
  <c r="EA124" i="3"/>
  <c r="ED124" i="3"/>
  <c r="EG124" i="3"/>
  <c r="S123" i="15"/>
  <c r="EL124" i="3"/>
  <c r="EN124" i="3"/>
  <c r="EQ124" i="3"/>
  <c r="ET124" i="3"/>
  <c r="T123" i="15"/>
  <c r="EY124" i="3"/>
  <c r="FA124" i="3"/>
  <c r="FD124" i="3"/>
  <c r="FG124" i="3"/>
  <c r="U123" i="15"/>
  <c r="FV124" i="3"/>
  <c r="FY124" i="3"/>
  <c r="V123" i="15"/>
  <c r="FZ124" i="3"/>
  <c r="W123" i="15"/>
  <c r="GA124" i="3"/>
  <c r="X123" i="15"/>
  <c r="GB124" i="3"/>
  <c r="Y123" i="15"/>
  <c r="GC124" i="3"/>
  <c r="Z123" i="15"/>
  <c r="GD124" i="3"/>
  <c r="AA123" i="15"/>
  <c r="GE124" i="3"/>
  <c r="AB123" i="15"/>
  <c r="GF124" i="3"/>
  <c r="AC123" i="15"/>
  <c r="V125" i="3" a="1"/>
  <c r="V125" i="3"/>
  <c r="AS125" i="3"/>
  <c r="B124" i="15"/>
  <c r="P125" i="3" a="1"/>
  <c r="P125" i="3"/>
  <c r="S125" i="3"/>
  <c r="AU125" i="3"/>
  <c r="AW125" i="3"/>
  <c r="AZ125" i="3"/>
  <c r="BA125" i="3"/>
  <c r="D124" i="15"/>
  <c r="AV125" i="3"/>
  <c r="BD125" i="3"/>
  <c r="BF125" i="3"/>
  <c r="BG125" i="3"/>
  <c r="E124" i="15"/>
  <c r="BQ125" i="3"/>
  <c r="BR125" i="3"/>
  <c r="BS125" i="3"/>
  <c r="BN125" i="3"/>
  <c r="BU125" i="3"/>
  <c r="BV125" i="3"/>
  <c r="BY125" i="3"/>
  <c r="CA125" i="3"/>
  <c r="F124" i="15"/>
  <c r="CB125" i="3"/>
  <c r="CD125" i="3"/>
  <c r="CG125" i="3"/>
  <c r="CN125" i="3"/>
  <c r="G124" i="15"/>
  <c r="CO125" i="3"/>
  <c r="CQ125" i="3"/>
  <c r="CT125" i="3"/>
  <c r="DA125" i="3"/>
  <c r="H124" i="15"/>
  <c r="DB125" i="3"/>
  <c r="DC125" i="3"/>
  <c r="DE125" i="3"/>
  <c r="DF125" i="3"/>
  <c r="DL125" i="3"/>
  <c r="I124" i="15"/>
  <c r="DM125" i="3"/>
  <c r="DN125" i="3"/>
  <c r="DP125" i="3"/>
  <c r="DQ125" i="3"/>
  <c r="DW125" i="3"/>
  <c r="J124" i="15"/>
  <c r="DX125" i="3"/>
  <c r="DZ125" i="3"/>
  <c r="EC125" i="3"/>
  <c r="EJ125" i="3"/>
  <c r="K124" i="15"/>
  <c r="EK125" i="3"/>
  <c r="EM125" i="3"/>
  <c r="EP125" i="3"/>
  <c r="EW125" i="3"/>
  <c r="L124" i="15"/>
  <c r="EX125" i="3"/>
  <c r="EZ125" i="3"/>
  <c r="FC125" i="3"/>
  <c r="FJ125" i="3"/>
  <c r="M124" i="15"/>
  <c r="FK125" i="3"/>
  <c r="FL125" i="3"/>
  <c r="FN125" i="3"/>
  <c r="FO125" i="3"/>
  <c r="FR125" i="3"/>
  <c r="FT125" i="3"/>
  <c r="N124" i="15"/>
  <c r="C124" i="15"/>
  <c r="O124" i="15"/>
  <c r="P124" i="15"/>
  <c r="BP125" i="3"/>
  <c r="CC125" i="3"/>
  <c r="CE125" i="3"/>
  <c r="CH125" i="3"/>
  <c r="CK125" i="3"/>
  <c r="Q124" i="15"/>
  <c r="CP125" i="3"/>
  <c r="CR125" i="3"/>
  <c r="CU125" i="3"/>
  <c r="CX125" i="3"/>
  <c r="R124" i="15"/>
  <c r="DY125" i="3"/>
  <c r="EA125" i="3"/>
  <c r="ED125" i="3"/>
  <c r="EG125" i="3"/>
  <c r="S124" i="15"/>
  <c r="EL125" i="3"/>
  <c r="EN125" i="3"/>
  <c r="EQ125" i="3"/>
  <c r="ET125" i="3"/>
  <c r="T124" i="15"/>
  <c r="EY125" i="3"/>
  <c r="FA125" i="3"/>
  <c r="FD125" i="3"/>
  <c r="FG125" i="3"/>
  <c r="U124" i="15"/>
  <c r="FV125" i="3"/>
  <c r="FY125" i="3"/>
  <c r="V124" i="15"/>
  <c r="FZ125" i="3"/>
  <c r="W124" i="15"/>
  <c r="GA125" i="3"/>
  <c r="X124" i="15"/>
  <c r="GB125" i="3"/>
  <c r="Y124" i="15"/>
  <c r="GC125" i="3"/>
  <c r="Z124" i="15"/>
  <c r="GD125" i="3"/>
  <c r="AA124" i="15"/>
  <c r="GE125" i="3"/>
  <c r="AB124" i="15"/>
  <c r="GF125" i="3"/>
  <c r="AC124" i="15"/>
  <c r="V126" i="3" a="1"/>
  <c r="V126" i="3"/>
  <c r="AS126" i="3"/>
  <c r="B125" i="15"/>
  <c r="P126" i="3" a="1"/>
  <c r="P126" i="3"/>
  <c r="S126" i="3"/>
  <c r="AU126" i="3"/>
  <c r="AW126" i="3"/>
  <c r="AZ126" i="3"/>
  <c r="BA126" i="3"/>
  <c r="D125" i="15"/>
  <c r="AV126" i="3"/>
  <c r="BD126" i="3"/>
  <c r="BF126" i="3"/>
  <c r="BG126" i="3"/>
  <c r="E125" i="15"/>
  <c r="BQ126" i="3"/>
  <c r="BR126" i="3"/>
  <c r="BS126" i="3"/>
  <c r="BN126" i="3"/>
  <c r="BU126" i="3"/>
  <c r="BV126" i="3"/>
  <c r="BY126" i="3"/>
  <c r="CA126" i="3"/>
  <c r="F125" i="15"/>
  <c r="CB126" i="3"/>
  <c r="CD126" i="3"/>
  <c r="CG126" i="3"/>
  <c r="CN126" i="3"/>
  <c r="G125" i="15"/>
  <c r="CO126" i="3"/>
  <c r="CQ126" i="3"/>
  <c r="CT126" i="3"/>
  <c r="DA126" i="3"/>
  <c r="H125" i="15"/>
  <c r="DB126" i="3"/>
  <c r="DC126" i="3"/>
  <c r="DE126" i="3"/>
  <c r="DF126" i="3"/>
  <c r="DL126" i="3"/>
  <c r="I125" i="15"/>
  <c r="DM126" i="3"/>
  <c r="DN126" i="3"/>
  <c r="DP126" i="3"/>
  <c r="DQ126" i="3"/>
  <c r="DW126" i="3"/>
  <c r="J125" i="15"/>
  <c r="DX126" i="3"/>
  <c r="DZ126" i="3"/>
  <c r="EC126" i="3"/>
  <c r="EJ126" i="3"/>
  <c r="K125" i="15"/>
  <c r="EK126" i="3"/>
  <c r="EM126" i="3"/>
  <c r="EP126" i="3"/>
  <c r="EW126" i="3"/>
  <c r="L125" i="15"/>
  <c r="EX126" i="3"/>
  <c r="EZ126" i="3"/>
  <c r="FC126" i="3"/>
  <c r="FJ126" i="3"/>
  <c r="M125" i="15"/>
  <c r="FK126" i="3"/>
  <c r="FL126" i="3"/>
  <c r="FN126" i="3"/>
  <c r="FO126" i="3"/>
  <c r="FR126" i="3"/>
  <c r="FT126" i="3"/>
  <c r="N125" i="15"/>
  <c r="C125" i="15"/>
  <c r="O125" i="15"/>
  <c r="P125" i="15"/>
  <c r="BP126" i="3"/>
  <c r="CC126" i="3"/>
  <c r="CE126" i="3"/>
  <c r="CH126" i="3"/>
  <c r="CK126" i="3"/>
  <c r="Q125" i="15"/>
  <c r="CP126" i="3"/>
  <c r="CR126" i="3"/>
  <c r="CU126" i="3"/>
  <c r="CX126" i="3"/>
  <c r="R125" i="15"/>
  <c r="DY126" i="3"/>
  <c r="EA126" i="3"/>
  <c r="ED126" i="3"/>
  <c r="EG126" i="3"/>
  <c r="S125" i="15"/>
  <c r="EL126" i="3"/>
  <c r="EN126" i="3"/>
  <c r="EQ126" i="3"/>
  <c r="ET126" i="3"/>
  <c r="T125" i="15"/>
  <c r="EY126" i="3"/>
  <c r="FA126" i="3"/>
  <c r="FD126" i="3"/>
  <c r="FG126" i="3"/>
  <c r="U125" i="15"/>
  <c r="FV126" i="3"/>
  <c r="FY126" i="3"/>
  <c r="V125" i="15"/>
  <c r="FZ126" i="3"/>
  <c r="W125" i="15"/>
  <c r="GA126" i="3"/>
  <c r="X125" i="15"/>
  <c r="GB126" i="3"/>
  <c r="Y125" i="15"/>
  <c r="GC126" i="3"/>
  <c r="Z125" i="15"/>
  <c r="GD126" i="3"/>
  <c r="AA125" i="15"/>
  <c r="GE126" i="3"/>
  <c r="AB125" i="15"/>
  <c r="GF126" i="3"/>
  <c r="AC125" i="15"/>
  <c r="V127" i="3" a="1"/>
  <c r="V127" i="3"/>
  <c r="AS127" i="3"/>
  <c r="B126" i="15"/>
  <c r="P127" i="3" a="1"/>
  <c r="P127" i="3"/>
  <c r="S127" i="3"/>
  <c r="AU127" i="3"/>
  <c r="AW127" i="3"/>
  <c r="AZ127" i="3"/>
  <c r="BA127" i="3"/>
  <c r="D126" i="15"/>
  <c r="AV127" i="3"/>
  <c r="BD127" i="3"/>
  <c r="BF127" i="3"/>
  <c r="BG127" i="3"/>
  <c r="E126" i="15"/>
  <c r="BQ127" i="3"/>
  <c r="BR127" i="3"/>
  <c r="BS127" i="3"/>
  <c r="BN127" i="3"/>
  <c r="BU127" i="3"/>
  <c r="BV127" i="3"/>
  <c r="BY127" i="3"/>
  <c r="CA127" i="3"/>
  <c r="F126" i="15"/>
  <c r="CB127" i="3"/>
  <c r="CD127" i="3"/>
  <c r="CG127" i="3"/>
  <c r="CN127" i="3"/>
  <c r="G126" i="15"/>
  <c r="CO127" i="3"/>
  <c r="CQ127" i="3"/>
  <c r="CT127" i="3"/>
  <c r="DA127" i="3"/>
  <c r="H126" i="15"/>
  <c r="DB127" i="3"/>
  <c r="DC127" i="3"/>
  <c r="DE127" i="3"/>
  <c r="DF127" i="3"/>
  <c r="DL127" i="3"/>
  <c r="I126" i="15"/>
  <c r="DM127" i="3"/>
  <c r="DN127" i="3"/>
  <c r="DP127" i="3"/>
  <c r="DQ127" i="3"/>
  <c r="DW127" i="3"/>
  <c r="J126" i="15"/>
  <c r="DX127" i="3"/>
  <c r="DZ127" i="3"/>
  <c r="EC127" i="3"/>
  <c r="EJ127" i="3"/>
  <c r="K126" i="15"/>
  <c r="EK127" i="3"/>
  <c r="EM127" i="3"/>
  <c r="EP127" i="3"/>
  <c r="EW127" i="3"/>
  <c r="L126" i="15"/>
  <c r="EX127" i="3"/>
  <c r="EZ127" i="3"/>
  <c r="FC127" i="3"/>
  <c r="FJ127" i="3"/>
  <c r="M126" i="15"/>
  <c r="FK127" i="3"/>
  <c r="FL127" i="3"/>
  <c r="FN127" i="3"/>
  <c r="FO127" i="3"/>
  <c r="FR127" i="3"/>
  <c r="FT127" i="3"/>
  <c r="N126" i="15"/>
  <c r="C126" i="15"/>
  <c r="O126" i="15"/>
  <c r="P126" i="15"/>
  <c r="BP127" i="3"/>
  <c r="CC127" i="3"/>
  <c r="CE127" i="3"/>
  <c r="CH127" i="3"/>
  <c r="CK127" i="3"/>
  <c r="Q126" i="15"/>
  <c r="CP127" i="3"/>
  <c r="CR127" i="3"/>
  <c r="CU127" i="3"/>
  <c r="CX127" i="3"/>
  <c r="R126" i="15"/>
  <c r="DY127" i="3"/>
  <c r="EA127" i="3"/>
  <c r="ED127" i="3"/>
  <c r="EG127" i="3"/>
  <c r="S126" i="15"/>
  <c r="EL127" i="3"/>
  <c r="EN127" i="3"/>
  <c r="EQ127" i="3"/>
  <c r="ET127" i="3"/>
  <c r="T126" i="15"/>
  <c r="EY127" i="3"/>
  <c r="FA127" i="3"/>
  <c r="FD127" i="3"/>
  <c r="FG127" i="3"/>
  <c r="U126" i="15"/>
  <c r="FV127" i="3"/>
  <c r="FY127" i="3"/>
  <c r="V126" i="15"/>
  <c r="FZ127" i="3"/>
  <c r="W126" i="15"/>
  <c r="GA127" i="3"/>
  <c r="X126" i="15"/>
  <c r="GB127" i="3"/>
  <c r="Y126" i="15"/>
  <c r="GC127" i="3"/>
  <c r="Z126" i="15"/>
  <c r="GD127" i="3"/>
  <c r="AA126" i="15"/>
  <c r="GE127" i="3"/>
  <c r="AB126" i="15"/>
  <c r="GF127" i="3"/>
  <c r="AC126" i="15"/>
  <c r="V128" i="3" a="1"/>
  <c r="V128" i="3"/>
  <c r="AS128" i="3"/>
  <c r="B127" i="15"/>
  <c r="P128" i="3" a="1"/>
  <c r="P128" i="3"/>
  <c r="S128" i="3"/>
  <c r="AU128" i="3"/>
  <c r="AW128" i="3"/>
  <c r="AZ128" i="3"/>
  <c r="BA128" i="3"/>
  <c r="D127" i="15"/>
  <c r="AV128" i="3"/>
  <c r="BD128" i="3"/>
  <c r="BF128" i="3"/>
  <c r="BG128" i="3"/>
  <c r="E127" i="15"/>
  <c r="BQ128" i="3"/>
  <c r="BR128" i="3"/>
  <c r="BS128" i="3"/>
  <c r="BN128" i="3"/>
  <c r="BU128" i="3"/>
  <c r="BV128" i="3"/>
  <c r="BY128" i="3"/>
  <c r="CA128" i="3"/>
  <c r="F127" i="15"/>
  <c r="CB128" i="3"/>
  <c r="CD128" i="3"/>
  <c r="CG128" i="3"/>
  <c r="CN128" i="3"/>
  <c r="G127" i="15"/>
  <c r="CO128" i="3"/>
  <c r="CQ128" i="3"/>
  <c r="CT128" i="3"/>
  <c r="DA128" i="3"/>
  <c r="H127" i="15"/>
  <c r="DB128" i="3"/>
  <c r="DC128" i="3"/>
  <c r="DE128" i="3"/>
  <c r="DF128" i="3"/>
  <c r="DL128" i="3"/>
  <c r="I127" i="15"/>
  <c r="DM128" i="3"/>
  <c r="DN128" i="3"/>
  <c r="DP128" i="3"/>
  <c r="DQ128" i="3"/>
  <c r="DW128" i="3"/>
  <c r="J127" i="15"/>
  <c r="DX128" i="3"/>
  <c r="DZ128" i="3"/>
  <c r="EC128" i="3"/>
  <c r="EJ128" i="3"/>
  <c r="K127" i="15"/>
  <c r="EK128" i="3"/>
  <c r="EM128" i="3"/>
  <c r="EP128" i="3"/>
  <c r="EW128" i="3"/>
  <c r="L127" i="15"/>
  <c r="EX128" i="3"/>
  <c r="EZ128" i="3"/>
  <c r="FC128" i="3"/>
  <c r="FJ128" i="3"/>
  <c r="M127" i="15"/>
  <c r="FK128" i="3"/>
  <c r="FL128" i="3"/>
  <c r="FN128" i="3"/>
  <c r="FO128" i="3"/>
  <c r="FR128" i="3"/>
  <c r="FT128" i="3"/>
  <c r="N127" i="15"/>
  <c r="C127" i="15"/>
  <c r="O127" i="15"/>
  <c r="P127" i="15"/>
  <c r="BP128" i="3"/>
  <c r="CC128" i="3"/>
  <c r="CE128" i="3"/>
  <c r="CH128" i="3"/>
  <c r="CK128" i="3"/>
  <c r="Q127" i="15"/>
  <c r="CP128" i="3"/>
  <c r="CR128" i="3"/>
  <c r="CU128" i="3"/>
  <c r="CX128" i="3"/>
  <c r="R127" i="15"/>
  <c r="DY128" i="3"/>
  <c r="EA128" i="3"/>
  <c r="ED128" i="3"/>
  <c r="EG128" i="3"/>
  <c r="S127" i="15"/>
  <c r="EL128" i="3"/>
  <c r="EN128" i="3"/>
  <c r="EQ128" i="3"/>
  <c r="ET128" i="3"/>
  <c r="T127" i="15"/>
  <c r="EY128" i="3"/>
  <c r="FA128" i="3"/>
  <c r="FD128" i="3"/>
  <c r="FG128" i="3"/>
  <c r="U127" i="15"/>
  <c r="FV128" i="3"/>
  <c r="FY128" i="3"/>
  <c r="V127" i="15"/>
  <c r="FZ128" i="3"/>
  <c r="W127" i="15"/>
  <c r="GA128" i="3"/>
  <c r="X127" i="15"/>
  <c r="GB128" i="3"/>
  <c r="Y127" i="15"/>
  <c r="GC128" i="3"/>
  <c r="Z127" i="15"/>
  <c r="GD128" i="3"/>
  <c r="AA127" i="15"/>
  <c r="GE128" i="3"/>
  <c r="AB127" i="15"/>
  <c r="GF128" i="3"/>
  <c r="AC127" i="15"/>
  <c r="V129" i="3" a="1"/>
  <c r="V129" i="3"/>
  <c r="AS129" i="3"/>
  <c r="B128" i="15"/>
  <c r="P129" i="3" a="1"/>
  <c r="P129" i="3"/>
  <c r="S129" i="3"/>
  <c r="AU129" i="3"/>
  <c r="AW129" i="3"/>
  <c r="AZ129" i="3"/>
  <c r="BA129" i="3"/>
  <c r="D128" i="15"/>
  <c r="AV129" i="3"/>
  <c r="BD129" i="3"/>
  <c r="BF129" i="3"/>
  <c r="BG129" i="3"/>
  <c r="E128" i="15"/>
  <c r="BQ129" i="3"/>
  <c r="BR129" i="3"/>
  <c r="BS129" i="3"/>
  <c r="BN129" i="3"/>
  <c r="BU129" i="3"/>
  <c r="BV129" i="3"/>
  <c r="BY129" i="3"/>
  <c r="CA129" i="3"/>
  <c r="F128" i="15"/>
  <c r="CB129" i="3"/>
  <c r="CD129" i="3"/>
  <c r="CG129" i="3"/>
  <c r="CN129" i="3"/>
  <c r="G128" i="15"/>
  <c r="CO129" i="3"/>
  <c r="CQ129" i="3"/>
  <c r="CT129" i="3"/>
  <c r="DA129" i="3"/>
  <c r="H128" i="15"/>
  <c r="DB129" i="3"/>
  <c r="DC129" i="3"/>
  <c r="DE129" i="3"/>
  <c r="DF129" i="3"/>
  <c r="DL129" i="3"/>
  <c r="I128" i="15"/>
  <c r="DM129" i="3"/>
  <c r="DN129" i="3"/>
  <c r="DP129" i="3"/>
  <c r="DQ129" i="3"/>
  <c r="DW129" i="3"/>
  <c r="J128" i="15"/>
  <c r="DX129" i="3"/>
  <c r="DZ129" i="3"/>
  <c r="EC129" i="3"/>
  <c r="EJ129" i="3"/>
  <c r="K128" i="15"/>
  <c r="EK129" i="3"/>
  <c r="EM129" i="3"/>
  <c r="EP129" i="3"/>
  <c r="EW129" i="3"/>
  <c r="L128" i="15"/>
  <c r="EX129" i="3"/>
  <c r="EZ129" i="3"/>
  <c r="FC129" i="3"/>
  <c r="FJ129" i="3"/>
  <c r="M128" i="15"/>
  <c r="FK129" i="3"/>
  <c r="FL129" i="3"/>
  <c r="FN129" i="3"/>
  <c r="FO129" i="3"/>
  <c r="FR129" i="3"/>
  <c r="FT129" i="3"/>
  <c r="N128" i="15"/>
  <c r="C128" i="15"/>
  <c r="O128" i="15"/>
  <c r="P128" i="15"/>
  <c r="BP129" i="3"/>
  <c r="CC129" i="3"/>
  <c r="CE129" i="3"/>
  <c r="CH129" i="3"/>
  <c r="CK129" i="3"/>
  <c r="Q128" i="15"/>
  <c r="CP129" i="3"/>
  <c r="CR129" i="3"/>
  <c r="CU129" i="3"/>
  <c r="CX129" i="3"/>
  <c r="R128" i="15"/>
  <c r="DY129" i="3"/>
  <c r="EA129" i="3"/>
  <c r="ED129" i="3"/>
  <c r="EG129" i="3"/>
  <c r="S128" i="15"/>
  <c r="EL129" i="3"/>
  <c r="EN129" i="3"/>
  <c r="EQ129" i="3"/>
  <c r="ET129" i="3"/>
  <c r="T128" i="15"/>
  <c r="EY129" i="3"/>
  <c r="FA129" i="3"/>
  <c r="FD129" i="3"/>
  <c r="FG129" i="3"/>
  <c r="U128" i="15"/>
  <c r="FV129" i="3"/>
  <c r="FY129" i="3"/>
  <c r="V128" i="15"/>
  <c r="FZ129" i="3"/>
  <c r="W128" i="15"/>
  <c r="GA129" i="3"/>
  <c r="X128" i="15"/>
  <c r="GB129" i="3"/>
  <c r="Y128" i="15"/>
  <c r="GC129" i="3"/>
  <c r="Z128" i="15"/>
  <c r="GD129" i="3"/>
  <c r="AA128" i="15"/>
  <c r="GE129" i="3"/>
  <c r="AB128" i="15"/>
  <c r="GF129" i="3"/>
  <c r="AC128" i="15"/>
  <c r="V130" i="3" a="1"/>
  <c r="V130" i="3"/>
  <c r="AS130" i="3"/>
  <c r="B129" i="15"/>
  <c r="P130" i="3" a="1"/>
  <c r="P130" i="3"/>
  <c r="S130" i="3"/>
  <c r="AU130" i="3"/>
  <c r="AW130" i="3"/>
  <c r="AZ130" i="3"/>
  <c r="BA130" i="3"/>
  <c r="D129" i="15"/>
  <c r="AV130" i="3"/>
  <c r="BD130" i="3"/>
  <c r="BF130" i="3"/>
  <c r="BG130" i="3"/>
  <c r="E129" i="15"/>
  <c r="BQ130" i="3"/>
  <c r="BR130" i="3"/>
  <c r="BS130" i="3"/>
  <c r="BV130" i="3"/>
  <c r="BY130" i="3"/>
  <c r="CA130" i="3"/>
  <c r="F129" i="15"/>
  <c r="CB130" i="3"/>
  <c r="CD130" i="3"/>
  <c r="CN130" i="3"/>
  <c r="G129" i="15"/>
  <c r="CO130" i="3"/>
  <c r="CQ130" i="3"/>
  <c r="DA130" i="3"/>
  <c r="H129" i="15"/>
  <c r="DB130" i="3"/>
  <c r="DC130" i="3"/>
  <c r="DF130" i="3"/>
  <c r="DL130" i="3"/>
  <c r="I129" i="15"/>
  <c r="DM130" i="3"/>
  <c r="DN130" i="3"/>
  <c r="DQ130" i="3"/>
  <c r="DW130" i="3"/>
  <c r="J129" i="15"/>
  <c r="DX130" i="3"/>
  <c r="DZ130" i="3"/>
  <c r="EJ130" i="3"/>
  <c r="K129" i="15"/>
  <c r="EK130" i="3"/>
  <c r="EM130" i="3"/>
  <c r="EW130" i="3"/>
  <c r="L129" i="15"/>
  <c r="EX130" i="3"/>
  <c r="EZ130" i="3"/>
  <c r="FJ130" i="3"/>
  <c r="M129" i="15"/>
  <c r="FK130" i="3"/>
  <c r="FL130" i="3"/>
  <c r="FO130" i="3"/>
  <c r="FR130" i="3"/>
  <c r="FT130" i="3"/>
  <c r="N129" i="15"/>
  <c r="C129" i="15"/>
  <c r="O129" i="15"/>
  <c r="P129" i="15"/>
  <c r="BP130" i="3"/>
  <c r="CC130" i="3"/>
  <c r="CE130" i="3"/>
  <c r="CH130" i="3"/>
  <c r="CK130" i="3"/>
  <c r="Q129" i="15"/>
  <c r="CP130" i="3"/>
  <c r="CR130" i="3"/>
  <c r="CU130" i="3"/>
  <c r="CX130" i="3"/>
  <c r="R129" i="15"/>
  <c r="DY130" i="3"/>
  <c r="EA130" i="3"/>
  <c r="ED130" i="3"/>
  <c r="EG130" i="3"/>
  <c r="S129" i="15"/>
  <c r="EL130" i="3"/>
  <c r="EN130" i="3"/>
  <c r="EQ130" i="3"/>
  <c r="ET130" i="3"/>
  <c r="T129" i="15"/>
  <c r="EY130" i="3"/>
  <c r="FA130" i="3"/>
  <c r="FD130" i="3"/>
  <c r="FG130" i="3"/>
  <c r="U129" i="15"/>
  <c r="FV130" i="3"/>
  <c r="FY130" i="3"/>
  <c r="V129" i="15"/>
  <c r="FZ130" i="3"/>
  <c r="W129" i="15"/>
  <c r="GA130" i="3"/>
  <c r="X129" i="15"/>
  <c r="GB130" i="3"/>
  <c r="Y129" i="15"/>
  <c r="GC130" i="3"/>
  <c r="Z129" i="15"/>
  <c r="GD130" i="3"/>
  <c r="AA129" i="15"/>
  <c r="GE130" i="3"/>
  <c r="AB129" i="15"/>
  <c r="GF130" i="3"/>
  <c r="AC129" i="15"/>
  <c r="V131" i="3" a="1"/>
  <c r="V131" i="3"/>
  <c r="AS131" i="3"/>
  <c r="B130" i="15"/>
  <c r="P131" i="3" a="1"/>
  <c r="P131" i="3"/>
  <c r="S131" i="3"/>
  <c r="AU131" i="3"/>
  <c r="AW131" i="3"/>
  <c r="AZ131" i="3"/>
  <c r="BA131" i="3"/>
  <c r="D130" i="15"/>
  <c r="AV131" i="3"/>
  <c r="BD131" i="3"/>
  <c r="BF131" i="3"/>
  <c r="BG131" i="3"/>
  <c r="E130" i="15"/>
  <c r="BQ131" i="3"/>
  <c r="BR131" i="3"/>
  <c r="BS131" i="3"/>
  <c r="BN131" i="3"/>
  <c r="BU131" i="3"/>
  <c r="BV131" i="3"/>
  <c r="BY131" i="3"/>
  <c r="CA131" i="3"/>
  <c r="F130" i="15"/>
  <c r="CB131" i="3"/>
  <c r="CD131" i="3"/>
  <c r="CG131" i="3"/>
  <c r="CN131" i="3"/>
  <c r="G130" i="15"/>
  <c r="CO131" i="3"/>
  <c r="CQ131" i="3"/>
  <c r="CT131" i="3"/>
  <c r="DA131" i="3"/>
  <c r="H130" i="15"/>
  <c r="DB131" i="3"/>
  <c r="DC131" i="3"/>
  <c r="DE131" i="3"/>
  <c r="DF131" i="3"/>
  <c r="DL131" i="3"/>
  <c r="I130" i="15"/>
  <c r="DM131" i="3"/>
  <c r="DN131" i="3"/>
  <c r="DP131" i="3"/>
  <c r="DQ131" i="3"/>
  <c r="DW131" i="3"/>
  <c r="J130" i="15"/>
  <c r="DX131" i="3"/>
  <c r="DZ131" i="3"/>
  <c r="EC131" i="3"/>
  <c r="EJ131" i="3"/>
  <c r="K130" i="15"/>
  <c r="EK131" i="3"/>
  <c r="EM131" i="3"/>
  <c r="EP131" i="3"/>
  <c r="EW131" i="3"/>
  <c r="L130" i="15"/>
  <c r="EX131" i="3"/>
  <c r="EZ131" i="3"/>
  <c r="FC131" i="3"/>
  <c r="FJ131" i="3"/>
  <c r="M130" i="15"/>
  <c r="FK131" i="3"/>
  <c r="FL131" i="3"/>
  <c r="FN131" i="3"/>
  <c r="FO131" i="3"/>
  <c r="FR131" i="3"/>
  <c r="FT131" i="3"/>
  <c r="N130" i="15"/>
  <c r="C130" i="15"/>
  <c r="O130" i="15"/>
  <c r="P130" i="15"/>
  <c r="BP131" i="3"/>
  <c r="CC131" i="3"/>
  <c r="CE131" i="3"/>
  <c r="CH131" i="3"/>
  <c r="CK131" i="3"/>
  <c r="Q130" i="15"/>
  <c r="CP131" i="3"/>
  <c r="CR131" i="3"/>
  <c r="CU131" i="3"/>
  <c r="CX131" i="3"/>
  <c r="R130" i="15"/>
  <c r="DY131" i="3"/>
  <c r="EA131" i="3"/>
  <c r="ED131" i="3"/>
  <c r="EG131" i="3"/>
  <c r="S130" i="15"/>
  <c r="EL131" i="3"/>
  <c r="EN131" i="3"/>
  <c r="EQ131" i="3"/>
  <c r="ET131" i="3"/>
  <c r="T130" i="15"/>
  <c r="EY131" i="3"/>
  <c r="FA131" i="3"/>
  <c r="FD131" i="3"/>
  <c r="FG131" i="3"/>
  <c r="U130" i="15"/>
  <c r="FV131" i="3"/>
  <c r="FY131" i="3"/>
  <c r="V130" i="15"/>
  <c r="FZ131" i="3"/>
  <c r="W130" i="15"/>
  <c r="GA131" i="3"/>
  <c r="X130" i="15"/>
  <c r="GB131" i="3"/>
  <c r="Y130" i="15"/>
  <c r="GC131" i="3"/>
  <c r="Z130" i="15"/>
  <c r="GD131" i="3"/>
  <c r="AA130" i="15"/>
  <c r="GE131" i="3"/>
  <c r="AB130" i="15"/>
  <c r="GF131" i="3"/>
  <c r="AC130" i="15"/>
  <c r="V132" i="3" a="1"/>
  <c r="V132" i="3"/>
  <c r="AS132" i="3"/>
  <c r="B131" i="15"/>
  <c r="P132" i="3" a="1"/>
  <c r="P132" i="3"/>
  <c r="S132" i="3"/>
  <c r="AU132" i="3"/>
  <c r="AW132" i="3"/>
  <c r="AZ132" i="3"/>
  <c r="BA132" i="3"/>
  <c r="D131" i="15"/>
  <c r="AV132" i="3"/>
  <c r="BD132" i="3"/>
  <c r="BF132" i="3"/>
  <c r="BG132" i="3"/>
  <c r="E131" i="15"/>
  <c r="BQ132" i="3"/>
  <c r="BR132" i="3"/>
  <c r="BS132" i="3"/>
  <c r="BV132" i="3"/>
  <c r="BY132" i="3"/>
  <c r="CA132" i="3"/>
  <c r="F131" i="15"/>
  <c r="CB132" i="3"/>
  <c r="CD132" i="3"/>
  <c r="CN132" i="3"/>
  <c r="G131" i="15"/>
  <c r="CO132" i="3"/>
  <c r="CQ132" i="3"/>
  <c r="DA132" i="3"/>
  <c r="H131" i="15"/>
  <c r="DB132" i="3"/>
  <c r="DC132" i="3"/>
  <c r="DF132" i="3"/>
  <c r="DL132" i="3"/>
  <c r="I131" i="15"/>
  <c r="DM132" i="3"/>
  <c r="DN132" i="3"/>
  <c r="DQ132" i="3"/>
  <c r="DW132" i="3"/>
  <c r="J131" i="15"/>
  <c r="DX132" i="3"/>
  <c r="DZ132" i="3"/>
  <c r="EJ132" i="3"/>
  <c r="K131" i="15"/>
  <c r="EK132" i="3"/>
  <c r="EM132" i="3"/>
  <c r="EW132" i="3"/>
  <c r="L131" i="15"/>
  <c r="EX132" i="3"/>
  <c r="EZ132" i="3"/>
  <c r="FJ132" i="3"/>
  <c r="M131" i="15"/>
  <c r="FK132" i="3"/>
  <c r="FL132" i="3"/>
  <c r="FO132" i="3"/>
  <c r="FR132" i="3"/>
  <c r="FT132" i="3"/>
  <c r="N131" i="15"/>
  <c r="C131" i="15"/>
  <c r="O131" i="15"/>
  <c r="P131" i="15"/>
  <c r="BP132" i="3"/>
  <c r="CC132" i="3"/>
  <c r="CE132" i="3"/>
  <c r="CH132" i="3"/>
  <c r="CK132" i="3"/>
  <c r="Q131" i="15"/>
  <c r="CP132" i="3"/>
  <c r="CR132" i="3"/>
  <c r="CU132" i="3"/>
  <c r="CX132" i="3"/>
  <c r="R131" i="15"/>
  <c r="DY132" i="3"/>
  <c r="EA132" i="3"/>
  <c r="ED132" i="3"/>
  <c r="EG132" i="3"/>
  <c r="S131" i="15"/>
  <c r="EL132" i="3"/>
  <c r="EN132" i="3"/>
  <c r="EQ132" i="3"/>
  <c r="ET132" i="3"/>
  <c r="T131" i="15"/>
  <c r="EY132" i="3"/>
  <c r="FA132" i="3"/>
  <c r="FD132" i="3"/>
  <c r="FG132" i="3"/>
  <c r="U131" i="15"/>
  <c r="FV132" i="3"/>
  <c r="FY132" i="3"/>
  <c r="V131" i="15"/>
  <c r="FZ132" i="3"/>
  <c r="W131" i="15"/>
  <c r="GA132" i="3"/>
  <c r="X131" i="15"/>
  <c r="GB132" i="3"/>
  <c r="Y131" i="15"/>
  <c r="GC132" i="3"/>
  <c r="Z131" i="15"/>
  <c r="GD132" i="3"/>
  <c r="AA131" i="15"/>
  <c r="GE132" i="3"/>
  <c r="AB131" i="15"/>
  <c r="GF132" i="3"/>
  <c r="AC131" i="15"/>
  <c r="V133" i="3" a="1"/>
  <c r="V133" i="3"/>
  <c r="AS133" i="3"/>
  <c r="B132" i="15"/>
  <c r="P133" i="3" a="1"/>
  <c r="P133" i="3"/>
  <c r="S133" i="3"/>
  <c r="AU133" i="3"/>
  <c r="AW133" i="3"/>
  <c r="AZ133" i="3"/>
  <c r="BA133" i="3"/>
  <c r="D132" i="15"/>
  <c r="AV133" i="3"/>
  <c r="BD133" i="3"/>
  <c r="BF133" i="3"/>
  <c r="BG133" i="3"/>
  <c r="E132" i="15"/>
  <c r="BQ133" i="3"/>
  <c r="BR133" i="3"/>
  <c r="BS133" i="3"/>
  <c r="BN133" i="3"/>
  <c r="BU133" i="3"/>
  <c r="BV133" i="3"/>
  <c r="BY133" i="3"/>
  <c r="CA133" i="3"/>
  <c r="F132" i="15"/>
  <c r="CB133" i="3"/>
  <c r="CD133" i="3"/>
  <c r="CG133" i="3"/>
  <c r="CN133" i="3"/>
  <c r="G132" i="15"/>
  <c r="CO133" i="3"/>
  <c r="CQ133" i="3"/>
  <c r="CT133" i="3"/>
  <c r="DA133" i="3"/>
  <c r="H132" i="15"/>
  <c r="DB133" i="3"/>
  <c r="DC133" i="3"/>
  <c r="DE133" i="3"/>
  <c r="DF133" i="3"/>
  <c r="DL133" i="3"/>
  <c r="I132" i="15"/>
  <c r="DM133" i="3"/>
  <c r="DN133" i="3"/>
  <c r="DP133" i="3"/>
  <c r="DQ133" i="3"/>
  <c r="DW133" i="3"/>
  <c r="J132" i="15"/>
  <c r="DX133" i="3"/>
  <c r="DZ133" i="3"/>
  <c r="EC133" i="3"/>
  <c r="EJ133" i="3"/>
  <c r="K132" i="15"/>
  <c r="EK133" i="3"/>
  <c r="EM133" i="3"/>
  <c r="EP133" i="3"/>
  <c r="EW133" i="3"/>
  <c r="L132" i="15"/>
  <c r="EX133" i="3"/>
  <c r="EZ133" i="3"/>
  <c r="FC133" i="3"/>
  <c r="FJ133" i="3"/>
  <c r="M132" i="15"/>
  <c r="FK133" i="3"/>
  <c r="FL133" i="3"/>
  <c r="FN133" i="3"/>
  <c r="FO133" i="3"/>
  <c r="FR133" i="3"/>
  <c r="FT133" i="3"/>
  <c r="N132" i="15"/>
  <c r="C132" i="15"/>
  <c r="O132" i="15"/>
  <c r="P132" i="15"/>
  <c r="BP133" i="3"/>
  <c r="CC133" i="3"/>
  <c r="CE133" i="3"/>
  <c r="CH133" i="3"/>
  <c r="CK133" i="3"/>
  <c r="Q132" i="15"/>
  <c r="CP133" i="3"/>
  <c r="CR133" i="3"/>
  <c r="CU133" i="3"/>
  <c r="CX133" i="3"/>
  <c r="R132" i="15"/>
  <c r="DY133" i="3"/>
  <c r="EA133" i="3"/>
  <c r="ED133" i="3"/>
  <c r="EG133" i="3"/>
  <c r="S132" i="15"/>
  <c r="EL133" i="3"/>
  <c r="EN133" i="3"/>
  <c r="EQ133" i="3"/>
  <c r="ET133" i="3"/>
  <c r="T132" i="15"/>
  <c r="EY133" i="3"/>
  <c r="FA133" i="3"/>
  <c r="FD133" i="3"/>
  <c r="FG133" i="3"/>
  <c r="U132" i="15"/>
  <c r="FV133" i="3"/>
  <c r="FY133" i="3"/>
  <c r="V132" i="15"/>
  <c r="FZ133" i="3"/>
  <c r="W132" i="15"/>
  <c r="GA133" i="3"/>
  <c r="X132" i="15"/>
  <c r="GB133" i="3"/>
  <c r="Y132" i="15"/>
  <c r="GC133" i="3"/>
  <c r="Z132" i="15"/>
  <c r="GD133" i="3"/>
  <c r="AA132" i="15"/>
  <c r="GE133" i="3"/>
  <c r="AB132" i="15"/>
  <c r="GF133" i="3"/>
  <c r="AC132" i="15"/>
  <c r="V134" i="3" a="1"/>
  <c r="V134" i="3"/>
  <c r="AS134" i="3"/>
  <c r="B133" i="15"/>
  <c r="P134" i="3" a="1"/>
  <c r="P134" i="3"/>
  <c r="S134" i="3"/>
  <c r="AU134" i="3"/>
  <c r="AW134" i="3"/>
  <c r="AZ134" i="3"/>
  <c r="BA134" i="3"/>
  <c r="D133" i="15"/>
  <c r="AV134" i="3"/>
  <c r="BD134" i="3"/>
  <c r="BF134" i="3"/>
  <c r="BG134" i="3"/>
  <c r="E133" i="15"/>
  <c r="BQ134" i="3"/>
  <c r="BR134" i="3"/>
  <c r="BS134" i="3"/>
  <c r="BV134" i="3"/>
  <c r="BY134" i="3"/>
  <c r="CA134" i="3"/>
  <c r="F133" i="15"/>
  <c r="CB134" i="3"/>
  <c r="CD134" i="3"/>
  <c r="CN134" i="3"/>
  <c r="G133" i="15"/>
  <c r="CO134" i="3"/>
  <c r="CQ134" i="3"/>
  <c r="DA134" i="3"/>
  <c r="H133" i="15"/>
  <c r="DB134" i="3"/>
  <c r="DC134" i="3"/>
  <c r="DF134" i="3"/>
  <c r="DL134" i="3"/>
  <c r="I133" i="15"/>
  <c r="DM134" i="3"/>
  <c r="DN134" i="3"/>
  <c r="DQ134" i="3"/>
  <c r="DW134" i="3"/>
  <c r="J133" i="15"/>
  <c r="DX134" i="3"/>
  <c r="DZ134" i="3"/>
  <c r="EJ134" i="3"/>
  <c r="K133" i="15"/>
  <c r="EK134" i="3"/>
  <c r="EM134" i="3"/>
  <c r="EW134" i="3"/>
  <c r="L133" i="15"/>
  <c r="EX134" i="3"/>
  <c r="EZ134" i="3"/>
  <c r="FJ134" i="3"/>
  <c r="M133" i="15"/>
  <c r="FK134" i="3"/>
  <c r="FL134" i="3"/>
  <c r="FO134" i="3"/>
  <c r="FR134" i="3"/>
  <c r="FT134" i="3"/>
  <c r="N133" i="15"/>
  <c r="C133" i="15"/>
  <c r="O133" i="15"/>
  <c r="P133" i="15"/>
  <c r="BP134" i="3"/>
  <c r="CC134" i="3"/>
  <c r="CE134" i="3"/>
  <c r="CH134" i="3"/>
  <c r="CK134" i="3"/>
  <c r="Q133" i="15"/>
  <c r="CP134" i="3"/>
  <c r="CR134" i="3"/>
  <c r="CU134" i="3"/>
  <c r="CX134" i="3"/>
  <c r="R133" i="15"/>
  <c r="DY134" i="3"/>
  <c r="EA134" i="3"/>
  <c r="ED134" i="3"/>
  <c r="EG134" i="3"/>
  <c r="S133" i="15"/>
  <c r="EL134" i="3"/>
  <c r="EN134" i="3"/>
  <c r="EQ134" i="3"/>
  <c r="ET134" i="3"/>
  <c r="T133" i="15"/>
  <c r="EY134" i="3"/>
  <c r="FA134" i="3"/>
  <c r="FD134" i="3"/>
  <c r="FG134" i="3"/>
  <c r="U133" i="15"/>
  <c r="FV134" i="3"/>
  <c r="FY134" i="3"/>
  <c r="V133" i="15"/>
  <c r="FZ134" i="3"/>
  <c r="W133" i="15"/>
  <c r="GA134" i="3"/>
  <c r="X133" i="15"/>
  <c r="GB134" i="3"/>
  <c r="Y133" i="15"/>
  <c r="GC134" i="3"/>
  <c r="Z133" i="15"/>
  <c r="GD134" i="3"/>
  <c r="AA133" i="15"/>
  <c r="GE134" i="3"/>
  <c r="AB133" i="15"/>
  <c r="GF134" i="3"/>
  <c r="AC133" i="15"/>
  <c r="V135" i="3" a="1"/>
  <c r="V135" i="3"/>
  <c r="AS135" i="3"/>
  <c r="B134" i="15"/>
  <c r="P135" i="3" a="1"/>
  <c r="P135" i="3"/>
  <c r="S135" i="3"/>
  <c r="AU135" i="3"/>
  <c r="AW135" i="3"/>
  <c r="AZ135" i="3"/>
  <c r="BA135" i="3"/>
  <c r="D134" i="15"/>
  <c r="AV135" i="3"/>
  <c r="BD135" i="3"/>
  <c r="BF135" i="3"/>
  <c r="BG135" i="3"/>
  <c r="E134" i="15"/>
  <c r="BQ135" i="3"/>
  <c r="BR135" i="3"/>
  <c r="BS135" i="3"/>
  <c r="BN135" i="3"/>
  <c r="BU135" i="3"/>
  <c r="BV135" i="3"/>
  <c r="BY135" i="3"/>
  <c r="CA135" i="3"/>
  <c r="F134" i="15"/>
  <c r="CB135" i="3"/>
  <c r="CD135" i="3"/>
  <c r="CG135" i="3"/>
  <c r="CN135" i="3"/>
  <c r="G134" i="15"/>
  <c r="CO135" i="3"/>
  <c r="CQ135" i="3"/>
  <c r="CT135" i="3"/>
  <c r="DA135" i="3"/>
  <c r="H134" i="15"/>
  <c r="DB135" i="3"/>
  <c r="DC135" i="3"/>
  <c r="DE135" i="3"/>
  <c r="DF135" i="3"/>
  <c r="DL135" i="3"/>
  <c r="I134" i="15"/>
  <c r="DM135" i="3"/>
  <c r="DN135" i="3"/>
  <c r="DP135" i="3"/>
  <c r="DQ135" i="3"/>
  <c r="DW135" i="3"/>
  <c r="J134" i="15"/>
  <c r="DX135" i="3"/>
  <c r="DZ135" i="3"/>
  <c r="EC135" i="3"/>
  <c r="EJ135" i="3"/>
  <c r="K134" i="15"/>
  <c r="EK135" i="3"/>
  <c r="EM135" i="3"/>
  <c r="EP135" i="3"/>
  <c r="EW135" i="3"/>
  <c r="L134" i="15"/>
  <c r="EX135" i="3"/>
  <c r="EZ135" i="3"/>
  <c r="FC135" i="3"/>
  <c r="FJ135" i="3"/>
  <c r="M134" i="15"/>
  <c r="FK135" i="3"/>
  <c r="FL135" i="3"/>
  <c r="FN135" i="3"/>
  <c r="FO135" i="3"/>
  <c r="FR135" i="3"/>
  <c r="FT135" i="3"/>
  <c r="N134" i="15"/>
  <c r="C134" i="15"/>
  <c r="O134" i="15"/>
  <c r="P134" i="15"/>
  <c r="BP135" i="3"/>
  <c r="CC135" i="3"/>
  <c r="CE135" i="3"/>
  <c r="CH135" i="3"/>
  <c r="CK135" i="3"/>
  <c r="Q134" i="15"/>
  <c r="CP135" i="3"/>
  <c r="CR135" i="3"/>
  <c r="CU135" i="3"/>
  <c r="CX135" i="3"/>
  <c r="R134" i="15"/>
  <c r="DY135" i="3"/>
  <c r="EA135" i="3"/>
  <c r="ED135" i="3"/>
  <c r="EG135" i="3"/>
  <c r="S134" i="15"/>
  <c r="EL135" i="3"/>
  <c r="EN135" i="3"/>
  <c r="EQ135" i="3"/>
  <c r="ET135" i="3"/>
  <c r="T134" i="15"/>
  <c r="EY135" i="3"/>
  <c r="FA135" i="3"/>
  <c r="FD135" i="3"/>
  <c r="FG135" i="3"/>
  <c r="U134" i="15"/>
  <c r="FV135" i="3"/>
  <c r="FY135" i="3"/>
  <c r="V134" i="15"/>
  <c r="FZ135" i="3"/>
  <c r="W134" i="15"/>
  <c r="GA135" i="3"/>
  <c r="X134" i="15"/>
  <c r="GB135" i="3"/>
  <c r="Y134" i="15"/>
  <c r="GC135" i="3"/>
  <c r="Z134" i="15"/>
  <c r="GD135" i="3"/>
  <c r="AA134" i="15"/>
  <c r="GE135" i="3"/>
  <c r="AB134" i="15"/>
  <c r="GF135" i="3"/>
  <c r="AC134" i="15"/>
  <c r="V136" i="3" a="1"/>
  <c r="V136" i="3"/>
  <c r="AS136" i="3"/>
  <c r="B135" i="15"/>
  <c r="P136" i="3" a="1"/>
  <c r="P136" i="3"/>
  <c r="S136" i="3"/>
  <c r="AU136" i="3"/>
  <c r="AW136" i="3"/>
  <c r="AZ136" i="3"/>
  <c r="BA136" i="3"/>
  <c r="D135" i="15"/>
  <c r="AV136" i="3"/>
  <c r="BD136" i="3"/>
  <c r="BF136" i="3"/>
  <c r="BG136" i="3"/>
  <c r="E135" i="15"/>
  <c r="BQ136" i="3"/>
  <c r="BR136" i="3"/>
  <c r="BS136" i="3"/>
  <c r="BN136" i="3"/>
  <c r="BU136" i="3"/>
  <c r="BV136" i="3"/>
  <c r="BY136" i="3"/>
  <c r="CA136" i="3"/>
  <c r="F135" i="15"/>
  <c r="CB136" i="3"/>
  <c r="CD136" i="3"/>
  <c r="CG136" i="3"/>
  <c r="CN136" i="3"/>
  <c r="G135" i="15"/>
  <c r="CO136" i="3"/>
  <c r="CQ136" i="3"/>
  <c r="CT136" i="3"/>
  <c r="DA136" i="3"/>
  <c r="H135" i="15"/>
  <c r="DB136" i="3"/>
  <c r="DC136" i="3"/>
  <c r="DE136" i="3"/>
  <c r="DF136" i="3"/>
  <c r="DL136" i="3"/>
  <c r="I135" i="15"/>
  <c r="DM136" i="3"/>
  <c r="DN136" i="3"/>
  <c r="DP136" i="3"/>
  <c r="DQ136" i="3"/>
  <c r="DW136" i="3"/>
  <c r="J135" i="15"/>
  <c r="DX136" i="3"/>
  <c r="DZ136" i="3"/>
  <c r="EC136" i="3"/>
  <c r="EJ136" i="3"/>
  <c r="K135" i="15"/>
  <c r="EK136" i="3"/>
  <c r="EM136" i="3"/>
  <c r="EP136" i="3"/>
  <c r="EW136" i="3"/>
  <c r="L135" i="15"/>
  <c r="EX136" i="3"/>
  <c r="EZ136" i="3"/>
  <c r="FC136" i="3"/>
  <c r="FJ136" i="3"/>
  <c r="M135" i="15"/>
  <c r="FK136" i="3"/>
  <c r="FL136" i="3"/>
  <c r="FN136" i="3"/>
  <c r="FO136" i="3"/>
  <c r="FR136" i="3"/>
  <c r="FT136" i="3"/>
  <c r="N135" i="15"/>
  <c r="C135" i="15"/>
  <c r="O135" i="15"/>
  <c r="P135" i="15"/>
  <c r="BP136" i="3"/>
  <c r="CC136" i="3"/>
  <c r="CE136" i="3"/>
  <c r="CH136" i="3"/>
  <c r="CK136" i="3"/>
  <c r="Q135" i="15"/>
  <c r="CP136" i="3"/>
  <c r="CR136" i="3"/>
  <c r="CU136" i="3"/>
  <c r="CX136" i="3"/>
  <c r="R135" i="15"/>
  <c r="DY136" i="3"/>
  <c r="EA136" i="3"/>
  <c r="ED136" i="3"/>
  <c r="EG136" i="3"/>
  <c r="S135" i="15"/>
  <c r="EL136" i="3"/>
  <c r="EN136" i="3"/>
  <c r="EQ136" i="3"/>
  <c r="ET136" i="3"/>
  <c r="T135" i="15"/>
  <c r="EY136" i="3"/>
  <c r="FA136" i="3"/>
  <c r="FD136" i="3"/>
  <c r="FG136" i="3"/>
  <c r="U135" i="15"/>
  <c r="FV136" i="3"/>
  <c r="FY136" i="3"/>
  <c r="V135" i="15"/>
  <c r="FZ136" i="3"/>
  <c r="W135" i="15"/>
  <c r="GA136" i="3"/>
  <c r="X135" i="15"/>
  <c r="GB136" i="3"/>
  <c r="Y135" i="15"/>
  <c r="GC136" i="3"/>
  <c r="Z135" i="15"/>
  <c r="GD136" i="3"/>
  <c r="AA135" i="15"/>
  <c r="GE136" i="3"/>
  <c r="AB135" i="15"/>
  <c r="GF136" i="3"/>
  <c r="AC135" i="15"/>
  <c r="V137" i="3" a="1"/>
  <c r="V137" i="3"/>
  <c r="AS137" i="3"/>
  <c r="B136" i="15"/>
  <c r="P137" i="3" a="1"/>
  <c r="P137" i="3"/>
  <c r="S137" i="3"/>
  <c r="AU137" i="3"/>
  <c r="AW137" i="3"/>
  <c r="AZ137" i="3"/>
  <c r="BA137" i="3"/>
  <c r="D136" i="15"/>
  <c r="AV137" i="3"/>
  <c r="BD137" i="3"/>
  <c r="BF137" i="3"/>
  <c r="BG137" i="3"/>
  <c r="E136" i="15"/>
  <c r="BQ137" i="3"/>
  <c r="BR137" i="3"/>
  <c r="BS137" i="3"/>
  <c r="BN137" i="3"/>
  <c r="BU137" i="3"/>
  <c r="BV137" i="3"/>
  <c r="BY137" i="3"/>
  <c r="CA137" i="3"/>
  <c r="F136" i="15"/>
  <c r="CB137" i="3"/>
  <c r="CD137" i="3"/>
  <c r="CG137" i="3"/>
  <c r="CN137" i="3"/>
  <c r="G136" i="15"/>
  <c r="CO137" i="3"/>
  <c r="CQ137" i="3"/>
  <c r="CT137" i="3"/>
  <c r="DA137" i="3"/>
  <c r="H136" i="15"/>
  <c r="DB137" i="3"/>
  <c r="DC137" i="3"/>
  <c r="DE137" i="3"/>
  <c r="DF137" i="3"/>
  <c r="DL137" i="3"/>
  <c r="I136" i="15"/>
  <c r="DM137" i="3"/>
  <c r="DN137" i="3"/>
  <c r="DP137" i="3"/>
  <c r="DQ137" i="3"/>
  <c r="DW137" i="3"/>
  <c r="J136" i="15"/>
  <c r="DX137" i="3"/>
  <c r="DZ137" i="3"/>
  <c r="EC137" i="3"/>
  <c r="EJ137" i="3"/>
  <c r="K136" i="15"/>
  <c r="EK137" i="3"/>
  <c r="EM137" i="3"/>
  <c r="EP137" i="3"/>
  <c r="EW137" i="3"/>
  <c r="L136" i="15"/>
  <c r="EX137" i="3"/>
  <c r="EZ137" i="3"/>
  <c r="FC137" i="3"/>
  <c r="FJ137" i="3"/>
  <c r="M136" i="15"/>
  <c r="FK137" i="3"/>
  <c r="FL137" i="3"/>
  <c r="FN137" i="3"/>
  <c r="FO137" i="3"/>
  <c r="FR137" i="3"/>
  <c r="FT137" i="3"/>
  <c r="N136" i="15"/>
  <c r="C136" i="15"/>
  <c r="O136" i="15"/>
  <c r="P136" i="15"/>
  <c r="BP137" i="3"/>
  <c r="CC137" i="3"/>
  <c r="CE137" i="3"/>
  <c r="CH137" i="3"/>
  <c r="CK137" i="3"/>
  <c r="Q136" i="15"/>
  <c r="CP137" i="3"/>
  <c r="CR137" i="3"/>
  <c r="CU137" i="3"/>
  <c r="CX137" i="3"/>
  <c r="R136" i="15"/>
  <c r="DY137" i="3"/>
  <c r="EA137" i="3"/>
  <c r="ED137" i="3"/>
  <c r="EG137" i="3"/>
  <c r="S136" i="15"/>
  <c r="EL137" i="3"/>
  <c r="EN137" i="3"/>
  <c r="EQ137" i="3"/>
  <c r="ET137" i="3"/>
  <c r="T136" i="15"/>
  <c r="EY137" i="3"/>
  <c r="FA137" i="3"/>
  <c r="FD137" i="3"/>
  <c r="FG137" i="3"/>
  <c r="U136" i="15"/>
  <c r="FV137" i="3"/>
  <c r="FY137" i="3"/>
  <c r="V136" i="15"/>
  <c r="FZ137" i="3"/>
  <c r="W136" i="15"/>
  <c r="GA137" i="3"/>
  <c r="X136" i="15"/>
  <c r="GB137" i="3"/>
  <c r="Y136" i="15"/>
  <c r="GC137" i="3"/>
  <c r="Z136" i="15"/>
  <c r="GD137" i="3"/>
  <c r="AA136" i="15"/>
  <c r="GE137" i="3"/>
  <c r="AB136" i="15"/>
  <c r="GF137" i="3"/>
  <c r="AC136" i="15"/>
  <c r="V138" i="3" a="1"/>
  <c r="V138" i="3"/>
  <c r="AS138" i="3"/>
  <c r="B137" i="15"/>
  <c r="P138" i="3" a="1"/>
  <c r="P138" i="3"/>
  <c r="S138" i="3"/>
  <c r="AU138" i="3"/>
  <c r="AW138" i="3"/>
  <c r="AZ138" i="3"/>
  <c r="BA138" i="3"/>
  <c r="D137" i="15"/>
  <c r="AV138" i="3"/>
  <c r="BD138" i="3"/>
  <c r="BF138" i="3"/>
  <c r="BG138" i="3"/>
  <c r="E137" i="15"/>
  <c r="BQ138" i="3"/>
  <c r="BR138" i="3"/>
  <c r="BS138" i="3"/>
  <c r="BN138" i="3"/>
  <c r="BU138" i="3"/>
  <c r="BV138" i="3"/>
  <c r="BY138" i="3"/>
  <c r="CA138" i="3"/>
  <c r="F137" i="15"/>
  <c r="CB138" i="3"/>
  <c r="CD138" i="3"/>
  <c r="CG138" i="3"/>
  <c r="CN138" i="3"/>
  <c r="G137" i="15"/>
  <c r="CO138" i="3"/>
  <c r="CQ138" i="3"/>
  <c r="CT138" i="3"/>
  <c r="DA138" i="3"/>
  <c r="H137" i="15"/>
  <c r="DB138" i="3"/>
  <c r="DC138" i="3"/>
  <c r="DE138" i="3"/>
  <c r="DF138" i="3"/>
  <c r="DL138" i="3"/>
  <c r="I137" i="15"/>
  <c r="DM138" i="3"/>
  <c r="DN138" i="3"/>
  <c r="DP138" i="3"/>
  <c r="DQ138" i="3"/>
  <c r="DW138" i="3"/>
  <c r="J137" i="15"/>
  <c r="DX138" i="3"/>
  <c r="DZ138" i="3"/>
  <c r="EC138" i="3"/>
  <c r="EJ138" i="3"/>
  <c r="K137" i="15"/>
  <c r="EK138" i="3"/>
  <c r="EM138" i="3"/>
  <c r="EP138" i="3"/>
  <c r="EW138" i="3"/>
  <c r="L137" i="15"/>
  <c r="EX138" i="3"/>
  <c r="EZ138" i="3"/>
  <c r="FC138" i="3"/>
  <c r="FJ138" i="3"/>
  <c r="M137" i="15"/>
  <c r="FK138" i="3"/>
  <c r="FL138" i="3"/>
  <c r="FN138" i="3"/>
  <c r="FO138" i="3"/>
  <c r="FR138" i="3"/>
  <c r="FT138" i="3"/>
  <c r="N137" i="15"/>
  <c r="C137" i="15"/>
  <c r="O137" i="15"/>
  <c r="P137" i="15"/>
  <c r="BP138" i="3"/>
  <c r="CC138" i="3"/>
  <c r="CE138" i="3"/>
  <c r="CH138" i="3"/>
  <c r="CK138" i="3"/>
  <c r="Q137" i="15"/>
  <c r="CP138" i="3"/>
  <c r="CR138" i="3"/>
  <c r="CU138" i="3"/>
  <c r="CX138" i="3"/>
  <c r="R137" i="15"/>
  <c r="DY138" i="3"/>
  <c r="EA138" i="3"/>
  <c r="ED138" i="3"/>
  <c r="EG138" i="3"/>
  <c r="S137" i="15"/>
  <c r="EL138" i="3"/>
  <c r="EN138" i="3"/>
  <c r="EQ138" i="3"/>
  <c r="ET138" i="3"/>
  <c r="T137" i="15"/>
  <c r="EY138" i="3"/>
  <c r="FA138" i="3"/>
  <c r="FD138" i="3"/>
  <c r="FG138" i="3"/>
  <c r="U137" i="15"/>
  <c r="FV138" i="3"/>
  <c r="FY138" i="3"/>
  <c r="V137" i="15"/>
  <c r="FZ138" i="3"/>
  <c r="W137" i="15"/>
  <c r="GA138" i="3"/>
  <c r="X137" i="15"/>
  <c r="GB138" i="3"/>
  <c r="Y137" i="15"/>
  <c r="GC138" i="3"/>
  <c r="Z137" i="15"/>
  <c r="GD138" i="3"/>
  <c r="AA137" i="15"/>
  <c r="GE138" i="3"/>
  <c r="AB137" i="15"/>
  <c r="GF138" i="3"/>
  <c r="AC137" i="15"/>
  <c r="V139" i="3" a="1"/>
  <c r="V139" i="3"/>
  <c r="AS139" i="3"/>
  <c r="B138" i="15"/>
  <c r="P139" i="3" a="1"/>
  <c r="P139" i="3"/>
  <c r="S139" i="3"/>
  <c r="AU139" i="3"/>
  <c r="AW139" i="3"/>
  <c r="AZ139" i="3"/>
  <c r="BA139" i="3"/>
  <c r="D138" i="15"/>
  <c r="AV139" i="3"/>
  <c r="BD139" i="3"/>
  <c r="BF139" i="3"/>
  <c r="BG139" i="3"/>
  <c r="E138" i="15"/>
  <c r="BQ139" i="3"/>
  <c r="BR139" i="3"/>
  <c r="BS139" i="3"/>
  <c r="BN139" i="3"/>
  <c r="BU139" i="3"/>
  <c r="BV139" i="3"/>
  <c r="BY139" i="3"/>
  <c r="CA139" i="3"/>
  <c r="F138" i="15"/>
  <c r="CB139" i="3"/>
  <c r="CD139" i="3"/>
  <c r="CG139" i="3"/>
  <c r="CN139" i="3"/>
  <c r="G138" i="15"/>
  <c r="CO139" i="3"/>
  <c r="CQ139" i="3"/>
  <c r="CT139" i="3"/>
  <c r="DA139" i="3"/>
  <c r="H138" i="15"/>
  <c r="DB139" i="3"/>
  <c r="DC139" i="3"/>
  <c r="DE139" i="3"/>
  <c r="DF139" i="3"/>
  <c r="DL139" i="3"/>
  <c r="I138" i="15"/>
  <c r="DM139" i="3"/>
  <c r="DN139" i="3"/>
  <c r="DP139" i="3"/>
  <c r="DQ139" i="3"/>
  <c r="DW139" i="3"/>
  <c r="J138" i="15"/>
  <c r="DX139" i="3"/>
  <c r="DZ139" i="3"/>
  <c r="EC139" i="3"/>
  <c r="EJ139" i="3"/>
  <c r="K138" i="15"/>
  <c r="EK139" i="3"/>
  <c r="EM139" i="3"/>
  <c r="EP139" i="3"/>
  <c r="EW139" i="3"/>
  <c r="L138" i="15"/>
  <c r="EX139" i="3"/>
  <c r="EZ139" i="3"/>
  <c r="FC139" i="3"/>
  <c r="FJ139" i="3"/>
  <c r="M138" i="15"/>
  <c r="FK139" i="3"/>
  <c r="FL139" i="3"/>
  <c r="FN139" i="3"/>
  <c r="FO139" i="3"/>
  <c r="FR139" i="3"/>
  <c r="FT139" i="3"/>
  <c r="N138" i="15"/>
  <c r="C138" i="15"/>
  <c r="O138" i="15"/>
  <c r="P138" i="15"/>
  <c r="BP139" i="3"/>
  <c r="CC139" i="3"/>
  <c r="CE139" i="3"/>
  <c r="CH139" i="3"/>
  <c r="CK139" i="3"/>
  <c r="Q138" i="15"/>
  <c r="CP139" i="3"/>
  <c r="CR139" i="3"/>
  <c r="CU139" i="3"/>
  <c r="CX139" i="3"/>
  <c r="R138" i="15"/>
  <c r="DY139" i="3"/>
  <c r="EA139" i="3"/>
  <c r="ED139" i="3"/>
  <c r="EG139" i="3"/>
  <c r="S138" i="15"/>
  <c r="EL139" i="3"/>
  <c r="EN139" i="3"/>
  <c r="EQ139" i="3"/>
  <c r="ET139" i="3"/>
  <c r="T138" i="15"/>
  <c r="EY139" i="3"/>
  <c r="FA139" i="3"/>
  <c r="FD139" i="3"/>
  <c r="FG139" i="3"/>
  <c r="U138" i="15"/>
  <c r="FV139" i="3"/>
  <c r="FY139" i="3"/>
  <c r="V138" i="15"/>
  <c r="FZ139" i="3"/>
  <c r="W138" i="15"/>
  <c r="GA139" i="3"/>
  <c r="X138" i="15"/>
  <c r="GB139" i="3"/>
  <c r="Y138" i="15"/>
  <c r="GC139" i="3"/>
  <c r="Z138" i="15"/>
  <c r="GD139" i="3"/>
  <c r="AA138" i="15"/>
  <c r="GE139" i="3"/>
  <c r="AB138" i="15"/>
  <c r="GF139" i="3"/>
  <c r="AC138" i="15"/>
  <c r="V140" i="3" a="1"/>
  <c r="V140" i="3"/>
  <c r="AS140" i="3"/>
  <c r="B139" i="15"/>
  <c r="P140" i="3" a="1"/>
  <c r="P140" i="3"/>
  <c r="S140" i="3"/>
  <c r="AU140" i="3"/>
  <c r="AW140" i="3"/>
  <c r="AZ140" i="3"/>
  <c r="BA140" i="3"/>
  <c r="D139" i="15"/>
  <c r="AV140" i="3"/>
  <c r="BD140" i="3"/>
  <c r="BF140" i="3"/>
  <c r="BG140" i="3"/>
  <c r="E139" i="15"/>
  <c r="BQ140" i="3"/>
  <c r="BR140" i="3"/>
  <c r="BS140" i="3"/>
  <c r="BN140" i="3"/>
  <c r="BU140" i="3"/>
  <c r="BV140" i="3"/>
  <c r="BY140" i="3"/>
  <c r="CA140" i="3"/>
  <c r="F139" i="15"/>
  <c r="CB140" i="3"/>
  <c r="CD140" i="3"/>
  <c r="CG140" i="3"/>
  <c r="CN140" i="3"/>
  <c r="G139" i="15"/>
  <c r="CO140" i="3"/>
  <c r="CQ140" i="3"/>
  <c r="CT140" i="3"/>
  <c r="DA140" i="3"/>
  <c r="H139" i="15"/>
  <c r="DB140" i="3"/>
  <c r="DC140" i="3"/>
  <c r="DE140" i="3"/>
  <c r="DF140" i="3"/>
  <c r="DL140" i="3"/>
  <c r="I139" i="15"/>
  <c r="DM140" i="3"/>
  <c r="DN140" i="3"/>
  <c r="DP140" i="3"/>
  <c r="DQ140" i="3"/>
  <c r="DW140" i="3"/>
  <c r="J139" i="15"/>
  <c r="DX140" i="3"/>
  <c r="DZ140" i="3"/>
  <c r="EC140" i="3"/>
  <c r="EJ140" i="3"/>
  <c r="K139" i="15"/>
  <c r="EK140" i="3"/>
  <c r="EM140" i="3"/>
  <c r="EP140" i="3"/>
  <c r="EW140" i="3"/>
  <c r="L139" i="15"/>
  <c r="EX140" i="3"/>
  <c r="EZ140" i="3"/>
  <c r="FC140" i="3"/>
  <c r="FJ140" i="3"/>
  <c r="M139" i="15"/>
  <c r="FK140" i="3"/>
  <c r="FL140" i="3"/>
  <c r="FN140" i="3"/>
  <c r="FO140" i="3"/>
  <c r="FR140" i="3"/>
  <c r="FT140" i="3"/>
  <c r="N139" i="15"/>
  <c r="C139" i="15"/>
  <c r="O139" i="15"/>
  <c r="P139" i="15"/>
  <c r="BP140" i="3"/>
  <c r="CC140" i="3"/>
  <c r="CE140" i="3"/>
  <c r="CH140" i="3"/>
  <c r="CK140" i="3"/>
  <c r="Q139" i="15"/>
  <c r="CP140" i="3"/>
  <c r="CR140" i="3"/>
  <c r="CU140" i="3"/>
  <c r="CX140" i="3"/>
  <c r="R139" i="15"/>
  <c r="DY140" i="3"/>
  <c r="EA140" i="3"/>
  <c r="ED140" i="3"/>
  <c r="EG140" i="3"/>
  <c r="S139" i="15"/>
  <c r="EL140" i="3"/>
  <c r="EN140" i="3"/>
  <c r="EQ140" i="3"/>
  <c r="ET140" i="3"/>
  <c r="T139" i="15"/>
  <c r="EY140" i="3"/>
  <c r="FA140" i="3"/>
  <c r="FD140" i="3"/>
  <c r="FG140" i="3"/>
  <c r="U139" i="15"/>
  <c r="FV140" i="3"/>
  <c r="FY140" i="3"/>
  <c r="V139" i="15"/>
  <c r="FZ140" i="3"/>
  <c r="W139" i="15"/>
  <c r="GA140" i="3"/>
  <c r="X139" i="15"/>
  <c r="GB140" i="3"/>
  <c r="Y139" i="15"/>
  <c r="GC140" i="3"/>
  <c r="Z139" i="15"/>
  <c r="GD140" i="3"/>
  <c r="AA139" i="15"/>
  <c r="GE140" i="3"/>
  <c r="AB139" i="15"/>
  <c r="GF140" i="3"/>
  <c r="AC139" i="15"/>
  <c r="V141" i="3" a="1"/>
  <c r="V141" i="3"/>
  <c r="AS141" i="3"/>
  <c r="B140" i="15"/>
  <c r="P141" i="3" a="1"/>
  <c r="P141" i="3"/>
  <c r="S141" i="3"/>
  <c r="AU141" i="3"/>
  <c r="AW141" i="3"/>
  <c r="AZ141" i="3"/>
  <c r="BA141" i="3"/>
  <c r="D140" i="15"/>
  <c r="AV141" i="3"/>
  <c r="BD141" i="3"/>
  <c r="BF141" i="3"/>
  <c r="BG141" i="3"/>
  <c r="E140" i="15"/>
  <c r="BQ141" i="3"/>
  <c r="BR141" i="3"/>
  <c r="BS141" i="3"/>
  <c r="BV141" i="3"/>
  <c r="BY141" i="3"/>
  <c r="CA141" i="3"/>
  <c r="F140" i="15"/>
  <c r="CB141" i="3"/>
  <c r="CD141" i="3"/>
  <c r="CN141" i="3"/>
  <c r="G140" i="15"/>
  <c r="CO141" i="3"/>
  <c r="CQ141" i="3"/>
  <c r="DA141" i="3"/>
  <c r="H140" i="15"/>
  <c r="DB141" i="3"/>
  <c r="DC141" i="3"/>
  <c r="DF141" i="3"/>
  <c r="DL141" i="3"/>
  <c r="I140" i="15"/>
  <c r="DM141" i="3"/>
  <c r="DN141" i="3"/>
  <c r="DQ141" i="3"/>
  <c r="DW141" i="3"/>
  <c r="J140" i="15"/>
  <c r="DX141" i="3"/>
  <c r="DZ141" i="3"/>
  <c r="EJ141" i="3"/>
  <c r="K140" i="15"/>
  <c r="EK141" i="3"/>
  <c r="EM141" i="3"/>
  <c r="EW141" i="3"/>
  <c r="L140" i="15"/>
  <c r="EX141" i="3"/>
  <c r="EZ141" i="3"/>
  <c r="FJ141" i="3"/>
  <c r="M140" i="15"/>
  <c r="FK141" i="3"/>
  <c r="FL141" i="3"/>
  <c r="FO141" i="3"/>
  <c r="FR141" i="3"/>
  <c r="FT141" i="3"/>
  <c r="N140" i="15"/>
  <c r="C140" i="15"/>
  <c r="O140" i="15"/>
  <c r="P140" i="15"/>
  <c r="BP141" i="3"/>
  <c r="CC141" i="3"/>
  <c r="CE141" i="3"/>
  <c r="CH141" i="3"/>
  <c r="CK141" i="3"/>
  <c r="Q140" i="15"/>
  <c r="CP141" i="3"/>
  <c r="CR141" i="3"/>
  <c r="CU141" i="3"/>
  <c r="CX141" i="3"/>
  <c r="R140" i="15"/>
  <c r="DY141" i="3"/>
  <c r="EA141" i="3"/>
  <c r="ED141" i="3"/>
  <c r="EG141" i="3"/>
  <c r="S140" i="15"/>
  <c r="EL141" i="3"/>
  <c r="EN141" i="3"/>
  <c r="EQ141" i="3"/>
  <c r="ET141" i="3"/>
  <c r="T140" i="15"/>
  <c r="EY141" i="3"/>
  <c r="FA141" i="3"/>
  <c r="FD141" i="3"/>
  <c r="FG141" i="3"/>
  <c r="U140" i="15"/>
  <c r="FV141" i="3"/>
  <c r="FY141" i="3"/>
  <c r="V140" i="15"/>
  <c r="FZ141" i="3"/>
  <c r="W140" i="15"/>
  <c r="GA141" i="3"/>
  <c r="X140" i="15"/>
  <c r="GB141" i="3"/>
  <c r="Y140" i="15"/>
  <c r="GC141" i="3"/>
  <c r="Z140" i="15"/>
  <c r="GD141" i="3"/>
  <c r="AA140" i="15"/>
  <c r="GE141" i="3"/>
  <c r="AB140" i="15"/>
  <c r="GF141" i="3"/>
  <c r="AC140" i="15"/>
  <c r="V142" i="3" a="1"/>
  <c r="V142" i="3"/>
  <c r="AS142" i="3"/>
  <c r="B141" i="15"/>
  <c r="P142" i="3" a="1"/>
  <c r="P142" i="3"/>
  <c r="S142" i="3"/>
  <c r="AU142" i="3"/>
  <c r="AW142" i="3"/>
  <c r="AZ142" i="3"/>
  <c r="BA142" i="3"/>
  <c r="D141" i="15"/>
  <c r="AV142" i="3"/>
  <c r="BD142" i="3"/>
  <c r="BF142" i="3"/>
  <c r="BG142" i="3"/>
  <c r="E141" i="15"/>
  <c r="BQ142" i="3"/>
  <c r="BR142" i="3"/>
  <c r="BS142" i="3"/>
  <c r="BV142" i="3"/>
  <c r="BY142" i="3"/>
  <c r="CA142" i="3"/>
  <c r="F141" i="15"/>
  <c r="CB142" i="3"/>
  <c r="CD142" i="3"/>
  <c r="CN142" i="3"/>
  <c r="G141" i="15"/>
  <c r="CO142" i="3"/>
  <c r="CQ142" i="3"/>
  <c r="DA142" i="3"/>
  <c r="H141" i="15"/>
  <c r="DB142" i="3"/>
  <c r="DC142" i="3"/>
  <c r="DF142" i="3"/>
  <c r="DL142" i="3"/>
  <c r="I141" i="15"/>
  <c r="DM142" i="3"/>
  <c r="DN142" i="3"/>
  <c r="DQ142" i="3"/>
  <c r="DW142" i="3"/>
  <c r="J141" i="15"/>
  <c r="DX142" i="3"/>
  <c r="DZ142" i="3"/>
  <c r="EJ142" i="3"/>
  <c r="K141" i="15"/>
  <c r="EK142" i="3"/>
  <c r="EM142" i="3"/>
  <c r="EW142" i="3"/>
  <c r="L141" i="15"/>
  <c r="EX142" i="3"/>
  <c r="EZ142" i="3"/>
  <c r="FJ142" i="3"/>
  <c r="M141" i="15"/>
  <c r="FK142" i="3"/>
  <c r="FL142" i="3"/>
  <c r="FO142" i="3"/>
  <c r="FR142" i="3"/>
  <c r="FT142" i="3"/>
  <c r="N141" i="15"/>
  <c r="C141" i="15"/>
  <c r="O141" i="15"/>
  <c r="P141" i="15"/>
  <c r="BP142" i="3"/>
  <c r="CC142" i="3"/>
  <c r="CE142" i="3"/>
  <c r="CH142" i="3"/>
  <c r="CK142" i="3"/>
  <c r="Q141" i="15"/>
  <c r="CP142" i="3"/>
  <c r="CR142" i="3"/>
  <c r="CU142" i="3"/>
  <c r="CX142" i="3"/>
  <c r="R141" i="15"/>
  <c r="DY142" i="3"/>
  <c r="EA142" i="3"/>
  <c r="ED142" i="3"/>
  <c r="EG142" i="3"/>
  <c r="S141" i="15"/>
  <c r="EL142" i="3"/>
  <c r="EN142" i="3"/>
  <c r="EQ142" i="3"/>
  <c r="ET142" i="3"/>
  <c r="T141" i="15"/>
  <c r="EY142" i="3"/>
  <c r="FA142" i="3"/>
  <c r="FD142" i="3"/>
  <c r="FG142" i="3"/>
  <c r="U141" i="15"/>
  <c r="FV142" i="3"/>
  <c r="FY142" i="3"/>
  <c r="V141" i="15"/>
  <c r="FZ142" i="3"/>
  <c r="W141" i="15"/>
  <c r="GA142" i="3"/>
  <c r="X141" i="15"/>
  <c r="GB142" i="3"/>
  <c r="Y141" i="15"/>
  <c r="GC142" i="3"/>
  <c r="Z141" i="15"/>
  <c r="GD142" i="3"/>
  <c r="AA141" i="15"/>
  <c r="GE142" i="3"/>
  <c r="AB141" i="15"/>
  <c r="GF142" i="3"/>
  <c r="AC141" i="15"/>
  <c r="V143" i="3" a="1"/>
  <c r="V143" i="3"/>
  <c r="AS143" i="3"/>
  <c r="B142" i="15"/>
  <c r="P143" i="3" a="1"/>
  <c r="P143" i="3"/>
  <c r="S143" i="3"/>
  <c r="AU143" i="3"/>
  <c r="AW143" i="3"/>
  <c r="AZ143" i="3"/>
  <c r="BA143" i="3"/>
  <c r="D142" i="15"/>
  <c r="AV143" i="3"/>
  <c r="BD143" i="3"/>
  <c r="BF143" i="3"/>
  <c r="BG143" i="3"/>
  <c r="E142" i="15"/>
  <c r="BQ143" i="3"/>
  <c r="BR143" i="3"/>
  <c r="BS143" i="3"/>
  <c r="BN143" i="3"/>
  <c r="BU143" i="3"/>
  <c r="BV143" i="3"/>
  <c r="BY143" i="3"/>
  <c r="CA143" i="3"/>
  <c r="F142" i="15"/>
  <c r="CB143" i="3"/>
  <c r="CD143" i="3"/>
  <c r="CG143" i="3"/>
  <c r="CN143" i="3"/>
  <c r="G142" i="15"/>
  <c r="CO143" i="3"/>
  <c r="CQ143" i="3"/>
  <c r="CT143" i="3"/>
  <c r="DA143" i="3"/>
  <c r="H142" i="15"/>
  <c r="DB143" i="3"/>
  <c r="DC143" i="3"/>
  <c r="DE143" i="3"/>
  <c r="DF143" i="3"/>
  <c r="DL143" i="3"/>
  <c r="I142" i="15"/>
  <c r="DM143" i="3"/>
  <c r="DN143" i="3"/>
  <c r="DP143" i="3"/>
  <c r="DQ143" i="3"/>
  <c r="DW143" i="3"/>
  <c r="J142" i="15"/>
  <c r="DX143" i="3"/>
  <c r="DZ143" i="3"/>
  <c r="EC143" i="3"/>
  <c r="EJ143" i="3"/>
  <c r="K142" i="15"/>
  <c r="EK143" i="3"/>
  <c r="EM143" i="3"/>
  <c r="EP143" i="3"/>
  <c r="EW143" i="3"/>
  <c r="L142" i="15"/>
  <c r="EX143" i="3"/>
  <c r="EZ143" i="3"/>
  <c r="FC143" i="3"/>
  <c r="FJ143" i="3"/>
  <c r="M142" i="15"/>
  <c r="FK143" i="3"/>
  <c r="FL143" i="3"/>
  <c r="FN143" i="3"/>
  <c r="FO143" i="3"/>
  <c r="FR143" i="3"/>
  <c r="FT143" i="3"/>
  <c r="N142" i="15"/>
  <c r="C142" i="15"/>
  <c r="O142" i="15"/>
  <c r="P142" i="15"/>
  <c r="BP143" i="3"/>
  <c r="CC143" i="3"/>
  <c r="CE143" i="3"/>
  <c r="CH143" i="3"/>
  <c r="CK143" i="3"/>
  <c r="Q142" i="15"/>
  <c r="CP143" i="3"/>
  <c r="CR143" i="3"/>
  <c r="CU143" i="3"/>
  <c r="CX143" i="3"/>
  <c r="R142" i="15"/>
  <c r="DY143" i="3"/>
  <c r="EA143" i="3"/>
  <c r="ED143" i="3"/>
  <c r="EG143" i="3"/>
  <c r="S142" i="15"/>
  <c r="EL143" i="3"/>
  <c r="EN143" i="3"/>
  <c r="EQ143" i="3"/>
  <c r="ET143" i="3"/>
  <c r="T142" i="15"/>
  <c r="EY143" i="3"/>
  <c r="FA143" i="3"/>
  <c r="FD143" i="3"/>
  <c r="FG143" i="3"/>
  <c r="U142" i="15"/>
  <c r="FV143" i="3"/>
  <c r="FY143" i="3"/>
  <c r="V142" i="15"/>
  <c r="FZ143" i="3"/>
  <c r="W142" i="15"/>
  <c r="GA143" i="3"/>
  <c r="X142" i="15"/>
  <c r="GB143" i="3"/>
  <c r="Y142" i="15"/>
  <c r="GC143" i="3"/>
  <c r="Z142" i="15"/>
  <c r="GD143" i="3"/>
  <c r="AA142" i="15"/>
  <c r="GE143" i="3"/>
  <c r="AB142" i="15"/>
  <c r="GF143" i="3"/>
  <c r="AC142" i="15"/>
  <c r="V144" i="3" a="1"/>
  <c r="V144" i="3"/>
  <c r="AS144" i="3"/>
  <c r="B143" i="15"/>
  <c r="P144" i="3" a="1"/>
  <c r="P144" i="3"/>
  <c r="S144" i="3"/>
  <c r="AU144" i="3"/>
  <c r="AW144" i="3"/>
  <c r="AZ144" i="3"/>
  <c r="BA144" i="3"/>
  <c r="D143" i="15"/>
  <c r="AV144" i="3"/>
  <c r="BD144" i="3"/>
  <c r="BF144" i="3"/>
  <c r="BG144" i="3"/>
  <c r="E143" i="15"/>
  <c r="BQ144" i="3"/>
  <c r="BR144" i="3"/>
  <c r="BS144" i="3"/>
  <c r="BN144" i="3"/>
  <c r="BU144" i="3"/>
  <c r="BV144" i="3"/>
  <c r="BY144" i="3"/>
  <c r="CA144" i="3"/>
  <c r="F143" i="15"/>
  <c r="CB144" i="3"/>
  <c r="CD144" i="3"/>
  <c r="CG144" i="3"/>
  <c r="CN144" i="3"/>
  <c r="G143" i="15"/>
  <c r="CO144" i="3"/>
  <c r="CQ144" i="3"/>
  <c r="CT144" i="3"/>
  <c r="DA144" i="3"/>
  <c r="H143" i="15"/>
  <c r="DB144" i="3"/>
  <c r="DC144" i="3"/>
  <c r="DE144" i="3"/>
  <c r="DF144" i="3"/>
  <c r="DL144" i="3"/>
  <c r="I143" i="15"/>
  <c r="DM144" i="3"/>
  <c r="DN144" i="3"/>
  <c r="DP144" i="3"/>
  <c r="DQ144" i="3"/>
  <c r="DW144" i="3"/>
  <c r="J143" i="15"/>
  <c r="DX144" i="3"/>
  <c r="DZ144" i="3"/>
  <c r="EC144" i="3"/>
  <c r="EJ144" i="3"/>
  <c r="K143" i="15"/>
  <c r="EK144" i="3"/>
  <c r="EM144" i="3"/>
  <c r="EP144" i="3"/>
  <c r="EW144" i="3"/>
  <c r="L143" i="15"/>
  <c r="EX144" i="3"/>
  <c r="EZ144" i="3"/>
  <c r="FC144" i="3"/>
  <c r="FJ144" i="3"/>
  <c r="M143" i="15"/>
  <c r="FK144" i="3"/>
  <c r="FL144" i="3"/>
  <c r="FN144" i="3"/>
  <c r="FO144" i="3"/>
  <c r="FR144" i="3"/>
  <c r="FT144" i="3"/>
  <c r="N143" i="15"/>
  <c r="C143" i="15"/>
  <c r="O143" i="15"/>
  <c r="P143" i="15"/>
  <c r="BP144" i="3"/>
  <c r="CC144" i="3"/>
  <c r="CE144" i="3"/>
  <c r="CH144" i="3"/>
  <c r="CK144" i="3"/>
  <c r="Q143" i="15"/>
  <c r="CP144" i="3"/>
  <c r="CR144" i="3"/>
  <c r="CU144" i="3"/>
  <c r="CX144" i="3"/>
  <c r="R143" i="15"/>
  <c r="DY144" i="3"/>
  <c r="EA144" i="3"/>
  <c r="ED144" i="3"/>
  <c r="EG144" i="3"/>
  <c r="S143" i="15"/>
  <c r="EL144" i="3"/>
  <c r="EN144" i="3"/>
  <c r="EQ144" i="3"/>
  <c r="ET144" i="3"/>
  <c r="T143" i="15"/>
  <c r="EY144" i="3"/>
  <c r="FA144" i="3"/>
  <c r="FD144" i="3"/>
  <c r="FG144" i="3"/>
  <c r="U143" i="15"/>
  <c r="FV144" i="3"/>
  <c r="FY144" i="3"/>
  <c r="V143" i="15"/>
  <c r="FZ144" i="3"/>
  <c r="W143" i="15"/>
  <c r="GA144" i="3"/>
  <c r="X143" i="15"/>
  <c r="GB144" i="3"/>
  <c r="Y143" i="15"/>
  <c r="GC144" i="3"/>
  <c r="Z143" i="15"/>
  <c r="GD144" i="3"/>
  <c r="AA143" i="15"/>
  <c r="GE144" i="3"/>
  <c r="AB143" i="15"/>
  <c r="GF144" i="3"/>
  <c r="AC143" i="15"/>
  <c r="V145" i="3" a="1"/>
  <c r="V145" i="3"/>
  <c r="AS145" i="3"/>
  <c r="B144" i="15"/>
  <c r="P145" i="3" a="1"/>
  <c r="P145" i="3"/>
  <c r="S145" i="3"/>
  <c r="AU145" i="3"/>
  <c r="AW145" i="3"/>
  <c r="AZ145" i="3"/>
  <c r="BA145" i="3"/>
  <c r="D144" i="15"/>
  <c r="AV145" i="3"/>
  <c r="BD145" i="3"/>
  <c r="BF145" i="3"/>
  <c r="BG145" i="3"/>
  <c r="E144" i="15"/>
  <c r="BQ145" i="3"/>
  <c r="BR145" i="3"/>
  <c r="BS145" i="3"/>
  <c r="BN145" i="3"/>
  <c r="BU145" i="3"/>
  <c r="BV145" i="3"/>
  <c r="BY145" i="3"/>
  <c r="CA145" i="3"/>
  <c r="F144" i="15"/>
  <c r="CB145" i="3"/>
  <c r="CD145" i="3"/>
  <c r="CG145" i="3"/>
  <c r="CN145" i="3"/>
  <c r="G144" i="15"/>
  <c r="CO145" i="3"/>
  <c r="CQ145" i="3"/>
  <c r="CT145" i="3"/>
  <c r="DA145" i="3"/>
  <c r="H144" i="15"/>
  <c r="DB145" i="3"/>
  <c r="DC145" i="3"/>
  <c r="DE145" i="3"/>
  <c r="DF145" i="3"/>
  <c r="DL145" i="3"/>
  <c r="I144" i="15"/>
  <c r="DM145" i="3"/>
  <c r="DN145" i="3"/>
  <c r="DP145" i="3"/>
  <c r="DQ145" i="3"/>
  <c r="DW145" i="3"/>
  <c r="J144" i="15"/>
  <c r="DX145" i="3"/>
  <c r="DZ145" i="3"/>
  <c r="EC145" i="3"/>
  <c r="EJ145" i="3"/>
  <c r="K144" i="15"/>
  <c r="EK145" i="3"/>
  <c r="EM145" i="3"/>
  <c r="EP145" i="3"/>
  <c r="EW145" i="3"/>
  <c r="L144" i="15"/>
  <c r="EX145" i="3"/>
  <c r="EZ145" i="3"/>
  <c r="FC145" i="3"/>
  <c r="FJ145" i="3"/>
  <c r="M144" i="15"/>
  <c r="FK145" i="3"/>
  <c r="FL145" i="3"/>
  <c r="FN145" i="3"/>
  <c r="FO145" i="3"/>
  <c r="FR145" i="3"/>
  <c r="FT145" i="3"/>
  <c r="N144" i="15"/>
  <c r="C144" i="15"/>
  <c r="O144" i="15"/>
  <c r="P144" i="15"/>
  <c r="BP145" i="3"/>
  <c r="CC145" i="3"/>
  <c r="CE145" i="3"/>
  <c r="CH145" i="3"/>
  <c r="CK145" i="3"/>
  <c r="Q144" i="15"/>
  <c r="CP145" i="3"/>
  <c r="CR145" i="3"/>
  <c r="CU145" i="3"/>
  <c r="CX145" i="3"/>
  <c r="R144" i="15"/>
  <c r="DY145" i="3"/>
  <c r="EA145" i="3"/>
  <c r="ED145" i="3"/>
  <c r="EG145" i="3"/>
  <c r="S144" i="15"/>
  <c r="EL145" i="3"/>
  <c r="EN145" i="3"/>
  <c r="EQ145" i="3"/>
  <c r="ET145" i="3"/>
  <c r="T144" i="15"/>
  <c r="EY145" i="3"/>
  <c r="FA145" i="3"/>
  <c r="FD145" i="3"/>
  <c r="FG145" i="3"/>
  <c r="U144" i="15"/>
  <c r="FV145" i="3"/>
  <c r="FY145" i="3"/>
  <c r="V144" i="15"/>
  <c r="FZ145" i="3"/>
  <c r="W144" i="15"/>
  <c r="GA145" i="3"/>
  <c r="X144" i="15"/>
  <c r="GB145" i="3"/>
  <c r="Y144" i="15"/>
  <c r="GC145" i="3"/>
  <c r="Z144" i="15"/>
  <c r="GD145" i="3"/>
  <c r="AA144" i="15"/>
  <c r="GE145" i="3"/>
  <c r="AB144" i="15"/>
  <c r="GF145" i="3"/>
  <c r="AC144" i="15"/>
  <c r="V146" i="3" a="1"/>
  <c r="V146" i="3"/>
  <c r="AS146" i="3"/>
  <c r="B145" i="15"/>
  <c r="P146" i="3" a="1"/>
  <c r="P146" i="3"/>
  <c r="S146" i="3"/>
  <c r="AU146" i="3"/>
  <c r="AW146" i="3"/>
  <c r="AZ146" i="3"/>
  <c r="BA146" i="3"/>
  <c r="D145" i="15"/>
  <c r="AV146" i="3"/>
  <c r="BD146" i="3"/>
  <c r="BF146" i="3"/>
  <c r="BG146" i="3"/>
  <c r="E145" i="15"/>
  <c r="BQ146" i="3"/>
  <c r="BR146" i="3"/>
  <c r="BS146" i="3"/>
  <c r="BN146" i="3"/>
  <c r="BU146" i="3"/>
  <c r="BV146" i="3"/>
  <c r="BY146" i="3"/>
  <c r="CA146" i="3"/>
  <c r="F145" i="15"/>
  <c r="CB146" i="3"/>
  <c r="CD146" i="3"/>
  <c r="CG146" i="3"/>
  <c r="CN146" i="3"/>
  <c r="G145" i="15"/>
  <c r="CO146" i="3"/>
  <c r="CQ146" i="3"/>
  <c r="CT146" i="3"/>
  <c r="DA146" i="3"/>
  <c r="H145" i="15"/>
  <c r="DB146" i="3"/>
  <c r="DC146" i="3"/>
  <c r="DE146" i="3"/>
  <c r="DF146" i="3"/>
  <c r="DL146" i="3"/>
  <c r="I145" i="15"/>
  <c r="DM146" i="3"/>
  <c r="DN146" i="3"/>
  <c r="DP146" i="3"/>
  <c r="DQ146" i="3"/>
  <c r="DW146" i="3"/>
  <c r="J145" i="15"/>
  <c r="DX146" i="3"/>
  <c r="DZ146" i="3"/>
  <c r="EC146" i="3"/>
  <c r="EJ146" i="3"/>
  <c r="K145" i="15"/>
  <c r="EK146" i="3"/>
  <c r="EM146" i="3"/>
  <c r="EP146" i="3"/>
  <c r="EW146" i="3"/>
  <c r="L145" i="15"/>
  <c r="EX146" i="3"/>
  <c r="EZ146" i="3"/>
  <c r="FC146" i="3"/>
  <c r="FJ146" i="3"/>
  <c r="M145" i="15"/>
  <c r="FK146" i="3"/>
  <c r="FL146" i="3"/>
  <c r="FN146" i="3"/>
  <c r="FO146" i="3"/>
  <c r="FR146" i="3"/>
  <c r="FT146" i="3"/>
  <c r="N145" i="15"/>
  <c r="C145" i="15"/>
  <c r="O145" i="15"/>
  <c r="P145" i="15"/>
  <c r="BP146" i="3"/>
  <c r="CC146" i="3"/>
  <c r="CE146" i="3"/>
  <c r="CH146" i="3"/>
  <c r="CK146" i="3"/>
  <c r="Q145" i="15"/>
  <c r="CP146" i="3"/>
  <c r="CR146" i="3"/>
  <c r="CU146" i="3"/>
  <c r="CX146" i="3"/>
  <c r="R145" i="15"/>
  <c r="DY146" i="3"/>
  <c r="EA146" i="3"/>
  <c r="ED146" i="3"/>
  <c r="EG146" i="3"/>
  <c r="S145" i="15"/>
  <c r="EL146" i="3"/>
  <c r="EN146" i="3"/>
  <c r="EQ146" i="3"/>
  <c r="ET146" i="3"/>
  <c r="T145" i="15"/>
  <c r="EY146" i="3"/>
  <c r="FA146" i="3"/>
  <c r="FD146" i="3"/>
  <c r="FG146" i="3"/>
  <c r="U145" i="15"/>
  <c r="FV146" i="3"/>
  <c r="FY146" i="3"/>
  <c r="V145" i="15"/>
  <c r="FZ146" i="3"/>
  <c r="W145" i="15"/>
  <c r="GA146" i="3"/>
  <c r="X145" i="15"/>
  <c r="GB146" i="3"/>
  <c r="Y145" i="15"/>
  <c r="GC146" i="3"/>
  <c r="Z145" i="15"/>
  <c r="GD146" i="3"/>
  <c r="AA145" i="15"/>
  <c r="GE146" i="3"/>
  <c r="AB145" i="15"/>
  <c r="GF146" i="3"/>
  <c r="AC145" i="15"/>
  <c r="V147" i="3" a="1"/>
  <c r="V147" i="3"/>
  <c r="AS147" i="3"/>
  <c r="B146" i="15"/>
  <c r="P147" i="3" a="1"/>
  <c r="P147" i="3"/>
  <c r="S147" i="3"/>
  <c r="AU147" i="3"/>
  <c r="AW147" i="3"/>
  <c r="AZ147" i="3"/>
  <c r="BA147" i="3"/>
  <c r="D146" i="15"/>
  <c r="AV147" i="3"/>
  <c r="BD147" i="3"/>
  <c r="BF147" i="3"/>
  <c r="BG147" i="3"/>
  <c r="E146" i="15"/>
  <c r="BQ147" i="3"/>
  <c r="BR147" i="3"/>
  <c r="BS147" i="3"/>
  <c r="BN147" i="3"/>
  <c r="BU147" i="3"/>
  <c r="BV147" i="3"/>
  <c r="BY147" i="3"/>
  <c r="CA147" i="3"/>
  <c r="F146" i="15"/>
  <c r="CB147" i="3"/>
  <c r="CD147" i="3"/>
  <c r="CG147" i="3"/>
  <c r="CN147" i="3"/>
  <c r="G146" i="15"/>
  <c r="CO147" i="3"/>
  <c r="CQ147" i="3"/>
  <c r="CT147" i="3"/>
  <c r="DA147" i="3"/>
  <c r="H146" i="15"/>
  <c r="DB147" i="3"/>
  <c r="DC147" i="3"/>
  <c r="DE147" i="3"/>
  <c r="DF147" i="3"/>
  <c r="DL147" i="3"/>
  <c r="I146" i="15"/>
  <c r="DM147" i="3"/>
  <c r="DN147" i="3"/>
  <c r="DP147" i="3"/>
  <c r="DQ147" i="3"/>
  <c r="DW147" i="3"/>
  <c r="J146" i="15"/>
  <c r="DX147" i="3"/>
  <c r="DZ147" i="3"/>
  <c r="EC147" i="3"/>
  <c r="EJ147" i="3"/>
  <c r="K146" i="15"/>
  <c r="EK147" i="3"/>
  <c r="EM147" i="3"/>
  <c r="EP147" i="3"/>
  <c r="EW147" i="3"/>
  <c r="L146" i="15"/>
  <c r="EX147" i="3"/>
  <c r="EZ147" i="3"/>
  <c r="FC147" i="3"/>
  <c r="FJ147" i="3"/>
  <c r="M146" i="15"/>
  <c r="FK147" i="3"/>
  <c r="FL147" i="3"/>
  <c r="FN147" i="3"/>
  <c r="FO147" i="3"/>
  <c r="FR147" i="3"/>
  <c r="FT147" i="3"/>
  <c r="N146" i="15"/>
  <c r="C146" i="15"/>
  <c r="O146" i="15"/>
  <c r="P146" i="15"/>
  <c r="BP147" i="3"/>
  <c r="CC147" i="3"/>
  <c r="CE147" i="3"/>
  <c r="CH147" i="3"/>
  <c r="CK147" i="3"/>
  <c r="Q146" i="15"/>
  <c r="CP147" i="3"/>
  <c r="CR147" i="3"/>
  <c r="CU147" i="3"/>
  <c r="CX147" i="3"/>
  <c r="R146" i="15"/>
  <c r="DY147" i="3"/>
  <c r="EA147" i="3"/>
  <c r="ED147" i="3"/>
  <c r="EG147" i="3"/>
  <c r="S146" i="15"/>
  <c r="EL147" i="3"/>
  <c r="EN147" i="3"/>
  <c r="EQ147" i="3"/>
  <c r="ET147" i="3"/>
  <c r="T146" i="15"/>
  <c r="EY147" i="3"/>
  <c r="FA147" i="3"/>
  <c r="FD147" i="3"/>
  <c r="FG147" i="3"/>
  <c r="U146" i="15"/>
  <c r="FV147" i="3"/>
  <c r="FY147" i="3"/>
  <c r="V146" i="15"/>
  <c r="FZ147" i="3"/>
  <c r="W146" i="15"/>
  <c r="GA147" i="3"/>
  <c r="X146" i="15"/>
  <c r="GB147" i="3"/>
  <c r="Y146" i="15"/>
  <c r="GC147" i="3"/>
  <c r="Z146" i="15"/>
  <c r="GD147" i="3"/>
  <c r="AA146" i="15"/>
  <c r="GE147" i="3"/>
  <c r="AB146" i="15"/>
  <c r="GF147" i="3"/>
  <c r="AC146" i="15"/>
  <c r="V148" i="3" a="1"/>
  <c r="V148" i="3"/>
  <c r="AS148" i="3"/>
  <c r="B147" i="15"/>
  <c r="P148" i="3" a="1"/>
  <c r="P148" i="3"/>
  <c r="S148" i="3"/>
  <c r="AU148" i="3"/>
  <c r="AW148" i="3"/>
  <c r="AZ148" i="3"/>
  <c r="BA148" i="3"/>
  <c r="D147" i="15"/>
  <c r="AV148" i="3"/>
  <c r="BD148" i="3"/>
  <c r="BF148" i="3"/>
  <c r="BG148" i="3"/>
  <c r="E147" i="15"/>
  <c r="BQ148" i="3"/>
  <c r="BR148" i="3"/>
  <c r="BS148" i="3"/>
  <c r="BV148" i="3"/>
  <c r="BY148" i="3"/>
  <c r="CA148" i="3"/>
  <c r="F147" i="15"/>
  <c r="CB148" i="3"/>
  <c r="CD148" i="3"/>
  <c r="CN148" i="3"/>
  <c r="G147" i="15"/>
  <c r="CO148" i="3"/>
  <c r="CQ148" i="3"/>
  <c r="DA148" i="3"/>
  <c r="H147" i="15"/>
  <c r="DB148" i="3"/>
  <c r="DC148" i="3"/>
  <c r="DF148" i="3"/>
  <c r="DL148" i="3"/>
  <c r="I147" i="15"/>
  <c r="DM148" i="3"/>
  <c r="DN148" i="3"/>
  <c r="DQ148" i="3"/>
  <c r="DW148" i="3"/>
  <c r="J147" i="15"/>
  <c r="DX148" i="3"/>
  <c r="DZ148" i="3"/>
  <c r="EJ148" i="3"/>
  <c r="K147" i="15"/>
  <c r="EK148" i="3"/>
  <c r="EM148" i="3"/>
  <c r="EW148" i="3"/>
  <c r="L147" i="15"/>
  <c r="EX148" i="3"/>
  <c r="EZ148" i="3"/>
  <c r="FJ148" i="3"/>
  <c r="M147" i="15"/>
  <c r="FK148" i="3"/>
  <c r="FL148" i="3"/>
  <c r="FO148" i="3"/>
  <c r="FR148" i="3"/>
  <c r="FT148" i="3"/>
  <c r="N147" i="15"/>
  <c r="C147" i="15"/>
  <c r="O147" i="15"/>
  <c r="P147" i="15"/>
  <c r="BP148" i="3"/>
  <c r="CC148" i="3"/>
  <c r="CE148" i="3"/>
  <c r="CH148" i="3"/>
  <c r="CK148" i="3"/>
  <c r="Q147" i="15"/>
  <c r="CP148" i="3"/>
  <c r="CR148" i="3"/>
  <c r="CU148" i="3"/>
  <c r="CX148" i="3"/>
  <c r="R147" i="15"/>
  <c r="DY148" i="3"/>
  <c r="EA148" i="3"/>
  <c r="ED148" i="3"/>
  <c r="EG148" i="3"/>
  <c r="S147" i="15"/>
  <c r="EL148" i="3"/>
  <c r="EN148" i="3"/>
  <c r="EQ148" i="3"/>
  <c r="ET148" i="3"/>
  <c r="T147" i="15"/>
  <c r="EY148" i="3"/>
  <c r="FA148" i="3"/>
  <c r="FD148" i="3"/>
  <c r="FG148" i="3"/>
  <c r="U147" i="15"/>
  <c r="FV148" i="3"/>
  <c r="FY148" i="3"/>
  <c r="V147" i="15"/>
  <c r="FZ148" i="3"/>
  <c r="W147" i="15"/>
  <c r="GA148" i="3"/>
  <c r="X147" i="15"/>
  <c r="GB148" i="3"/>
  <c r="Y147" i="15"/>
  <c r="GC148" i="3"/>
  <c r="Z147" i="15"/>
  <c r="GD148" i="3"/>
  <c r="AA147" i="15"/>
  <c r="GE148" i="3"/>
  <c r="AB147" i="15"/>
  <c r="GF148" i="3"/>
  <c r="AC147" i="15"/>
  <c r="V149" i="3" a="1"/>
  <c r="V149" i="3"/>
  <c r="AS149" i="3"/>
  <c r="B148" i="15"/>
  <c r="P149" i="3" a="1"/>
  <c r="P149" i="3"/>
  <c r="S149" i="3"/>
  <c r="AU149" i="3"/>
  <c r="AW149" i="3"/>
  <c r="AZ149" i="3"/>
  <c r="BA149" i="3"/>
  <c r="D148" i="15"/>
  <c r="AV149" i="3"/>
  <c r="BD149" i="3"/>
  <c r="BF149" i="3"/>
  <c r="BG149" i="3"/>
  <c r="E148" i="15"/>
  <c r="BQ149" i="3"/>
  <c r="BR149" i="3"/>
  <c r="BS149" i="3"/>
  <c r="BN149" i="3"/>
  <c r="BU149" i="3"/>
  <c r="BV149" i="3"/>
  <c r="BY149" i="3"/>
  <c r="CA149" i="3"/>
  <c r="F148" i="15"/>
  <c r="CB149" i="3"/>
  <c r="CD149" i="3"/>
  <c r="CG149" i="3"/>
  <c r="CN149" i="3"/>
  <c r="G148" i="15"/>
  <c r="CO149" i="3"/>
  <c r="CQ149" i="3"/>
  <c r="CT149" i="3"/>
  <c r="DA149" i="3"/>
  <c r="H148" i="15"/>
  <c r="DB149" i="3"/>
  <c r="DC149" i="3"/>
  <c r="DE149" i="3"/>
  <c r="DF149" i="3"/>
  <c r="DL149" i="3"/>
  <c r="I148" i="15"/>
  <c r="DM149" i="3"/>
  <c r="DN149" i="3"/>
  <c r="DP149" i="3"/>
  <c r="DQ149" i="3"/>
  <c r="DW149" i="3"/>
  <c r="J148" i="15"/>
  <c r="DX149" i="3"/>
  <c r="DZ149" i="3"/>
  <c r="EC149" i="3"/>
  <c r="EJ149" i="3"/>
  <c r="K148" i="15"/>
  <c r="EK149" i="3"/>
  <c r="EM149" i="3"/>
  <c r="EP149" i="3"/>
  <c r="EW149" i="3"/>
  <c r="L148" i="15"/>
  <c r="EX149" i="3"/>
  <c r="EZ149" i="3"/>
  <c r="FC149" i="3"/>
  <c r="FJ149" i="3"/>
  <c r="M148" i="15"/>
  <c r="FK149" i="3"/>
  <c r="FL149" i="3"/>
  <c r="FN149" i="3"/>
  <c r="FO149" i="3"/>
  <c r="FR149" i="3"/>
  <c r="FT149" i="3"/>
  <c r="N148" i="15"/>
  <c r="C148" i="15"/>
  <c r="O148" i="15"/>
  <c r="P148" i="15"/>
  <c r="BP149" i="3"/>
  <c r="CC149" i="3"/>
  <c r="CE149" i="3"/>
  <c r="CH149" i="3"/>
  <c r="CK149" i="3"/>
  <c r="Q148" i="15"/>
  <c r="CP149" i="3"/>
  <c r="CR149" i="3"/>
  <c r="CU149" i="3"/>
  <c r="CX149" i="3"/>
  <c r="R148" i="15"/>
  <c r="DY149" i="3"/>
  <c r="EA149" i="3"/>
  <c r="ED149" i="3"/>
  <c r="EG149" i="3"/>
  <c r="S148" i="15"/>
  <c r="EL149" i="3"/>
  <c r="EN149" i="3"/>
  <c r="EQ149" i="3"/>
  <c r="ET149" i="3"/>
  <c r="T148" i="15"/>
  <c r="EY149" i="3"/>
  <c r="FA149" i="3"/>
  <c r="FD149" i="3"/>
  <c r="FG149" i="3"/>
  <c r="U148" i="15"/>
  <c r="FV149" i="3"/>
  <c r="FY149" i="3"/>
  <c r="V148" i="15"/>
  <c r="FZ149" i="3"/>
  <c r="W148" i="15"/>
  <c r="GA149" i="3"/>
  <c r="X148" i="15"/>
  <c r="GB149" i="3"/>
  <c r="Y148" i="15"/>
  <c r="GC149" i="3"/>
  <c r="Z148" i="15"/>
  <c r="GD149" i="3"/>
  <c r="AA148" i="15"/>
  <c r="GE149" i="3"/>
  <c r="AB148" i="15"/>
  <c r="GF149" i="3"/>
  <c r="AC148" i="15"/>
  <c r="V150" i="3" a="1"/>
  <c r="V150" i="3"/>
  <c r="AS150" i="3"/>
  <c r="B149" i="15"/>
  <c r="P150" i="3" a="1"/>
  <c r="P150" i="3"/>
  <c r="S150" i="3"/>
  <c r="AU150" i="3"/>
  <c r="AW150" i="3"/>
  <c r="AZ150" i="3"/>
  <c r="BA150" i="3"/>
  <c r="D149" i="15"/>
  <c r="AV150" i="3"/>
  <c r="BD150" i="3"/>
  <c r="BF150" i="3"/>
  <c r="BG150" i="3"/>
  <c r="E149" i="15"/>
  <c r="BQ150" i="3"/>
  <c r="BR150" i="3"/>
  <c r="BS150" i="3"/>
  <c r="BN150" i="3"/>
  <c r="BU150" i="3"/>
  <c r="BV150" i="3"/>
  <c r="BY150" i="3"/>
  <c r="CA150" i="3"/>
  <c r="F149" i="15"/>
  <c r="CB150" i="3"/>
  <c r="CD150" i="3"/>
  <c r="CG150" i="3"/>
  <c r="CN150" i="3"/>
  <c r="G149" i="15"/>
  <c r="CO150" i="3"/>
  <c r="CQ150" i="3"/>
  <c r="CT150" i="3"/>
  <c r="DA150" i="3"/>
  <c r="H149" i="15"/>
  <c r="DB150" i="3"/>
  <c r="DC150" i="3"/>
  <c r="DE150" i="3"/>
  <c r="DF150" i="3"/>
  <c r="DL150" i="3"/>
  <c r="I149" i="15"/>
  <c r="DM150" i="3"/>
  <c r="DN150" i="3"/>
  <c r="DP150" i="3"/>
  <c r="DQ150" i="3"/>
  <c r="DW150" i="3"/>
  <c r="J149" i="15"/>
  <c r="DX150" i="3"/>
  <c r="DZ150" i="3"/>
  <c r="EC150" i="3"/>
  <c r="EJ150" i="3"/>
  <c r="K149" i="15"/>
  <c r="EK150" i="3"/>
  <c r="EM150" i="3"/>
  <c r="EP150" i="3"/>
  <c r="EW150" i="3"/>
  <c r="L149" i="15"/>
  <c r="EX150" i="3"/>
  <c r="EZ150" i="3"/>
  <c r="FC150" i="3"/>
  <c r="FJ150" i="3"/>
  <c r="M149" i="15"/>
  <c r="FK150" i="3"/>
  <c r="FL150" i="3"/>
  <c r="FN150" i="3"/>
  <c r="FO150" i="3"/>
  <c r="FR150" i="3"/>
  <c r="FT150" i="3"/>
  <c r="N149" i="15"/>
  <c r="C149" i="15"/>
  <c r="O149" i="15"/>
  <c r="P149" i="15"/>
  <c r="BP150" i="3"/>
  <c r="CC150" i="3"/>
  <c r="CE150" i="3"/>
  <c r="CH150" i="3"/>
  <c r="CK150" i="3"/>
  <c r="Q149" i="15"/>
  <c r="CP150" i="3"/>
  <c r="CR150" i="3"/>
  <c r="CU150" i="3"/>
  <c r="CX150" i="3"/>
  <c r="R149" i="15"/>
  <c r="DY150" i="3"/>
  <c r="EA150" i="3"/>
  <c r="ED150" i="3"/>
  <c r="EG150" i="3"/>
  <c r="S149" i="15"/>
  <c r="EL150" i="3"/>
  <c r="EN150" i="3"/>
  <c r="EQ150" i="3"/>
  <c r="ET150" i="3"/>
  <c r="T149" i="15"/>
  <c r="EY150" i="3"/>
  <c r="FA150" i="3"/>
  <c r="FD150" i="3"/>
  <c r="FG150" i="3"/>
  <c r="U149" i="15"/>
  <c r="FV150" i="3"/>
  <c r="FY150" i="3"/>
  <c r="V149" i="15"/>
  <c r="FZ150" i="3"/>
  <c r="W149" i="15"/>
  <c r="GA150" i="3"/>
  <c r="X149" i="15"/>
  <c r="GB150" i="3"/>
  <c r="Y149" i="15"/>
  <c r="GC150" i="3"/>
  <c r="Z149" i="15"/>
  <c r="GD150" i="3"/>
  <c r="AA149" i="15"/>
  <c r="GE150" i="3"/>
  <c r="AB149" i="15"/>
  <c r="GF150" i="3"/>
  <c r="AC149" i="15"/>
  <c r="V151" i="3" a="1"/>
  <c r="V151" i="3"/>
  <c r="AS151" i="3"/>
  <c r="B150" i="15"/>
  <c r="P151" i="3" a="1"/>
  <c r="P151" i="3"/>
  <c r="S151" i="3"/>
  <c r="AU151" i="3"/>
  <c r="AW151" i="3"/>
  <c r="AZ151" i="3"/>
  <c r="BA151" i="3"/>
  <c r="D150" i="15"/>
  <c r="AV151" i="3"/>
  <c r="BD151" i="3"/>
  <c r="BF151" i="3"/>
  <c r="BG151" i="3"/>
  <c r="E150" i="15"/>
  <c r="BQ151" i="3"/>
  <c r="BR151" i="3"/>
  <c r="BS151" i="3"/>
  <c r="BV151" i="3"/>
  <c r="BY151" i="3"/>
  <c r="CA151" i="3"/>
  <c r="F150" i="15"/>
  <c r="CB151" i="3"/>
  <c r="CD151" i="3"/>
  <c r="CN151" i="3"/>
  <c r="G150" i="15"/>
  <c r="CO151" i="3"/>
  <c r="CQ151" i="3"/>
  <c r="DA151" i="3"/>
  <c r="H150" i="15"/>
  <c r="DB151" i="3"/>
  <c r="DC151" i="3"/>
  <c r="DF151" i="3"/>
  <c r="DL151" i="3"/>
  <c r="I150" i="15"/>
  <c r="DM151" i="3"/>
  <c r="DN151" i="3"/>
  <c r="DQ151" i="3"/>
  <c r="DW151" i="3"/>
  <c r="J150" i="15"/>
  <c r="DX151" i="3"/>
  <c r="DZ151" i="3"/>
  <c r="EJ151" i="3"/>
  <c r="K150" i="15"/>
  <c r="EK151" i="3"/>
  <c r="EM151" i="3"/>
  <c r="EW151" i="3"/>
  <c r="L150" i="15"/>
  <c r="EX151" i="3"/>
  <c r="EZ151" i="3"/>
  <c r="FJ151" i="3"/>
  <c r="M150" i="15"/>
  <c r="FK151" i="3"/>
  <c r="FL151" i="3"/>
  <c r="FO151" i="3"/>
  <c r="FR151" i="3"/>
  <c r="FT151" i="3"/>
  <c r="N150" i="15"/>
  <c r="C150" i="15"/>
  <c r="O150" i="15"/>
  <c r="P150" i="15"/>
  <c r="BP151" i="3"/>
  <c r="CC151" i="3"/>
  <c r="CE151" i="3"/>
  <c r="CH151" i="3"/>
  <c r="CK151" i="3"/>
  <c r="Q150" i="15"/>
  <c r="CP151" i="3"/>
  <c r="CR151" i="3"/>
  <c r="CU151" i="3"/>
  <c r="CX151" i="3"/>
  <c r="R150" i="15"/>
  <c r="DY151" i="3"/>
  <c r="EA151" i="3"/>
  <c r="ED151" i="3"/>
  <c r="EG151" i="3"/>
  <c r="S150" i="15"/>
  <c r="EL151" i="3"/>
  <c r="EN151" i="3"/>
  <c r="EQ151" i="3"/>
  <c r="ET151" i="3"/>
  <c r="T150" i="15"/>
  <c r="EY151" i="3"/>
  <c r="FA151" i="3"/>
  <c r="FD151" i="3"/>
  <c r="FG151" i="3"/>
  <c r="U150" i="15"/>
  <c r="FV151" i="3"/>
  <c r="FY151" i="3"/>
  <c r="V150" i="15"/>
  <c r="FZ151" i="3"/>
  <c r="W150" i="15"/>
  <c r="GA151" i="3"/>
  <c r="X150" i="15"/>
  <c r="GB151" i="3"/>
  <c r="Y150" i="15"/>
  <c r="GC151" i="3"/>
  <c r="Z150" i="15"/>
  <c r="GD151" i="3"/>
  <c r="AA150" i="15"/>
  <c r="GE151" i="3"/>
  <c r="AB150" i="15"/>
  <c r="GF151" i="3"/>
  <c r="AC150" i="15"/>
  <c r="V152" i="3" a="1"/>
  <c r="V152" i="3"/>
  <c r="AS152" i="3"/>
  <c r="B151" i="15"/>
  <c r="P152" i="3" a="1"/>
  <c r="P152" i="3"/>
  <c r="S152" i="3"/>
  <c r="AU152" i="3"/>
  <c r="AW152" i="3"/>
  <c r="AZ152" i="3"/>
  <c r="BA152" i="3"/>
  <c r="D151" i="15"/>
  <c r="AV152" i="3"/>
  <c r="BD152" i="3"/>
  <c r="BF152" i="3"/>
  <c r="BG152" i="3"/>
  <c r="E151" i="15"/>
  <c r="BQ152" i="3"/>
  <c r="BR152" i="3"/>
  <c r="BS152" i="3"/>
  <c r="BN152" i="3"/>
  <c r="BU152" i="3"/>
  <c r="BV152" i="3"/>
  <c r="BY152" i="3"/>
  <c r="CA152" i="3"/>
  <c r="F151" i="15"/>
  <c r="CB152" i="3"/>
  <c r="CD152" i="3"/>
  <c r="CG152" i="3"/>
  <c r="CN152" i="3"/>
  <c r="G151" i="15"/>
  <c r="CO152" i="3"/>
  <c r="CQ152" i="3"/>
  <c r="CT152" i="3"/>
  <c r="DA152" i="3"/>
  <c r="H151" i="15"/>
  <c r="DB152" i="3"/>
  <c r="DC152" i="3"/>
  <c r="DE152" i="3"/>
  <c r="DF152" i="3"/>
  <c r="DL152" i="3"/>
  <c r="I151" i="15"/>
  <c r="DM152" i="3"/>
  <c r="DN152" i="3"/>
  <c r="DP152" i="3"/>
  <c r="DQ152" i="3"/>
  <c r="DW152" i="3"/>
  <c r="J151" i="15"/>
  <c r="DX152" i="3"/>
  <c r="DZ152" i="3"/>
  <c r="EC152" i="3"/>
  <c r="EJ152" i="3"/>
  <c r="K151" i="15"/>
  <c r="EK152" i="3"/>
  <c r="EM152" i="3"/>
  <c r="EP152" i="3"/>
  <c r="EW152" i="3"/>
  <c r="L151" i="15"/>
  <c r="EX152" i="3"/>
  <c r="EZ152" i="3"/>
  <c r="FC152" i="3"/>
  <c r="FJ152" i="3"/>
  <c r="M151" i="15"/>
  <c r="FK152" i="3"/>
  <c r="FL152" i="3"/>
  <c r="FN152" i="3"/>
  <c r="FO152" i="3"/>
  <c r="FR152" i="3"/>
  <c r="FT152" i="3"/>
  <c r="N151" i="15"/>
  <c r="C151" i="15"/>
  <c r="O151" i="15"/>
  <c r="P151" i="15"/>
  <c r="BP152" i="3"/>
  <c r="CC152" i="3"/>
  <c r="CE152" i="3"/>
  <c r="CH152" i="3"/>
  <c r="CK152" i="3"/>
  <c r="Q151" i="15"/>
  <c r="CP152" i="3"/>
  <c r="CR152" i="3"/>
  <c r="CU152" i="3"/>
  <c r="CX152" i="3"/>
  <c r="R151" i="15"/>
  <c r="DY152" i="3"/>
  <c r="EA152" i="3"/>
  <c r="ED152" i="3"/>
  <c r="EG152" i="3"/>
  <c r="S151" i="15"/>
  <c r="EL152" i="3"/>
  <c r="EN152" i="3"/>
  <c r="EQ152" i="3"/>
  <c r="ET152" i="3"/>
  <c r="T151" i="15"/>
  <c r="EY152" i="3"/>
  <c r="FA152" i="3"/>
  <c r="FD152" i="3"/>
  <c r="FG152" i="3"/>
  <c r="U151" i="15"/>
  <c r="FV152" i="3"/>
  <c r="FY152" i="3"/>
  <c r="V151" i="15"/>
  <c r="FZ152" i="3"/>
  <c r="W151" i="15"/>
  <c r="GA152" i="3"/>
  <c r="X151" i="15"/>
  <c r="GB152" i="3"/>
  <c r="Y151" i="15"/>
  <c r="GC152" i="3"/>
  <c r="Z151" i="15"/>
  <c r="GD152" i="3"/>
  <c r="AA151" i="15"/>
  <c r="GE152" i="3"/>
  <c r="AB151" i="15"/>
  <c r="GF152" i="3"/>
  <c r="AC151" i="15"/>
  <c r="V153" i="3" a="1"/>
  <c r="V153" i="3"/>
  <c r="AS153" i="3"/>
  <c r="B152" i="15"/>
  <c r="P153" i="3" a="1"/>
  <c r="P153" i="3"/>
  <c r="S153" i="3"/>
  <c r="AU153" i="3"/>
  <c r="AW153" i="3"/>
  <c r="AZ153" i="3"/>
  <c r="BA153" i="3"/>
  <c r="D152" i="15"/>
  <c r="AV153" i="3"/>
  <c r="BD153" i="3"/>
  <c r="BF153" i="3"/>
  <c r="BG153" i="3"/>
  <c r="E152" i="15"/>
  <c r="BQ153" i="3"/>
  <c r="BR153" i="3"/>
  <c r="BS153" i="3"/>
  <c r="BV153" i="3"/>
  <c r="BY153" i="3"/>
  <c r="CA153" i="3"/>
  <c r="F152" i="15"/>
  <c r="CB153" i="3"/>
  <c r="CD153" i="3"/>
  <c r="CN153" i="3"/>
  <c r="G152" i="15"/>
  <c r="CO153" i="3"/>
  <c r="CQ153" i="3"/>
  <c r="DA153" i="3"/>
  <c r="H152" i="15"/>
  <c r="DB153" i="3"/>
  <c r="DC153" i="3"/>
  <c r="DF153" i="3"/>
  <c r="DL153" i="3"/>
  <c r="I152" i="15"/>
  <c r="DM153" i="3"/>
  <c r="DN153" i="3"/>
  <c r="DQ153" i="3"/>
  <c r="DW153" i="3"/>
  <c r="J152" i="15"/>
  <c r="DX153" i="3"/>
  <c r="DZ153" i="3"/>
  <c r="EJ153" i="3"/>
  <c r="K152" i="15"/>
  <c r="EK153" i="3"/>
  <c r="EM153" i="3"/>
  <c r="EW153" i="3"/>
  <c r="L152" i="15"/>
  <c r="EX153" i="3"/>
  <c r="EZ153" i="3"/>
  <c r="FJ153" i="3"/>
  <c r="M152" i="15"/>
  <c r="FK153" i="3"/>
  <c r="FL153" i="3"/>
  <c r="FO153" i="3"/>
  <c r="FR153" i="3"/>
  <c r="FT153" i="3"/>
  <c r="N152" i="15"/>
  <c r="C152" i="15"/>
  <c r="O152" i="15"/>
  <c r="P152" i="15"/>
  <c r="BP153" i="3"/>
  <c r="CC153" i="3"/>
  <c r="CE153" i="3"/>
  <c r="CH153" i="3"/>
  <c r="CK153" i="3"/>
  <c r="Q152" i="15"/>
  <c r="CP153" i="3"/>
  <c r="CR153" i="3"/>
  <c r="CU153" i="3"/>
  <c r="CX153" i="3"/>
  <c r="R152" i="15"/>
  <c r="DY153" i="3"/>
  <c r="EA153" i="3"/>
  <c r="ED153" i="3"/>
  <c r="EG153" i="3"/>
  <c r="S152" i="15"/>
  <c r="EL153" i="3"/>
  <c r="EN153" i="3"/>
  <c r="EQ153" i="3"/>
  <c r="ET153" i="3"/>
  <c r="T152" i="15"/>
  <c r="EY153" i="3"/>
  <c r="FA153" i="3"/>
  <c r="FD153" i="3"/>
  <c r="FG153" i="3"/>
  <c r="U152" i="15"/>
  <c r="FV153" i="3"/>
  <c r="FY153" i="3"/>
  <c r="V152" i="15"/>
  <c r="FZ153" i="3"/>
  <c r="W152" i="15"/>
  <c r="GA153" i="3"/>
  <c r="X152" i="15"/>
  <c r="GB153" i="3"/>
  <c r="Y152" i="15"/>
  <c r="GC153" i="3"/>
  <c r="Z152" i="15"/>
  <c r="GD153" i="3"/>
  <c r="AA152" i="15"/>
  <c r="GE153" i="3"/>
  <c r="AB152" i="15"/>
  <c r="GF153" i="3"/>
  <c r="AC152" i="15"/>
  <c r="V154" i="3" a="1"/>
  <c r="V154" i="3"/>
  <c r="AS154" i="3"/>
  <c r="B153" i="15"/>
  <c r="P154" i="3" a="1"/>
  <c r="P154" i="3"/>
  <c r="S154" i="3"/>
  <c r="AU154" i="3"/>
  <c r="AW154" i="3"/>
  <c r="AZ154" i="3"/>
  <c r="BA154" i="3"/>
  <c r="D153" i="15"/>
  <c r="AV154" i="3"/>
  <c r="BD154" i="3"/>
  <c r="BF154" i="3"/>
  <c r="BG154" i="3"/>
  <c r="E153" i="15"/>
  <c r="BQ154" i="3"/>
  <c r="BR154" i="3"/>
  <c r="BS154" i="3"/>
  <c r="BV154" i="3"/>
  <c r="BY154" i="3"/>
  <c r="CA154" i="3"/>
  <c r="F153" i="15"/>
  <c r="CB154" i="3"/>
  <c r="CD154" i="3"/>
  <c r="CN154" i="3"/>
  <c r="G153" i="15"/>
  <c r="CO154" i="3"/>
  <c r="CQ154" i="3"/>
  <c r="DA154" i="3"/>
  <c r="H153" i="15"/>
  <c r="DB154" i="3"/>
  <c r="DC154" i="3"/>
  <c r="DF154" i="3"/>
  <c r="DL154" i="3"/>
  <c r="I153" i="15"/>
  <c r="DM154" i="3"/>
  <c r="DN154" i="3"/>
  <c r="DQ154" i="3"/>
  <c r="DW154" i="3"/>
  <c r="J153" i="15"/>
  <c r="DX154" i="3"/>
  <c r="DZ154" i="3"/>
  <c r="EJ154" i="3"/>
  <c r="K153" i="15"/>
  <c r="EK154" i="3"/>
  <c r="EM154" i="3"/>
  <c r="EW154" i="3"/>
  <c r="L153" i="15"/>
  <c r="EX154" i="3"/>
  <c r="EZ154" i="3"/>
  <c r="FJ154" i="3"/>
  <c r="M153" i="15"/>
  <c r="FK154" i="3"/>
  <c r="FL154" i="3"/>
  <c r="FO154" i="3"/>
  <c r="FR154" i="3"/>
  <c r="FT154" i="3"/>
  <c r="N153" i="15"/>
  <c r="C153" i="15"/>
  <c r="O153" i="15"/>
  <c r="P153" i="15"/>
  <c r="BP154" i="3"/>
  <c r="CC154" i="3"/>
  <c r="CE154" i="3"/>
  <c r="CH154" i="3"/>
  <c r="CK154" i="3"/>
  <c r="Q153" i="15"/>
  <c r="CP154" i="3"/>
  <c r="CR154" i="3"/>
  <c r="CU154" i="3"/>
  <c r="CX154" i="3"/>
  <c r="R153" i="15"/>
  <c r="DY154" i="3"/>
  <c r="EA154" i="3"/>
  <c r="ED154" i="3"/>
  <c r="EG154" i="3"/>
  <c r="S153" i="15"/>
  <c r="EL154" i="3"/>
  <c r="EN154" i="3"/>
  <c r="EQ154" i="3"/>
  <c r="ET154" i="3"/>
  <c r="T153" i="15"/>
  <c r="EY154" i="3"/>
  <c r="FA154" i="3"/>
  <c r="FD154" i="3"/>
  <c r="FG154" i="3"/>
  <c r="U153" i="15"/>
  <c r="FV154" i="3"/>
  <c r="FY154" i="3"/>
  <c r="V153" i="15"/>
  <c r="FZ154" i="3"/>
  <c r="W153" i="15"/>
  <c r="GA154" i="3"/>
  <c r="X153" i="15"/>
  <c r="GB154" i="3"/>
  <c r="Y153" i="15"/>
  <c r="GC154" i="3"/>
  <c r="Z153" i="15"/>
  <c r="GD154" i="3"/>
  <c r="AA153" i="15"/>
  <c r="GE154" i="3"/>
  <c r="AB153" i="15"/>
  <c r="GF154" i="3"/>
  <c r="AC153" i="15"/>
  <c r="V9" i="3" a="1"/>
  <c r="V9" i="3"/>
  <c r="AS9" i="3"/>
  <c r="V10" i="3" a="1"/>
  <c r="V10" i="3"/>
  <c r="AS10" i="3"/>
  <c r="V11" i="3" a="1"/>
  <c r="V11" i="3"/>
  <c r="AS11" i="3"/>
  <c r="V12" i="3" a="1"/>
  <c r="V12" i="3"/>
  <c r="AS12" i="3"/>
  <c r="V13" i="3" a="1"/>
  <c r="V13" i="3"/>
  <c r="AS13" i="3"/>
  <c r="V14" i="3" a="1"/>
  <c r="V14" i="3"/>
  <c r="AS14" i="3"/>
  <c r="V15" i="3" a="1"/>
  <c r="V15" i="3"/>
  <c r="AS15" i="3"/>
  <c r="V16" i="3" a="1"/>
  <c r="V16" i="3"/>
  <c r="AS16" i="3"/>
  <c r="V17" i="3" a="1"/>
  <c r="V17" i="3"/>
  <c r="AS17" i="3"/>
  <c r="V18" i="3" a="1"/>
  <c r="V18" i="3"/>
  <c r="AS18" i="3"/>
  <c r="V19" i="3" a="1"/>
  <c r="V19" i="3"/>
  <c r="AS19" i="3"/>
  <c r="V20" i="3" a="1"/>
  <c r="V20" i="3"/>
  <c r="AS20" i="3"/>
  <c r="V21" i="3" a="1"/>
  <c r="V21" i="3"/>
  <c r="AS21" i="3"/>
  <c r="V22" i="3" a="1"/>
  <c r="V22" i="3"/>
  <c r="AS22" i="3"/>
  <c r="V23" i="3" a="1"/>
  <c r="V23" i="3"/>
  <c r="AS23" i="3"/>
  <c r="V24" i="3" a="1"/>
  <c r="V24" i="3"/>
  <c r="AS24" i="3"/>
  <c r="V25" i="3" a="1"/>
  <c r="V25" i="3"/>
  <c r="AS25" i="3"/>
  <c r="V26" i="3" a="1"/>
  <c r="V26" i="3"/>
  <c r="AS26" i="3"/>
  <c r="V27" i="3" a="1"/>
  <c r="V27" i="3"/>
  <c r="AS27" i="3"/>
  <c r="V28" i="3" a="1"/>
  <c r="V28" i="3"/>
  <c r="AS28" i="3"/>
  <c r="V29" i="3" a="1"/>
  <c r="V29" i="3"/>
  <c r="AS29" i="3"/>
  <c r="V30" i="3" a="1"/>
  <c r="V30" i="3"/>
  <c r="AS30" i="3"/>
  <c r="V31" i="3" a="1"/>
  <c r="V31" i="3"/>
  <c r="AS31" i="3"/>
  <c r="V32" i="3" a="1"/>
  <c r="V32" i="3"/>
  <c r="AS32" i="3"/>
  <c r="V33" i="3" a="1"/>
  <c r="V33" i="3"/>
  <c r="AS33" i="3"/>
  <c r="V34" i="3" a="1"/>
  <c r="V34" i="3"/>
  <c r="AS34" i="3"/>
  <c r="V35" i="3" a="1"/>
  <c r="V35" i="3"/>
  <c r="AS35" i="3"/>
  <c r="V36" i="3" a="1"/>
  <c r="V36" i="3"/>
  <c r="AS36" i="3"/>
  <c r="V38" i="3" a="1"/>
  <c r="V38" i="3"/>
  <c r="AS38" i="3"/>
  <c r="V39" i="3" a="1"/>
  <c r="V39" i="3"/>
  <c r="AS39" i="3"/>
  <c r="V40" i="3" a="1"/>
  <c r="V40" i="3"/>
  <c r="AS40" i="3"/>
  <c r="V41" i="3" a="1"/>
  <c r="V41" i="3"/>
  <c r="AS41" i="3"/>
  <c r="V42" i="3" a="1"/>
  <c r="V42" i="3"/>
  <c r="AS42" i="3"/>
  <c r="V43" i="3" a="1"/>
  <c r="V43" i="3"/>
  <c r="AS43" i="3"/>
  <c r="V44" i="3" a="1"/>
  <c r="V44" i="3"/>
  <c r="AS44" i="3"/>
  <c r="V45" i="3" a="1"/>
  <c r="V45" i="3"/>
  <c r="AS45" i="3"/>
  <c r="V46" i="3" a="1"/>
  <c r="V46" i="3"/>
  <c r="AS46" i="3"/>
  <c r="V47" i="3" a="1"/>
  <c r="V47" i="3"/>
  <c r="AS47" i="3"/>
  <c r="V48" i="3" a="1"/>
  <c r="V48" i="3"/>
  <c r="AS48" i="3"/>
  <c r="V49" i="3" a="1"/>
  <c r="V49" i="3"/>
  <c r="AS49" i="3"/>
  <c r="V50" i="3" a="1"/>
  <c r="V50" i="3"/>
  <c r="AS50" i="3"/>
  <c r="V51" i="3" a="1"/>
  <c r="V51" i="3"/>
  <c r="AS51" i="3"/>
  <c r="V52" i="3" a="1"/>
  <c r="V52" i="3"/>
  <c r="AS52" i="3"/>
  <c r="V53" i="3" a="1"/>
  <c r="V53" i="3"/>
  <c r="AS53" i="3"/>
  <c r="V54" i="3" a="1"/>
  <c r="V54" i="3"/>
  <c r="AS54" i="3"/>
  <c r="V55" i="3" a="1"/>
  <c r="V55" i="3"/>
  <c r="AS55" i="3"/>
  <c r="V56" i="3" a="1"/>
  <c r="V56" i="3"/>
  <c r="AS56" i="3"/>
  <c r="V57" i="3" a="1"/>
  <c r="V57" i="3"/>
  <c r="AS57" i="3"/>
  <c r="V58" i="3" a="1"/>
  <c r="V58" i="3"/>
  <c r="AS58" i="3"/>
  <c r="V59" i="3" a="1"/>
  <c r="V59" i="3"/>
  <c r="AS59" i="3"/>
  <c r="V60" i="3" a="1"/>
  <c r="V60" i="3"/>
  <c r="AS60" i="3"/>
  <c r="V61" i="3" a="1"/>
  <c r="V61" i="3"/>
  <c r="AS61" i="3"/>
  <c r="V62" i="3" a="1"/>
  <c r="V62" i="3"/>
  <c r="AS62" i="3"/>
  <c r="V63" i="3" a="1"/>
  <c r="V63" i="3"/>
  <c r="AS63" i="3"/>
  <c r="V64" i="3" a="1"/>
  <c r="V64" i="3"/>
  <c r="AS64" i="3"/>
  <c r="V65" i="3" a="1"/>
  <c r="V65" i="3"/>
  <c r="AS65" i="3"/>
  <c r="AS156" i="3"/>
  <c r="B157" i="15"/>
  <c r="P17" i="3" a="1"/>
  <c r="P17" i="3"/>
  <c r="S17" i="3"/>
  <c r="BN17" i="3"/>
  <c r="P22" i="3" a="1"/>
  <c r="P22" i="3"/>
  <c r="S22" i="3"/>
  <c r="BN22" i="3"/>
  <c r="P23" i="3" a="1"/>
  <c r="P23" i="3"/>
  <c r="S23" i="3"/>
  <c r="BN23" i="3"/>
  <c r="P24" i="3" a="1"/>
  <c r="P24" i="3"/>
  <c r="S24" i="3"/>
  <c r="BN24" i="3"/>
  <c r="P26" i="3" a="1"/>
  <c r="P26" i="3"/>
  <c r="S26" i="3"/>
  <c r="BN26" i="3"/>
  <c r="P27" i="3" a="1"/>
  <c r="P27" i="3"/>
  <c r="S27" i="3"/>
  <c r="BN27" i="3"/>
  <c r="P28" i="3" a="1"/>
  <c r="P28" i="3"/>
  <c r="S28" i="3"/>
  <c r="BN28" i="3"/>
  <c r="P29" i="3" a="1"/>
  <c r="P29" i="3"/>
  <c r="S29" i="3"/>
  <c r="BN29" i="3"/>
  <c r="P32" i="3" a="1"/>
  <c r="P32" i="3"/>
  <c r="S32" i="3"/>
  <c r="BN32" i="3"/>
  <c r="P33" i="3" a="1"/>
  <c r="P33" i="3"/>
  <c r="S33" i="3"/>
  <c r="BN33" i="3"/>
  <c r="P40" i="3" a="1"/>
  <c r="P40" i="3"/>
  <c r="S40" i="3"/>
  <c r="BN40" i="3"/>
  <c r="P50" i="3" a="1"/>
  <c r="P50" i="3"/>
  <c r="S50" i="3"/>
  <c r="BN50" i="3"/>
  <c r="BN76" i="3"/>
  <c r="BN81" i="3"/>
  <c r="BN82" i="3"/>
  <c r="BN86" i="3"/>
  <c r="BN88" i="3"/>
  <c r="BN90" i="3"/>
  <c r="BN95" i="3"/>
  <c r="BN96" i="3"/>
  <c r="BN101" i="3"/>
  <c r="BN105" i="3"/>
  <c r="BN111" i="3"/>
  <c r="BN118" i="3"/>
  <c r="BN130" i="3"/>
  <c r="BN132" i="3"/>
  <c r="BN134" i="3"/>
  <c r="BN141" i="3"/>
  <c r="BN142" i="3"/>
  <c r="BN148" i="3"/>
  <c r="BN151" i="3"/>
  <c r="BN153" i="3"/>
  <c r="BN154" i="3"/>
  <c r="P13" i="3" a="1"/>
  <c r="P13" i="3"/>
  <c r="S13" i="3"/>
  <c r="BN13" i="3"/>
  <c r="P15" i="3" a="1"/>
  <c r="P15" i="3"/>
  <c r="S15" i="3"/>
  <c r="BN15" i="3"/>
  <c r="EE66" i="3"/>
  <c r="EE67" i="3"/>
  <c r="EE68" i="3"/>
  <c r="EE69" i="3"/>
  <c r="EE70" i="3"/>
  <c r="EE71" i="3"/>
  <c r="EE72" i="3"/>
  <c r="EE73" i="3"/>
  <c r="EE74" i="3"/>
  <c r="EE75" i="3"/>
  <c r="EE77" i="3"/>
  <c r="EE78" i="3"/>
  <c r="EE79" i="3"/>
  <c r="EE80" i="3"/>
  <c r="EE83" i="3"/>
  <c r="EE84" i="3"/>
  <c r="EE85" i="3"/>
  <c r="EE87" i="3"/>
  <c r="EE89" i="3"/>
  <c r="EE91" i="3"/>
  <c r="EE92" i="3"/>
  <c r="EE93" i="3"/>
  <c r="EE97" i="3"/>
  <c r="EE98" i="3"/>
  <c r="EE99" i="3"/>
  <c r="EE100" i="3"/>
  <c r="EE106" i="3"/>
  <c r="EE107" i="3"/>
  <c r="EE108" i="3"/>
  <c r="EE109" i="3"/>
  <c r="EE110" i="3"/>
  <c r="EE113" i="3"/>
  <c r="EE114" i="3"/>
  <c r="EE115" i="3"/>
  <c r="EE116" i="3"/>
  <c r="EE117" i="3"/>
  <c r="EE119" i="3"/>
  <c r="EE120" i="3"/>
  <c r="EE121" i="3"/>
  <c r="EE122" i="3"/>
  <c r="EE123" i="3"/>
  <c r="EE124" i="3"/>
  <c r="EE125" i="3"/>
  <c r="EE126" i="3"/>
  <c r="EE127" i="3"/>
  <c r="EE128" i="3"/>
  <c r="EE129" i="3"/>
  <c r="EE131" i="3"/>
  <c r="EE133" i="3"/>
  <c r="EE135" i="3"/>
  <c r="EE136" i="3"/>
  <c r="EE137" i="3"/>
  <c r="EE138" i="3"/>
  <c r="EE139" i="3"/>
  <c r="EE140" i="3"/>
  <c r="EE143" i="3"/>
  <c r="EE144" i="3"/>
  <c r="EE145" i="3"/>
  <c r="EE146" i="3"/>
  <c r="EE147" i="3"/>
  <c r="EE149" i="3"/>
  <c r="EE150" i="3"/>
  <c r="EE152" i="3"/>
  <c r="P14" i="3" a="1"/>
  <c r="P14" i="3"/>
  <c r="S14" i="3"/>
  <c r="AU14" i="3"/>
  <c r="AV14" i="3"/>
  <c r="BD14" i="3"/>
  <c r="DB14" i="3"/>
  <c r="DC14" i="3"/>
  <c r="BN14" i="3"/>
  <c r="DE14" i="3"/>
  <c r="DF14" i="3"/>
  <c r="DI14" i="3"/>
  <c r="AU13" i="3"/>
  <c r="AV13" i="3"/>
  <c r="BD13" i="3"/>
  <c r="DB13" i="3"/>
  <c r="DC13" i="3"/>
  <c r="DF13" i="3"/>
  <c r="DI13" i="3"/>
  <c r="P11" i="3" a="1"/>
  <c r="P11" i="3"/>
  <c r="S11" i="3"/>
  <c r="AU11" i="3"/>
  <c r="AV11" i="3"/>
  <c r="BD11" i="3"/>
  <c r="DB11" i="3"/>
  <c r="DC11" i="3"/>
  <c r="BN11" i="3"/>
  <c r="DE11" i="3"/>
  <c r="DF11" i="3"/>
  <c r="DI11" i="3"/>
  <c r="DM14" i="3"/>
  <c r="DN14" i="3"/>
  <c r="DP14" i="3"/>
  <c r="DQ14" i="3"/>
  <c r="DT14" i="3"/>
  <c r="DM13" i="3"/>
  <c r="DN13" i="3"/>
  <c r="DQ13" i="3"/>
  <c r="DT13" i="3"/>
  <c r="DM11" i="3"/>
  <c r="DN11" i="3"/>
  <c r="DP11" i="3"/>
  <c r="DQ11" i="3"/>
  <c r="DT11" i="3"/>
  <c r="AW14" i="3"/>
  <c r="AZ14" i="3"/>
  <c r="O13" i="15"/>
  <c r="AW13" i="3"/>
  <c r="AZ13" i="3"/>
  <c r="O12" i="15"/>
  <c r="AW11" i="3"/>
  <c r="AZ11" i="3"/>
  <c r="O10" i="15"/>
  <c r="BP14" i="3"/>
  <c r="EY14" i="3"/>
  <c r="FA14" i="3"/>
  <c r="FC14" i="3"/>
  <c r="FD14" i="3"/>
  <c r="FG14" i="3"/>
  <c r="U13" i="15"/>
  <c r="CP14" i="3"/>
  <c r="CR14" i="3"/>
  <c r="CT14" i="3"/>
  <c r="CU14" i="3"/>
  <c r="CX14" i="3"/>
  <c r="R13" i="15"/>
  <c r="CC14" i="3"/>
  <c r="CE14" i="3"/>
  <c r="CG14" i="3"/>
  <c r="CH14" i="3"/>
  <c r="CK14" i="3"/>
  <c r="Q13" i="15"/>
  <c r="BQ14" i="3"/>
  <c r="BR14" i="3"/>
  <c r="BS14" i="3"/>
  <c r="BU14" i="3"/>
  <c r="BV14" i="3"/>
  <c r="BY14" i="3"/>
  <c r="P13" i="15"/>
  <c r="BP13" i="3"/>
  <c r="EY13" i="3"/>
  <c r="FA13" i="3"/>
  <c r="FD13" i="3"/>
  <c r="FG13" i="3"/>
  <c r="U12" i="15"/>
  <c r="CP13" i="3"/>
  <c r="CR13" i="3"/>
  <c r="CU13" i="3"/>
  <c r="CX13" i="3"/>
  <c r="R12" i="15"/>
  <c r="CC13" i="3"/>
  <c r="CE13" i="3"/>
  <c r="CH13" i="3"/>
  <c r="CK13" i="3"/>
  <c r="Q12" i="15"/>
  <c r="BQ13" i="3"/>
  <c r="BR13" i="3"/>
  <c r="BS13" i="3"/>
  <c r="BV13" i="3"/>
  <c r="BY13" i="3"/>
  <c r="P12" i="15"/>
  <c r="BP11" i="3"/>
  <c r="EY11" i="3"/>
  <c r="FA11" i="3"/>
  <c r="FC11" i="3"/>
  <c r="FD11" i="3"/>
  <c r="FG11" i="3"/>
  <c r="U10" i="15"/>
  <c r="CP11" i="3"/>
  <c r="CR11" i="3"/>
  <c r="CT11" i="3"/>
  <c r="CU11" i="3"/>
  <c r="CX11" i="3"/>
  <c r="R10" i="15"/>
  <c r="CC11" i="3"/>
  <c r="CE11" i="3"/>
  <c r="CG11" i="3"/>
  <c r="CH11" i="3"/>
  <c r="CK11" i="3"/>
  <c r="Q10" i="15"/>
  <c r="BQ11" i="3"/>
  <c r="BR11" i="3"/>
  <c r="BS11" i="3"/>
  <c r="BU11" i="3"/>
  <c r="BV11" i="3"/>
  <c r="BY11" i="3"/>
  <c r="P10" i="15"/>
  <c r="BA14" i="3"/>
  <c r="D13" i="15"/>
  <c r="BF14" i="3"/>
  <c r="BG14" i="3"/>
  <c r="E13" i="15"/>
  <c r="CA14" i="3"/>
  <c r="F13" i="15"/>
  <c r="CB14" i="3"/>
  <c r="CD14" i="3"/>
  <c r="CN14" i="3"/>
  <c r="G13" i="15"/>
  <c r="CO14" i="3"/>
  <c r="CQ14" i="3"/>
  <c r="DA14" i="3"/>
  <c r="H13" i="15"/>
  <c r="DL14" i="3"/>
  <c r="I13" i="15"/>
  <c r="DW14" i="3"/>
  <c r="J13" i="15"/>
  <c r="DX14" i="3"/>
  <c r="DZ14" i="3"/>
  <c r="EC14" i="3"/>
  <c r="EJ14" i="3"/>
  <c r="K13" i="15"/>
  <c r="EK14" i="3"/>
  <c r="EM14" i="3"/>
  <c r="EP14" i="3"/>
  <c r="EW14" i="3"/>
  <c r="L13" i="15"/>
  <c r="EX14" i="3"/>
  <c r="EZ14" i="3"/>
  <c r="FJ14" i="3"/>
  <c r="M13" i="15"/>
  <c r="FK14" i="3"/>
  <c r="FL14" i="3"/>
  <c r="FN14" i="3"/>
  <c r="FO14" i="3"/>
  <c r="FR14" i="3"/>
  <c r="FT14" i="3"/>
  <c r="N13" i="15"/>
  <c r="C13" i="15"/>
  <c r="FE14" i="3"/>
  <c r="BA13" i="3"/>
  <c r="D12" i="15"/>
  <c r="BF13" i="3"/>
  <c r="BG13" i="3"/>
  <c r="E12" i="15"/>
  <c r="CA13" i="3"/>
  <c r="F12" i="15"/>
  <c r="CB13" i="3"/>
  <c r="CD13" i="3"/>
  <c r="CN13" i="3"/>
  <c r="G12" i="15"/>
  <c r="CO13" i="3"/>
  <c r="CQ13" i="3"/>
  <c r="DA13" i="3"/>
  <c r="H12" i="15"/>
  <c r="DL13" i="3"/>
  <c r="I12" i="15"/>
  <c r="DW13" i="3"/>
  <c r="J12" i="15"/>
  <c r="DX13" i="3"/>
  <c r="DZ13" i="3"/>
  <c r="EJ13" i="3"/>
  <c r="K12" i="15"/>
  <c r="EK13" i="3"/>
  <c r="EM13" i="3"/>
  <c r="EW13" i="3"/>
  <c r="L12" i="15"/>
  <c r="EX13" i="3"/>
  <c r="EZ13" i="3"/>
  <c r="FJ13" i="3"/>
  <c r="M12" i="15"/>
  <c r="FK13" i="3"/>
  <c r="FL13" i="3"/>
  <c r="FO13" i="3"/>
  <c r="FR13" i="3"/>
  <c r="FT13" i="3"/>
  <c r="N12" i="15"/>
  <c r="C12" i="15"/>
  <c r="BA11" i="3"/>
  <c r="D10" i="15"/>
  <c r="BF11" i="3"/>
  <c r="BG11" i="3"/>
  <c r="E10" i="15"/>
  <c r="CA11" i="3"/>
  <c r="F10" i="15"/>
  <c r="CB11" i="3"/>
  <c r="CD11" i="3"/>
  <c r="CN11" i="3"/>
  <c r="G10" i="15"/>
  <c r="CO11" i="3"/>
  <c r="CQ11" i="3"/>
  <c r="DA11" i="3"/>
  <c r="H10" i="15"/>
  <c r="DL11" i="3"/>
  <c r="I10" i="15"/>
  <c r="DW11" i="3"/>
  <c r="J10" i="15"/>
  <c r="DX11" i="3"/>
  <c r="DZ11" i="3"/>
  <c r="EC11" i="3"/>
  <c r="EJ11" i="3"/>
  <c r="K10" i="15"/>
  <c r="EK11" i="3"/>
  <c r="EM11" i="3"/>
  <c r="EP11" i="3"/>
  <c r="EW11" i="3"/>
  <c r="L10" i="15"/>
  <c r="EX11" i="3"/>
  <c r="EZ11" i="3"/>
  <c r="FJ11" i="3"/>
  <c r="M10" i="15"/>
  <c r="FK11" i="3"/>
  <c r="FL11" i="3"/>
  <c r="FN11" i="3"/>
  <c r="FO11" i="3"/>
  <c r="FR11" i="3"/>
  <c r="FT11" i="3"/>
  <c r="N10" i="15"/>
  <c r="C10" i="15"/>
  <c r="FE11" i="3"/>
  <c r="FE13" i="3"/>
  <c r="GF14" i="3"/>
  <c r="AC13" i="15"/>
  <c r="GC14" i="3"/>
  <c r="Z13" i="15"/>
  <c r="GB14" i="3"/>
  <c r="Y13" i="15"/>
  <c r="GA14" i="3"/>
  <c r="X13" i="15"/>
  <c r="FZ14" i="3"/>
  <c r="W13" i="15"/>
  <c r="FV14" i="3"/>
  <c r="FY14" i="3"/>
  <c r="V13" i="15"/>
  <c r="GF13" i="3"/>
  <c r="AC12" i="15"/>
  <c r="GC13" i="3"/>
  <c r="Z12" i="15"/>
  <c r="GB13" i="3"/>
  <c r="Y12" i="15"/>
  <c r="GA13" i="3"/>
  <c r="X12" i="15"/>
  <c r="FZ13" i="3"/>
  <c r="W12" i="15"/>
  <c r="FV13" i="3"/>
  <c r="FY13" i="3"/>
  <c r="V12" i="15"/>
  <c r="GF11" i="3"/>
  <c r="AC10" i="15"/>
  <c r="GC11" i="3"/>
  <c r="Z10" i="15"/>
  <c r="GB11" i="3"/>
  <c r="Y10" i="15"/>
  <c r="GA11" i="3"/>
  <c r="X10" i="15"/>
  <c r="FZ11" i="3"/>
  <c r="W10" i="15"/>
  <c r="FV11" i="3"/>
  <c r="FY11" i="3"/>
  <c r="V10" i="15"/>
  <c r="FV15" i="3"/>
  <c r="FY15" i="3"/>
  <c r="V14" i="15"/>
  <c r="AV15" i="3"/>
  <c r="AU15" i="3"/>
  <c r="BD15" i="3"/>
  <c r="FZ15" i="3"/>
  <c r="W14" i="15"/>
  <c r="BQ15" i="3"/>
  <c r="BR15" i="3"/>
  <c r="GA15" i="3"/>
  <c r="X14" i="15"/>
  <c r="BP15" i="3"/>
  <c r="CC15" i="3"/>
  <c r="GB15" i="3"/>
  <c r="Y14" i="15"/>
  <c r="CP15" i="3"/>
  <c r="GC15" i="3"/>
  <c r="Z14" i="15"/>
  <c r="EY15" i="3"/>
  <c r="GF15" i="3"/>
  <c r="AC14" i="15"/>
  <c r="P16" i="3" a="1"/>
  <c r="P16" i="3"/>
  <c r="S16" i="3"/>
  <c r="FV16" i="3"/>
  <c r="FY16" i="3"/>
  <c r="V15" i="15"/>
  <c r="AV16" i="3"/>
  <c r="AU16" i="3"/>
  <c r="BD16" i="3"/>
  <c r="FZ16" i="3"/>
  <c r="W15" i="15"/>
  <c r="BQ16" i="3"/>
  <c r="BR16" i="3"/>
  <c r="GA16" i="3"/>
  <c r="X15" i="15"/>
  <c r="BP16" i="3"/>
  <c r="CC16" i="3"/>
  <c r="GB16" i="3"/>
  <c r="Y15" i="15"/>
  <c r="CP16" i="3"/>
  <c r="GC16" i="3"/>
  <c r="Z15" i="15"/>
  <c r="EY16" i="3"/>
  <c r="GF16" i="3"/>
  <c r="AC15" i="15"/>
  <c r="FV17" i="3"/>
  <c r="FY17" i="3"/>
  <c r="V16" i="15"/>
  <c r="AV17" i="3"/>
  <c r="AU17" i="3"/>
  <c r="BD17" i="3"/>
  <c r="FZ17" i="3"/>
  <c r="W16" i="15"/>
  <c r="BQ17" i="3"/>
  <c r="BR17" i="3"/>
  <c r="GA17" i="3"/>
  <c r="X16" i="15"/>
  <c r="BP17" i="3"/>
  <c r="CC17" i="3"/>
  <c r="GB17" i="3"/>
  <c r="Y16" i="15"/>
  <c r="CP17" i="3"/>
  <c r="GC17" i="3"/>
  <c r="Z16" i="15"/>
  <c r="EY17" i="3"/>
  <c r="GF17" i="3"/>
  <c r="AC16" i="15"/>
  <c r="P18" i="3" a="1"/>
  <c r="P18" i="3"/>
  <c r="S18" i="3"/>
  <c r="FV18" i="3"/>
  <c r="FY18" i="3"/>
  <c r="V17" i="15"/>
  <c r="AV18" i="3"/>
  <c r="AU18" i="3"/>
  <c r="BD18" i="3"/>
  <c r="FZ18" i="3"/>
  <c r="W17" i="15"/>
  <c r="BQ18" i="3"/>
  <c r="BR18" i="3"/>
  <c r="GA18" i="3"/>
  <c r="X17" i="15"/>
  <c r="BP18" i="3"/>
  <c r="CC18" i="3"/>
  <c r="GB18" i="3"/>
  <c r="Y17" i="15"/>
  <c r="CP18" i="3"/>
  <c r="GC18" i="3"/>
  <c r="Z17" i="15"/>
  <c r="EY18" i="3"/>
  <c r="GF18" i="3"/>
  <c r="AC17" i="15"/>
  <c r="P19" i="3" a="1"/>
  <c r="P19" i="3"/>
  <c r="S19" i="3"/>
  <c r="FV19" i="3"/>
  <c r="FY19" i="3"/>
  <c r="V18" i="15"/>
  <c r="AV19" i="3"/>
  <c r="AU19" i="3"/>
  <c r="BD19" i="3"/>
  <c r="FZ19" i="3"/>
  <c r="W18" i="15"/>
  <c r="BQ19" i="3"/>
  <c r="BR19" i="3"/>
  <c r="GA19" i="3"/>
  <c r="X18" i="15"/>
  <c r="BP19" i="3"/>
  <c r="CC19" i="3"/>
  <c r="GB19" i="3"/>
  <c r="Y18" i="15"/>
  <c r="CP19" i="3"/>
  <c r="GC19" i="3"/>
  <c r="Z18" i="15"/>
  <c r="EY19" i="3"/>
  <c r="GF19" i="3"/>
  <c r="AC18" i="15"/>
  <c r="P20" i="3" a="1"/>
  <c r="P20" i="3"/>
  <c r="S20" i="3"/>
  <c r="FV20" i="3"/>
  <c r="FY20" i="3"/>
  <c r="V19" i="15"/>
  <c r="AV20" i="3"/>
  <c r="AU20" i="3"/>
  <c r="BD20" i="3"/>
  <c r="FZ20" i="3"/>
  <c r="W19" i="15"/>
  <c r="BQ20" i="3"/>
  <c r="BR20" i="3"/>
  <c r="GA20" i="3"/>
  <c r="X19" i="15"/>
  <c r="BP20" i="3"/>
  <c r="CC20" i="3"/>
  <c r="GB20" i="3"/>
  <c r="Y19" i="15"/>
  <c r="CP20" i="3"/>
  <c r="GC20" i="3"/>
  <c r="Z19" i="15"/>
  <c r="EY20" i="3"/>
  <c r="GF20" i="3"/>
  <c r="AC19" i="15"/>
  <c r="P21" i="3" a="1"/>
  <c r="P21" i="3"/>
  <c r="S21" i="3"/>
  <c r="FV21" i="3"/>
  <c r="FY21" i="3"/>
  <c r="V20" i="15"/>
  <c r="AV21" i="3"/>
  <c r="AU21" i="3"/>
  <c r="BD21" i="3"/>
  <c r="FZ21" i="3"/>
  <c r="W20" i="15"/>
  <c r="BQ21" i="3"/>
  <c r="BR21" i="3"/>
  <c r="GA21" i="3"/>
  <c r="X20" i="15"/>
  <c r="BP21" i="3"/>
  <c r="CC21" i="3"/>
  <c r="GB21" i="3"/>
  <c r="Y20" i="15"/>
  <c r="CP21" i="3"/>
  <c r="GC21" i="3"/>
  <c r="Z20" i="15"/>
  <c r="EY21" i="3"/>
  <c r="GF21" i="3"/>
  <c r="AC20" i="15"/>
  <c r="FV22" i="3"/>
  <c r="FY22" i="3"/>
  <c r="V21" i="15"/>
  <c r="AV22" i="3"/>
  <c r="AU22" i="3"/>
  <c r="BD22" i="3"/>
  <c r="FZ22" i="3"/>
  <c r="W21" i="15"/>
  <c r="BQ22" i="3"/>
  <c r="BR22" i="3"/>
  <c r="GA22" i="3"/>
  <c r="X21" i="15"/>
  <c r="BP22" i="3"/>
  <c r="CC22" i="3"/>
  <c r="GB22" i="3"/>
  <c r="Y21" i="15"/>
  <c r="CP22" i="3"/>
  <c r="GC22" i="3"/>
  <c r="Z21" i="15"/>
  <c r="EY22" i="3"/>
  <c r="GF22" i="3"/>
  <c r="AC21" i="15"/>
  <c r="FV23" i="3"/>
  <c r="FY23" i="3"/>
  <c r="V22" i="15"/>
  <c r="AV23" i="3"/>
  <c r="AU23" i="3"/>
  <c r="BD23" i="3"/>
  <c r="FZ23" i="3"/>
  <c r="W22" i="15"/>
  <c r="BQ23" i="3"/>
  <c r="BR23" i="3"/>
  <c r="GA23" i="3"/>
  <c r="X22" i="15"/>
  <c r="BP23" i="3"/>
  <c r="CC23" i="3"/>
  <c r="GB23" i="3"/>
  <c r="Y22" i="15"/>
  <c r="CP23" i="3"/>
  <c r="GC23" i="3"/>
  <c r="Z22" i="15"/>
  <c r="EY23" i="3"/>
  <c r="GF23" i="3"/>
  <c r="AC22" i="15"/>
  <c r="FV24" i="3"/>
  <c r="FY24" i="3"/>
  <c r="V23" i="15"/>
  <c r="AV24" i="3"/>
  <c r="AU24" i="3"/>
  <c r="BD24" i="3"/>
  <c r="FZ24" i="3"/>
  <c r="W23" i="15"/>
  <c r="BQ24" i="3"/>
  <c r="BR24" i="3"/>
  <c r="GA24" i="3"/>
  <c r="X23" i="15"/>
  <c r="BP24" i="3"/>
  <c r="CC24" i="3"/>
  <c r="GB24" i="3"/>
  <c r="Y23" i="15"/>
  <c r="CP24" i="3"/>
  <c r="GC24" i="3"/>
  <c r="Z23" i="15"/>
  <c r="EY24" i="3"/>
  <c r="GF24" i="3"/>
  <c r="AC23" i="15"/>
  <c r="P25" i="3" a="1"/>
  <c r="P25" i="3"/>
  <c r="S25" i="3"/>
  <c r="FV25" i="3"/>
  <c r="FY25" i="3"/>
  <c r="V24" i="15"/>
  <c r="AV25" i="3"/>
  <c r="AU25" i="3"/>
  <c r="BD25" i="3"/>
  <c r="FZ25" i="3"/>
  <c r="W24" i="15"/>
  <c r="BQ25" i="3"/>
  <c r="BR25" i="3"/>
  <c r="GA25" i="3"/>
  <c r="X24" i="15"/>
  <c r="BP25" i="3"/>
  <c r="CC25" i="3"/>
  <c r="GB25" i="3"/>
  <c r="Y24" i="15"/>
  <c r="CP25" i="3"/>
  <c r="GC25" i="3"/>
  <c r="Z24" i="15"/>
  <c r="EY25" i="3"/>
  <c r="GF25" i="3"/>
  <c r="AC24" i="15"/>
  <c r="FV26" i="3"/>
  <c r="FY26" i="3"/>
  <c r="V25" i="15"/>
  <c r="AV26" i="3"/>
  <c r="AU26" i="3"/>
  <c r="BD26" i="3"/>
  <c r="FZ26" i="3"/>
  <c r="W25" i="15"/>
  <c r="BQ26" i="3"/>
  <c r="BR26" i="3"/>
  <c r="GA26" i="3"/>
  <c r="X25" i="15"/>
  <c r="BP26" i="3"/>
  <c r="CC26" i="3"/>
  <c r="GB26" i="3"/>
  <c r="Y25" i="15"/>
  <c r="CP26" i="3"/>
  <c r="GC26" i="3"/>
  <c r="Z25" i="15"/>
  <c r="EY26" i="3"/>
  <c r="GF26" i="3"/>
  <c r="AC25" i="15"/>
  <c r="FV27" i="3"/>
  <c r="FY27" i="3"/>
  <c r="V26" i="15"/>
  <c r="AV27" i="3"/>
  <c r="AU27" i="3"/>
  <c r="BD27" i="3"/>
  <c r="FZ27" i="3"/>
  <c r="W26" i="15"/>
  <c r="BQ27" i="3"/>
  <c r="BR27" i="3"/>
  <c r="GA27" i="3"/>
  <c r="X26" i="15"/>
  <c r="BP27" i="3"/>
  <c r="CC27" i="3"/>
  <c r="GB27" i="3"/>
  <c r="Y26" i="15"/>
  <c r="CP27" i="3"/>
  <c r="GC27" i="3"/>
  <c r="Z26" i="15"/>
  <c r="EY27" i="3"/>
  <c r="GF27" i="3"/>
  <c r="AC26" i="15"/>
  <c r="FV28" i="3"/>
  <c r="FY28" i="3"/>
  <c r="V27" i="15"/>
  <c r="AV28" i="3"/>
  <c r="AU28" i="3"/>
  <c r="BD28" i="3"/>
  <c r="FZ28" i="3"/>
  <c r="W27" i="15"/>
  <c r="BQ28" i="3"/>
  <c r="BR28" i="3"/>
  <c r="GA28" i="3"/>
  <c r="X27" i="15"/>
  <c r="BP28" i="3"/>
  <c r="CC28" i="3"/>
  <c r="GB28" i="3"/>
  <c r="Y27" i="15"/>
  <c r="CP28" i="3"/>
  <c r="GC28" i="3"/>
  <c r="Z27" i="15"/>
  <c r="EY28" i="3"/>
  <c r="GF28" i="3"/>
  <c r="AC27" i="15"/>
  <c r="FV29" i="3"/>
  <c r="FY29" i="3"/>
  <c r="V28" i="15"/>
  <c r="AV29" i="3"/>
  <c r="AU29" i="3"/>
  <c r="BD29" i="3"/>
  <c r="FZ29" i="3"/>
  <c r="W28" i="15"/>
  <c r="BQ29" i="3"/>
  <c r="BR29" i="3"/>
  <c r="GA29" i="3"/>
  <c r="X28" i="15"/>
  <c r="BP29" i="3"/>
  <c r="CC29" i="3"/>
  <c r="GB29" i="3"/>
  <c r="Y28" i="15"/>
  <c r="CP29" i="3"/>
  <c r="GC29" i="3"/>
  <c r="Z28" i="15"/>
  <c r="EY29" i="3"/>
  <c r="GF29" i="3"/>
  <c r="AC28" i="15"/>
  <c r="P30" i="3" a="1"/>
  <c r="P30" i="3"/>
  <c r="S30" i="3"/>
  <c r="FV30" i="3"/>
  <c r="FY30" i="3"/>
  <c r="V29" i="15"/>
  <c r="AV30" i="3"/>
  <c r="AU30" i="3"/>
  <c r="BD30" i="3"/>
  <c r="FZ30" i="3"/>
  <c r="W29" i="15"/>
  <c r="BQ30" i="3"/>
  <c r="BR30" i="3"/>
  <c r="GA30" i="3"/>
  <c r="X29" i="15"/>
  <c r="BP30" i="3"/>
  <c r="CC30" i="3"/>
  <c r="GB30" i="3"/>
  <c r="Y29" i="15"/>
  <c r="CP30" i="3"/>
  <c r="GC30" i="3"/>
  <c r="Z29" i="15"/>
  <c r="EY30" i="3"/>
  <c r="GF30" i="3"/>
  <c r="AC29" i="15"/>
  <c r="P31" i="3" a="1"/>
  <c r="P31" i="3"/>
  <c r="S31" i="3"/>
  <c r="FV31" i="3"/>
  <c r="FY31" i="3"/>
  <c r="V30" i="15"/>
  <c r="AV31" i="3"/>
  <c r="AU31" i="3"/>
  <c r="BD31" i="3"/>
  <c r="FZ31" i="3"/>
  <c r="W30" i="15"/>
  <c r="BQ31" i="3"/>
  <c r="BR31" i="3"/>
  <c r="GA31" i="3"/>
  <c r="X30" i="15"/>
  <c r="BP31" i="3"/>
  <c r="CC31" i="3"/>
  <c r="GB31" i="3"/>
  <c r="Y30" i="15"/>
  <c r="CP31" i="3"/>
  <c r="GC31" i="3"/>
  <c r="Z30" i="15"/>
  <c r="EY31" i="3"/>
  <c r="GF31" i="3"/>
  <c r="AC30" i="15"/>
  <c r="FV32" i="3"/>
  <c r="FY32" i="3"/>
  <c r="V31" i="15"/>
  <c r="AV32" i="3"/>
  <c r="AU32" i="3"/>
  <c r="BD32" i="3"/>
  <c r="FZ32" i="3"/>
  <c r="W31" i="15"/>
  <c r="BQ32" i="3"/>
  <c r="BR32" i="3"/>
  <c r="GA32" i="3"/>
  <c r="X31" i="15"/>
  <c r="BP32" i="3"/>
  <c r="CC32" i="3"/>
  <c r="GB32" i="3"/>
  <c r="Y31" i="15"/>
  <c r="CP32" i="3"/>
  <c r="GC32" i="3"/>
  <c r="Z31" i="15"/>
  <c r="EY32" i="3"/>
  <c r="GF32" i="3"/>
  <c r="AC31" i="15"/>
  <c r="FV33" i="3"/>
  <c r="FY33" i="3"/>
  <c r="V32" i="15"/>
  <c r="AV33" i="3"/>
  <c r="AU33" i="3"/>
  <c r="BD33" i="3"/>
  <c r="FZ33" i="3"/>
  <c r="W32" i="15"/>
  <c r="BQ33" i="3"/>
  <c r="BR33" i="3"/>
  <c r="GA33" i="3"/>
  <c r="X32" i="15"/>
  <c r="BP33" i="3"/>
  <c r="CC33" i="3"/>
  <c r="GB33" i="3"/>
  <c r="Y32" i="15"/>
  <c r="CP33" i="3"/>
  <c r="GC33" i="3"/>
  <c r="Z32" i="15"/>
  <c r="EY33" i="3"/>
  <c r="GF33" i="3"/>
  <c r="AC32" i="15"/>
  <c r="P35" i="3" a="1"/>
  <c r="P35" i="3"/>
  <c r="S35" i="3"/>
  <c r="FV35" i="3"/>
  <c r="FY35" i="3"/>
  <c r="V34" i="15"/>
  <c r="AV35" i="3"/>
  <c r="AU35" i="3"/>
  <c r="BD35" i="3"/>
  <c r="FZ35" i="3"/>
  <c r="W34" i="15"/>
  <c r="BQ35" i="3"/>
  <c r="BR35" i="3"/>
  <c r="GA35" i="3"/>
  <c r="X34" i="15"/>
  <c r="BP35" i="3"/>
  <c r="CC35" i="3"/>
  <c r="GB35" i="3"/>
  <c r="Y34" i="15"/>
  <c r="CP35" i="3"/>
  <c r="GC35" i="3"/>
  <c r="Z34" i="15"/>
  <c r="EY35" i="3"/>
  <c r="GF35" i="3"/>
  <c r="AC34" i="15"/>
  <c r="P36" i="3" a="1"/>
  <c r="P36" i="3"/>
  <c r="S36" i="3"/>
  <c r="FV36" i="3"/>
  <c r="FY36" i="3"/>
  <c r="V35" i="15"/>
  <c r="AV36" i="3"/>
  <c r="AU36" i="3"/>
  <c r="BD36" i="3"/>
  <c r="FZ36" i="3"/>
  <c r="W35" i="15"/>
  <c r="BQ36" i="3"/>
  <c r="BR36" i="3"/>
  <c r="GA36" i="3"/>
  <c r="X35" i="15"/>
  <c r="BP36" i="3"/>
  <c r="CC36" i="3"/>
  <c r="GB36" i="3"/>
  <c r="Y35" i="15"/>
  <c r="CP36" i="3"/>
  <c r="GC36" i="3"/>
  <c r="Z35" i="15"/>
  <c r="EY36" i="3"/>
  <c r="GF36" i="3"/>
  <c r="AC35" i="15"/>
  <c r="P37" i="3" a="1"/>
  <c r="P37" i="3"/>
  <c r="S37" i="3"/>
  <c r="FV37" i="3"/>
  <c r="FY37" i="3"/>
  <c r="V36" i="15"/>
  <c r="AV37" i="3"/>
  <c r="AU37" i="3"/>
  <c r="BD37" i="3"/>
  <c r="FZ37" i="3"/>
  <c r="W36" i="15"/>
  <c r="BQ37" i="3"/>
  <c r="BR37" i="3"/>
  <c r="GA37" i="3"/>
  <c r="X36" i="15"/>
  <c r="BP37" i="3"/>
  <c r="CC37" i="3"/>
  <c r="GB37" i="3"/>
  <c r="Y36" i="15"/>
  <c r="CP37" i="3"/>
  <c r="GC37" i="3"/>
  <c r="Z36" i="15"/>
  <c r="EY37" i="3"/>
  <c r="GF37" i="3"/>
  <c r="AC36" i="15"/>
  <c r="P38" i="3" a="1"/>
  <c r="P38" i="3"/>
  <c r="Q38" i="3" a="1"/>
  <c r="Q38" i="3"/>
  <c r="N38" i="3"/>
  <c r="S38" i="3"/>
  <c r="FV38" i="3"/>
  <c r="FY38" i="3"/>
  <c r="V37" i="15"/>
  <c r="AV38" i="3"/>
  <c r="AU38" i="3"/>
  <c r="BD38" i="3"/>
  <c r="FZ38" i="3"/>
  <c r="W37" i="15"/>
  <c r="BQ38" i="3"/>
  <c r="BR38" i="3"/>
  <c r="GA38" i="3"/>
  <c r="X37" i="15"/>
  <c r="BP38" i="3"/>
  <c r="CC38" i="3"/>
  <c r="GB38" i="3"/>
  <c r="Y37" i="15"/>
  <c r="CP38" i="3"/>
  <c r="GC38" i="3"/>
  <c r="Z37" i="15"/>
  <c r="EY38" i="3"/>
  <c r="GF38" i="3"/>
  <c r="AC37" i="15"/>
  <c r="P39" i="3" a="1"/>
  <c r="P39" i="3"/>
  <c r="S39" i="3"/>
  <c r="FV39" i="3"/>
  <c r="FY39" i="3"/>
  <c r="V38" i="15"/>
  <c r="AV39" i="3"/>
  <c r="AU39" i="3"/>
  <c r="BD39" i="3"/>
  <c r="FZ39" i="3"/>
  <c r="W38" i="15"/>
  <c r="BQ39" i="3"/>
  <c r="BR39" i="3"/>
  <c r="GA39" i="3"/>
  <c r="X38" i="15"/>
  <c r="BP39" i="3"/>
  <c r="CC39" i="3"/>
  <c r="GB39" i="3"/>
  <c r="Y38" i="15"/>
  <c r="CP39" i="3"/>
  <c r="GC39" i="3"/>
  <c r="Z38" i="15"/>
  <c r="EY39" i="3"/>
  <c r="GF39" i="3"/>
  <c r="AC38" i="15"/>
  <c r="FV40" i="3"/>
  <c r="FY40" i="3"/>
  <c r="V39" i="15"/>
  <c r="AV40" i="3"/>
  <c r="AU40" i="3"/>
  <c r="BD40" i="3"/>
  <c r="FZ40" i="3"/>
  <c r="W39" i="15"/>
  <c r="BQ40" i="3"/>
  <c r="BR40" i="3"/>
  <c r="GA40" i="3"/>
  <c r="X39" i="15"/>
  <c r="BP40" i="3"/>
  <c r="CC40" i="3"/>
  <c r="GB40" i="3"/>
  <c r="Y39" i="15"/>
  <c r="CP40" i="3"/>
  <c r="GC40" i="3"/>
  <c r="Z39" i="15"/>
  <c r="EY40" i="3"/>
  <c r="GF40" i="3"/>
  <c r="AC39" i="15"/>
  <c r="P41" i="3" a="1"/>
  <c r="P41" i="3"/>
  <c r="S41" i="3"/>
  <c r="FV41" i="3"/>
  <c r="FY41" i="3"/>
  <c r="V40" i="15"/>
  <c r="AV41" i="3"/>
  <c r="AU41" i="3"/>
  <c r="BD41" i="3"/>
  <c r="FZ41" i="3"/>
  <c r="W40" i="15"/>
  <c r="BQ41" i="3"/>
  <c r="BR41" i="3"/>
  <c r="GA41" i="3"/>
  <c r="X40" i="15"/>
  <c r="BP41" i="3"/>
  <c r="CC41" i="3"/>
  <c r="GB41" i="3"/>
  <c r="Y40" i="15"/>
  <c r="CP41" i="3"/>
  <c r="GC41" i="3"/>
  <c r="Z40" i="15"/>
  <c r="EY41" i="3"/>
  <c r="GF41" i="3"/>
  <c r="AC40" i="15"/>
  <c r="P42" i="3" a="1"/>
  <c r="P42" i="3"/>
  <c r="S42" i="3"/>
  <c r="FV42" i="3"/>
  <c r="FY42" i="3"/>
  <c r="V41" i="15"/>
  <c r="AV42" i="3"/>
  <c r="AU42" i="3"/>
  <c r="BD42" i="3"/>
  <c r="FZ42" i="3"/>
  <c r="W41" i="15"/>
  <c r="BQ42" i="3"/>
  <c r="BR42" i="3"/>
  <c r="GA42" i="3"/>
  <c r="X41" i="15"/>
  <c r="BP42" i="3"/>
  <c r="CC42" i="3"/>
  <c r="GB42" i="3"/>
  <c r="Y41" i="15"/>
  <c r="CP42" i="3"/>
  <c r="GC42" i="3"/>
  <c r="Z41" i="15"/>
  <c r="EY42" i="3"/>
  <c r="GF42" i="3"/>
  <c r="AC41" i="15"/>
  <c r="P43" i="3" a="1"/>
  <c r="P43" i="3"/>
  <c r="S43" i="3"/>
  <c r="FV43" i="3"/>
  <c r="FY43" i="3"/>
  <c r="V42" i="15"/>
  <c r="AV43" i="3"/>
  <c r="AU43" i="3"/>
  <c r="BD43" i="3"/>
  <c r="FZ43" i="3"/>
  <c r="W42" i="15"/>
  <c r="BQ43" i="3"/>
  <c r="BR43" i="3"/>
  <c r="GA43" i="3"/>
  <c r="X42" i="15"/>
  <c r="BP43" i="3"/>
  <c r="CC43" i="3"/>
  <c r="GB43" i="3"/>
  <c r="Y42" i="15"/>
  <c r="CP43" i="3"/>
  <c r="GC43" i="3"/>
  <c r="Z42" i="15"/>
  <c r="EY43" i="3"/>
  <c r="GF43" i="3"/>
  <c r="AC42" i="15"/>
  <c r="P44" i="3" a="1"/>
  <c r="P44" i="3"/>
  <c r="S44" i="3"/>
  <c r="FV44" i="3"/>
  <c r="FY44" i="3"/>
  <c r="V43" i="15"/>
  <c r="AV44" i="3"/>
  <c r="AU44" i="3"/>
  <c r="BD44" i="3"/>
  <c r="FZ44" i="3"/>
  <c r="W43" i="15"/>
  <c r="BQ44" i="3"/>
  <c r="BR44" i="3"/>
  <c r="GA44" i="3"/>
  <c r="X43" i="15"/>
  <c r="BP44" i="3"/>
  <c r="CC44" i="3"/>
  <c r="GB44" i="3"/>
  <c r="Y43" i="15"/>
  <c r="CP44" i="3"/>
  <c r="GC44" i="3"/>
  <c r="Z43" i="15"/>
  <c r="EY44" i="3"/>
  <c r="GF44" i="3"/>
  <c r="AC43" i="15"/>
  <c r="P45" i="3" a="1"/>
  <c r="P45" i="3"/>
  <c r="S45" i="3"/>
  <c r="FV45" i="3"/>
  <c r="FY45" i="3"/>
  <c r="V44" i="15"/>
  <c r="AV45" i="3"/>
  <c r="AU45" i="3"/>
  <c r="BD45" i="3"/>
  <c r="FZ45" i="3"/>
  <c r="W44" i="15"/>
  <c r="BQ45" i="3"/>
  <c r="BR45" i="3"/>
  <c r="GA45" i="3"/>
  <c r="X44" i="15"/>
  <c r="BP45" i="3"/>
  <c r="CC45" i="3"/>
  <c r="GB45" i="3"/>
  <c r="Y44" i="15"/>
  <c r="CP45" i="3"/>
  <c r="GC45" i="3"/>
  <c r="Z44" i="15"/>
  <c r="EY45" i="3"/>
  <c r="GF45" i="3"/>
  <c r="AC44" i="15"/>
  <c r="P47" i="3" a="1"/>
  <c r="P47" i="3"/>
  <c r="S47" i="3"/>
  <c r="FV47" i="3"/>
  <c r="FY47" i="3"/>
  <c r="V46" i="15"/>
  <c r="AV47" i="3"/>
  <c r="AU47" i="3"/>
  <c r="BD47" i="3"/>
  <c r="FZ47" i="3"/>
  <c r="W46" i="15"/>
  <c r="BQ47" i="3"/>
  <c r="BR47" i="3"/>
  <c r="GA47" i="3"/>
  <c r="X46" i="15"/>
  <c r="BP47" i="3"/>
  <c r="CC47" i="3"/>
  <c r="GB47" i="3"/>
  <c r="Y46" i="15"/>
  <c r="CP47" i="3"/>
  <c r="GC47" i="3"/>
  <c r="Z46" i="15"/>
  <c r="EY47" i="3"/>
  <c r="GF47" i="3"/>
  <c r="AC46" i="15"/>
  <c r="P49" i="3" a="1"/>
  <c r="P49" i="3"/>
  <c r="S49" i="3"/>
  <c r="FV49" i="3"/>
  <c r="FY49" i="3"/>
  <c r="V48" i="15"/>
  <c r="AV49" i="3"/>
  <c r="AU49" i="3"/>
  <c r="BD49" i="3"/>
  <c r="FZ49" i="3"/>
  <c r="W48" i="15"/>
  <c r="BQ49" i="3"/>
  <c r="BR49" i="3"/>
  <c r="GA49" i="3"/>
  <c r="X48" i="15"/>
  <c r="BP49" i="3"/>
  <c r="CC49" i="3"/>
  <c r="GB49" i="3"/>
  <c r="Y48" i="15"/>
  <c r="CP49" i="3"/>
  <c r="GC49" i="3"/>
  <c r="Z48" i="15"/>
  <c r="EY49" i="3"/>
  <c r="GF49" i="3"/>
  <c r="AC48" i="15"/>
  <c r="FV50" i="3"/>
  <c r="FY50" i="3"/>
  <c r="V49" i="15"/>
  <c r="AV50" i="3"/>
  <c r="AU50" i="3"/>
  <c r="BD50" i="3"/>
  <c r="FZ50" i="3"/>
  <c r="W49" i="15"/>
  <c r="BQ50" i="3"/>
  <c r="BR50" i="3"/>
  <c r="GA50" i="3"/>
  <c r="X49" i="15"/>
  <c r="BP50" i="3"/>
  <c r="CC50" i="3"/>
  <c r="GB50" i="3"/>
  <c r="Y49" i="15"/>
  <c r="CP50" i="3"/>
  <c r="GC50" i="3"/>
  <c r="Z49" i="15"/>
  <c r="EY50" i="3"/>
  <c r="GF50" i="3"/>
  <c r="AC49" i="15"/>
  <c r="P52" i="3" a="1"/>
  <c r="P52" i="3"/>
  <c r="S52" i="3"/>
  <c r="FV52" i="3"/>
  <c r="FY52" i="3"/>
  <c r="V51" i="15"/>
  <c r="AV52" i="3"/>
  <c r="AU52" i="3"/>
  <c r="BD52" i="3"/>
  <c r="FZ52" i="3"/>
  <c r="W51" i="15"/>
  <c r="BQ52" i="3"/>
  <c r="BR52" i="3"/>
  <c r="GA52" i="3"/>
  <c r="X51" i="15"/>
  <c r="BP52" i="3"/>
  <c r="CC52" i="3"/>
  <c r="GB52" i="3"/>
  <c r="Y51" i="15"/>
  <c r="CP52" i="3"/>
  <c r="GC52" i="3"/>
  <c r="Z51" i="15"/>
  <c r="EY52" i="3"/>
  <c r="GF52" i="3"/>
  <c r="AC51" i="15"/>
  <c r="P53" i="3" a="1"/>
  <c r="P53" i="3"/>
  <c r="S53" i="3"/>
  <c r="FV53" i="3"/>
  <c r="FY53" i="3"/>
  <c r="V52" i="15"/>
  <c r="AV53" i="3"/>
  <c r="AU53" i="3"/>
  <c r="BD53" i="3"/>
  <c r="FZ53" i="3"/>
  <c r="W52" i="15"/>
  <c r="BQ53" i="3"/>
  <c r="BR53" i="3"/>
  <c r="GA53" i="3"/>
  <c r="X52" i="15"/>
  <c r="BP53" i="3"/>
  <c r="CC53" i="3"/>
  <c r="GB53" i="3"/>
  <c r="Y52" i="15"/>
  <c r="CP53" i="3"/>
  <c r="GC53" i="3"/>
  <c r="Z52" i="15"/>
  <c r="EY53" i="3"/>
  <c r="GF53" i="3"/>
  <c r="AC52" i="15"/>
  <c r="P54" i="3" a="1"/>
  <c r="P54" i="3"/>
  <c r="S54" i="3"/>
  <c r="FV54" i="3"/>
  <c r="FY54" i="3"/>
  <c r="V53" i="15"/>
  <c r="AV54" i="3"/>
  <c r="AU54" i="3"/>
  <c r="BD54" i="3"/>
  <c r="FZ54" i="3"/>
  <c r="W53" i="15"/>
  <c r="BQ54" i="3"/>
  <c r="BR54" i="3"/>
  <c r="GA54" i="3"/>
  <c r="X53" i="15"/>
  <c r="BP54" i="3"/>
  <c r="CC54" i="3"/>
  <c r="GB54" i="3"/>
  <c r="Y53" i="15"/>
  <c r="CP54" i="3"/>
  <c r="GC54" i="3"/>
  <c r="Z53" i="15"/>
  <c r="EY54" i="3"/>
  <c r="GF54" i="3"/>
  <c r="AC53" i="15"/>
  <c r="P55" i="3" a="1"/>
  <c r="P55" i="3"/>
  <c r="S55" i="3"/>
  <c r="FV55" i="3"/>
  <c r="FY55" i="3"/>
  <c r="V54" i="15"/>
  <c r="AV55" i="3"/>
  <c r="AU55" i="3"/>
  <c r="BD55" i="3"/>
  <c r="FZ55" i="3"/>
  <c r="W54" i="15"/>
  <c r="BQ55" i="3"/>
  <c r="BR55" i="3"/>
  <c r="GA55" i="3"/>
  <c r="X54" i="15"/>
  <c r="BP55" i="3"/>
  <c r="CC55" i="3"/>
  <c r="GB55" i="3"/>
  <c r="Y54" i="15"/>
  <c r="CP55" i="3"/>
  <c r="GC55" i="3"/>
  <c r="Z54" i="15"/>
  <c r="EY55" i="3"/>
  <c r="GF55" i="3"/>
  <c r="AC54" i="15"/>
  <c r="P56" i="3" a="1"/>
  <c r="P56" i="3"/>
  <c r="S56" i="3"/>
  <c r="FV56" i="3"/>
  <c r="FY56" i="3"/>
  <c r="V55" i="15"/>
  <c r="AV56" i="3"/>
  <c r="AU56" i="3"/>
  <c r="BD56" i="3"/>
  <c r="FZ56" i="3"/>
  <c r="W55" i="15"/>
  <c r="BQ56" i="3"/>
  <c r="BR56" i="3"/>
  <c r="GA56" i="3"/>
  <c r="X55" i="15"/>
  <c r="BP56" i="3"/>
  <c r="CC56" i="3"/>
  <c r="GB56" i="3"/>
  <c r="Y55" i="15"/>
  <c r="CP56" i="3"/>
  <c r="GC56" i="3"/>
  <c r="Z55" i="15"/>
  <c r="EY56" i="3"/>
  <c r="GF56" i="3"/>
  <c r="AC55" i="15"/>
  <c r="P57" i="3" a="1"/>
  <c r="P57" i="3"/>
  <c r="S57" i="3"/>
  <c r="FV57" i="3"/>
  <c r="FY57" i="3"/>
  <c r="V56" i="15"/>
  <c r="AV57" i="3"/>
  <c r="AU57" i="3"/>
  <c r="BD57" i="3"/>
  <c r="FZ57" i="3"/>
  <c r="W56" i="15"/>
  <c r="BQ57" i="3"/>
  <c r="BR57" i="3"/>
  <c r="GA57" i="3"/>
  <c r="X56" i="15"/>
  <c r="BP57" i="3"/>
  <c r="CC57" i="3"/>
  <c r="GB57" i="3"/>
  <c r="Y56" i="15"/>
  <c r="CP57" i="3"/>
  <c r="GC57" i="3"/>
  <c r="Z56" i="15"/>
  <c r="EY57" i="3"/>
  <c r="GF57" i="3"/>
  <c r="AC56" i="15"/>
  <c r="P58" i="3" a="1"/>
  <c r="P58" i="3"/>
  <c r="S58" i="3"/>
  <c r="FV58" i="3"/>
  <c r="FY58" i="3"/>
  <c r="V57" i="15"/>
  <c r="AV58" i="3"/>
  <c r="AU58" i="3"/>
  <c r="BD58" i="3"/>
  <c r="FZ58" i="3"/>
  <c r="W57" i="15"/>
  <c r="BQ58" i="3"/>
  <c r="BR58" i="3"/>
  <c r="GA58" i="3"/>
  <c r="X57" i="15"/>
  <c r="BP58" i="3"/>
  <c r="CC58" i="3"/>
  <c r="GB58" i="3"/>
  <c r="Y57" i="15"/>
  <c r="CP58" i="3"/>
  <c r="GC58" i="3"/>
  <c r="Z57" i="15"/>
  <c r="EY58" i="3"/>
  <c r="GF58" i="3"/>
  <c r="AC57" i="15"/>
  <c r="P59" i="3" a="1"/>
  <c r="P59" i="3"/>
  <c r="S59" i="3"/>
  <c r="FV59" i="3"/>
  <c r="FY59" i="3"/>
  <c r="V58" i="15"/>
  <c r="AV59" i="3"/>
  <c r="AU59" i="3"/>
  <c r="BD59" i="3"/>
  <c r="FZ59" i="3"/>
  <c r="W58" i="15"/>
  <c r="BQ59" i="3"/>
  <c r="BR59" i="3"/>
  <c r="GA59" i="3"/>
  <c r="X58" i="15"/>
  <c r="BP59" i="3"/>
  <c r="CC59" i="3"/>
  <c r="GB59" i="3"/>
  <c r="Y58" i="15"/>
  <c r="CP59" i="3"/>
  <c r="GC59" i="3"/>
  <c r="Z58" i="15"/>
  <c r="EY59" i="3"/>
  <c r="GF59" i="3"/>
  <c r="AC58" i="15"/>
  <c r="P60" i="3" a="1"/>
  <c r="P60" i="3"/>
  <c r="S60" i="3"/>
  <c r="FV60" i="3"/>
  <c r="FY60" i="3"/>
  <c r="V59" i="15"/>
  <c r="AV60" i="3"/>
  <c r="AU60" i="3"/>
  <c r="BD60" i="3"/>
  <c r="FZ60" i="3"/>
  <c r="W59" i="15"/>
  <c r="BQ60" i="3"/>
  <c r="BR60" i="3"/>
  <c r="GA60" i="3"/>
  <c r="X59" i="15"/>
  <c r="BP60" i="3"/>
  <c r="CC60" i="3"/>
  <c r="GB60" i="3"/>
  <c r="Y59" i="15"/>
  <c r="CP60" i="3"/>
  <c r="GC60" i="3"/>
  <c r="Z59" i="15"/>
  <c r="EY60" i="3"/>
  <c r="GF60" i="3"/>
  <c r="AC59" i="15"/>
  <c r="P62" i="3" a="1"/>
  <c r="P62" i="3"/>
  <c r="S62" i="3"/>
  <c r="FV62" i="3"/>
  <c r="FY62" i="3"/>
  <c r="V61" i="15"/>
  <c r="AV62" i="3"/>
  <c r="AU62" i="3"/>
  <c r="BD62" i="3"/>
  <c r="FZ62" i="3"/>
  <c r="W61" i="15"/>
  <c r="BQ62" i="3"/>
  <c r="BR62" i="3"/>
  <c r="GA62" i="3"/>
  <c r="X61" i="15"/>
  <c r="BP62" i="3"/>
  <c r="CC62" i="3"/>
  <c r="GB62" i="3"/>
  <c r="Y61" i="15"/>
  <c r="CP62" i="3"/>
  <c r="GC62" i="3"/>
  <c r="Z61" i="15"/>
  <c r="EY62" i="3"/>
  <c r="GF62" i="3"/>
  <c r="AC61" i="15"/>
  <c r="P63" i="3" a="1"/>
  <c r="P63" i="3"/>
  <c r="S63" i="3"/>
  <c r="FV63" i="3"/>
  <c r="FY63" i="3"/>
  <c r="V62" i="15"/>
  <c r="AV63" i="3"/>
  <c r="AU63" i="3"/>
  <c r="BD63" i="3"/>
  <c r="FZ63" i="3"/>
  <c r="W62" i="15"/>
  <c r="BQ63" i="3"/>
  <c r="BR63" i="3"/>
  <c r="GA63" i="3"/>
  <c r="X62" i="15"/>
  <c r="BP63" i="3"/>
  <c r="CC63" i="3"/>
  <c r="GB63" i="3"/>
  <c r="Y62" i="15"/>
  <c r="CP63" i="3"/>
  <c r="GC63" i="3"/>
  <c r="Z62" i="15"/>
  <c r="EY63" i="3"/>
  <c r="GF63" i="3"/>
  <c r="AC62" i="15"/>
  <c r="P64" i="3" a="1"/>
  <c r="P64" i="3"/>
  <c r="S64" i="3"/>
  <c r="FV64" i="3"/>
  <c r="FY64" i="3"/>
  <c r="V63" i="15"/>
  <c r="AV64" i="3"/>
  <c r="AU64" i="3"/>
  <c r="BD64" i="3"/>
  <c r="FZ64" i="3"/>
  <c r="W63" i="15"/>
  <c r="BQ64" i="3"/>
  <c r="BR64" i="3"/>
  <c r="GA64" i="3"/>
  <c r="X63" i="15"/>
  <c r="BP64" i="3"/>
  <c r="CC64" i="3"/>
  <c r="GB64" i="3"/>
  <c r="Y63" i="15"/>
  <c r="CP64" i="3"/>
  <c r="GC64" i="3"/>
  <c r="Z63" i="15"/>
  <c r="EY64" i="3"/>
  <c r="GF64" i="3"/>
  <c r="AC63" i="15"/>
  <c r="P65" i="3" a="1"/>
  <c r="P65" i="3"/>
  <c r="S65" i="3"/>
  <c r="FV65" i="3"/>
  <c r="FY65" i="3"/>
  <c r="V64" i="15"/>
  <c r="AV65" i="3"/>
  <c r="AU65" i="3"/>
  <c r="BD65" i="3"/>
  <c r="FZ65" i="3"/>
  <c r="W64" i="15"/>
  <c r="BQ65" i="3"/>
  <c r="BR65" i="3"/>
  <c r="GA65" i="3"/>
  <c r="X64" i="15"/>
  <c r="BP65" i="3"/>
  <c r="CC65" i="3"/>
  <c r="GB65" i="3"/>
  <c r="Y64" i="15"/>
  <c r="CP65" i="3"/>
  <c r="GC65" i="3"/>
  <c r="Z64" i="15"/>
  <c r="EY65" i="3"/>
  <c r="GF65" i="3"/>
  <c r="AC64" i="15"/>
  <c r="EZ15" i="3"/>
  <c r="FE15" i="3"/>
  <c r="EZ17" i="3"/>
  <c r="FE17" i="3"/>
  <c r="EZ22" i="3"/>
  <c r="FE22" i="3"/>
  <c r="EZ23" i="3"/>
  <c r="FE23" i="3"/>
  <c r="EZ24" i="3"/>
  <c r="FE24" i="3"/>
  <c r="EZ26" i="3"/>
  <c r="FE26" i="3"/>
  <c r="EZ27" i="3"/>
  <c r="FE27" i="3"/>
  <c r="EZ28" i="3"/>
  <c r="FE28" i="3"/>
  <c r="EZ29" i="3"/>
  <c r="FE29" i="3"/>
  <c r="EZ32" i="3"/>
  <c r="FE32" i="3"/>
  <c r="EZ33" i="3"/>
  <c r="FE33" i="3"/>
  <c r="EZ40" i="3"/>
  <c r="FE40" i="3"/>
  <c r="EZ50" i="3"/>
  <c r="FE50" i="3"/>
  <c r="FE76" i="3"/>
  <c r="FE81" i="3"/>
  <c r="FE82" i="3"/>
  <c r="FE86" i="3"/>
  <c r="FE88" i="3"/>
  <c r="FE90" i="3"/>
  <c r="FE95" i="3"/>
  <c r="FE96" i="3"/>
  <c r="FE101" i="3"/>
  <c r="FE105" i="3"/>
  <c r="FE111" i="3"/>
  <c r="FE118" i="3"/>
  <c r="FE130" i="3"/>
  <c r="FE132" i="3"/>
  <c r="FE134" i="3"/>
  <c r="FE141" i="3"/>
  <c r="FE142" i="3"/>
  <c r="FE148" i="3"/>
  <c r="FE151" i="3"/>
  <c r="FE153" i="3"/>
  <c r="FE154" i="3"/>
  <c r="AW15" i="3"/>
  <c r="AZ15" i="3"/>
  <c r="BA15" i="3"/>
  <c r="D14" i="15"/>
  <c r="BF15" i="3"/>
  <c r="BG15" i="3"/>
  <c r="E14" i="15"/>
  <c r="BS15" i="3"/>
  <c r="BV15" i="3"/>
  <c r="BY15" i="3"/>
  <c r="CA15" i="3"/>
  <c r="F14" i="15"/>
  <c r="CB15" i="3"/>
  <c r="CD15" i="3"/>
  <c r="CN15" i="3"/>
  <c r="G14" i="15"/>
  <c r="CO15" i="3"/>
  <c r="CQ15" i="3"/>
  <c r="DA15" i="3"/>
  <c r="H14" i="15"/>
  <c r="DB15" i="3"/>
  <c r="DC15" i="3"/>
  <c r="DF15" i="3"/>
  <c r="DL15" i="3"/>
  <c r="I14" i="15"/>
  <c r="DM15" i="3"/>
  <c r="DN15" i="3"/>
  <c r="DQ15" i="3"/>
  <c r="DW15" i="3"/>
  <c r="J14" i="15"/>
  <c r="DX15" i="3"/>
  <c r="DZ15" i="3"/>
  <c r="EJ15" i="3"/>
  <c r="K14" i="15"/>
  <c r="EK15" i="3"/>
  <c r="EM15" i="3"/>
  <c r="EW15" i="3"/>
  <c r="L14" i="15"/>
  <c r="EX15" i="3"/>
  <c r="FJ15" i="3"/>
  <c r="M14" i="15"/>
  <c r="FK15" i="3"/>
  <c r="FL15" i="3"/>
  <c r="FO15" i="3"/>
  <c r="FR15" i="3"/>
  <c r="FT15" i="3"/>
  <c r="N14" i="15"/>
  <c r="C14" i="15"/>
  <c r="AW16" i="3"/>
  <c r="AZ16" i="3"/>
  <c r="BA16" i="3"/>
  <c r="D15" i="15"/>
  <c r="BF16" i="3"/>
  <c r="BG16" i="3"/>
  <c r="E15" i="15"/>
  <c r="BS16" i="3"/>
  <c r="BN16" i="3"/>
  <c r="BU16" i="3"/>
  <c r="BV16" i="3"/>
  <c r="BY16" i="3"/>
  <c r="CA16" i="3"/>
  <c r="F15" i="15"/>
  <c r="CB16" i="3"/>
  <c r="CD16" i="3"/>
  <c r="CG16" i="3"/>
  <c r="CN16" i="3"/>
  <c r="G15" i="15"/>
  <c r="CO16" i="3"/>
  <c r="CQ16" i="3"/>
  <c r="CT16" i="3"/>
  <c r="DA16" i="3"/>
  <c r="H15" i="15"/>
  <c r="DB16" i="3"/>
  <c r="DC16" i="3"/>
  <c r="DE16" i="3"/>
  <c r="DF16" i="3"/>
  <c r="DL16" i="3"/>
  <c r="I15" i="15"/>
  <c r="DM16" i="3"/>
  <c r="DN16" i="3"/>
  <c r="DP16" i="3"/>
  <c r="DQ16" i="3"/>
  <c r="DW16" i="3"/>
  <c r="J15" i="15"/>
  <c r="DX16" i="3"/>
  <c r="DZ16" i="3"/>
  <c r="EC16" i="3"/>
  <c r="EJ16" i="3"/>
  <c r="K15" i="15"/>
  <c r="EK16" i="3"/>
  <c r="EM16" i="3"/>
  <c r="EP16" i="3"/>
  <c r="EW16" i="3"/>
  <c r="L15" i="15"/>
  <c r="EX16" i="3"/>
  <c r="EZ16" i="3"/>
  <c r="FC16" i="3"/>
  <c r="FJ16" i="3"/>
  <c r="M15" i="15"/>
  <c r="FK16" i="3"/>
  <c r="FL16" i="3"/>
  <c r="FN16" i="3"/>
  <c r="FO16" i="3"/>
  <c r="FR16" i="3"/>
  <c r="FT16" i="3"/>
  <c r="N15" i="15"/>
  <c r="C15" i="15"/>
  <c r="AW17" i="3"/>
  <c r="AZ17" i="3"/>
  <c r="BA17" i="3"/>
  <c r="D16" i="15"/>
  <c r="BF17" i="3"/>
  <c r="BG17" i="3"/>
  <c r="E16" i="15"/>
  <c r="BS17" i="3"/>
  <c r="BV17" i="3"/>
  <c r="BY17" i="3"/>
  <c r="CA17" i="3"/>
  <c r="F16" i="15"/>
  <c r="CB17" i="3"/>
  <c r="CD17" i="3"/>
  <c r="CN17" i="3"/>
  <c r="G16" i="15"/>
  <c r="CO17" i="3"/>
  <c r="CQ17" i="3"/>
  <c r="DA17" i="3"/>
  <c r="H16" i="15"/>
  <c r="DB17" i="3"/>
  <c r="DC17" i="3"/>
  <c r="DF17" i="3"/>
  <c r="DL17" i="3"/>
  <c r="I16" i="15"/>
  <c r="DM17" i="3"/>
  <c r="DN17" i="3"/>
  <c r="DQ17" i="3"/>
  <c r="DW17" i="3"/>
  <c r="J16" i="15"/>
  <c r="DX17" i="3"/>
  <c r="DZ17" i="3"/>
  <c r="EJ17" i="3"/>
  <c r="K16" i="15"/>
  <c r="EK17" i="3"/>
  <c r="EM17" i="3"/>
  <c r="EW17" i="3"/>
  <c r="L16" i="15"/>
  <c r="EX17" i="3"/>
  <c r="FJ17" i="3"/>
  <c r="M16" i="15"/>
  <c r="FK17" i="3"/>
  <c r="FL17" i="3"/>
  <c r="FO17" i="3"/>
  <c r="FR17" i="3"/>
  <c r="FT17" i="3"/>
  <c r="N16" i="15"/>
  <c r="C16" i="15"/>
  <c r="AW18" i="3"/>
  <c r="AZ18" i="3"/>
  <c r="BA18" i="3"/>
  <c r="D17" i="15"/>
  <c r="BF18" i="3"/>
  <c r="BG18" i="3"/>
  <c r="E17" i="15"/>
  <c r="BS18" i="3"/>
  <c r="BN18" i="3"/>
  <c r="BU18" i="3"/>
  <c r="BV18" i="3"/>
  <c r="BY18" i="3"/>
  <c r="CA18" i="3"/>
  <c r="F17" i="15"/>
  <c r="CB18" i="3"/>
  <c r="CD18" i="3"/>
  <c r="CG18" i="3"/>
  <c r="CN18" i="3"/>
  <c r="G17" i="15"/>
  <c r="CO18" i="3"/>
  <c r="CQ18" i="3"/>
  <c r="CT18" i="3"/>
  <c r="DA18" i="3"/>
  <c r="H17" i="15"/>
  <c r="DB18" i="3"/>
  <c r="DC18" i="3"/>
  <c r="DE18" i="3"/>
  <c r="DF18" i="3"/>
  <c r="DL18" i="3"/>
  <c r="I17" i="15"/>
  <c r="DM18" i="3"/>
  <c r="DN18" i="3"/>
  <c r="DP18" i="3"/>
  <c r="DQ18" i="3"/>
  <c r="DW18" i="3"/>
  <c r="J17" i="15"/>
  <c r="DX18" i="3"/>
  <c r="DZ18" i="3"/>
  <c r="EC18" i="3"/>
  <c r="EJ18" i="3"/>
  <c r="K17" i="15"/>
  <c r="EK18" i="3"/>
  <c r="EM18" i="3"/>
  <c r="EP18" i="3"/>
  <c r="EW18" i="3"/>
  <c r="L17" i="15"/>
  <c r="EX18" i="3"/>
  <c r="EZ18" i="3"/>
  <c r="FC18" i="3"/>
  <c r="FJ18" i="3"/>
  <c r="M17" i="15"/>
  <c r="FK18" i="3"/>
  <c r="FL18" i="3"/>
  <c r="FN18" i="3"/>
  <c r="FO18" i="3"/>
  <c r="FR18" i="3"/>
  <c r="FT18" i="3"/>
  <c r="N17" i="15"/>
  <c r="C17" i="15"/>
  <c r="AW19" i="3"/>
  <c r="AZ19" i="3"/>
  <c r="BA19" i="3"/>
  <c r="D18" i="15"/>
  <c r="BF19" i="3"/>
  <c r="BG19" i="3"/>
  <c r="E18" i="15"/>
  <c r="BS19" i="3"/>
  <c r="BN19" i="3"/>
  <c r="BU19" i="3"/>
  <c r="BV19" i="3"/>
  <c r="BY19" i="3"/>
  <c r="CA19" i="3"/>
  <c r="F18" i="15"/>
  <c r="CB19" i="3"/>
  <c r="CD19" i="3"/>
  <c r="CG19" i="3"/>
  <c r="CN19" i="3"/>
  <c r="G18" i="15"/>
  <c r="CO19" i="3"/>
  <c r="CQ19" i="3"/>
  <c r="CT19" i="3"/>
  <c r="DA19" i="3"/>
  <c r="H18" i="15"/>
  <c r="DB19" i="3"/>
  <c r="DC19" i="3"/>
  <c r="DE19" i="3"/>
  <c r="DF19" i="3"/>
  <c r="DL19" i="3"/>
  <c r="I18" i="15"/>
  <c r="DM19" i="3"/>
  <c r="DN19" i="3"/>
  <c r="DP19" i="3"/>
  <c r="DQ19" i="3"/>
  <c r="DW19" i="3"/>
  <c r="J18" i="15"/>
  <c r="DX19" i="3"/>
  <c r="DZ19" i="3"/>
  <c r="EC19" i="3"/>
  <c r="EJ19" i="3"/>
  <c r="K18" i="15"/>
  <c r="EK19" i="3"/>
  <c r="EM19" i="3"/>
  <c r="EP19" i="3"/>
  <c r="EW19" i="3"/>
  <c r="L18" i="15"/>
  <c r="EX19" i="3"/>
  <c r="EZ19" i="3"/>
  <c r="FC19" i="3"/>
  <c r="FJ19" i="3"/>
  <c r="M18" i="15"/>
  <c r="FK19" i="3"/>
  <c r="FL19" i="3"/>
  <c r="FN19" i="3"/>
  <c r="FO19" i="3"/>
  <c r="FR19" i="3"/>
  <c r="FT19" i="3"/>
  <c r="N18" i="15"/>
  <c r="C18" i="15"/>
  <c r="AW20" i="3"/>
  <c r="AZ20" i="3"/>
  <c r="BA20" i="3"/>
  <c r="D19" i="15"/>
  <c r="BF20" i="3"/>
  <c r="BG20" i="3"/>
  <c r="E19" i="15"/>
  <c r="BS20" i="3"/>
  <c r="BN20" i="3"/>
  <c r="BU20" i="3"/>
  <c r="BV20" i="3"/>
  <c r="BY20" i="3"/>
  <c r="CA20" i="3"/>
  <c r="F19" i="15"/>
  <c r="CB20" i="3"/>
  <c r="CD20" i="3"/>
  <c r="CG20" i="3"/>
  <c r="CN20" i="3"/>
  <c r="G19" i="15"/>
  <c r="CO20" i="3"/>
  <c r="CQ20" i="3"/>
  <c r="CT20" i="3"/>
  <c r="DA20" i="3"/>
  <c r="H19" i="15"/>
  <c r="DB20" i="3"/>
  <c r="DC20" i="3"/>
  <c r="DE20" i="3"/>
  <c r="DF20" i="3"/>
  <c r="DL20" i="3"/>
  <c r="I19" i="15"/>
  <c r="DM20" i="3"/>
  <c r="DN20" i="3"/>
  <c r="DP20" i="3"/>
  <c r="DQ20" i="3"/>
  <c r="DW20" i="3"/>
  <c r="J19" i="15"/>
  <c r="DX20" i="3"/>
  <c r="DZ20" i="3"/>
  <c r="EC20" i="3"/>
  <c r="EJ20" i="3"/>
  <c r="K19" i="15"/>
  <c r="EK20" i="3"/>
  <c r="EM20" i="3"/>
  <c r="EP20" i="3"/>
  <c r="EW20" i="3"/>
  <c r="L19" i="15"/>
  <c r="EX20" i="3"/>
  <c r="EZ20" i="3"/>
  <c r="FC20" i="3"/>
  <c r="FJ20" i="3"/>
  <c r="M19" i="15"/>
  <c r="FK20" i="3"/>
  <c r="FL20" i="3"/>
  <c r="FN20" i="3"/>
  <c r="FO20" i="3"/>
  <c r="FR20" i="3"/>
  <c r="FT20" i="3"/>
  <c r="N19" i="15"/>
  <c r="C19" i="15"/>
  <c r="AW21" i="3"/>
  <c r="AZ21" i="3"/>
  <c r="BA21" i="3"/>
  <c r="D20" i="15"/>
  <c r="BF21" i="3"/>
  <c r="BG21" i="3"/>
  <c r="E20" i="15"/>
  <c r="BS21" i="3"/>
  <c r="BN21" i="3"/>
  <c r="BU21" i="3"/>
  <c r="BV21" i="3"/>
  <c r="BY21" i="3"/>
  <c r="CA21" i="3"/>
  <c r="F20" i="15"/>
  <c r="CB21" i="3"/>
  <c r="CD21" i="3"/>
  <c r="CG21" i="3"/>
  <c r="CN21" i="3"/>
  <c r="G20" i="15"/>
  <c r="CO21" i="3"/>
  <c r="CQ21" i="3"/>
  <c r="CT21" i="3"/>
  <c r="DA21" i="3"/>
  <c r="H20" i="15"/>
  <c r="DB21" i="3"/>
  <c r="DC21" i="3"/>
  <c r="DE21" i="3"/>
  <c r="DF21" i="3"/>
  <c r="DL21" i="3"/>
  <c r="I20" i="15"/>
  <c r="DM21" i="3"/>
  <c r="DN21" i="3"/>
  <c r="DP21" i="3"/>
  <c r="DQ21" i="3"/>
  <c r="DW21" i="3"/>
  <c r="J20" i="15"/>
  <c r="DX21" i="3"/>
  <c r="DZ21" i="3"/>
  <c r="EC21" i="3"/>
  <c r="EJ21" i="3"/>
  <c r="K20" i="15"/>
  <c r="EK21" i="3"/>
  <c r="EM21" i="3"/>
  <c r="EP21" i="3"/>
  <c r="EW21" i="3"/>
  <c r="L20" i="15"/>
  <c r="EX21" i="3"/>
  <c r="EZ21" i="3"/>
  <c r="FC21" i="3"/>
  <c r="FJ21" i="3"/>
  <c r="M20" i="15"/>
  <c r="FK21" i="3"/>
  <c r="FL21" i="3"/>
  <c r="FN21" i="3"/>
  <c r="FO21" i="3"/>
  <c r="FR21" i="3"/>
  <c r="FT21" i="3"/>
  <c r="N20" i="15"/>
  <c r="C20" i="15"/>
  <c r="AW22" i="3"/>
  <c r="AZ22" i="3"/>
  <c r="BA22" i="3"/>
  <c r="D21" i="15"/>
  <c r="BF22" i="3"/>
  <c r="BG22" i="3"/>
  <c r="E21" i="15"/>
  <c r="BS22" i="3"/>
  <c r="BV22" i="3"/>
  <c r="BY22" i="3"/>
  <c r="CA22" i="3"/>
  <c r="F21" i="15"/>
  <c r="CB22" i="3"/>
  <c r="CD22" i="3"/>
  <c r="CN22" i="3"/>
  <c r="G21" i="15"/>
  <c r="CO22" i="3"/>
  <c r="CQ22" i="3"/>
  <c r="DA22" i="3"/>
  <c r="H21" i="15"/>
  <c r="DB22" i="3"/>
  <c r="DC22" i="3"/>
  <c r="DF22" i="3"/>
  <c r="DL22" i="3"/>
  <c r="I21" i="15"/>
  <c r="DM22" i="3"/>
  <c r="DN22" i="3"/>
  <c r="DQ22" i="3"/>
  <c r="DW22" i="3"/>
  <c r="J21" i="15"/>
  <c r="DX22" i="3"/>
  <c r="DZ22" i="3"/>
  <c r="EJ22" i="3"/>
  <c r="K21" i="15"/>
  <c r="EK22" i="3"/>
  <c r="EM22" i="3"/>
  <c r="EW22" i="3"/>
  <c r="L21" i="15"/>
  <c r="EX22" i="3"/>
  <c r="FJ22" i="3"/>
  <c r="M21" i="15"/>
  <c r="FK22" i="3"/>
  <c r="FL22" i="3"/>
  <c r="FO22" i="3"/>
  <c r="FR22" i="3"/>
  <c r="FT22" i="3"/>
  <c r="N21" i="15"/>
  <c r="C21" i="15"/>
  <c r="AW23" i="3"/>
  <c r="AZ23" i="3"/>
  <c r="BA23" i="3"/>
  <c r="D22" i="15"/>
  <c r="BF23" i="3"/>
  <c r="BG23" i="3"/>
  <c r="E22" i="15"/>
  <c r="BS23" i="3"/>
  <c r="BV23" i="3"/>
  <c r="BY23" i="3"/>
  <c r="CA23" i="3"/>
  <c r="F22" i="15"/>
  <c r="CB23" i="3"/>
  <c r="CD23" i="3"/>
  <c r="CN23" i="3"/>
  <c r="G22" i="15"/>
  <c r="CO23" i="3"/>
  <c r="CQ23" i="3"/>
  <c r="DA23" i="3"/>
  <c r="H22" i="15"/>
  <c r="DB23" i="3"/>
  <c r="DC23" i="3"/>
  <c r="DF23" i="3"/>
  <c r="DL23" i="3"/>
  <c r="I22" i="15"/>
  <c r="DM23" i="3"/>
  <c r="DN23" i="3"/>
  <c r="DQ23" i="3"/>
  <c r="DW23" i="3"/>
  <c r="J22" i="15"/>
  <c r="DX23" i="3"/>
  <c r="DZ23" i="3"/>
  <c r="EJ23" i="3"/>
  <c r="K22" i="15"/>
  <c r="EK23" i="3"/>
  <c r="EM23" i="3"/>
  <c r="EW23" i="3"/>
  <c r="L22" i="15"/>
  <c r="EX23" i="3"/>
  <c r="FJ23" i="3"/>
  <c r="M22" i="15"/>
  <c r="FK23" i="3"/>
  <c r="FL23" i="3"/>
  <c r="FO23" i="3"/>
  <c r="FR23" i="3"/>
  <c r="FT23" i="3"/>
  <c r="N22" i="15"/>
  <c r="C22" i="15"/>
  <c r="AW24" i="3"/>
  <c r="AZ24" i="3"/>
  <c r="BA24" i="3"/>
  <c r="D23" i="15"/>
  <c r="BF24" i="3"/>
  <c r="BG24" i="3"/>
  <c r="E23" i="15"/>
  <c r="BS24" i="3"/>
  <c r="BV24" i="3"/>
  <c r="BY24" i="3"/>
  <c r="CA24" i="3"/>
  <c r="F23" i="15"/>
  <c r="CB24" i="3"/>
  <c r="CD24" i="3"/>
  <c r="CN24" i="3"/>
  <c r="G23" i="15"/>
  <c r="CO24" i="3"/>
  <c r="CQ24" i="3"/>
  <c r="DA24" i="3"/>
  <c r="H23" i="15"/>
  <c r="DB24" i="3"/>
  <c r="DC24" i="3"/>
  <c r="DF24" i="3"/>
  <c r="DL24" i="3"/>
  <c r="I23" i="15"/>
  <c r="DM24" i="3"/>
  <c r="DN24" i="3"/>
  <c r="DQ24" i="3"/>
  <c r="DW24" i="3"/>
  <c r="J23" i="15"/>
  <c r="DX24" i="3"/>
  <c r="DZ24" i="3"/>
  <c r="EJ24" i="3"/>
  <c r="K23" i="15"/>
  <c r="EK24" i="3"/>
  <c r="EM24" i="3"/>
  <c r="EW24" i="3"/>
  <c r="L23" i="15"/>
  <c r="EX24" i="3"/>
  <c r="FJ24" i="3"/>
  <c r="M23" i="15"/>
  <c r="FK24" i="3"/>
  <c r="FL24" i="3"/>
  <c r="FO24" i="3"/>
  <c r="FR24" i="3"/>
  <c r="FT24" i="3"/>
  <c r="N23" i="15"/>
  <c r="C23" i="15"/>
  <c r="AW25" i="3"/>
  <c r="AZ25" i="3"/>
  <c r="BA25" i="3"/>
  <c r="D24" i="15"/>
  <c r="BF25" i="3"/>
  <c r="BG25" i="3"/>
  <c r="E24" i="15"/>
  <c r="BS25" i="3"/>
  <c r="BN25" i="3"/>
  <c r="BU25" i="3"/>
  <c r="BV25" i="3"/>
  <c r="BY25" i="3"/>
  <c r="CA25" i="3"/>
  <c r="F24" i="15"/>
  <c r="CB25" i="3"/>
  <c r="CD25" i="3"/>
  <c r="CG25" i="3"/>
  <c r="CN25" i="3"/>
  <c r="G24" i="15"/>
  <c r="CO25" i="3"/>
  <c r="CQ25" i="3"/>
  <c r="CT25" i="3"/>
  <c r="DA25" i="3"/>
  <c r="H24" i="15"/>
  <c r="DB25" i="3"/>
  <c r="DC25" i="3"/>
  <c r="DE25" i="3"/>
  <c r="DF25" i="3"/>
  <c r="DL25" i="3"/>
  <c r="I24" i="15"/>
  <c r="DM25" i="3"/>
  <c r="DN25" i="3"/>
  <c r="DP25" i="3"/>
  <c r="DQ25" i="3"/>
  <c r="DW25" i="3"/>
  <c r="J24" i="15"/>
  <c r="DX25" i="3"/>
  <c r="DZ25" i="3"/>
  <c r="EC25" i="3"/>
  <c r="EJ25" i="3"/>
  <c r="K24" i="15"/>
  <c r="EK25" i="3"/>
  <c r="EM25" i="3"/>
  <c r="EP25" i="3"/>
  <c r="EW25" i="3"/>
  <c r="L24" i="15"/>
  <c r="EX25" i="3"/>
  <c r="EZ25" i="3"/>
  <c r="FC25" i="3"/>
  <c r="FJ25" i="3"/>
  <c r="M24" i="15"/>
  <c r="FK25" i="3"/>
  <c r="FL25" i="3"/>
  <c r="FN25" i="3"/>
  <c r="FO25" i="3"/>
  <c r="FR25" i="3"/>
  <c r="FT25" i="3"/>
  <c r="N24" i="15"/>
  <c r="C24" i="15"/>
  <c r="AW26" i="3"/>
  <c r="AZ26" i="3"/>
  <c r="BA26" i="3"/>
  <c r="D25" i="15"/>
  <c r="BF26" i="3"/>
  <c r="BG26" i="3"/>
  <c r="E25" i="15"/>
  <c r="BS26" i="3"/>
  <c r="BV26" i="3"/>
  <c r="BY26" i="3"/>
  <c r="CA26" i="3"/>
  <c r="F25" i="15"/>
  <c r="CB26" i="3"/>
  <c r="CD26" i="3"/>
  <c r="CN26" i="3"/>
  <c r="G25" i="15"/>
  <c r="CO26" i="3"/>
  <c r="CQ26" i="3"/>
  <c r="DA26" i="3"/>
  <c r="H25" i="15"/>
  <c r="DB26" i="3"/>
  <c r="DC26" i="3"/>
  <c r="DF26" i="3"/>
  <c r="DL26" i="3"/>
  <c r="I25" i="15"/>
  <c r="DM26" i="3"/>
  <c r="DN26" i="3"/>
  <c r="DQ26" i="3"/>
  <c r="DW26" i="3"/>
  <c r="J25" i="15"/>
  <c r="DX26" i="3"/>
  <c r="DZ26" i="3"/>
  <c r="EJ26" i="3"/>
  <c r="K25" i="15"/>
  <c r="EK26" i="3"/>
  <c r="EM26" i="3"/>
  <c r="EW26" i="3"/>
  <c r="L25" i="15"/>
  <c r="EX26" i="3"/>
  <c r="FJ26" i="3"/>
  <c r="M25" i="15"/>
  <c r="FK26" i="3"/>
  <c r="FL26" i="3"/>
  <c r="FO26" i="3"/>
  <c r="FR26" i="3"/>
  <c r="FT26" i="3"/>
  <c r="N25" i="15"/>
  <c r="C25" i="15"/>
  <c r="AW27" i="3"/>
  <c r="AZ27" i="3"/>
  <c r="BA27" i="3"/>
  <c r="D26" i="15"/>
  <c r="BF27" i="3"/>
  <c r="BG27" i="3"/>
  <c r="E26" i="15"/>
  <c r="BS27" i="3"/>
  <c r="BV27" i="3"/>
  <c r="BY27" i="3"/>
  <c r="CA27" i="3"/>
  <c r="F26" i="15"/>
  <c r="CB27" i="3"/>
  <c r="CD27" i="3"/>
  <c r="CN27" i="3"/>
  <c r="G26" i="15"/>
  <c r="CO27" i="3"/>
  <c r="CQ27" i="3"/>
  <c r="DA27" i="3"/>
  <c r="H26" i="15"/>
  <c r="DB27" i="3"/>
  <c r="DC27" i="3"/>
  <c r="DF27" i="3"/>
  <c r="DL27" i="3"/>
  <c r="I26" i="15"/>
  <c r="DM27" i="3"/>
  <c r="DN27" i="3"/>
  <c r="DQ27" i="3"/>
  <c r="DW27" i="3"/>
  <c r="J26" i="15"/>
  <c r="DX27" i="3"/>
  <c r="DZ27" i="3"/>
  <c r="EJ27" i="3"/>
  <c r="K26" i="15"/>
  <c r="EK27" i="3"/>
  <c r="EM27" i="3"/>
  <c r="EW27" i="3"/>
  <c r="L26" i="15"/>
  <c r="EX27" i="3"/>
  <c r="FJ27" i="3"/>
  <c r="M26" i="15"/>
  <c r="FK27" i="3"/>
  <c r="FL27" i="3"/>
  <c r="FO27" i="3"/>
  <c r="FR27" i="3"/>
  <c r="FT27" i="3"/>
  <c r="N26" i="15"/>
  <c r="C26" i="15"/>
  <c r="AW28" i="3"/>
  <c r="AZ28" i="3"/>
  <c r="BA28" i="3"/>
  <c r="D27" i="15"/>
  <c r="BF28" i="3"/>
  <c r="BG28" i="3"/>
  <c r="E27" i="15"/>
  <c r="BS28" i="3"/>
  <c r="BV28" i="3"/>
  <c r="BY28" i="3"/>
  <c r="CA28" i="3"/>
  <c r="F27" i="15"/>
  <c r="CB28" i="3"/>
  <c r="CD28" i="3"/>
  <c r="CN28" i="3"/>
  <c r="G27" i="15"/>
  <c r="CO28" i="3"/>
  <c r="CQ28" i="3"/>
  <c r="DA28" i="3"/>
  <c r="H27" i="15"/>
  <c r="DB28" i="3"/>
  <c r="DC28" i="3"/>
  <c r="DF28" i="3"/>
  <c r="DL28" i="3"/>
  <c r="I27" i="15"/>
  <c r="DM28" i="3"/>
  <c r="DN28" i="3"/>
  <c r="DQ28" i="3"/>
  <c r="DW28" i="3"/>
  <c r="J27" i="15"/>
  <c r="DX28" i="3"/>
  <c r="DZ28" i="3"/>
  <c r="EJ28" i="3"/>
  <c r="K27" i="15"/>
  <c r="EK28" i="3"/>
  <c r="EM28" i="3"/>
  <c r="EW28" i="3"/>
  <c r="L27" i="15"/>
  <c r="EX28" i="3"/>
  <c r="FJ28" i="3"/>
  <c r="M27" i="15"/>
  <c r="FK28" i="3"/>
  <c r="FL28" i="3"/>
  <c r="FO28" i="3"/>
  <c r="FR28" i="3"/>
  <c r="FT28" i="3"/>
  <c r="N27" i="15"/>
  <c r="C27" i="15"/>
  <c r="AW29" i="3"/>
  <c r="AZ29" i="3"/>
  <c r="BA29" i="3"/>
  <c r="D28" i="15"/>
  <c r="BF29" i="3"/>
  <c r="BG29" i="3"/>
  <c r="E28" i="15"/>
  <c r="BS29" i="3"/>
  <c r="BV29" i="3"/>
  <c r="BY29" i="3"/>
  <c r="CA29" i="3"/>
  <c r="F28" i="15"/>
  <c r="CB29" i="3"/>
  <c r="CD29" i="3"/>
  <c r="CN29" i="3"/>
  <c r="G28" i="15"/>
  <c r="CO29" i="3"/>
  <c r="CQ29" i="3"/>
  <c r="DA29" i="3"/>
  <c r="H28" i="15"/>
  <c r="DB29" i="3"/>
  <c r="DC29" i="3"/>
  <c r="DF29" i="3"/>
  <c r="DL29" i="3"/>
  <c r="I28" i="15"/>
  <c r="DM29" i="3"/>
  <c r="DN29" i="3"/>
  <c r="DQ29" i="3"/>
  <c r="DW29" i="3"/>
  <c r="J28" i="15"/>
  <c r="DX29" i="3"/>
  <c r="DZ29" i="3"/>
  <c r="EJ29" i="3"/>
  <c r="K28" i="15"/>
  <c r="EK29" i="3"/>
  <c r="EM29" i="3"/>
  <c r="EW29" i="3"/>
  <c r="L28" i="15"/>
  <c r="EX29" i="3"/>
  <c r="FJ29" i="3"/>
  <c r="M28" i="15"/>
  <c r="FK29" i="3"/>
  <c r="FL29" i="3"/>
  <c r="FO29" i="3"/>
  <c r="FR29" i="3"/>
  <c r="FT29" i="3"/>
  <c r="N28" i="15"/>
  <c r="C28" i="15"/>
  <c r="AW30" i="3"/>
  <c r="AZ30" i="3"/>
  <c r="BA30" i="3"/>
  <c r="D29" i="15"/>
  <c r="BF30" i="3"/>
  <c r="BG30" i="3"/>
  <c r="E29" i="15"/>
  <c r="BS30" i="3"/>
  <c r="BN30" i="3"/>
  <c r="BU30" i="3"/>
  <c r="BV30" i="3"/>
  <c r="BY30" i="3"/>
  <c r="CA30" i="3"/>
  <c r="F29" i="15"/>
  <c r="CB30" i="3"/>
  <c r="CD30" i="3"/>
  <c r="CG30" i="3"/>
  <c r="CN30" i="3"/>
  <c r="G29" i="15"/>
  <c r="CO30" i="3"/>
  <c r="CQ30" i="3"/>
  <c r="CT30" i="3"/>
  <c r="DA30" i="3"/>
  <c r="H29" i="15"/>
  <c r="DB30" i="3"/>
  <c r="DC30" i="3"/>
  <c r="DE30" i="3"/>
  <c r="DF30" i="3"/>
  <c r="DL30" i="3"/>
  <c r="I29" i="15"/>
  <c r="DM30" i="3"/>
  <c r="DN30" i="3"/>
  <c r="DP30" i="3"/>
  <c r="DQ30" i="3"/>
  <c r="DW30" i="3"/>
  <c r="J29" i="15"/>
  <c r="DX30" i="3"/>
  <c r="DZ30" i="3"/>
  <c r="EC30" i="3"/>
  <c r="EJ30" i="3"/>
  <c r="K29" i="15"/>
  <c r="EK30" i="3"/>
  <c r="EM30" i="3"/>
  <c r="EP30" i="3"/>
  <c r="EW30" i="3"/>
  <c r="L29" i="15"/>
  <c r="EX30" i="3"/>
  <c r="EZ30" i="3"/>
  <c r="FC30" i="3"/>
  <c r="FJ30" i="3"/>
  <c r="M29" i="15"/>
  <c r="FK30" i="3"/>
  <c r="FL30" i="3"/>
  <c r="FN30" i="3"/>
  <c r="FO30" i="3"/>
  <c r="FR30" i="3"/>
  <c r="FT30" i="3"/>
  <c r="N29" i="15"/>
  <c r="C29" i="15"/>
  <c r="AW31" i="3"/>
  <c r="AZ31" i="3"/>
  <c r="BA31" i="3"/>
  <c r="D30" i="15"/>
  <c r="BF31" i="3"/>
  <c r="BG31" i="3"/>
  <c r="E30" i="15"/>
  <c r="BS31" i="3"/>
  <c r="BN31" i="3"/>
  <c r="BU31" i="3"/>
  <c r="BV31" i="3"/>
  <c r="BY31" i="3"/>
  <c r="CA31" i="3"/>
  <c r="F30" i="15"/>
  <c r="CB31" i="3"/>
  <c r="CD31" i="3"/>
  <c r="CG31" i="3"/>
  <c r="CN31" i="3"/>
  <c r="G30" i="15"/>
  <c r="CO31" i="3"/>
  <c r="CQ31" i="3"/>
  <c r="CT31" i="3"/>
  <c r="DA31" i="3"/>
  <c r="H30" i="15"/>
  <c r="DB31" i="3"/>
  <c r="DC31" i="3"/>
  <c r="DE31" i="3"/>
  <c r="DF31" i="3"/>
  <c r="DL31" i="3"/>
  <c r="I30" i="15"/>
  <c r="DM31" i="3"/>
  <c r="DN31" i="3"/>
  <c r="DP31" i="3"/>
  <c r="DQ31" i="3"/>
  <c r="DW31" i="3"/>
  <c r="J30" i="15"/>
  <c r="DX31" i="3"/>
  <c r="DZ31" i="3"/>
  <c r="EC31" i="3"/>
  <c r="EJ31" i="3"/>
  <c r="K30" i="15"/>
  <c r="EK31" i="3"/>
  <c r="EM31" i="3"/>
  <c r="EP31" i="3"/>
  <c r="EW31" i="3"/>
  <c r="L30" i="15"/>
  <c r="EX31" i="3"/>
  <c r="EZ31" i="3"/>
  <c r="FC31" i="3"/>
  <c r="FJ31" i="3"/>
  <c r="M30" i="15"/>
  <c r="FK31" i="3"/>
  <c r="FL31" i="3"/>
  <c r="FN31" i="3"/>
  <c r="FO31" i="3"/>
  <c r="FR31" i="3"/>
  <c r="FT31" i="3"/>
  <c r="N30" i="15"/>
  <c r="C30" i="15"/>
  <c r="AW32" i="3"/>
  <c r="AZ32" i="3"/>
  <c r="BA32" i="3"/>
  <c r="D31" i="15"/>
  <c r="BF32" i="3"/>
  <c r="BG32" i="3"/>
  <c r="E31" i="15"/>
  <c r="BS32" i="3"/>
  <c r="BV32" i="3"/>
  <c r="BY32" i="3"/>
  <c r="CA32" i="3"/>
  <c r="F31" i="15"/>
  <c r="CB32" i="3"/>
  <c r="CD32" i="3"/>
  <c r="CN32" i="3"/>
  <c r="G31" i="15"/>
  <c r="CO32" i="3"/>
  <c r="CQ32" i="3"/>
  <c r="DA32" i="3"/>
  <c r="H31" i="15"/>
  <c r="DB32" i="3"/>
  <c r="DC32" i="3"/>
  <c r="DF32" i="3"/>
  <c r="DL32" i="3"/>
  <c r="I31" i="15"/>
  <c r="DM32" i="3"/>
  <c r="DN32" i="3"/>
  <c r="DQ32" i="3"/>
  <c r="DW32" i="3"/>
  <c r="J31" i="15"/>
  <c r="DX32" i="3"/>
  <c r="DZ32" i="3"/>
  <c r="EJ32" i="3"/>
  <c r="K31" i="15"/>
  <c r="EK32" i="3"/>
  <c r="EM32" i="3"/>
  <c r="EW32" i="3"/>
  <c r="L31" i="15"/>
  <c r="EX32" i="3"/>
  <c r="FJ32" i="3"/>
  <c r="M31" i="15"/>
  <c r="FK32" i="3"/>
  <c r="FL32" i="3"/>
  <c r="FO32" i="3"/>
  <c r="FR32" i="3"/>
  <c r="FT32" i="3"/>
  <c r="N31" i="15"/>
  <c r="C31" i="15"/>
  <c r="AW33" i="3"/>
  <c r="AZ33" i="3"/>
  <c r="BA33" i="3"/>
  <c r="D32" i="15"/>
  <c r="BF33" i="3"/>
  <c r="BG33" i="3"/>
  <c r="E32" i="15"/>
  <c r="BS33" i="3"/>
  <c r="BV33" i="3"/>
  <c r="BY33" i="3"/>
  <c r="CA33" i="3"/>
  <c r="F32" i="15"/>
  <c r="CB33" i="3"/>
  <c r="CD33" i="3"/>
  <c r="CN33" i="3"/>
  <c r="G32" i="15"/>
  <c r="CO33" i="3"/>
  <c r="CQ33" i="3"/>
  <c r="DA33" i="3"/>
  <c r="H32" i="15"/>
  <c r="DB33" i="3"/>
  <c r="DC33" i="3"/>
  <c r="DF33" i="3"/>
  <c r="DL33" i="3"/>
  <c r="I32" i="15"/>
  <c r="DM33" i="3"/>
  <c r="DN33" i="3"/>
  <c r="DQ33" i="3"/>
  <c r="DW33" i="3"/>
  <c r="J32" i="15"/>
  <c r="DX33" i="3"/>
  <c r="DZ33" i="3"/>
  <c r="EJ33" i="3"/>
  <c r="K32" i="15"/>
  <c r="EK33" i="3"/>
  <c r="EM33" i="3"/>
  <c r="EW33" i="3"/>
  <c r="L32" i="15"/>
  <c r="EX33" i="3"/>
  <c r="FJ33" i="3"/>
  <c r="M32" i="15"/>
  <c r="FK33" i="3"/>
  <c r="FL33" i="3"/>
  <c r="FO33" i="3"/>
  <c r="FR33" i="3"/>
  <c r="FT33" i="3"/>
  <c r="N32" i="15"/>
  <c r="C32" i="15"/>
  <c r="AW35" i="3"/>
  <c r="AZ35" i="3"/>
  <c r="BA35" i="3"/>
  <c r="D34" i="15"/>
  <c r="BF35" i="3"/>
  <c r="BG35" i="3"/>
  <c r="E34" i="15"/>
  <c r="BS35" i="3"/>
  <c r="BN35" i="3"/>
  <c r="BU35" i="3"/>
  <c r="BV35" i="3"/>
  <c r="BY35" i="3"/>
  <c r="CA35" i="3"/>
  <c r="F34" i="15"/>
  <c r="CB35" i="3"/>
  <c r="CD35" i="3"/>
  <c r="CG35" i="3"/>
  <c r="CN35" i="3"/>
  <c r="G34" i="15"/>
  <c r="CO35" i="3"/>
  <c r="CQ35" i="3"/>
  <c r="CT35" i="3"/>
  <c r="DA35" i="3"/>
  <c r="H34" i="15"/>
  <c r="DB35" i="3"/>
  <c r="DC35" i="3"/>
  <c r="DE35" i="3"/>
  <c r="DF35" i="3"/>
  <c r="DL35" i="3"/>
  <c r="I34" i="15"/>
  <c r="DM35" i="3"/>
  <c r="DN35" i="3"/>
  <c r="DP35" i="3"/>
  <c r="DQ35" i="3"/>
  <c r="DW35" i="3"/>
  <c r="J34" i="15"/>
  <c r="DX35" i="3"/>
  <c r="DZ35" i="3"/>
  <c r="EC35" i="3"/>
  <c r="EJ35" i="3"/>
  <c r="K34" i="15"/>
  <c r="EK35" i="3"/>
  <c r="EM35" i="3"/>
  <c r="EP35" i="3"/>
  <c r="EW35" i="3"/>
  <c r="L34" i="15"/>
  <c r="EX35" i="3"/>
  <c r="EZ35" i="3"/>
  <c r="FC35" i="3"/>
  <c r="FJ35" i="3"/>
  <c r="M34" i="15"/>
  <c r="FK35" i="3"/>
  <c r="FL35" i="3"/>
  <c r="FN35" i="3"/>
  <c r="FO35" i="3"/>
  <c r="FR35" i="3"/>
  <c r="FT35" i="3"/>
  <c r="N34" i="15"/>
  <c r="C34" i="15"/>
  <c r="AW36" i="3"/>
  <c r="AZ36" i="3"/>
  <c r="BA36" i="3"/>
  <c r="D35" i="15"/>
  <c r="BF36" i="3"/>
  <c r="BG36" i="3"/>
  <c r="E35" i="15"/>
  <c r="BS36" i="3"/>
  <c r="BN36" i="3"/>
  <c r="BU36" i="3"/>
  <c r="BV36" i="3"/>
  <c r="BY36" i="3"/>
  <c r="CA36" i="3"/>
  <c r="F35" i="15"/>
  <c r="CB36" i="3"/>
  <c r="CD36" i="3"/>
  <c r="CG36" i="3"/>
  <c r="CN36" i="3"/>
  <c r="G35" i="15"/>
  <c r="CO36" i="3"/>
  <c r="CQ36" i="3"/>
  <c r="CT36" i="3"/>
  <c r="DA36" i="3"/>
  <c r="H35" i="15"/>
  <c r="DB36" i="3"/>
  <c r="DC36" i="3"/>
  <c r="DE36" i="3"/>
  <c r="DF36" i="3"/>
  <c r="DL36" i="3"/>
  <c r="I35" i="15"/>
  <c r="DM36" i="3"/>
  <c r="DN36" i="3"/>
  <c r="DP36" i="3"/>
  <c r="DQ36" i="3"/>
  <c r="DW36" i="3"/>
  <c r="J35" i="15"/>
  <c r="DX36" i="3"/>
  <c r="DZ36" i="3"/>
  <c r="EC36" i="3"/>
  <c r="EJ36" i="3"/>
  <c r="K35" i="15"/>
  <c r="EK36" i="3"/>
  <c r="EM36" i="3"/>
  <c r="EP36" i="3"/>
  <c r="EW36" i="3"/>
  <c r="L35" i="15"/>
  <c r="EX36" i="3"/>
  <c r="EZ36" i="3"/>
  <c r="FC36" i="3"/>
  <c r="FJ36" i="3"/>
  <c r="M35" i="15"/>
  <c r="FK36" i="3"/>
  <c r="FL36" i="3"/>
  <c r="FN36" i="3"/>
  <c r="FO36" i="3"/>
  <c r="FR36" i="3"/>
  <c r="FT36" i="3"/>
  <c r="N35" i="15"/>
  <c r="C35" i="15"/>
  <c r="AW37" i="3"/>
  <c r="AZ37" i="3"/>
  <c r="BA37" i="3"/>
  <c r="D36" i="15"/>
  <c r="BF37" i="3"/>
  <c r="BG37" i="3"/>
  <c r="E36" i="15"/>
  <c r="BS37" i="3"/>
  <c r="BN37" i="3"/>
  <c r="BU37" i="3"/>
  <c r="BV37" i="3"/>
  <c r="BY37" i="3"/>
  <c r="CA37" i="3"/>
  <c r="F36" i="15"/>
  <c r="CB37" i="3"/>
  <c r="CD37" i="3"/>
  <c r="CG37" i="3"/>
  <c r="CN37" i="3"/>
  <c r="G36" i="15"/>
  <c r="CO37" i="3"/>
  <c r="CQ37" i="3"/>
  <c r="CT37" i="3"/>
  <c r="DA37" i="3"/>
  <c r="H36" i="15"/>
  <c r="DB37" i="3"/>
  <c r="DC37" i="3"/>
  <c r="DE37" i="3"/>
  <c r="DF37" i="3"/>
  <c r="DL37" i="3"/>
  <c r="I36" i="15"/>
  <c r="DM37" i="3"/>
  <c r="DN37" i="3"/>
  <c r="DP37" i="3"/>
  <c r="DQ37" i="3"/>
  <c r="DW37" i="3"/>
  <c r="J36" i="15"/>
  <c r="DX37" i="3"/>
  <c r="DZ37" i="3"/>
  <c r="EC37" i="3"/>
  <c r="EJ37" i="3"/>
  <c r="K36" i="15"/>
  <c r="EK37" i="3"/>
  <c r="EM37" i="3"/>
  <c r="EP37" i="3"/>
  <c r="EW37" i="3"/>
  <c r="L36" i="15"/>
  <c r="EX37" i="3"/>
  <c r="EZ37" i="3"/>
  <c r="FC37" i="3"/>
  <c r="FJ37" i="3"/>
  <c r="M36" i="15"/>
  <c r="FK37" i="3"/>
  <c r="FL37" i="3"/>
  <c r="FN37" i="3"/>
  <c r="FO37" i="3"/>
  <c r="FR37" i="3"/>
  <c r="FT37" i="3"/>
  <c r="N36" i="15"/>
  <c r="C36" i="15"/>
  <c r="AW38" i="3"/>
  <c r="AZ38" i="3"/>
  <c r="BA38" i="3"/>
  <c r="D37" i="15"/>
  <c r="BF38" i="3"/>
  <c r="BG38" i="3"/>
  <c r="E37" i="15"/>
  <c r="BS38" i="3"/>
  <c r="BN38" i="3"/>
  <c r="BU38" i="3"/>
  <c r="BV38" i="3"/>
  <c r="BY38" i="3"/>
  <c r="CA38" i="3"/>
  <c r="F37" i="15"/>
  <c r="CB38" i="3"/>
  <c r="CD38" i="3"/>
  <c r="CG38" i="3"/>
  <c r="CN38" i="3"/>
  <c r="G37" i="15"/>
  <c r="CO38" i="3"/>
  <c r="CQ38" i="3"/>
  <c r="CT38" i="3"/>
  <c r="DA38" i="3"/>
  <c r="H37" i="15"/>
  <c r="DB38" i="3"/>
  <c r="DC38" i="3"/>
  <c r="DE38" i="3"/>
  <c r="DF38" i="3"/>
  <c r="DL38" i="3"/>
  <c r="I37" i="15"/>
  <c r="DM38" i="3"/>
  <c r="DN38" i="3"/>
  <c r="DP38" i="3"/>
  <c r="DQ38" i="3"/>
  <c r="DW38" i="3"/>
  <c r="J37" i="15"/>
  <c r="DX38" i="3"/>
  <c r="DZ38" i="3"/>
  <c r="EC38" i="3"/>
  <c r="EJ38" i="3"/>
  <c r="K37" i="15"/>
  <c r="EK38" i="3"/>
  <c r="EM38" i="3"/>
  <c r="EP38" i="3"/>
  <c r="EW38" i="3"/>
  <c r="L37" i="15"/>
  <c r="EX38" i="3"/>
  <c r="EZ38" i="3"/>
  <c r="FC38" i="3"/>
  <c r="FJ38" i="3"/>
  <c r="M37" i="15"/>
  <c r="FK38" i="3"/>
  <c r="FL38" i="3"/>
  <c r="FN38" i="3"/>
  <c r="FO38" i="3"/>
  <c r="FR38" i="3"/>
  <c r="FT38" i="3"/>
  <c r="N37" i="15"/>
  <c r="C37" i="15"/>
  <c r="AW39" i="3"/>
  <c r="AZ39" i="3"/>
  <c r="BA39" i="3"/>
  <c r="D38" i="15"/>
  <c r="BF39" i="3"/>
  <c r="BG39" i="3"/>
  <c r="E38" i="15"/>
  <c r="BS39" i="3"/>
  <c r="BN39" i="3"/>
  <c r="BU39" i="3"/>
  <c r="BV39" i="3"/>
  <c r="BY39" i="3"/>
  <c r="CA39" i="3"/>
  <c r="F38" i="15"/>
  <c r="CB39" i="3"/>
  <c r="CD39" i="3"/>
  <c r="CG39" i="3"/>
  <c r="CN39" i="3"/>
  <c r="G38" i="15"/>
  <c r="CO39" i="3"/>
  <c r="CQ39" i="3"/>
  <c r="CT39" i="3"/>
  <c r="DA39" i="3"/>
  <c r="H38" i="15"/>
  <c r="DB39" i="3"/>
  <c r="DC39" i="3"/>
  <c r="DE39" i="3"/>
  <c r="DF39" i="3"/>
  <c r="DL39" i="3"/>
  <c r="I38" i="15"/>
  <c r="DM39" i="3"/>
  <c r="DN39" i="3"/>
  <c r="DP39" i="3"/>
  <c r="DQ39" i="3"/>
  <c r="DW39" i="3"/>
  <c r="J38" i="15"/>
  <c r="DX39" i="3"/>
  <c r="DZ39" i="3"/>
  <c r="EC39" i="3"/>
  <c r="EJ39" i="3"/>
  <c r="K38" i="15"/>
  <c r="EK39" i="3"/>
  <c r="EM39" i="3"/>
  <c r="EP39" i="3"/>
  <c r="EW39" i="3"/>
  <c r="L38" i="15"/>
  <c r="EX39" i="3"/>
  <c r="EZ39" i="3"/>
  <c r="FC39" i="3"/>
  <c r="FJ39" i="3"/>
  <c r="M38" i="15"/>
  <c r="FK39" i="3"/>
  <c r="FL39" i="3"/>
  <c r="FN39" i="3"/>
  <c r="FO39" i="3"/>
  <c r="FR39" i="3"/>
  <c r="FT39" i="3"/>
  <c r="N38" i="15"/>
  <c r="C38" i="15"/>
  <c r="AW40" i="3"/>
  <c r="AZ40" i="3"/>
  <c r="BA40" i="3"/>
  <c r="D39" i="15"/>
  <c r="BF40" i="3"/>
  <c r="BG40" i="3"/>
  <c r="E39" i="15"/>
  <c r="BS40" i="3"/>
  <c r="BV40" i="3"/>
  <c r="BY40" i="3"/>
  <c r="CA40" i="3"/>
  <c r="F39" i="15"/>
  <c r="CB40" i="3"/>
  <c r="CD40" i="3"/>
  <c r="CN40" i="3"/>
  <c r="G39" i="15"/>
  <c r="CO40" i="3"/>
  <c r="CQ40" i="3"/>
  <c r="DA40" i="3"/>
  <c r="H39" i="15"/>
  <c r="DB40" i="3"/>
  <c r="DC40" i="3"/>
  <c r="DF40" i="3"/>
  <c r="DL40" i="3"/>
  <c r="I39" i="15"/>
  <c r="DM40" i="3"/>
  <c r="DN40" i="3"/>
  <c r="DQ40" i="3"/>
  <c r="DW40" i="3"/>
  <c r="J39" i="15"/>
  <c r="DX40" i="3"/>
  <c r="DZ40" i="3"/>
  <c r="EJ40" i="3"/>
  <c r="K39" i="15"/>
  <c r="EK40" i="3"/>
  <c r="EM40" i="3"/>
  <c r="EW40" i="3"/>
  <c r="L39" i="15"/>
  <c r="EX40" i="3"/>
  <c r="FJ40" i="3"/>
  <c r="M39" i="15"/>
  <c r="FK40" i="3"/>
  <c r="FL40" i="3"/>
  <c r="FO40" i="3"/>
  <c r="FR40" i="3"/>
  <c r="FT40" i="3"/>
  <c r="N39" i="15"/>
  <c r="C39" i="15"/>
  <c r="AW41" i="3"/>
  <c r="AZ41" i="3"/>
  <c r="BA41" i="3"/>
  <c r="D40" i="15"/>
  <c r="BF41" i="3"/>
  <c r="BG41" i="3"/>
  <c r="E40" i="15"/>
  <c r="BS41" i="3"/>
  <c r="BN41" i="3"/>
  <c r="BU41" i="3"/>
  <c r="BV41" i="3"/>
  <c r="BY41" i="3"/>
  <c r="CA41" i="3"/>
  <c r="F40" i="15"/>
  <c r="CB41" i="3"/>
  <c r="CD41" i="3"/>
  <c r="CG41" i="3"/>
  <c r="CN41" i="3"/>
  <c r="G40" i="15"/>
  <c r="CO41" i="3"/>
  <c r="CQ41" i="3"/>
  <c r="CT41" i="3"/>
  <c r="DA41" i="3"/>
  <c r="H40" i="15"/>
  <c r="DB41" i="3"/>
  <c r="DC41" i="3"/>
  <c r="DE41" i="3"/>
  <c r="DF41" i="3"/>
  <c r="DL41" i="3"/>
  <c r="I40" i="15"/>
  <c r="DM41" i="3"/>
  <c r="DN41" i="3"/>
  <c r="DP41" i="3"/>
  <c r="DQ41" i="3"/>
  <c r="DW41" i="3"/>
  <c r="J40" i="15"/>
  <c r="DX41" i="3"/>
  <c r="DZ41" i="3"/>
  <c r="EC41" i="3"/>
  <c r="EJ41" i="3"/>
  <c r="K40" i="15"/>
  <c r="EK41" i="3"/>
  <c r="EM41" i="3"/>
  <c r="EP41" i="3"/>
  <c r="EW41" i="3"/>
  <c r="L40" i="15"/>
  <c r="EX41" i="3"/>
  <c r="EZ41" i="3"/>
  <c r="FC41" i="3"/>
  <c r="FJ41" i="3"/>
  <c r="M40" i="15"/>
  <c r="FK41" i="3"/>
  <c r="FL41" i="3"/>
  <c r="FN41" i="3"/>
  <c r="FO41" i="3"/>
  <c r="FR41" i="3"/>
  <c r="FT41" i="3"/>
  <c r="N40" i="15"/>
  <c r="C40" i="15"/>
  <c r="AW42" i="3"/>
  <c r="AZ42" i="3"/>
  <c r="BA42" i="3"/>
  <c r="D41" i="15"/>
  <c r="BF42" i="3"/>
  <c r="BG42" i="3"/>
  <c r="E41" i="15"/>
  <c r="BS42" i="3"/>
  <c r="BN42" i="3"/>
  <c r="BU42" i="3"/>
  <c r="BV42" i="3"/>
  <c r="BY42" i="3"/>
  <c r="CA42" i="3"/>
  <c r="F41" i="15"/>
  <c r="CB42" i="3"/>
  <c r="CD42" i="3"/>
  <c r="CG42" i="3"/>
  <c r="CN42" i="3"/>
  <c r="G41" i="15"/>
  <c r="CO42" i="3"/>
  <c r="CQ42" i="3"/>
  <c r="CT42" i="3"/>
  <c r="DA42" i="3"/>
  <c r="H41" i="15"/>
  <c r="DB42" i="3"/>
  <c r="DC42" i="3"/>
  <c r="DE42" i="3"/>
  <c r="DF42" i="3"/>
  <c r="DL42" i="3"/>
  <c r="I41" i="15"/>
  <c r="DM42" i="3"/>
  <c r="DN42" i="3"/>
  <c r="DP42" i="3"/>
  <c r="DQ42" i="3"/>
  <c r="DW42" i="3"/>
  <c r="J41" i="15"/>
  <c r="DX42" i="3"/>
  <c r="DZ42" i="3"/>
  <c r="EC42" i="3"/>
  <c r="EJ42" i="3"/>
  <c r="K41" i="15"/>
  <c r="EK42" i="3"/>
  <c r="EM42" i="3"/>
  <c r="EP42" i="3"/>
  <c r="EW42" i="3"/>
  <c r="L41" i="15"/>
  <c r="EX42" i="3"/>
  <c r="EZ42" i="3"/>
  <c r="FC42" i="3"/>
  <c r="FJ42" i="3"/>
  <c r="M41" i="15"/>
  <c r="FK42" i="3"/>
  <c r="FL42" i="3"/>
  <c r="FN42" i="3"/>
  <c r="FO42" i="3"/>
  <c r="FR42" i="3"/>
  <c r="FT42" i="3"/>
  <c r="N41" i="15"/>
  <c r="C41" i="15"/>
  <c r="AW43" i="3"/>
  <c r="AZ43" i="3"/>
  <c r="BA43" i="3"/>
  <c r="D42" i="15"/>
  <c r="BF43" i="3"/>
  <c r="BG43" i="3"/>
  <c r="E42" i="15"/>
  <c r="BS43" i="3"/>
  <c r="BN43" i="3"/>
  <c r="BU43" i="3"/>
  <c r="BV43" i="3"/>
  <c r="BY43" i="3"/>
  <c r="CA43" i="3"/>
  <c r="F42" i="15"/>
  <c r="CB43" i="3"/>
  <c r="CD43" i="3"/>
  <c r="CG43" i="3"/>
  <c r="CN43" i="3"/>
  <c r="G42" i="15"/>
  <c r="CO43" i="3"/>
  <c r="CQ43" i="3"/>
  <c r="CT43" i="3"/>
  <c r="DA43" i="3"/>
  <c r="H42" i="15"/>
  <c r="DB43" i="3"/>
  <c r="DC43" i="3"/>
  <c r="DE43" i="3"/>
  <c r="DF43" i="3"/>
  <c r="DL43" i="3"/>
  <c r="I42" i="15"/>
  <c r="DM43" i="3"/>
  <c r="DN43" i="3"/>
  <c r="DP43" i="3"/>
  <c r="DQ43" i="3"/>
  <c r="DW43" i="3"/>
  <c r="J42" i="15"/>
  <c r="DX43" i="3"/>
  <c r="DZ43" i="3"/>
  <c r="EC43" i="3"/>
  <c r="EJ43" i="3"/>
  <c r="K42" i="15"/>
  <c r="EK43" i="3"/>
  <c r="EM43" i="3"/>
  <c r="EP43" i="3"/>
  <c r="EW43" i="3"/>
  <c r="L42" i="15"/>
  <c r="EX43" i="3"/>
  <c r="EZ43" i="3"/>
  <c r="FC43" i="3"/>
  <c r="FJ43" i="3"/>
  <c r="M42" i="15"/>
  <c r="FK43" i="3"/>
  <c r="FL43" i="3"/>
  <c r="FN43" i="3"/>
  <c r="FO43" i="3"/>
  <c r="FR43" i="3"/>
  <c r="FT43" i="3"/>
  <c r="N42" i="15"/>
  <c r="C42" i="15"/>
  <c r="AW44" i="3"/>
  <c r="AZ44" i="3"/>
  <c r="BA44" i="3"/>
  <c r="D43" i="15"/>
  <c r="BF44" i="3"/>
  <c r="BG44" i="3"/>
  <c r="E43" i="15"/>
  <c r="BS44" i="3"/>
  <c r="BN44" i="3"/>
  <c r="BU44" i="3"/>
  <c r="BV44" i="3"/>
  <c r="BY44" i="3"/>
  <c r="CA44" i="3"/>
  <c r="F43" i="15"/>
  <c r="CB44" i="3"/>
  <c r="CD44" i="3"/>
  <c r="CG44" i="3"/>
  <c r="CN44" i="3"/>
  <c r="G43" i="15"/>
  <c r="CO44" i="3"/>
  <c r="CQ44" i="3"/>
  <c r="CT44" i="3"/>
  <c r="DA44" i="3"/>
  <c r="H43" i="15"/>
  <c r="DB44" i="3"/>
  <c r="DC44" i="3"/>
  <c r="DE44" i="3"/>
  <c r="DF44" i="3"/>
  <c r="DL44" i="3"/>
  <c r="I43" i="15"/>
  <c r="DM44" i="3"/>
  <c r="DN44" i="3"/>
  <c r="DP44" i="3"/>
  <c r="DQ44" i="3"/>
  <c r="DW44" i="3"/>
  <c r="J43" i="15"/>
  <c r="DX44" i="3"/>
  <c r="DZ44" i="3"/>
  <c r="EC44" i="3"/>
  <c r="EJ44" i="3"/>
  <c r="K43" i="15"/>
  <c r="EK44" i="3"/>
  <c r="EM44" i="3"/>
  <c r="EP44" i="3"/>
  <c r="EW44" i="3"/>
  <c r="L43" i="15"/>
  <c r="EX44" i="3"/>
  <c r="EZ44" i="3"/>
  <c r="FC44" i="3"/>
  <c r="FJ44" i="3"/>
  <c r="M43" i="15"/>
  <c r="FK44" i="3"/>
  <c r="FL44" i="3"/>
  <c r="FN44" i="3"/>
  <c r="FO44" i="3"/>
  <c r="FR44" i="3"/>
  <c r="FT44" i="3"/>
  <c r="N43" i="15"/>
  <c r="C43" i="15"/>
  <c r="AW45" i="3"/>
  <c r="AZ45" i="3"/>
  <c r="BA45" i="3"/>
  <c r="D44" i="15"/>
  <c r="BF45" i="3"/>
  <c r="BG45" i="3"/>
  <c r="E44" i="15"/>
  <c r="BS45" i="3"/>
  <c r="BN45" i="3"/>
  <c r="BU45" i="3"/>
  <c r="BV45" i="3"/>
  <c r="BY45" i="3"/>
  <c r="CA45" i="3"/>
  <c r="F44" i="15"/>
  <c r="CB45" i="3"/>
  <c r="CD45" i="3"/>
  <c r="CG45" i="3"/>
  <c r="CN45" i="3"/>
  <c r="G44" i="15"/>
  <c r="CO45" i="3"/>
  <c r="CQ45" i="3"/>
  <c r="CT45" i="3"/>
  <c r="DA45" i="3"/>
  <c r="H44" i="15"/>
  <c r="DB45" i="3"/>
  <c r="DC45" i="3"/>
  <c r="DE45" i="3"/>
  <c r="DF45" i="3"/>
  <c r="DL45" i="3"/>
  <c r="I44" i="15"/>
  <c r="DM45" i="3"/>
  <c r="DN45" i="3"/>
  <c r="DP45" i="3"/>
  <c r="DQ45" i="3"/>
  <c r="DW45" i="3"/>
  <c r="J44" i="15"/>
  <c r="DX45" i="3"/>
  <c r="DZ45" i="3"/>
  <c r="EC45" i="3"/>
  <c r="EJ45" i="3"/>
  <c r="K44" i="15"/>
  <c r="EK45" i="3"/>
  <c r="EM45" i="3"/>
  <c r="EP45" i="3"/>
  <c r="EW45" i="3"/>
  <c r="L44" i="15"/>
  <c r="EX45" i="3"/>
  <c r="EZ45" i="3"/>
  <c r="FC45" i="3"/>
  <c r="FJ45" i="3"/>
  <c r="M44" i="15"/>
  <c r="FK45" i="3"/>
  <c r="FL45" i="3"/>
  <c r="FN45" i="3"/>
  <c r="FO45" i="3"/>
  <c r="FR45" i="3"/>
  <c r="FT45" i="3"/>
  <c r="N44" i="15"/>
  <c r="C44" i="15"/>
  <c r="AW47" i="3"/>
  <c r="AZ47" i="3"/>
  <c r="BA47" i="3"/>
  <c r="D46" i="15"/>
  <c r="BF47" i="3"/>
  <c r="BG47" i="3"/>
  <c r="E46" i="15"/>
  <c r="BS47" i="3"/>
  <c r="BN47" i="3"/>
  <c r="BU47" i="3"/>
  <c r="BV47" i="3"/>
  <c r="BY47" i="3"/>
  <c r="CA47" i="3"/>
  <c r="F46" i="15"/>
  <c r="CB47" i="3"/>
  <c r="CD47" i="3"/>
  <c r="CG47" i="3"/>
  <c r="CN47" i="3"/>
  <c r="G46" i="15"/>
  <c r="CO47" i="3"/>
  <c r="CQ47" i="3"/>
  <c r="CT47" i="3"/>
  <c r="DA47" i="3"/>
  <c r="H46" i="15"/>
  <c r="DB47" i="3"/>
  <c r="DC47" i="3"/>
  <c r="DE47" i="3"/>
  <c r="DF47" i="3"/>
  <c r="DL47" i="3"/>
  <c r="I46" i="15"/>
  <c r="DM47" i="3"/>
  <c r="DN47" i="3"/>
  <c r="DP47" i="3"/>
  <c r="DQ47" i="3"/>
  <c r="DW47" i="3"/>
  <c r="J46" i="15"/>
  <c r="DX47" i="3"/>
  <c r="DZ47" i="3"/>
  <c r="EC47" i="3"/>
  <c r="EJ47" i="3"/>
  <c r="K46" i="15"/>
  <c r="EK47" i="3"/>
  <c r="EM47" i="3"/>
  <c r="EP47" i="3"/>
  <c r="EW47" i="3"/>
  <c r="L46" i="15"/>
  <c r="EX47" i="3"/>
  <c r="EZ47" i="3"/>
  <c r="FC47" i="3"/>
  <c r="FJ47" i="3"/>
  <c r="M46" i="15"/>
  <c r="FK47" i="3"/>
  <c r="FL47" i="3"/>
  <c r="FN47" i="3"/>
  <c r="FO47" i="3"/>
  <c r="FR47" i="3"/>
  <c r="FT47" i="3"/>
  <c r="N46" i="15"/>
  <c r="C46" i="15"/>
  <c r="AW49" i="3"/>
  <c r="AZ49" i="3"/>
  <c r="BA49" i="3"/>
  <c r="D48" i="15"/>
  <c r="BF49" i="3"/>
  <c r="BG49" i="3"/>
  <c r="E48" i="15"/>
  <c r="BS49" i="3"/>
  <c r="BN49" i="3"/>
  <c r="BU49" i="3"/>
  <c r="BV49" i="3"/>
  <c r="BY49" i="3"/>
  <c r="CA49" i="3"/>
  <c r="F48" i="15"/>
  <c r="CB49" i="3"/>
  <c r="CD49" i="3"/>
  <c r="CG49" i="3"/>
  <c r="CN49" i="3"/>
  <c r="G48" i="15"/>
  <c r="CO49" i="3"/>
  <c r="CQ49" i="3"/>
  <c r="CT49" i="3"/>
  <c r="DA49" i="3"/>
  <c r="H48" i="15"/>
  <c r="DB49" i="3"/>
  <c r="DC49" i="3"/>
  <c r="DE49" i="3"/>
  <c r="DF49" i="3"/>
  <c r="DL49" i="3"/>
  <c r="I48" i="15"/>
  <c r="DM49" i="3"/>
  <c r="DN49" i="3"/>
  <c r="DP49" i="3"/>
  <c r="DQ49" i="3"/>
  <c r="DW49" i="3"/>
  <c r="J48" i="15"/>
  <c r="DX49" i="3"/>
  <c r="DZ49" i="3"/>
  <c r="EC49" i="3"/>
  <c r="EJ49" i="3"/>
  <c r="K48" i="15"/>
  <c r="EK49" i="3"/>
  <c r="EM49" i="3"/>
  <c r="EP49" i="3"/>
  <c r="EW49" i="3"/>
  <c r="L48" i="15"/>
  <c r="EX49" i="3"/>
  <c r="EZ49" i="3"/>
  <c r="FC49" i="3"/>
  <c r="FJ49" i="3"/>
  <c r="M48" i="15"/>
  <c r="FK49" i="3"/>
  <c r="FL49" i="3"/>
  <c r="FN49" i="3"/>
  <c r="FO49" i="3"/>
  <c r="FR49" i="3"/>
  <c r="FT49" i="3"/>
  <c r="N48" i="15"/>
  <c r="C48" i="15"/>
  <c r="AW50" i="3"/>
  <c r="AZ50" i="3"/>
  <c r="BA50" i="3"/>
  <c r="D49" i="15"/>
  <c r="BF50" i="3"/>
  <c r="BG50" i="3"/>
  <c r="E49" i="15"/>
  <c r="BS50" i="3"/>
  <c r="BV50" i="3"/>
  <c r="BY50" i="3"/>
  <c r="CA50" i="3"/>
  <c r="F49" i="15"/>
  <c r="CB50" i="3"/>
  <c r="CD50" i="3"/>
  <c r="CN50" i="3"/>
  <c r="G49" i="15"/>
  <c r="CO50" i="3"/>
  <c r="CQ50" i="3"/>
  <c r="DA50" i="3"/>
  <c r="H49" i="15"/>
  <c r="DB50" i="3"/>
  <c r="DC50" i="3"/>
  <c r="DF50" i="3"/>
  <c r="DL50" i="3"/>
  <c r="I49" i="15"/>
  <c r="DM50" i="3"/>
  <c r="DN50" i="3"/>
  <c r="DQ50" i="3"/>
  <c r="DW50" i="3"/>
  <c r="J49" i="15"/>
  <c r="DX50" i="3"/>
  <c r="DZ50" i="3"/>
  <c r="EJ50" i="3"/>
  <c r="K49" i="15"/>
  <c r="EK50" i="3"/>
  <c r="EM50" i="3"/>
  <c r="EW50" i="3"/>
  <c r="L49" i="15"/>
  <c r="EX50" i="3"/>
  <c r="FJ50" i="3"/>
  <c r="M49" i="15"/>
  <c r="FK50" i="3"/>
  <c r="FL50" i="3"/>
  <c r="FO50" i="3"/>
  <c r="FR50" i="3"/>
  <c r="FT50" i="3"/>
  <c r="N49" i="15"/>
  <c r="C49" i="15"/>
  <c r="AW52" i="3"/>
  <c r="AZ52" i="3"/>
  <c r="BA52" i="3"/>
  <c r="D51" i="15"/>
  <c r="BF52" i="3"/>
  <c r="BG52" i="3"/>
  <c r="E51" i="15"/>
  <c r="BS52" i="3"/>
  <c r="BN52" i="3"/>
  <c r="BU52" i="3"/>
  <c r="BV52" i="3"/>
  <c r="BY52" i="3"/>
  <c r="CA52" i="3"/>
  <c r="F51" i="15"/>
  <c r="CB52" i="3"/>
  <c r="CD52" i="3"/>
  <c r="CG52" i="3"/>
  <c r="CN52" i="3"/>
  <c r="G51" i="15"/>
  <c r="CO52" i="3"/>
  <c r="CQ52" i="3"/>
  <c r="CT52" i="3"/>
  <c r="DA52" i="3"/>
  <c r="H51" i="15"/>
  <c r="DB52" i="3"/>
  <c r="DC52" i="3"/>
  <c r="DE52" i="3"/>
  <c r="DF52" i="3"/>
  <c r="DL52" i="3"/>
  <c r="I51" i="15"/>
  <c r="DM52" i="3"/>
  <c r="DN52" i="3"/>
  <c r="DP52" i="3"/>
  <c r="DQ52" i="3"/>
  <c r="DW52" i="3"/>
  <c r="J51" i="15"/>
  <c r="DX52" i="3"/>
  <c r="DZ52" i="3"/>
  <c r="EC52" i="3"/>
  <c r="EJ52" i="3"/>
  <c r="K51" i="15"/>
  <c r="EK52" i="3"/>
  <c r="EM52" i="3"/>
  <c r="EP52" i="3"/>
  <c r="EW52" i="3"/>
  <c r="L51" i="15"/>
  <c r="EX52" i="3"/>
  <c r="EZ52" i="3"/>
  <c r="FC52" i="3"/>
  <c r="FJ52" i="3"/>
  <c r="M51" i="15"/>
  <c r="FK52" i="3"/>
  <c r="FL52" i="3"/>
  <c r="FN52" i="3"/>
  <c r="FO52" i="3"/>
  <c r="FR52" i="3"/>
  <c r="FT52" i="3"/>
  <c r="N51" i="15"/>
  <c r="C51" i="15"/>
  <c r="AW53" i="3"/>
  <c r="AZ53" i="3"/>
  <c r="BA53" i="3"/>
  <c r="D52" i="15"/>
  <c r="BF53" i="3"/>
  <c r="BG53" i="3"/>
  <c r="E52" i="15"/>
  <c r="BS53" i="3"/>
  <c r="BN53" i="3"/>
  <c r="BU53" i="3"/>
  <c r="BV53" i="3"/>
  <c r="BY53" i="3"/>
  <c r="CA53" i="3"/>
  <c r="F52" i="15"/>
  <c r="CB53" i="3"/>
  <c r="CD53" i="3"/>
  <c r="CG53" i="3"/>
  <c r="CN53" i="3"/>
  <c r="G52" i="15"/>
  <c r="CO53" i="3"/>
  <c r="CQ53" i="3"/>
  <c r="CT53" i="3"/>
  <c r="DA53" i="3"/>
  <c r="H52" i="15"/>
  <c r="DB53" i="3"/>
  <c r="DC53" i="3"/>
  <c r="DE53" i="3"/>
  <c r="DF53" i="3"/>
  <c r="DL53" i="3"/>
  <c r="I52" i="15"/>
  <c r="DM53" i="3"/>
  <c r="DN53" i="3"/>
  <c r="DP53" i="3"/>
  <c r="DQ53" i="3"/>
  <c r="DW53" i="3"/>
  <c r="J52" i="15"/>
  <c r="DX53" i="3"/>
  <c r="DZ53" i="3"/>
  <c r="EC53" i="3"/>
  <c r="EJ53" i="3"/>
  <c r="K52" i="15"/>
  <c r="EK53" i="3"/>
  <c r="EM53" i="3"/>
  <c r="EP53" i="3"/>
  <c r="EW53" i="3"/>
  <c r="L52" i="15"/>
  <c r="EX53" i="3"/>
  <c r="EZ53" i="3"/>
  <c r="FC53" i="3"/>
  <c r="FJ53" i="3"/>
  <c r="M52" i="15"/>
  <c r="FK53" i="3"/>
  <c r="FL53" i="3"/>
  <c r="FN53" i="3"/>
  <c r="FO53" i="3"/>
  <c r="FR53" i="3"/>
  <c r="FT53" i="3"/>
  <c r="N52" i="15"/>
  <c r="C52" i="15"/>
  <c r="AW54" i="3"/>
  <c r="AZ54" i="3"/>
  <c r="BA54" i="3"/>
  <c r="D53" i="15"/>
  <c r="BF54" i="3"/>
  <c r="BG54" i="3"/>
  <c r="E53" i="15"/>
  <c r="BS54" i="3"/>
  <c r="BN54" i="3"/>
  <c r="BU54" i="3"/>
  <c r="BV54" i="3"/>
  <c r="BY54" i="3"/>
  <c r="CA54" i="3"/>
  <c r="F53" i="15"/>
  <c r="CB54" i="3"/>
  <c r="CD54" i="3"/>
  <c r="CG54" i="3"/>
  <c r="CN54" i="3"/>
  <c r="G53" i="15"/>
  <c r="CO54" i="3"/>
  <c r="CQ54" i="3"/>
  <c r="CT54" i="3"/>
  <c r="DA54" i="3"/>
  <c r="H53" i="15"/>
  <c r="DB54" i="3"/>
  <c r="DC54" i="3"/>
  <c r="DE54" i="3"/>
  <c r="DF54" i="3"/>
  <c r="DL54" i="3"/>
  <c r="I53" i="15"/>
  <c r="DM54" i="3"/>
  <c r="DN54" i="3"/>
  <c r="DP54" i="3"/>
  <c r="DQ54" i="3"/>
  <c r="DW54" i="3"/>
  <c r="J53" i="15"/>
  <c r="DX54" i="3"/>
  <c r="DZ54" i="3"/>
  <c r="EC54" i="3"/>
  <c r="EJ54" i="3"/>
  <c r="K53" i="15"/>
  <c r="EK54" i="3"/>
  <c r="EM54" i="3"/>
  <c r="EP54" i="3"/>
  <c r="EW54" i="3"/>
  <c r="L53" i="15"/>
  <c r="EX54" i="3"/>
  <c r="EZ54" i="3"/>
  <c r="FC54" i="3"/>
  <c r="FJ54" i="3"/>
  <c r="M53" i="15"/>
  <c r="FK54" i="3"/>
  <c r="FL54" i="3"/>
  <c r="FN54" i="3"/>
  <c r="FO54" i="3"/>
  <c r="FR54" i="3"/>
  <c r="FT54" i="3"/>
  <c r="N53" i="15"/>
  <c r="C53" i="15"/>
  <c r="AW55" i="3"/>
  <c r="AZ55" i="3"/>
  <c r="BA55" i="3"/>
  <c r="D54" i="15"/>
  <c r="BF55" i="3"/>
  <c r="BG55" i="3"/>
  <c r="E54" i="15"/>
  <c r="BS55" i="3"/>
  <c r="BN55" i="3"/>
  <c r="BU55" i="3"/>
  <c r="BV55" i="3"/>
  <c r="BY55" i="3"/>
  <c r="CA55" i="3"/>
  <c r="F54" i="15"/>
  <c r="CB55" i="3"/>
  <c r="CD55" i="3"/>
  <c r="CG55" i="3"/>
  <c r="CN55" i="3"/>
  <c r="G54" i="15"/>
  <c r="CO55" i="3"/>
  <c r="CQ55" i="3"/>
  <c r="CT55" i="3"/>
  <c r="DA55" i="3"/>
  <c r="H54" i="15"/>
  <c r="DB55" i="3"/>
  <c r="DC55" i="3"/>
  <c r="DE55" i="3"/>
  <c r="DF55" i="3"/>
  <c r="DL55" i="3"/>
  <c r="I54" i="15"/>
  <c r="DM55" i="3"/>
  <c r="DN55" i="3"/>
  <c r="DP55" i="3"/>
  <c r="DQ55" i="3"/>
  <c r="DW55" i="3"/>
  <c r="J54" i="15"/>
  <c r="DX55" i="3"/>
  <c r="DZ55" i="3"/>
  <c r="EC55" i="3"/>
  <c r="EJ55" i="3"/>
  <c r="K54" i="15"/>
  <c r="EK55" i="3"/>
  <c r="EM55" i="3"/>
  <c r="EP55" i="3"/>
  <c r="EW55" i="3"/>
  <c r="L54" i="15"/>
  <c r="EX55" i="3"/>
  <c r="EZ55" i="3"/>
  <c r="FC55" i="3"/>
  <c r="FJ55" i="3"/>
  <c r="M54" i="15"/>
  <c r="FK55" i="3"/>
  <c r="FL55" i="3"/>
  <c r="FN55" i="3"/>
  <c r="FO55" i="3"/>
  <c r="FR55" i="3"/>
  <c r="FT55" i="3"/>
  <c r="N54" i="15"/>
  <c r="C54" i="15"/>
  <c r="AW56" i="3"/>
  <c r="AZ56" i="3"/>
  <c r="BA56" i="3"/>
  <c r="D55" i="15"/>
  <c r="BF56" i="3"/>
  <c r="BG56" i="3"/>
  <c r="E55" i="15"/>
  <c r="BS56" i="3"/>
  <c r="BN56" i="3"/>
  <c r="BU56" i="3"/>
  <c r="BV56" i="3"/>
  <c r="BY56" i="3"/>
  <c r="CA56" i="3"/>
  <c r="F55" i="15"/>
  <c r="CB56" i="3"/>
  <c r="CD56" i="3"/>
  <c r="CG56" i="3"/>
  <c r="CN56" i="3"/>
  <c r="G55" i="15"/>
  <c r="CO56" i="3"/>
  <c r="CQ56" i="3"/>
  <c r="CT56" i="3"/>
  <c r="DA56" i="3"/>
  <c r="H55" i="15"/>
  <c r="DB56" i="3"/>
  <c r="DC56" i="3"/>
  <c r="DE56" i="3"/>
  <c r="DF56" i="3"/>
  <c r="DL56" i="3"/>
  <c r="I55" i="15"/>
  <c r="DM56" i="3"/>
  <c r="DN56" i="3"/>
  <c r="DP56" i="3"/>
  <c r="DQ56" i="3"/>
  <c r="DW56" i="3"/>
  <c r="J55" i="15"/>
  <c r="DX56" i="3"/>
  <c r="DZ56" i="3"/>
  <c r="EC56" i="3"/>
  <c r="EJ56" i="3"/>
  <c r="K55" i="15"/>
  <c r="EK56" i="3"/>
  <c r="EM56" i="3"/>
  <c r="EP56" i="3"/>
  <c r="EW56" i="3"/>
  <c r="L55" i="15"/>
  <c r="EX56" i="3"/>
  <c r="EZ56" i="3"/>
  <c r="FC56" i="3"/>
  <c r="FJ56" i="3"/>
  <c r="M55" i="15"/>
  <c r="FK56" i="3"/>
  <c r="FL56" i="3"/>
  <c r="FN56" i="3"/>
  <c r="FO56" i="3"/>
  <c r="FR56" i="3"/>
  <c r="FT56" i="3"/>
  <c r="N55" i="15"/>
  <c r="C55" i="15"/>
  <c r="AW57" i="3"/>
  <c r="AZ57" i="3"/>
  <c r="BA57" i="3"/>
  <c r="D56" i="15"/>
  <c r="BF57" i="3"/>
  <c r="BG57" i="3"/>
  <c r="E56" i="15"/>
  <c r="BS57" i="3"/>
  <c r="BN57" i="3"/>
  <c r="BU57" i="3"/>
  <c r="BV57" i="3"/>
  <c r="BY57" i="3"/>
  <c r="CA57" i="3"/>
  <c r="F56" i="15"/>
  <c r="CB57" i="3"/>
  <c r="CD57" i="3"/>
  <c r="CG57" i="3"/>
  <c r="CN57" i="3"/>
  <c r="G56" i="15"/>
  <c r="CO57" i="3"/>
  <c r="CQ57" i="3"/>
  <c r="CT57" i="3"/>
  <c r="DA57" i="3"/>
  <c r="H56" i="15"/>
  <c r="DB57" i="3"/>
  <c r="DC57" i="3"/>
  <c r="DE57" i="3"/>
  <c r="DF57" i="3"/>
  <c r="DL57" i="3"/>
  <c r="I56" i="15"/>
  <c r="DM57" i="3"/>
  <c r="DN57" i="3"/>
  <c r="DP57" i="3"/>
  <c r="DQ57" i="3"/>
  <c r="DW57" i="3"/>
  <c r="J56" i="15"/>
  <c r="DX57" i="3"/>
  <c r="DZ57" i="3"/>
  <c r="EC57" i="3"/>
  <c r="EJ57" i="3"/>
  <c r="K56" i="15"/>
  <c r="EK57" i="3"/>
  <c r="EM57" i="3"/>
  <c r="EP57" i="3"/>
  <c r="EW57" i="3"/>
  <c r="L56" i="15"/>
  <c r="EX57" i="3"/>
  <c r="EZ57" i="3"/>
  <c r="FC57" i="3"/>
  <c r="FJ57" i="3"/>
  <c r="M56" i="15"/>
  <c r="FK57" i="3"/>
  <c r="FL57" i="3"/>
  <c r="FN57" i="3"/>
  <c r="FO57" i="3"/>
  <c r="FR57" i="3"/>
  <c r="FT57" i="3"/>
  <c r="N56" i="15"/>
  <c r="C56" i="15"/>
  <c r="AW58" i="3"/>
  <c r="AZ58" i="3"/>
  <c r="BA58" i="3"/>
  <c r="D57" i="15"/>
  <c r="BF58" i="3"/>
  <c r="BG58" i="3"/>
  <c r="E57" i="15"/>
  <c r="BS58" i="3"/>
  <c r="BN58" i="3"/>
  <c r="BU58" i="3"/>
  <c r="BV58" i="3"/>
  <c r="BY58" i="3"/>
  <c r="CA58" i="3"/>
  <c r="F57" i="15"/>
  <c r="CB58" i="3"/>
  <c r="CD58" i="3"/>
  <c r="CG58" i="3"/>
  <c r="CN58" i="3"/>
  <c r="G57" i="15"/>
  <c r="CO58" i="3"/>
  <c r="CQ58" i="3"/>
  <c r="CT58" i="3"/>
  <c r="DA58" i="3"/>
  <c r="H57" i="15"/>
  <c r="DB58" i="3"/>
  <c r="DC58" i="3"/>
  <c r="DE58" i="3"/>
  <c r="DF58" i="3"/>
  <c r="DL58" i="3"/>
  <c r="I57" i="15"/>
  <c r="DM58" i="3"/>
  <c r="DN58" i="3"/>
  <c r="DP58" i="3"/>
  <c r="DQ58" i="3"/>
  <c r="DW58" i="3"/>
  <c r="J57" i="15"/>
  <c r="DX58" i="3"/>
  <c r="DZ58" i="3"/>
  <c r="EC58" i="3"/>
  <c r="EJ58" i="3"/>
  <c r="K57" i="15"/>
  <c r="EK58" i="3"/>
  <c r="EM58" i="3"/>
  <c r="EP58" i="3"/>
  <c r="EW58" i="3"/>
  <c r="L57" i="15"/>
  <c r="EX58" i="3"/>
  <c r="EZ58" i="3"/>
  <c r="FC58" i="3"/>
  <c r="FJ58" i="3"/>
  <c r="M57" i="15"/>
  <c r="FK58" i="3"/>
  <c r="FL58" i="3"/>
  <c r="FN58" i="3"/>
  <c r="FO58" i="3"/>
  <c r="FR58" i="3"/>
  <c r="FT58" i="3"/>
  <c r="N57" i="15"/>
  <c r="C57" i="15"/>
  <c r="AW59" i="3"/>
  <c r="AZ59" i="3"/>
  <c r="BA59" i="3"/>
  <c r="D58" i="15"/>
  <c r="BF59" i="3"/>
  <c r="BG59" i="3"/>
  <c r="E58" i="15"/>
  <c r="BS59" i="3"/>
  <c r="BN59" i="3"/>
  <c r="BU59" i="3"/>
  <c r="BV59" i="3"/>
  <c r="BY59" i="3"/>
  <c r="CA59" i="3"/>
  <c r="F58" i="15"/>
  <c r="CB59" i="3"/>
  <c r="CD59" i="3"/>
  <c r="CG59" i="3"/>
  <c r="CN59" i="3"/>
  <c r="G58" i="15"/>
  <c r="CO59" i="3"/>
  <c r="CQ59" i="3"/>
  <c r="CT59" i="3"/>
  <c r="DA59" i="3"/>
  <c r="H58" i="15"/>
  <c r="DB59" i="3"/>
  <c r="DC59" i="3"/>
  <c r="DE59" i="3"/>
  <c r="DF59" i="3"/>
  <c r="DL59" i="3"/>
  <c r="I58" i="15"/>
  <c r="DM59" i="3"/>
  <c r="DN59" i="3"/>
  <c r="DP59" i="3"/>
  <c r="DQ59" i="3"/>
  <c r="DW59" i="3"/>
  <c r="J58" i="15"/>
  <c r="DX59" i="3"/>
  <c r="DZ59" i="3"/>
  <c r="EC59" i="3"/>
  <c r="EJ59" i="3"/>
  <c r="K58" i="15"/>
  <c r="EK59" i="3"/>
  <c r="EM59" i="3"/>
  <c r="EP59" i="3"/>
  <c r="EW59" i="3"/>
  <c r="L58" i="15"/>
  <c r="EX59" i="3"/>
  <c r="EZ59" i="3"/>
  <c r="FC59" i="3"/>
  <c r="FJ59" i="3"/>
  <c r="M58" i="15"/>
  <c r="FK59" i="3"/>
  <c r="FL59" i="3"/>
  <c r="FN59" i="3"/>
  <c r="FO59" i="3"/>
  <c r="FR59" i="3"/>
  <c r="FT59" i="3"/>
  <c r="N58" i="15"/>
  <c r="C58" i="15"/>
  <c r="AW60" i="3"/>
  <c r="AZ60" i="3"/>
  <c r="BA60" i="3"/>
  <c r="D59" i="15"/>
  <c r="BF60" i="3"/>
  <c r="BG60" i="3"/>
  <c r="E59" i="15"/>
  <c r="BS60" i="3"/>
  <c r="BN60" i="3"/>
  <c r="BU60" i="3"/>
  <c r="BV60" i="3"/>
  <c r="BY60" i="3"/>
  <c r="CA60" i="3"/>
  <c r="F59" i="15"/>
  <c r="CB60" i="3"/>
  <c r="CD60" i="3"/>
  <c r="CG60" i="3"/>
  <c r="CN60" i="3"/>
  <c r="G59" i="15"/>
  <c r="CO60" i="3"/>
  <c r="CQ60" i="3"/>
  <c r="CT60" i="3"/>
  <c r="DA60" i="3"/>
  <c r="H59" i="15"/>
  <c r="DB60" i="3"/>
  <c r="DC60" i="3"/>
  <c r="DE60" i="3"/>
  <c r="DF60" i="3"/>
  <c r="DL60" i="3"/>
  <c r="I59" i="15"/>
  <c r="DM60" i="3"/>
  <c r="DN60" i="3"/>
  <c r="DP60" i="3"/>
  <c r="DQ60" i="3"/>
  <c r="DW60" i="3"/>
  <c r="J59" i="15"/>
  <c r="DX60" i="3"/>
  <c r="DZ60" i="3"/>
  <c r="EC60" i="3"/>
  <c r="EJ60" i="3"/>
  <c r="K59" i="15"/>
  <c r="EK60" i="3"/>
  <c r="EM60" i="3"/>
  <c r="EP60" i="3"/>
  <c r="EW60" i="3"/>
  <c r="L59" i="15"/>
  <c r="EX60" i="3"/>
  <c r="EZ60" i="3"/>
  <c r="FC60" i="3"/>
  <c r="FJ60" i="3"/>
  <c r="M59" i="15"/>
  <c r="FK60" i="3"/>
  <c r="FL60" i="3"/>
  <c r="FN60" i="3"/>
  <c r="FO60" i="3"/>
  <c r="FR60" i="3"/>
  <c r="FT60" i="3"/>
  <c r="N59" i="15"/>
  <c r="C59" i="15"/>
  <c r="AW62" i="3"/>
  <c r="AZ62" i="3"/>
  <c r="BA62" i="3"/>
  <c r="D61" i="15"/>
  <c r="BF62" i="3"/>
  <c r="BG62" i="3"/>
  <c r="E61" i="15"/>
  <c r="BS62" i="3"/>
  <c r="BN62" i="3"/>
  <c r="BU62" i="3"/>
  <c r="BV62" i="3"/>
  <c r="BY62" i="3"/>
  <c r="CA62" i="3"/>
  <c r="F61" i="15"/>
  <c r="CB62" i="3"/>
  <c r="CD62" i="3"/>
  <c r="CG62" i="3"/>
  <c r="CN62" i="3"/>
  <c r="G61" i="15"/>
  <c r="CO62" i="3"/>
  <c r="CQ62" i="3"/>
  <c r="CT62" i="3"/>
  <c r="DA62" i="3"/>
  <c r="H61" i="15"/>
  <c r="DB62" i="3"/>
  <c r="DC62" i="3"/>
  <c r="DE62" i="3"/>
  <c r="DF62" i="3"/>
  <c r="DL62" i="3"/>
  <c r="I61" i="15"/>
  <c r="DM62" i="3"/>
  <c r="DN62" i="3"/>
  <c r="DP62" i="3"/>
  <c r="DQ62" i="3"/>
  <c r="DW62" i="3"/>
  <c r="J61" i="15"/>
  <c r="DX62" i="3"/>
  <c r="DZ62" i="3"/>
  <c r="EC62" i="3"/>
  <c r="EJ62" i="3"/>
  <c r="K61" i="15"/>
  <c r="EK62" i="3"/>
  <c r="EM62" i="3"/>
  <c r="EP62" i="3"/>
  <c r="EW62" i="3"/>
  <c r="L61" i="15"/>
  <c r="EX62" i="3"/>
  <c r="EZ62" i="3"/>
  <c r="FC62" i="3"/>
  <c r="FJ62" i="3"/>
  <c r="M61" i="15"/>
  <c r="FK62" i="3"/>
  <c r="FL62" i="3"/>
  <c r="FN62" i="3"/>
  <c r="FO62" i="3"/>
  <c r="FR62" i="3"/>
  <c r="FT62" i="3"/>
  <c r="N61" i="15"/>
  <c r="C61" i="15"/>
  <c r="AW63" i="3"/>
  <c r="AZ63" i="3"/>
  <c r="BA63" i="3"/>
  <c r="D62" i="15"/>
  <c r="BF63" i="3"/>
  <c r="BG63" i="3"/>
  <c r="E62" i="15"/>
  <c r="BS63" i="3"/>
  <c r="BN63" i="3"/>
  <c r="BU63" i="3"/>
  <c r="BV63" i="3"/>
  <c r="BY63" i="3"/>
  <c r="CA63" i="3"/>
  <c r="F62" i="15"/>
  <c r="CB63" i="3"/>
  <c r="CD63" i="3"/>
  <c r="CG63" i="3"/>
  <c r="CN63" i="3"/>
  <c r="G62" i="15"/>
  <c r="CO63" i="3"/>
  <c r="CQ63" i="3"/>
  <c r="CT63" i="3"/>
  <c r="DA63" i="3"/>
  <c r="H62" i="15"/>
  <c r="DB63" i="3"/>
  <c r="DC63" i="3"/>
  <c r="DE63" i="3"/>
  <c r="DF63" i="3"/>
  <c r="DL63" i="3"/>
  <c r="I62" i="15"/>
  <c r="DM63" i="3"/>
  <c r="DN63" i="3"/>
  <c r="DP63" i="3"/>
  <c r="DQ63" i="3"/>
  <c r="DW63" i="3"/>
  <c r="J62" i="15"/>
  <c r="DX63" i="3"/>
  <c r="DZ63" i="3"/>
  <c r="EC63" i="3"/>
  <c r="EJ63" i="3"/>
  <c r="K62" i="15"/>
  <c r="EK63" i="3"/>
  <c r="EM63" i="3"/>
  <c r="EP63" i="3"/>
  <c r="EW63" i="3"/>
  <c r="L62" i="15"/>
  <c r="EX63" i="3"/>
  <c r="EZ63" i="3"/>
  <c r="FC63" i="3"/>
  <c r="FJ63" i="3"/>
  <c r="M62" i="15"/>
  <c r="FK63" i="3"/>
  <c r="FL63" i="3"/>
  <c r="FN63" i="3"/>
  <c r="FO63" i="3"/>
  <c r="FR63" i="3"/>
  <c r="FT63" i="3"/>
  <c r="N62" i="15"/>
  <c r="C62" i="15"/>
  <c r="AW64" i="3"/>
  <c r="AZ64" i="3"/>
  <c r="BA64" i="3"/>
  <c r="D63" i="15"/>
  <c r="BF64" i="3"/>
  <c r="BG64" i="3"/>
  <c r="E63" i="15"/>
  <c r="BS64" i="3"/>
  <c r="BN64" i="3"/>
  <c r="BU64" i="3"/>
  <c r="BV64" i="3"/>
  <c r="BY64" i="3"/>
  <c r="CA64" i="3"/>
  <c r="F63" i="15"/>
  <c r="CB64" i="3"/>
  <c r="CD64" i="3"/>
  <c r="CG64" i="3"/>
  <c r="CN64" i="3"/>
  <c r="G63" i="15"/>
  <c r="CO64" i="3"/>
  <c r="CQ64" i="3"/>
  <c r="CT64" i="3"/>
  <c r="DA64" i="3"/>
  <c r="H63" i="15"/>
  <c r="DB64" i="3"/>
  <c r="DC64" i="3"/>
  <c r="DE64" i="3"/>
  <c r="DF64" i="3"/>
  <c r="DL64" i="3"/>
  <c r="I63" i="15"/>
  <c r="DM64" i="3"/>
  <c r="DN64" i="3"/>
  <c r="DP64" i="3"/>
  <c r="DQ64" i="3"/>
  <c r="DW64" i="3"/>
  <c r="J63" i="15"/>
  <c r="DX64" i="3"/>
  <c r="DZ64" i="3"/>
  <c r="EC64" i="3"/>
  <c r="EJ64" i="3"/>
  <c r="K63" i="15"/>
  <c r="EK64" i="3"/>
  <c r="EM64" i="3"/>
  <c r="EP64" i="3"/>
  <c r="EW64" i="3"/>
  <c r="L63" i="15"/>
  <c r="EX64" i="3"/>
  <c r="EZ64" i="3"/>
  <c r="FC64" i="3"/>
  <c r="FJ64" i="3"/>
  <c r="M63" i="15"/>
  <c r="FK64" i="3"/>
  <c r="FL64" i="3"/>
  <c r="FN64" i="3"/>
  <c r="FO64" i="3"/>
  <c r="FR64" i="3"/>
  <c r="FT64" i="3"/>
  <c r="N63" i="15"/>
  <c r="C63" i="15"/>
  <c r="AW65" i="3"/>
  <c r="AZ65" i="3"/>
  <c r="BA65" i="3"/>
  <c r="D64" i="15"/>
  <c r="BF65" i="3"/>
  <c r="BG65" i="3"/>
  <c r="E64" i="15"/>
  <c r="BS65" i="3"/>
  <c r="BN65" i="3"/>
  <c r="BU65" i="3"/>
  <c r="BV65" i="3"/>
  <c r="BY65" i="3"/>
  <c r="CA65" i="3"/>
  <c r="F64" i="15"/>
  <c r="CB65" i="3"/>
  <c r="CD65" i="3"/>
  <c r="CG65" i="3"/>
  <c r="CN65" i="3"/>
  <c r="G64" i="15"/>
  <c r="CO65" i="3"/>
  <c r="CQ65" i="3"/>
  <c r="CT65" i="3"/>
  <c r="DA65" i="3"/>
  <c r="H64" i="15"/>
  <c r="DB65" i="3"/>
  <c r="DC65" i="3"/>
  <c r="DE65" i="3"/>
  <c r="DF65" i="3"/>
  <c r="DL65" i="3"/>
  <c r="I64" i="15"/>
  <c r="DM65" i="3"/>
  <c r="DN65" i="3"/>
  <c r="DP65" i="3"/>
  <c r="DQ65" i="3"/>
  <c r="DW65" i="3"/>
  <c r="J64" i="15"/>
  <c r="DX65" i="3"/>
  <c r="DZ65" i="3"/>
  <c r="EC65" i="3"/>
  <c r="EJ65" i="3"/>
  <c r="K64" i="15"/>
  <c r="EK65" i="3"/>
  <c r="EM65" i="3"/>
  <c r="EP65" i="3"/>
  <c r="EW65" i="3"/>
  <c r="L64" i="15"/>
  <c r="EX65" i="3"/>
  <c r="EZ65" i="3"/>
  <c r="FC65" i="3"/>
  <c r="FJ65" i="3"/>
  <c r="M64" i="15"/>
  <c r="FK65" i="3"/>
  <c r="FL65" i="3"/>
  <c r="FN65" i="3"/>
  <c r="FO65" i="3"/>
  <c r="FR65" i="3"/>
  <c r="FT65" i="3"/>
  <c r="N64" i="15"/>
  <c r="C64" i="15"/>
  <c r="FE66" i="3"/>
  <c r="FE67" i="3"/>
  <c r="FE68" i="3"/>
  <c r="FE69" i="3"/>
  <c r="FE70" i="3"/>
  <c r="FE71" i="3"/>
  <c r="FE72" i="3"/>
  <c r="FE73" i="3"/>
  <c r="FE74" i="3"/>
  <c r="FE75" i="3"/>
  <c r="FE77" i="3"/>
  <c r="FE78" i="3"/>
  <c r="FE79" i="3"/>
  <c r="FE80" i="3"/>
  <c r="FE83" i="3"/>
  <c r="FE84" i="3"/>
  <c r="FE85" i="3"/>
  <c r="FE87" i="3"/>
  <c r="FE89" i="3"/>
  <c r="FE91" i="3"/>
  <c r="FE92" i="3"/>
  <c r="FE93" i="3"/>
  <c r="FE97" i="3"/>
  <c r="FE98" i="3"/>
  <c r="FE99" i="3"/>
  <c r="FE100" i="3"/>
  <c r="FE106" i="3"/>
  <c r="FE107" i="3"/>
  <c r="FE108" i="3"/>
  <c r="FE109" i="3"/>
  <c r="FE110" i="3"/>
  <c r="FE113" i="3"/>
  <c r="FE114" i="3"/>
  <c r="FE115" i="3"/>
  <c r="FE116" i="3"/>
  <c r="FE117" i="3"/>
  <c r="FE119" i="3"/>
  <c r="FE120" i="3"/>
  <c r="FE121" i="3"/>
  <c r="FE122" i="3"/>
  <c r="FE123" i="3"/>
  <c r="FE124" i="3"/>
  <c r="FE125" i="3"/>
  <c r="FE126" i="3"/>
  <c r="FE127" i="3"/>
  <c r="FE128" i="3"/>
  <c r="FE129" i="3"/>
  <c r="FE131" i="3"/>
  <c r="FE133" i="3"/>
  <c r="FE135" i="3"/>
  <c r="FE136" i="3"/>
  <c r="FE137" i="3"/>
  <c r="FE138" i="3"/>
  <c r="FE139" i="3"/>
  <c r="FE140" i="3"/>
  <c r="FE143" i="3"/>
  <c r="FE144" i="3"/>
  <c r="FE145" i="3"/>
  <c r="FE146" i="3"/>
  <c r="FE147" i="3"/>
  <c r="FE149" i="3"/>
  <c r="FE150" i="3"/>
  <c r="FE152" i="3"/>
  <c r="P16" i="15"/>
  <c r="CE17" i="3"/>
  <c r="CH17" i="3"/>
  <c r="CK17" i="3"/>
  <c r="Q16" i="15"/>
  <c r="CR17" i="3"/>
  <c r="CU17" i="3"/>
  <c r="CX17" i="3"/>
  <c r="R16" i="15"/>
  <c r="FA17" i="3"/>
  <c r="FD17" i="3"/>
  <c r="FG17" i="3"/>
  <c r="U16" i="15"/>
  <c r="P17" i="15"/>
  <c r="CE18" i="3"/>
  <c r="CH18" i="3"/>
  <c r="CK18" i="3"/>
  <c r="Q17" i="15"/>
  <c r="CR18" i="3"/>
  <c r="CU18" i="3"/>
  <c r="CX18" i="3"/>
  <c r="R17" i="15"/>
  <c r="FA18" i="3"/>
  <c r="FD18" i="3"/>
  <c r="FG18" i="3"/>
  <c r="U17" i="15"/>
  <c r="FE18" i="3"/>
  <c r="P18" i="15"/>
  <c r="CE19" i="3"/>
  <c r="CH19" i="3"/>
  <c r="CK19" i="3"/>
  <c r="Q18" i="15"/>
  <c r="CR19" i="3"/>
  <c r="CU19" i="3"/>
  <c r="CX19" i="3"/>
  <c r="R18" i="15"/>
  <c r="FA19" i="3"/>
  <c r="FD19" i="3"/>
  <c r="FG19" i="3"/>
  <c r="U18" i="15"/>
  <c r="FE19" i="3"/>
  <c r="P19" i="15"/>
  <c r="CE20" i="3"/>
  <c r="CH20" i="3"/>
  <c r="CK20" i="3"/>
  <c r="Q19" i="15"/>
  <c r="CR20" i="3"/>
  <c r="CU20" i="3"/>
  <c r="CX20" i="3"/>
  <c r="R19" i="15"/>
  <c r="FA20" i="3"/>
  <c r="FD20" i="3"/>
  <c r="FG20" i="3"/>
  <c r="U19" i="15"/>
  <c r="FE20" i="3"/>
  <c r="P20" i="15"/>
  <c r="CE21" i="3"/>
  <c r="CH21" i="3"/>
  <c r="CK21" i="3"/>
  <c r="Q20" i="15"/>
  <c r="CR21" i="3"/>
  <c r="CU21" i="3"/>
  <c r="CX21" i="3"/>
  <c r="R20" i="15"/>
  <c r="FA21" i="3"/>
  <c r="FD21" i="3"/>
  <c r="FG21" i="3"/>
  <c r="U20" i="15"/>
  <c r="FE21" i="3"/>
  <c r="P21" i="15"/>
  <c r="CE22" i="3"/>
  <c r="CH22" i="3"/>
  <c r="CK22" i="3"/>
  <c r="Q21" i="15"/>
  <c r="CR22" i="3"/>
  <c r="CU22" i="3"/>
  <c r="CX22" i="3"/>
  <c r="R21" i="15"/>
  <c r="FA22" i="3"/>
  <c r="FD22" i="3"/>
  <c r="FG22" i="3"/>
  <c r="U21" i="15"/>
  <c r="P22" i="15"/>
  <c r="CE23" i="3"/>
  <c r="CH23" i="3"/>
  <c r="CK23" i="3"/>
  <c r="Q22" i="15"/>
  <c r="CR23" i="3"/>
  <c r="CU23" i="3"/>
  <c r="CX23" i="3"/>
  <c r="R22" i="15"/>
  <c r="FA23" i="3"/>
  <c r="FD23" i="3"/>
  <c r="FG23" i="3"/>
  <c r="U22" i="15"/>
  <c r="P23" i="15"/>
  <c r="CE24" i="3"/>
  <c r="CH24" i="3"/>
  <c r="CK24" i="3"/>
  <c r="Q23" i="15"/>
  <c r="CR24" i="3"/>
  <c r="CU24" i="3"/>
  <c r="CX24" i="3"/>
  <c r="R23" i="15"/>
  <c r="FA24" i="3"/>
  <c r="FD24" i="3"/>
  <c r="FG24" i="3"/>
  <c r="U23" i="15"/>
  <c r="P24" i="15"/>
  <c r="CE25" i="3"/>
  <c r="CH25" i="3"/>
  <c r="CK25" i="3"/>
  <c r="Q24" i="15"/>
  <c r="CR25" i="3"/>
  <c r="CU25" i="3"/>
  <c r="CX25" i="3"/>
  <c r="R24" i="15"/>
  <c r="FA25" i="3"/>
  <c r="FD25" i="3"/>
  <c r="FG25" i="3"/>
  <c r="U24" i="15"/>
  <c r="FE25" i="3"/>
  <c r="P25" i="15"/>
  <c r="CE26" i="3"/>
  <c r="CH26" i="3"/>
  <c r="CK26" i="3"/>
  <c r="Q25" i="15"/>
  <c r="CR26" i="3"/>
  <c r="CU26" i="3"/>
  <c r="CX26" i="3"/>
  <c r="R25" i="15"/>
  <c r="FA26" i="3"/>
  <c r="FD26" i="3"/>
  <c r="FG26" i="3"/>
  <c r="U25" i="15"/>
  <c r="P26" i="15"/>
  <c r="CE27" i="3"/>
  <c r="CH27" i="3"/>
  <c r="CK27" i="3"/>
  <c r="Q26" i="15"/>
  <c r="CR27" i="3"/>
  <c r="CU27" i="3"/>
  <c r="CX27" i="3"/>
  <c r="R26" i="15"/>
  <c r="FA27" i="3"/>
  <c r="FD27" i="3"/>
  <c r="FG27" i="3"/>
  <c r="U26" i="15"/>
  <c r="P27" i="15"/>
  <c r="CE28" i="3"/>
  <c r="CH28" i="3"/>
  <c r="CK28" i="3"/>
  <c r="Q27" i="15"/>
  <c r="CR28" i="3"/>
  <c r="CU28" i="3"/>
  <c r="CX28" i="3"/>
  <c r="R27" i="15"/>
  <c r="FA28" i="3"/>
  <c r="FD28" i="3"/>
  <c r="FG28" i="3"/>
  <c r="U27" i="15"/>
  <c r="P28" i="15"/>
  <c r="CE29" i="3"/>
  <c r="CH29" i="3"/>
  <c r="CK29" i="3"/>
  <c r="Q28" i="15"/>
  <c r="CR29" i="3"/>
  <c r="CU29" i="3"/>
  <c r="CX29" i="3"/>
  <c r="R28" i="15"/>
  <c r="FA29" i="3"/>
  <c r="FD29" i="3"/>
  <c r="FG29" i="3"/>
  <c r="U28" i="15"/>
  <c r="P29" i="15"/>
  <c r="CE30" i="3"/>
  <c r="CH30" i="3"/>
  <c r="CK30" i="3"/>
  <c r="Q29" i="15"/>
  <c r="CR30" i="3"/>
  <c r="CU30" i="3"/>
  <c r="CX30" i="3"/>
  <c r="R29" i="15"/>
  <c r="FA30" i="3"/>
  <c r="FD30" i="3"/>
  <c r="FG30" i="3"/>
  <c r="U29" i="15"/>
  <c r="FE30" i="3"/>
  <c r="P30" i="15"/>
  <c r="CE31" i="3"/>
  <c r="CH31" i="3"/>
  <c r="CK31" i="3"/>
  <c r="Q30" i="15"/>
  <c r="CR31" i="3"/>
  <c r="CU31" i="3"/>
  <c r="CX31" i="3"/>
  <c r="R30" i="15"/>
  <c r="FA31" i="3"/>
  <c r="FD31" i="3"/>
  <c r="FG31" i="3"/>
  <c r="U30" i="15"/>
  <c r="FE31" i="3"/>
  <c r="P31" i="15"/>
  <c r="CE32" i="3"/>
  <c r="CH32" i="3"/>
  <c r="CK32" i="3"/>
  <c r="Q31" i="15"/>
  <c r="CR32" i="3"/>
  <c r="CU32" i="3"/>
  <c r="CX32" i="3"/>
  <c r="R31" i="15"/>
  <c r="FA32" i="3"/>
  <c r="FD32" i="3"/>
  <c r="FG32" i="3"/>
  <c r="U31" i="15"/>
  <c r="P32" i="15"/>
  <c r="CE33" i="3"/>
  <c r="CH33" i="3"/>
  <c r="CK33" i="3"/>
  <c r="Q32" i="15"/>
  <c r="CR33" i="3"/>
  <c r="CU33" i="3"/>
  <c r="CX33" i="3"/>
  <c r="R32" i="15"/>
  <c r="FA33" i="3"/>
  <c r="FD33" i="3"/>
  <c r="FG33" i="3"/>
  <c r="U32" i="15"/>
  <c r="P34" i="15"/>
  <c r="CE35" i="3"/>
  <c r="CH35" i="3"/>
  <c r="CK35" i="3"/>
  <c r="Q34" i="15"/>
  <c r="CR35" i="3"/>
  <c r="CU35" i="3"/>
  <c r="CX35" i="3"/>
  <c r="R34" i="15"/>
  <c r="FA35" i="3"/>
  <c r="FD35" i="3"/>
  <c r="FG35" i="3"/>
  <c r="U34" i="15"/>
  <c r="FE35" i="3"/>
  <c r="P35" i="15"/>
  <c r="CE36" i="3"/>
  <c r="CH36" i="3"/>
  <c r="CK36" i="3"/>
  <c r="Q35" i="15"/>
  <c r="CR36" i="3"/>
  <c r="CU36" i="3"/>
  <c r="CX36" i="3"/>
  <c r="R35" i="15"/>
  <c r="FA36" i="3"/>
  <c r="FD36" i="3"/>
  <c r="FG36" i="3"/>
  <c r="U35" i="15"/>
  <c r="FE36" i="3"/>
  <c r="P36" i="15"/>
  <c r="CE37" i="3"/>
  <c r="CH37" i="3"/>
  <c r="CK37" i="3"/>
  <c r="Q36" i="15"/>
  <c r="CR37" i="3"/>
  <c r="CU37" i="3"/>
  <c r="CX37" i="3"/>
  <c r="R36" i="15"/>
  <c r="FA37" i="3"/>
  <c r="FD37" i="3"/>
  <c r="FG37" i="3"/>
  <c r="U36" i="15"/>
  <c r="FE37" i="3"/>
  <c r="P37" i="15"/>
  <c r="CE38" i="3"/>
  <c r="CH38" i="3"/>
  <c r="CK38" i="3"/>
  <c r="Q37" i="15"/>
  <c r="CR38" i="3"/>
  <c r="CU38" i="3"/>
  <c r="CX38" i="3"/>
  <c r="R37" i="15"/>
  <c r="FA38" i="3"/>
  <c r="FD38" i="3"/>
  <c r="FG38" i="3"/>
  <c r="U37" i="15"/>
  <c r="FE38" i="3"/>
  <c r="P38" i="15"/>
  <c r="CE39" i="3"/>
  <c r="CH39" i="3"/>
  <c r="CK39" i="3"/>
  <c r="Q38" i="15"/>
  <c r="CR39" i="3"/>
  <c r="CU39" i="3"/>
  <c r="CX39" i="3"/>
  <c r="R38" i="15"/>
  <c r="FA39" i="3"/>
  <c r="FD39" i="3"/>
  <c r="FG39" i="3"/>
  <c r="U38" i="15"/>
  <c r="FE39" i="3"/>
  <c r="P39" i="15"/>
  <c r="CE40" i="3"/>
  <c r="CH40" i="3"/>
  <c r="CK40" i="3"/>
  <c r="Q39" i="15"/>
  <c r="CR40" i="3"/>
  <c r="CU40" i="3"/>
  <c r="CX40" i="3"/>
  <c r="R39" i="15"/>
  <c r="FA40" i="3"/>
  <c r="FD40" i="3"/>
  <c r="FG40" i="3"/>
  <c r="U39" i="15"/>
  <c r="P40" i="15"/>
  <c r="CE41" i="3"/>
  <c r="CH41" i="3"/>
  <c r="CK41" i="3"/>
  <c r="Q40" i="15"/>
  <c r="CR41" i="3"/>
  <c r="CU41" i="3"/>
  <c r="CX41" i="3"/>
  <c r="R40" i="15"/>
  <c r="FA41" i="3"/>
  <c r="FD41" i="3"/>
  <c r="FG41" i="3"/>
  <c r="U40" i="15"/>
  <c r="FE41" i="3"/>
  <c r="P41" i="15"/>
  <c r="CE42" i="3"/>
  <c r="CH42" i="3"/>
  <c r="CK42" i="3"/>
  <c r="Q41" i="15"/>
  <c r="CR42" i="3"/>
  <c r="CU42" i="3"/>
  <c r="CX42" i="3"/>
  <c r="R41" i="15"/>
  <c r="FA42" i="3"/>
  <c r="FD42" i="3"/>
  <c r="FG42" i="3"/>
  <c r="U41" i="15"/>
  <c r="FE42" i="3"/>
  <c r="P42" i="15"/>
  <c r="CE43" i="3"/>
  <c r="CH43" i="3"/>
  <c r="CK43" i="3"/>
  <c r="Q42" i="15"/>
  <c r="CR43" i="3"/>
  <c r="CU43" i="3"/>
  <c r="CX43" i="3"/>
  <c r="R42" i="15"/>
  <c r="FA43" i="3"/>
  <c r="FD43" i="3"/>
  <c r="FG43" i="3"/>
  <c r="U42" i="15"/>
  <c r="FE43" i="3"/>
  <c r="P43" i="15"/>
  <c r="CE44" i="3"/>
  <c r="CH44" i="3"/>
  <c r="CK44" i="3"/>
  <c r="Q43" i="15"/>
  <c r="CR44" i="3"/>
  <c r="CU44" i="3"/>
  <c r="CX44" i="3"/>
  <c r="R43" i="15"/>
  <c r="FA44" i="3"/>
  <c r="FD44" i="3"/>
  <c r="FG44" i="3"/>
  <c r="U43" i="15"/>
  <c r="FE44" i="3"/>
  <c r="P44" i="15"/>
  <c r="CE45" i="3"/>
  <c r="CH45" i="3"/>
  <c r="CK45" i="3"/>
  <c r="Q44" i="15"/>
  <c r="CR45" i="3"/>
  <c r="CU45" i="3"/>
  <c r="CX45" i="3"/>
  <c r="R44" i="15"/>
  <c r="FA45" i="3"/>
  <c r="FD45" i="3"/>
  <c r="FG45" i="3"/>
  <c r="U44" i="15"/>
  <c r="FE45" i="3"/>
  <c r="P46" i="15"/>
  <c r="CE47" i="3"/>
  <c r="CH47" i="3"/>
  <c r="CK47" i="3"/>
  <c r="Q46" i="15"/>
  <c r="CR47" i="3"/>
  <c r="CU47" i="3"/>
  <c r="CX47" i="3"/>
  <c r="R46" i="15"/>
  <c r="FA47" i="3"/>
  <c r="FD47" i="3"/>
  <c r="FG47" i="3"/>
  <c r="U46" i="15"/>
  <c r="FE47" i="3"/>
  <c r="P48" i="15"/>
  <c r="CE49" i="3"/>
  <c r="CH49" i="3"/>
  <c r="CK49" i="3"/>
  <c r="Q48" i="15"/>
  <c r="CR49" i="3"/>
  <c r="CU49" i="3"/>
  <c r="CX49" i="3"/>
  <c r="R48" i="15"/>
  <c r="FA49" i="3"/>
  <c r="FD49" i="3"/>
  <c r="FG49" i="3"/>
  <c r="U48" i="15"/>
  <c r="FE49" i="3"/>
  <c r="P49" i="15"/>
  <c r="CE50" i="3"/>
  <c r="CH50" i="3"/>
  <c r="CK50" i="3"/>
  <c r="Q49" i="15"/>
  <c r="CR50" i="3"/>
  <c r="CU50" i="3"/>
  <c r="CX50" i="3"/>
  <c r="R49" i="15"/>
  <c r="FA50" i="3"/>
  <c r="FD50" i="3"/>
  <c r="FG50" i="3"/>
  <c r="U49" i="15"/>
  <c r="P51" i="15"/>
  <c r="CE52" i="3"/>
  <c r="CH52" i="3"/>
  <c r="CK52" i="3"/>
  <c r="Q51" i="15"/>
  <c r="CR52" i="3"/>
  <c r="CU52" i="3"/>
  <c r="CX52" i="3"/>
  <c r="R51" i="15"/>
  <c r="FA52" i="3"/>
  <c r="FD52" i="3"/>
  <c r="FG52" i="3"/>
  <c r="U51" i="15"/>
  <c r="FE52" i="3"/>
  <c r="P52" i="15"/>
  <c r="CE53" i="3"/>
  <c r="CH53" i="3"/>
  <c r="CK53" i="3"/>
  <c r="Q52" i="15"/>
  <c r="CR53" i="3"/>
  <c r="CU53" i="3"/>
  <c r="CX53" i="3"/>
  <c r="R52" i="15"/>
  <c r="FA53" i="3"/>
  <c r="FD53" i="3"/>
  <c r="FG53" i="3"/>
  <c r="U52" i="15"/>
  <c r="FE53" i="3"/>
  <c r="P53" i="15"/>
  <c r="CE54" i="3"/>
  <c r="CH54" i="3"/>
  <c r="CK54" i="3"/>
  <c r="Q53" i="15"/>
  <c r="CR54" i="3"/>
  <c r="CU54" i="3"/>
  <c r="CX54" i="3"/>
  <c r="R53" i="15"/>
  <c r="FA54" i="3"/>
  <c r="FD54" i="3"/>
  <c r="FG54" i="3"/>
  <c r="U53" i="15"/>
  <c r="FE54" i="3"/>
  <c r="P54" i="15"/>
  <c r="CE55" i="3"/>
  <c r="CH55" i="3"/>
  <c r="CK55" i="3"/>
  <c r="Q54" i="15"/>
  <c r="CR55" i="3"/>
  <c r="CU55" i="3"/>
  <c r="CX55" i="3"/>
  <c r="R54" i="15"/>
  <c r="FA55" i="3"/>
  <c r="FD55" i="3"/>
  <c r="FG55" i="3"/>
  <c r="U54" i="15"/>
  <c r="FE55" i="3"/>
  <c r="P55" i="15"/>
  <c r="CE56" i="3"/>
  <c r="CH56" i="3"/>
  <c r="CK56" i="3"/>
  <c r="Q55" i="15"/>
  <c r="CR56" i="3"/>
  <c r="CU56" i="3"/>
  <c r="CX56" i="3"/>
  <c r="R55" i="15"/>
  <c r="FA56" i="3"/>
  <c r="FD56" i="3"/>
  <c r="FG56" i="3"/>
  <c r="U55" i="15"/>
  <c r="FE56" i="3"/>
  <c r="P56" i="15"/>
  <c r="CE57" i="3"/>
  <c r="CH57" i="3"/>
  <c r="CK57" i="3"/>
  <c r="Q56" i="15"/>
  <c r="CR57" i="3"/>
  <c r="CU57" i="3"/>
  <c r="CX57" i="3"/>
  <c r="R56" i="15"/>
  <c r="FA57" i="3"/>
  <c r="FD57" i="3"/>
  <c r="FG57" i="3"/>
  <c r="U56" i="15"/>
  <c r="FE57" i="3"/>
  <c r="P57" i="15"/>
  <c r="CE58" i="3"/>
  <c r="CH58" i="3"/>
  <c r="CK58" i="3"/>
  <c r="Q57" i="15"/>
  <c r="CR58" i="3"/>
  <c r="CU58" i="3"/>
  <c r="CX58" i="3"/>
  <c r="R57" i="15"/>
  <c r="FA58" i="3"/>
  <c r="FD58" i="3"/>
  <c r="FG58" i="3"/>
  <c r="U57" i="15"/>
  <c r="FE58" i="3"/>
  <c r="P58" i="15"/>
  <c r="CE59" i="3"/>
  <c r="CH59" i="3"/>
  <c r="CK59" i="3"/>
  <c r="Q58" i="15"/>
  <c r="CR59" i="3"/>
  <c r="CU59" i="3"/>
  <c r="CX59" i="3"/>
  <c r="R58" i="15"/>
  <c r="FA59" i="3"/>
  <c r="FD59" i="3"/>
  <c r="FG59" i="3"/>
  <c r="U58" i="15"/>
  <c r="FE59" i="3"/>
  <c r="P59" i="15"/>
  <c r="CE60" i="3"/>
  <c r="CH60" i="3"/>
  <c r="CK60" i="3"/>
  <c r="Q59" i="15"/>
  <c r="CR60" i="3"/>
  <c r="CU60" i="3"/>
  <c r="CX60" i="3"/>
  <c r="R59" i="15"/>
  <c r="FA60" i="3"/>
  <c r="FD60" i="3"/>
  <c r="FG60" i="3"/>
  <c r="U59" i="15"/>
  <c r="FE60" i="3"/>
  <c r="P61" i="15"/>
  <c r="CE62" i="3"/>
  <c r="CH62" i="3"/>
  <c r="CK62" i="3"/>
  <c r="Q61" i="15"/>
  <c r="CR62" i="3"/>
  <c r="CU62" i="3"/>
  <c r="CX62" i="3"/>
  <c r="R61" i="15"/>
  <c r="FA62" i="3"/>
  <c r="FD62" i="3"/>
  <c r="FG62" i="3"/>
  <c r="U61" i="15"/>
  <c r="FE62" i="3"/>
  <c r="P62" i="15"/>
  <c r="CE63" i="3"/>
  <c r="CH63" i="3"/>
  <c r="CK63" i="3"/>
  <c r="Q62" i="15"/>
  <c r="CR63" i="3"/>
  <c r="CU63" i="3"/>
  <c r="CX63" i="3"/>
  <c r="R62" i="15"/>
  <c r="FA63" i="3"/>
  <c r="FD63" i="3"/>
  <c r="FG63" i="3"/>
  <c r="U62" i="15"/>
  <c r="FE63" i="3"/>
  <c r="P63" i="15"/>
  <c r="CE64" i="3"/>
  <c r="CH64" i="3"/>
  <c r="CK64" i="3"/>
  <c r="Q63" i="15"/>
  <c r="CR64" i="3"/>
  <c r="CU64" i="3"/>
  <c r="CX64" i="3"/>
  <c r="R63" i="15"/>
  <c r="FA64" i="3"/>
  <c r="FD64" i="3"/>
  <c r="FG64" i="3"/>
  <c r="U63" i="15"/>
  <c r="FE64" i="3"/>
  <c r="P64" i="15"/>
  <c r="CE65" i="3"/>
  <c r="CH65" i="3"/>
  <c r="CK65" i="3"/>
  <c r="Q64" i="15"/>
  <c r="CR65" i="3"/>
  <c r="CU65" i="3"/>
  <c r="CX65" i="3"/>
  <c r="R64" i="15"/>
  <c r="FA65" i="3"/>
  <c r="FD65" i="3"/>
  <c r="FG65" i="3"/>
  <c r="U64" i="15"/>
  <c r="FE65" i="3"/>
  <c r="P14" i="15"/>
  <c r="CE15" i="3"/>
  <c r="CH15" i="3"/>
  <c r="CK15" i="3"/>
  <c r="Q14" i="15"/>
  <c r="CR15" i="3"/>
  <c r="CU15" i="3"/>
  <c r="CX15" i="3"/>
  <c r="R14" i="15"/>
  <c r="FA15" i="3"/>
  <c r="FD15" i="3"/>
  <c r="FG15" i="3"/>
  <c r="U14" i="15"/>
  <c r="P15" i="15"/>
  <c r="CE16" i="3"/>
  <c r="CH16" i="3"/>
  <c r="CK16" i="3"/>
  <c r="Q15" i="15"/>
  <c r="CR16" i="3"/>
  <c r="CU16" i="3"/>
  <c r="CX16" i="3"/>
  <c r="R15" i="15"/>
  <c r="FA16" i="3"/>
  <c r="FD16" i="3"/>
  <c r="FG16" i="3"/>
  <c r="U15" i="15"/>
  <c r="FE16" i="3"/>
  <c r="O14" i="15"/>
  <c r="O15" i="15"/>
  <c r="O16" i="15"/>
  <c r="O17" i="15"/>
  <c r="O18" i="15"/>
  <c r="O19" i="15"/>
  <c r="O20" i="15"/>
  <c r="O21" i="15"/>
  <c r="O22" i="15"/>
  <c r="O23" i="15"/>
  <c r="O24" i="15"/>
  <c r="O25" i="15"/>
  <c r="O26" i="15"/>
  <c r="O27" i="15"/>
  <c r="O28" i="15"/>
  <c r="O29" i="15"/>
  <c r="O30" i="15"/>
  <c r="O31" i="15"/>
  <c r="O32" i="15"/>
  <c r="O34" i="15"/>
  <c r="O35" i="15"/>
  <c r="O36" i="15"/>
  <c r="O37" i="15"/>
  <c r="O38" i="15"/>
  <c r="O39" i="15"/>
  <c r="O40" i="15"/>
  <c r="O41" i="15"/>
  <c r="O42" i="15"/>
  <c r="O43" i="15"/>
  <c r="O44" i="15"/>
  <c r="O46" i="15"/>
  <c r="O48" i="15"/>
  <c r="O49" i="15"/>
  <c r="O51" i="15"/>
  <c r="O52" i="15"/>
  <c r="O53" i="15"/>
  <c r="O54" i="15"/>
  <c r="O55" i="15"/>
  <c r="O56" i="15"/>
  <c r="O57" i="15"/>
  <c r="O58" i="15"/>
  <c r="O59" i="15"/>
  <c r="O61" i="15"/>
  <c r="O62" i="15"/>
  <c r="O63" i="15"/>
  <c r="O64" i="15"/>
  <c r="DT15" i="3"/>
  <c r="DT16" i="3"/>
  <c r="DT17" i="3"/>
  <c r="DT18" i="3"/>
  <c r="DT39" i="3"/>
  <c r="DT40" i="3"/>
  <c r="DT41" i="3"/>
  <c r="DT42" i="3"/>
  <c r="DT43" i="3"/>
  <c r="DT44" i="3"/>
  <c r="DT45" i="3"/>
  <c r="DT47" i="3"/>
  <c r="DT49" i="3"/>
  <c r="DT50" i="3"/>
  <c r="DT52" i="3"/>
  <c r="DT53" i="3"/>
  <c r="DT54" i="3"/>
  <c r="DT55" i="3"/>
  <c r="DT56" i="3"/>
  <c r="DT57" i="3"/>
  <c r="DT58" i="3"/>
  <c r="DT59" i="3"/>
  <c r="DT60" i="3"/>
  <c r="DT62" i="3"/>
  <c r="DT63" i="3"/>
  <c r="DT64" i="3"/>
  <c r="DT65" i="3"/>
  <c r="DT66" i="3"/>
  <c r="DT67" i="3"/>
  <c r="DT68" i="3"/>
  <c r="DT69" i="3"/>
  <c r="DT70" i="3"/>
  <c r="DT71" i="3"/>
  <c r="DT72" i="3"/>
  <c r="DT73" i="3"/>
  <c r="DT74" i="3"/>
  <c r="DT75" i="3"/>
  <c r="DT76" i="3"/>
  <c r="DT77" i="3"/>
  <c r="DT78" i="3"/>
  <c r="DT79" i="3"/>
  <c r="DT80" i="3"/>
  <c r="DT81" i="3"/>
  <c r="DT82" i="3"/>
  <c r="DT83" i="3"/>
  <c r="DT84" i="3"/>
  <c r="DT85" i="3"/>
  <c r="DT86" i="3"/>
  <c r="DT87" i="3"/>
  <c r="DT88" i="3"/>
  <c r="DT89" i="3"/>
  <c r="DT90" i="3"/>
  <c r="DT91" i="3"/>
  <c r="DT92" i="3"/>
  <c r="DT93" i="3"/>
  <c r="DT95" i="3"/>
  <c r="DT96" i="3"/>
  <c r="DT97" i="3"/>
  <c r="DT98" i="3"/>
  <c r="DT99" i="3"/>
  <c r="DT100" i="3"/>
  <c r="DT101" i="3"/>
  <c r="DT105" i="3"/>
  <c r="DT106" i="3"/>
  <c r="DT107" i="3"/>
  <c r="DT108" i="3"/>
  <c r="DT109" i="3"/>
  <c r="DT110" i="3"/>
  <c r="DT111" i="3"/>
  <c r="DT113" i="3"/>
  <c r="DT114" i="3"/>
  <c r="DT115" i="3"/>
  <c r="DT116" i="3"/>
  <c r="DT117" i="3"/>
  <c r="DT118" i="3"/>
  <c r="DT119" i="3"/>
  <c r="DT120" i="3"/>
  <c r="DT121" i="3"/>
  <c r="DT122" i="3"/>
  <c r="DT123" i="3"/>
  <c r="DT124" i="3"/>
  <c r="DT125" i="3"/>
  <c r="DT126" i="3"/>
  <c r="DT127" i="3"/>
  <c r="DT128" i="3"/>
  <c r="DT129" i="3"/>
  <c r="DT130" i="3"/>
  <c r="DT131" i="3"/>
  <c r="DT132" i="3"/>
  <c r="DT133" i="3"/>
  <c r="DT134" i="3"/>
  <c r="DT135" i="3"/>
  <c r="DT136" i="3"/>
  <c r="DT137" i="3"/>
  <c r="DT138" i="3"/>
  <c r="DT139" i="3"/>
  <c r="DT140" i="3"/>
  <c r="DT141" i="3"/>
  <c r="DT142" i="3"/>
  <c r="DT143" i="3"/>
  <c r="DT144" i="3"/>
  <c r="DT145" i="3"/>
  <c r="DT146" i="3"/>
  <c r="DT147" i="3"/>
  <c r="DT148" i="3"/>
  <c r="DT149" i="3"/>
  <c r="DT150" i="3"/>
  <c r="DT151" i="3"/>
  <c r="DT152" i="3"/>
  <c r="DT153" i="3"/>
  <c r="DT154" i="3"/>
  <c r="DT19" i="3"/>
  <c r="DT20" i="3"/>
  <c r="DT21" i="3"/>
  <c r="DT22" i="3"/>
  <c r="DT23" i="3"/>
  <c r="DT24" i="3"/>
  <c r="DT25" i="3"/>
  <c r="DT26" i="3"/>
  <c r="DT27" i="3"/>
  <c r="DT28" i="3"/>
  <c r="DT29" i="3"/>
  <c r="DT30" i="3"/>
  <c r="DT31" i="3"/>
  <c r="DT32" i="3"/>
  <c r="DT33" i="3"/>
  <c r="DT35" i="3"/>
  <c r="DT36" i="3"/>
  <c r="DT37" i="3"/>
  <c r="DT38" i="3"/>
  <c r="DI15" i="3"/>
  <c r="DI16" i="3"/>
  <c r="DI17" i="3"/>
  <c r="DI18" i="3"/>
  <c r="DI19" i="3"/>
  <c r="DI20" i="3"/>
  <c r="DI21" i="3"/>
  <c r="DI22" i="3"/>
  <c r="DI23" i="3"/>
  <c r="DI24" i="3"/>
  <c r="DI25" i="3"/>
  <c r="DI26" i="3"/>
  <c r="DI27" i="3"/>
  <c r="DI28" i="3"/>
  <c r="DI29" i="3"/>
  <c r="DI30" i="3"/>
  <c r="DI31" i="3"/>
  <c r="DI32" i="3"/>
  <c r="DI33" i="3"/>
  <c r="DI35" i="3"/>
  <c r="DI36" i="3"/>
  <c r="DI37" i="3"/>
  <c r="DI38" i="3"/>
  <c r="DI39" i="3"/>
  <c r="DI40" i="3"/>
  <c r="DI41" i="3"/>
  <c r="DI42" i="3"/>
  <c r="DI43" i="3"/>
  <c r="DI44" i="3"/>
  <c r="DI45" i="3"/>
  <c r="DI47" i="3"/>
  <c r="DI49" i="3"/>
  <c r="DI50" i="3"/>
  <c r="DI52" i="3"/>
  <c r="DI53" i="3"/>
  <c r="DI54" i="3"/>
  <c r="DI55" i="3"/>
  <c r="DI56" i="3"/>
  <c r="DI57" i="3"/>
  <c r="DI58" i="3"/>
  <c r="DI59" i="3"/>
  <c r="DI60" i="3"/>
  <c r="DI62" i="3"/>
  <c r="DI63" i="3"/>
  <c r="DI64" i="3"/>
  <c r="DI65" i="3"/>
  <c r="DI66" i="3"/>
  <c r="DI67" i="3"/>
  <c r="DI68" i="3"/>
  <c r="DI69" i="3"/>
  <c r="DI70" i="3"/>
  <c r="DI71" i="3"/>
  <c r="DI72" i="3"/>
  <c r="DI73" i="3"/>
  <c r="DI74" i="3"/>
  <c r="DI75" i="3"/>
  <c r="DI76" i="3"/>
  <c r="DI77" i="3"/>
  <c r="DI78" i="3"/>
  <c r="DI79" i="3"/>
  <c r="DI80" i="3"/>
  <c r="DI81" i="3"/>
  <c r="DI82" i="3"/>
  <c r="DI83" i="3"/>
  <c r="DI84" i="3"/>
  <c r="DI85" i="3"/>
  <c r="DI86" i="3"/>
  <c r="DI87" i="3"/>
  <c r="DI88" i="3"/>
  <c r="DI89" i="3"/>
  <c r="DI90" i="3"/>
  <c r="DI91" i="3"/>
  <c r="DI92" i="3"/>
  <c r="DI93" i="3"/>
  <c r="DI95" i="3"/>
  <c r="DI96" i="3"/>
  <c r="DI97" i="3"/>
  <c r="DI98" i="3"/>
  <c r="DI99" i="3"/>
  <c r="DI100" i="3"/>
  <c r="DI101" i="3"/>
  <c r="DI105" i="3"/>
  <c r="DI106" i="3"/>
  <c r="DI107" i="3"/>
  <c r="DI108" i="3"/>
  <c r="DI109" i="3"/>
  <c r="DI110" i="3"/>
  <c r="DI111" i="3"/>
  <c r="DI113" i="3"/>
  <c r="DI114" i="3"/>
  <c r="DI115" i="3"/>
  <c r="DI116" i="3"/>
  <c r="DI117" i="3"/>
  <c r="DI118" i="3"/>
  <c r="DI119" i="3"/>
  <c r="DI120" i="3"/>
  <c r="DI121" i="3"/>
  <c r="DI122" i="3"/>
  <c r="DI123" i="3"/>
  <c r="DI124" i="3"/>
  <c r="DI125" i="3"/>
  <c r="DI126" i="3"/>
  <c r="DI127" i="3"/>
  <c r="DI128" i="3"/>
  <c r="DI129" i="3"/>
  <c r="DI130" i="3"/>
  <c r="DI131" i="3"/>
  <c r="DI132" i="3"/>
  <c r="DI133" i="3"/>
  <c r="DI134" i="3"/>
  <c r="DI135" i="3"/>
  <c r="DI136" i="3"/>
  <c r="DI137" i="3"/>
  <c r="DI138" i="3"/>
  <c r="DI139" i="3"/>
  <c r="DI140" i="3"/>
  <c r="DI141" i="3"/>
  <c r="DI142" i="3"/>
  <c r="DI143" i="3"/>
  <c r="DI144" i="3"/>
  <c r="DI145" i="3"/>
  <c r="DI146" i="3"/>
  <c r="DI147" i="3"/>
  <c r="DI148" i="3"/>
  <c r="DI149" i="3"/>
  <c r="DI150" i="3"/>
  <c r="DI151" i="3"/>
  <c r="DI152" i="3"/>
  <c r="DI153" i="3"/>
  <c r="DI154" i="3"/>
  <c r="ER152" i="3"/>
  <c r="ER150" i="3"/>
  <c r="ER149" i="3"/>
  <c r="ER147" i="3"/>
  <c r="ER146" i="3"/>
  <c r="ER145" i="3"/>
  <c r="ER144" i="3"/>
  <c r="ER143" i="3"/>
  <c r="ER140" i="3"/>
  <c r="ER139" i="3"/>
  <c r="ER138" i="3"/>
  <c r="ER137" i="3"/>
  <c r="ER136" i="3"/>
  <c r="ER135" i="3"/>
  <c r="ER133" i="3"/>
  <c r="ER131" i="3"/>
  <c r="ER129" i="3"/>
  <c r="ER128" i="3"/>
  <c r="ER127" i="3"/>
  <c r="ER126" i="3"/>
  <c r="ER125" i="3"/>
  <c r="ER124" i="3"/>
  <c r="ER123" i="3"/>
  <c r="ER122" i="3"/>
  <c r="ER121" i="3"/>
  <c r="ER120" i="3"/>
  <c r="ER119" i="3"/>
  <c r="ER117" i="3"/>
  <c r="ER116" i="3"/>
  <c r="ER115" i="3"/>
  <c r="ER114" i="3"/>
  <c r="ER113" i="3"/>
  <c r="ER110" i="3"/>
  <c r="ER109" i="3"/>
  <c r="ER108" i="3"/>
  <c r="ER107" i="3"/>
  <c r="ER106" i="3"/>
  <c r="ER100" i="3"/>
  <c r="ER99" i="3"/>
  <c r="ER98" i="3"/>
  <c r="ER97" i="3"/>
  <c r="ER93" i="3"/>
  <c r="ER92" i="3"/>
  <c r="ER91" i="3"/>
  <c r="ER89" i="3"/>
  <c r="ER87" i="3"/>
  <c r="ER85" i="3"/>
  <c r="ER84" i="3"/>
  <c r="ER83" i="3"/>
  <c r="ER80" i="3"/>
  <c r="ER79" i="3"/>
  <c r="ER78" i="3"/>
  <c r="ER77" i="3"/>
  <c r="ER75" i="3"/>
  <c r="ER74" i="3"/>
  <c r="ER73" i="3"/>
  <c r="ER72" i="3"/>
  <c r="ER71" i="3"/>
  <c r="ER70" i="3"/>
  <c r="ER69" i="3"/>
  <c r="ER68" i="3"/>
  <c r="ER67" i="3"/>
  <c r="ER66" i="3"/>
  <c r="EE154" i="3"/>
  <c r="EE153" i="3"/>
  <c r="EE151" i="3"/>
  <c r="EE148" i="3"/>
  <c r="EE142" i="3"/>
  <c r="EE141" i="3"/>
  <c r="EE134" i="3"/>
  <c r="EE132" i="3"/>
  <c r="EE130" i="3"/>
  <c r="EE118" i="3"/>
  <c r="EE111" i="3"/>
  <c r="EE105" i="3"/>
  <c r="EE101" i="3"/>
  <c r="EE96" i="3"/>
  <c r="EE95" i="3"/>
  <c r="EE90" i="3"/>
  <c r="EE88" i="3"/>
  <c r="EE86" i="3"/>
  <c r="EE82" i="3"/>
  <c r="EE81" i="3"/>
  <c r="EE76" i="3"/>
  <c r="EE50" i="3"/>
  <c r="EE40" i="3"/>
  <c r="EE33" i="3"/>
  <c r="EE32" i="3"/>
  <c r="EE29" i="3"/>
  <c r="EE28" i="3"/>
  <c r="EE27" i="3"/>
  <c r="EE26" i="3"/>
  <c r="EE24" i="3"/>
  <c r="EE23" i="3"/>
  <c r="EE22" i="3"/>
  <c r="EE17" i="3"/>
  <c r="EE15" i="3"/>
  <c r="EE13" i="3"/>
  <c r="ER154" i="3"/>
  <c r="ER153" i="3"/>
  <c r="ER151" i="3"/>
  <c r="ER148" i="3"/>
  <c r="ER142" i="3"/>
  <c r="ER141" i="3"/>
  <c r="ER134" i="3"/>
  <c r="ER132" i="3"/>
  <c r="ER130" i="3"/>
  <c r="ER118" i="3"/>
  <c r="ER111" i="3"/>
  <c r="ER105" i="3"/>
  <c r="ER101" i="3"/>
  <c r="ER96" i="3"/>
  <c r="ER95" i="3"/>
  <c r="ER90" i="3"/>
  <c r="ER88" i="3"/>
  <c r="ER86" i="3"/>
  <c r="ER82" i="3"/>
  <c r="ER81" i="3"/>
  <c r="ER76" i="3"/>
  <c r="ER50" i="3"/>
  <c r="ER40" i="3"/>
  <c r="ER33" i="3"/>
  <c r="ER32" i="3"/>
  <c r="ER29" i="3"/>
  <c r="ER28" i="3"/>
  <c r="ER27" i="3"/>
  <c r="ER26" i="3"/>
  <c r="ER24" i="3"/>
  <c r="ER23" i="3"/>
  <c r="ER22" i="3"/>
  <c r="ER17" i="3"/>
  <c r="ER15" i="3"/>
  <c r="ER13" i="3"/>
  <c r="BJ11" i="3"/>
  <c r="BM11" i="3"/>
  <c r="BJ16" i="3"/>
  <c r="BM16" i="3"/>
  <c r="BJ14" i="3"/>
  <c r="BM14" i="3"/>
  <c r="BJ25" i="3"/>
  <c r="BM25" i="3"/>
  <c r="BJ21" i="3"/>
  <c r="BM21" i="3"/>
  <c r="BJ20" i="3"/>
  <c r="BM20" i="3"/>
  <c r="BJ19" i="3"/>
  <c r="BM19" i="3"/>
  <c r="BJ18" i="3"/>
  <c r="BM18" i="3"/>
  <c r="BJ30" i="3"/>
  <c r="BM30" i="3"/>
  <c r="BJ31" i="3"/>
  <c r="BM31" i="3"/>
  <c r="BJ35" i="3"/>
  <c r="BM35" i="3"/>
  <c r="BJ36" i="3"/>
  <c r="BM36" i="3"/>
  <c r="BJ37" i="3"/>
  <c r="BM37" i="3"/>
  <c r="BJ38" i="3"/>
  <c r="BM38" i="3"/>
  <c r="BJ39" i="3"/>
  <c r="BM39" i="3"/>
  <c r="BJ41" i="3"/>
  <c r="BM41" i="3"/>
  <c r="BJ42" i="3"/>
  <c r="BM42" i="3"/>
  <c r="BJ43" i="3"/>
  <c r="BM43" i="3"/>
  <c r="BJ44" i="3"/>
  <c r="BM44" i="3"/>
  <c r="BJ45" i="3"/>
  <c r="BM45" i="3"/>
  <c r="BJ47" i="3"/>
  <c r="BM47" i="3"/>
  <c r="BJ49" i="3"/>
  <c r="BM49" i="3"/>
  <c r="BJ52" i="3"/>
  <c r="BM52" i="3"/>
  <c r="BJ53" i="3"/>
  <c r="BM53" i="3"/>
  <c r="BJ54" i="3"/>
  <c r="BM54" i="3"/>
  <c r="BJ55" i="3"/>
  <c r="BM55" i="3"/>
  <c r="BJ56" i="3"/>
  <c r="BM56" i="3"/>
  <c r="BJ57" i="3"/>
  <c r="BM57" i="3"/>
  <c r="BJ58" i="3"/>
  <c r="BM58" i="3"/>
  <c r="BJ59" i="3"/>
  <c r="BM59" i="3"/>
  <c r="BJ60" i="3"/>
  <c r="BM60" i="3"/>
  <c r="BJ62" i="3"/>
  <c r="BM62" i="3"/>
  <c r="BJ63" i="3"/>
  <c r="BM63" i="3"/>
  <c r="BJ64" i="3"/>
  <c r="BM64" i="3"/>
  <c r="BJ65" i="3"/>
  <c r="BM65" i="3"/>
  <c r="BJ66" i="3"/>
  <c r="BM66" i="3"/>
  <c r="BJ67" i="3"/>
  <c r="BM67" i="3"/>
  <c r="BJ68" i="3"/>
  <c r="BM68" i="3"/>
  <c r="BJ69" i="3"/>
  <c r="BM69" i="3"/>
  <c r="BJ70" i="3"/>
  <c r="BM70" i="3"/>
  <c r="BJ71" i="3"/>
  <c r="BM71" i="3"/>
  <c r="BJ72" i="3"/>
  <c r="BM72" i="3"/>
  <c r="BJ73" i="3"/>
  <c r="BM73" i="3"/>
  <c r="BJ74" i="3"/>
  <c r="BM74" i="3"/>
  <c r="BJ75" i="3"/>
  <c r="BM75" i="3"/>
  <c r="BJ77" i="3"/>
  <c r="BM77" i="3"/>
  <c r="BJ78" i="3"/>
  <c r="BM78" i="3"/>
  <c r="BJ79" i="3"/>
  <c r="BM79" i="3"/>
  <c r="BJ80" i="3"/>
  <c r="BM80" i="3"/>
  <c r="BJ83" i="3"/>
  <c r="BM83" i="3"/>
  <c r="BJ84" i="3"/>
  <c r="BM84" i="3"/>
  <c r="BJ85" i="3"/>
  <c r="BM85" i="3"/>
  <c r="BJ87" i="3"/>
  <c r="BM87" i="3"/>
  <c r="BJ89" i="3"/>
  <c r="BM89" i="3"/>
  <c r="BJ91" i="3"/>
  <c r="BM91" i="3"/>
  <c r="BJ92" i="3"/>
  <c r="BM92" i="3"/>
  <c r="BJ93" i="3"/>
  <c r="BM93" i="3"/>
  <c r="BJ97" i="3"/>
  <c r="BM97" i="3"/>
  <c r="BJ98" i="3"/>
  <c r="BM98" i="3"/>
  <c r="BJ99" i="3"/>
  <c r="BM99" i="3"/>
  <c r="BJ100" i="3"/>
  <c r="BM100" i="3"/>
  <c r="BJ106" i="3"/>
  <c r="BM106" i="3"/>
  <c r="BJ107" i="3"/>
  <c r="BM107" i="3"/>
  <c r="BJ108" i="3"/>
  <c r="BM108" i="3"/>
  <c r="BJ109" i="3"/>
  <c r="BM109" i="3"/>
  <c r="BJ110" i="3"/>
  <c r="BM110" i="3"/>
  <c r="BJ113" i="3"/>
  <c r="BM113" i="3"/>
  <c r="BJ114" i="3"/>
  <c r="BM114" i="3"/>
  <c r="BJ115" i="3"/>
  <c r="BM115" i="3"/>
  <c r="BJ116" i="3"/>
  <c r="BM116" i="3"/>
  <c r="BJ117" i="3"/>
  <c r="BM117" i="3"/>
  <c r="BJ119" i="3"/>
  <c r="BM119" i="3"/>
  <c r="BJ120" i="3"/>
  <c r="BM120" i="3"/>
  <c r="BJ121" i="3"/>
  <c r="BM121" i="3"/>
  <c r="BJ122" i="3"/>
  <c r="BM122" i="3"/>
  <c r="BJ123" i="3"/>
  <c r="BM123" i="3"/>
  <c r="BJ124" i="3"/>
  <c r="BM124" i="3"/>
  <c r="BJ125" i="3"/>
  <c r="BM125" i="3"/>
  <c r="BJ126" i="3"/>
  <c r="BM126" i="3"/>
  <c r="BJ127" i="3"/>
  <c r="BM127" i="3"/>
  <c r="BJ128" i="3"/>
  <c r="BM128" i="3"/>
  <c r="BJ129" i="3"/>
  <c r="BM129" i="3"/>
  <c r="BJ131" i="3"/>
  <c r="BM131" i="3"/>
  <c r="BJ133" i="3"/>
  <c r="BM133" i="3"/>
  <c r="BJ135" i="3"/>
  <c r="BM135" i="3"/>
  <c r="BJ136" i="3"/>
  <c r="BM136" i="3"/>
  <c r="BJ137" i="3"/>
  <c r="BM137" i="3"/>
  <c r="BJ138" i="3"/>
  <c r="BM138" i="3"/>
  <c r="BJ139" i="3"/>
  <c r="BM139" i="3"/>
  <c r="BJ140" i="3"/>
  <c r="BM140" i="3"/>
  <c r="BJ143" i="3"/>
  <c r="BM143" i="3"/>
  <c r="BJ144" i="3"/>
  <c r="BM144" i="3"/>
  <c r="BJ145" i="3"/>
  <c r="BM145" i="3"/>
  <c r="BJ146" i="3"/>
  <c r="BM146" i="3"/>
  <c r="BJ147" i="3"/>
  <c r="BM147" i="3"/>
  <c r="BJ149" i="3"/>
  <c r="BM149" i="3"/>
  <c r="BJ150" i="3"/>
  <c r="BM150" i="3"/>
  <c r="BJ152" i="3"/>
  <c r="BM152" i="3"/>
  <c r="BJ112" i="3"/>
  <c r="BM112" i="3"/>
  <c r="BJ104" i="3"/>
  <c r="BM104" i="3"/>
  <c r="BJ103" i="3"/>
  <c r="BM103" i="3"/>
  <c r="BJ94" i="3"/>
  <c r="BM94" i="3"/>
  <c r="P61" i="3" a="1"/>
  <c r="P61" i="3"/>
  <c r="S61" i="3"/>
  <c r="AU61" i="3"/>
  <c r="BJ61" i="3"/>
  <c r="BM61" i="3"/>
  <c r="P51" i="3" a="1"/>
  <c r="P51" i="3"/>
  <c r="S51" i="3"/>
  <c r="AU51" i="3"/>
  <c r="BJ51" i="3"/>
  <c r="BM51" i="3"/>
  <c r="P48" i="3" a="1"/>
  <c r="P48" i="3"/>
  <c r="S48" i="3"/>
  <c r="AU48" i="3"/>
  <c r="BJ48" i="3"/>
  <c r="BM48" i="3"/>
  <c r="P46" i="3" a="1"/>
  <c r="P46" i="3"/>
  <c r="S46" i="3"/>
  <c r="AU46" i="3"/>
  <c r="BJ46" i="3"/>
  <c r="BM46" i="3"/>
  <c r="P34" i="3" a="1"/>
  <c r="P34" i="3"/>
  <c r="S34" i="3"/>
  <c r="AU34" i="3"/>
  <c r="BJ34" i="3"/>
  <c r="BM34" i="3"/>
  <c r="ER94" i="3"/>
  <c r="ER103" i="3"/>
  <c r="ER104" i="3"/>
  <c r="ER112" i="3"/>
  <c r="DI112" i="3"/>
  <c r="DI104" i="3"/>
  <c r="DI103" i="3"/>
  <c r="DI94" i="3"/>
  <c r="AV61" i="3"/>
  <c r="BD61" i="3"/>
  <c r="DB61" i="3"/>
  <c r="DC61" i="3"/>
  <c r="BN61" i="3"/>
  <c r="DE61" i="3"/>
  <c r="DF61" i="3"/>
  <c r="DI61" i="3"/>
  <c r="AV51" i="3"/>
  <c r="BD51" i="3"/>
  <c r="DB51" i="3"/>
  <c r="DC51" i="3"/>
  <c r="BN51" i="3"/>
  <c r="DE51" i="3"/>
  <c r="DF51" i="3"/>
  <c r="DI51" i="3"/>
  <c r="AV48" i="3"/>
  <c r="BD48" i="3"/>
  <c r="DB48" i="3"/>
  <c r="DC48" i="3"/>
  <c r="BN48" i="3"/>
  <c r="DE48" i="3"/>
  <c r="DF48" i="3"/>
  <c r="DI48" i="3"/>
  <c r="AV46" i="3"/>
  <c r="BD46" i="3"/>
  <c r="DB46" i="3"/>
  <c r="DC46" i="3"/>
  <c r="BN46" i="3"/>
  <c r="DE46" i="3"/>
  <c r="DF46" i="3"/>
  <c r="DI46" i="3"/>
  <c r="AV34" i="3"/>
  <c r="BD34" i="3"/>
  <c r="DB34" i="3"/>
  <c r="DC34" i="3"/>
  <c r="BN34" i="3"/>
  <c r="DE34" i="3"/>
  <c r="DF34" i="3"/>
  <c r="DI34" i="3"/>
  <c r="DM34" i="3"/>
  <c r="DN34" i="3"/>
  <c r="DP34" i="3"/>
  <c r="DQ34" i="3"/>
  <c r="DT34" i="3"/>
  <c r="DT112" i="3"/>
  <c r="DT104" i="3"/>
  <c r="DT103" i="3"/>
  <c r="DT94" i="3"/>
  <c r="DM61" i="3"/>
  <c r="DN61" i="3"/>
  <c r="DP61" i="3"/>
  <c r="DQ61" i="3"/>
  <c r="DT61" i="3"/>
  <c r="DM51" i="3"/>
  <c r="DN51" i="3"/>
  <c r="DP51" i="3"/>
  <c r="DQ51" i="3"/>
  <c r="DT51" i="3"/>
  <c r="DM48" i="3"/>
  <c r="DN48" i="3"/>
  <c r="DP48" i="3"/>
  <c r="DQ48" i="3"/>
  <c r="DT48" i="3"/>
  <c r="DM46" i="3"/>
  <c r="DN46" i="3"/>
  <c r="DP46" i="3"/>
  <c r="DQ46" i="3"/>
  <c r="DT46" i="3"/>
  <c r="AW61" i="3"/>
  <c r="AZ61" i="3"/>
  <c r="O60" i="15"/>
  <c r="AW51" i="3"/>
  <c r="AZ51" i="3"/>
  <c r="O50" i="15"/>
  <c r="AW48" i="3"/>
  <c r="AZ48" i="3"/>
  <c r="O47" i="15"/>
  <c r="AW46" i="3"/>
  <c r="AZ46" i="3"/>
  <c r="O45" i="15"/>
  <c r="AW34" i="3"/>
  <c r="AZ34" i="3"/>
  <c r="O33" i="15"/>
  <c r="BP61" i="3"/>
  <c r="EY61" i="3"/>
  <c r="FA61" i="3"/>
  <c r="FC61" i="3"/>
  <c r="FD61" i="3"/>
  <c r="FG61" i="3"/>
  <c r="U60" i="15"/>
  <c r="CP61" i="3"/>
  <c r="CR61" i="3"/>
  <c r="CT61" i="3"/>
  <c r="CU61" i="3"/>
  <c r="CX61" i="3"/>
  <c r="R60" i="15"/>
  <c r="CC61" i="3"/>
  <c r="CE61" i="3"/>
  <c r="CG61" i="3"/>
  <c r="CH61" i="3"/>
  <c r="CK61" i="3"/>
  <c r="Q60" i="15"/>
  <c r="BQ61" i="3"/>
  <c r="BR61" i="3"/>
  <c r="BS61" i="3"/>
  <c r="BU61" i="3"/>
  <c r="BV61" i="3"/>
  <c r="BY61" i="3"/>
  <c r="P60" i="15"/>
  <c r="BP51" i="3"/>
  <c r="EY51" i="3"/>
  <c r="FA51" i="3"/>
  <c r="FC51" i="3"/>
  <c r="FD51" i="3"/>
  <c r="FG51" i="3"/>
  <c r="U50" i="15"/>
  <c r="CP51" i="3"/>
  <c r="CR51" i="3"/>
  <c r="CT51" i="3"/>
  <c r="CU51" i="3"/>
  <c r="CX51" i="3"/>
  <c r="R50" i="15"/>
  <c r="CC51" i="3"/>
  <c r="CE51" i="3"/>
  <c r="CG51" i="3"/>
  <c r="CH51" i="3"/>
  <c r="CK51" i="3"/>
  <c r="Q50" i="15"/>
  <c r="BQ51" i="3"/>
  <c r="BR51" i="3"/>
  <c r="BS51" i="3"/>
  <c r="BU51" i="3"/>
  <c r="BV51" i="3"/>
  <c r="BY51" i="3"/>
  <c r="P50" i="15"/>
  <c r="BP48" i="3"/>
  <c r="EY48" i="3"/>
  <c r="FA48" i="3"/>
  <c r="FC48" i="3"/>
  <c r="FD48" i="3"/>
  <c r="FG48" i="3"/>
  <c r="U47" i="15"/>
  <c r="CP48" i="3"/>
  <c r="CR48" i="3"/>
  <c r="CT48" i="3"/>
  <c r="CU48" i="3"/>
  <c r="CX48" i="3"/>
  <c r="R47" i="15"/>
  <c r="CC48" i="3"/>
  <c r="CE48" i="3"/>
  <c r="CG48" i="3"/>
  <c r="CH48" i="3"/>
  <c r="CK48" i="3"/>
  <c r="Q47" i="15"/>
  <c r="BQ48" i="3"/>
  <c r="BR48" i="3"/>
  <c r="BS48" i="3"/>
  <c r="BU48" i="3"/>
  <c r="BV48" i="3"/>
  <c r="BY48" i="3"/>
  <c r="P47" i="15"/>
  <c r="BP46" i="3"/>
  <c r="EY46" i="3"/>
  <c r="FA46" i="3"/>
  <c r="FC46" i="3"/>
  <c r="FD46" i="3"/>
  <c r="FG46" i="3"/>
  <c r="U45" i="15"/>
  <c r="CP46" i="3"/>
  <c r="CR46" i="3"/>
  <c r="CT46" i="3"/>
  <c r="CU46" i="3"/>
  <c r="CX46" i="3"/>
  <c r="R45" i="15"/>
  <c r="CC46" i="3"/>
  <c r="CE46" i="3"/>
  <c r="CG46" i="3"/>
  <c r="CH46" i="3"/>
  <c r="CK46" i="3"/>
  <c r="Q45" i="15"/>
  <c r="BQ46" i="3"/>
  <c r="BR46" i="3"/>
  <c r="BS46" i="3"/>
  <c r="BU46" i="3"/>
  <c r="BV46" i="3"/>
  <c r="BY46" i="3"/>
  <c r="P45" i="15"/>
  <c r="BP34" i="3"/>
  <c r="EY34" i="3"/>
  <c r="FA34" i="3"/>
  <c r="FC34" i="3"/>
  <c r="FD34" i="3"/>
  <c r="FG34" i="3"/>
  <c r="U33" i="15"/>
  <c r="CP34" i="3"/>
  <c r="CR34" i="3"/>
  <c r="CT34" i="3"/>
  <c r="CU34" i="3"/>
  <c r="CX34" i="3"/>
  <c r="R33" i="15"/>
  <c r="CC34" i="3"/>
  <c r="CE34" i="3"/>
  <c r="CG34" i="3"/>
  <c r="CH34" i="3"/>
  <c r="CK34" i="3"/>
  <c r="Q33" i="15"/>
  <c r="BQ34" i="3"/>
  <c r="BR34" i="3"/>
  <c r="BS34" i="3"/>
  <c r="BU34" i="3"/>
  <c r="BV34" i="3"/>
  <c r="BY34" i="3"/>
  <c r="P33" i="15"/>
  <c r="FE112" i="3"/>
  <c r="FE104" i="3"/>
  <c r="FE103" i="3"/>
  <c r="FE94" i="3"/>
  <c r="BA61" i="3"/>
  <c r="D60" i="15"/>
  <c r="BF61" i="3"/>
  <c r="BG61" i="3"/>
  <c r="E60" i="15"/>
  <c r="CA61" i="3"/>
  <c r="F60" i="15"/>
  <c r="CB61" i="3"/>
  <c r="CD61" i="3"/>
  <c r="CN61" i="3"/>
  <c r="G60" i="15"/>
  <c r="CO61" i="3"/>
  <c r="CQ61" i="3"/>
  <c r="DA61" i="3"/>
  <c r="H60" i="15"/>
  <c r="DL61" i="3"/>
  <c r="I60" i="15"/>
  <c r="DW61" i="3"/>
  <c r="J60" i="15"/>
  <c r="DX61" i="3"/>
  <c r="DZ61" i="3"/>
  <c r="EC61" i="3"/>
  <c r="EJ61" i="3"/>
  <c r="K60" i="15"/>
  <c r="EK61" i="3"/>
  <c r="EM61" i="3"/>
  <c r="EP61" i="3"/>
  <c r="EW61" i="3"/>
  <c r="L60" i="15"/>
  <c r="EX61" i="3"/>
  <c r="EZ61" i="3"/>
  <c r="FJ61" i="3"/>
  <c r="M60" i="15"/>
  <c r="FK61" i="3"/>
  <c r="FL61" i="3"/>
  <c r="FN61" i="3"/>
  <c r="FO61" i="3"/>
  <c r="FR61" i="3"/>
  <c r="FT61" i="3"/>
  <c r="N60" i="15"/>
  <c r="C60" i="15"/>
  <c r="FE61" i="3"/>
  <c r="BA51" i="3"/>
  <c r="D50" i="15"/>
  <c r="BF51" i="3"/>
  <c r="BG51" i="3"/>
  <c r="E50" i="15"/>
  <c r="CA51" i="3"/>
  <c r="F50" i="15"/>
  <c r="CB51" i="3"/>
  <c r="CD51" i="3"/>
  <c r="CN51" i="3"/>
  <c r="G50" i="15"/>
  <c r="CO51" i="3"/>
  <c r="CQ51" i="3"/>
  <c r="DA51" i="3"/>
  <c r="H50" i="15"/>
  <c r="DL51" i="3"/>
  <c r="I50" i="15"/>
  <c r="DW51" i="3"/>
  <c r="J50" i="15"/>
  <c r="DX51" i="3"/>
  <c r="DZ51" i="3"/>
  <c r="EC51" i="3"/>
  <c r="EJ51" i="3"/>
  <c r="K50" i="15"/>
  <c r="EK51" i="3"/>
  <c r="EM51" i="3"/>
  <c r="EP51" i="3"/>
  <c r="EW51" i="3"/>
  <c r="L50" i="15"/>
  <c r="EX51" i="3"/>
  <c r="EZ51" i="3"/>
  <c r="FJ51" i="3"/>
  <c r="M50" i="15"/>
  <c r="FK51" i="3"/>
  <c r="FL51" i="3"/>
  <c r="FN51" i="3"/>
  <c r="FO51" i="3"/>
  <c r="FR51" i="3"/>
  <c r="FT51" i="3"/>
  <c r="N50" i="15"/>
  <c r="C50" i="15"/>
  <c r="FE51" i="3"/>
  <c r="BA48" i="3"/>
  <c r="D47" i="15"/>
  <c r="BF48" i="3"/>
  <c r="BG48" i="3"/>
  <c r="E47" i="15"/>
  <c r="CA48" i="3"/>
  <c r="F47" i="15"/>
  <c r="CB48" i="3"/>
  <c r="CD48" i="3"/>
  <c r="CN48" i="3"/>
  <c r="G47" i="15"/>
  <c r="CO48" i="3"/>
  <c r="CQ48" i="3"/>
  <c r="DA48" i="3"/>
  <c r="H47" i="15"/>
  <c r="DL48" i="3"/>
  <c r="I47" i="15"/>
  <c r="DW48" i="3"/>
  <c r="J47" i="15"/>
  <c r="DX48" i="3"/>
  <c r="DZ48" i="3"/>
  <c r="EC48" i="3"/>
  <c r="EJ48" i="3"/>
  <c r="K47" i="15"/>
  <c r="EK48" i="3"/>
  <c r="EM48" i="3"/>
  <c r="EP48" i="3"/>
  <c r="EW48" i="3"/>
  <c r="L47" i="15"/>
  <c r="EX48" i="3"/>
  <c r="EZ48" i="3"/>
  <c r="FJ48" i="3"/>
  <c r="M47" i="15"/>
  <c r="FK48" i="3"/>
  <c r="FL48" i="3"/>
  <c r="FN48" i="3"/>
  <c r="FO48" i="3"/>
  <c r="FR48" i="3"/>
  <c r="FT48" i="3"/>
  <c r="N47" i="15"/>
  <c r="C47" i="15"/>
  <c r="FE48" i="3"/>
  <c r="BA46" i="3"/>
  <c r="D45" i="15"/>
  <c r="BF46" i="3"/>
  <c r="BG46" i="3"/>
  <c r="E45" i="15"/>
  <c r="CA46" i="3"/>
  <c r="F45" i="15"/>
  <c r="CB46" i="3"/>
  <c r="CD46" i="3"/>
  <c r="CN46" i="3"/>
  <c r="G45" i="15"/>
  <c r="CO46" i="3"/>
  <c r="CQ46" i="3"/>
  <c r="DA46" i="3"/>
  <c r="H45" i="15"/>
  <c r="DL46" i="3"/>
  <c r="I45" i="15"/>
  <c r="DW46" i="3"/>
  <c r="J45" i="15"/>
  <c r="DX46" i="3"/>
  <c r="DZ46" i="3"/>
  <c r="EC46" i="3"/>
  <c r="EJ46" i="3"/>
  <c r="K45" i="15"/>
  <c r="EK46" i="3"/>
  <c r="EM46" i="3"/>
  <c r="EP46" i="3"/>
  <c r="EW46" i="3"/>
  <c r="L45" i="15"/>
  <c r="EX46" i="3"/>
  <c r="EZ46" i="3"/>
  <c r="FJ46" i="3"/>
  <c r="M45" i="15"/>
  <c r="FK46" i="3"/>
  <c r="FL46" i="3"/>
  <c r="FN46" i="3"/>
  <c r="FO46" i="3"/>
  <c r="FR46" i="3"/>
  <c r="FT46" i="3"/>
  <c r="N45" i="15"/>
  <c r="C45" i="15"/>
  <c r="FE46" i="3"/>
  <c r="BA34" i="3"/>
  <c r="D33" i="15"/>
  <c r="BF34" i="3"/>
  <c r="BG34" i="3"/>
  <c r="E33" i="15"/>
  <c r="CA34" i="3"/>
  <c r="F33" i="15"/>
  <c r="CB34" i="3"/>
  <c r="CD34" i="3"/>
  <c r="CN34" i="3"/>
  <c r="G33" i="15"/>
  <c r="CO34" i="3"/>
  <c r="CQ34" i="3"/>
  <c r="DA34" i="3"/>
  <c r="H33" i="15"/>
  <c r="DL34" i="3"/>
  <c r="I33" i="15"/>
  <c r="DW34" i="3"/>
  <c r="J33" i="15"/>
  <c r="DX34" i="3"/>
  <c r="DZ34" i="3"/>
  <c r="EC34" i="3"/>
  <c r="EJ34" i="3"/>
  <c r="K33" i="15"/>
  <c r="EK34" i="3"/>
  <c r="EM34" i="3"/>
  <c r="EP34" i="3"/>
  <c r="EW34" i="3"/>
  <c r="L33" i="15"/>
  <c r="EX34" i="3"/>
  <c r="EZ34" i="3"/>
  <c r="FJ34" i="3"/>
  <c r="M33" i="15"/>
  <c r="FK34" i="3"/>
  <c r="FL34" i="3"/>
  <c r="FN34" i="3"/>
  <c r="FO34" i="3"/>
  <c r="FR34" i="3"/>
  <c r="FT34" i="3"/>
  <c r="N33" i="15"/>
  <c r="C33" i="15"/>
  <c r="FE34" i="3"/>
  <c r="GF61" i="3"/>
  <c r="AC60" i="15"/>
  <c r="GC61" i="3"/>
  <c r="Z60" i="15"/>
  <c r="GB61" i="3"/>
  <c r="Y60" i="15"/>
  <c r="GA61" i="3"/>
  <c r="X60" i="15"/>
  <c r="FZ61" i="3"/>
  <c r="W60" i="15"/>
  <c r="FV61" i="3"/>
  <c r="FY61" i="3"/>
  <c r="V60" i="15"/>
  <c r="GF51" i="3"/>
  <c r="AC50" i="15"/>
  <c r="GC51" i="3"/>
  <c r="Z50" i="15"/>
  <c r="GB51" i="3"/>
  <c r="Y50" i="15"/>
  <c r="GA51" i="3"/>
  <c r="X50" i="15"/>
  <c r="FZ51" i="3"/>
  <c r="W50" i="15"/>
  <c r="FV51" i="3"/>
  <c r="FY51" i="3"/>
  <c r="V50" i="15"/>
  <c r="GF48" i="3"/>
  <c r="AC47" i="15"/>
  <c r="GC48" i="3"/>
  <c r="Z47" i="15"/>
  <c r="GB48" i="3"/>
  <c r="Y47" i="15"/>
  <c r="GA48" i="3"/>
  <c r="X47" i="15"/>
  <c r="FZ48" i="3"/>
  <c r="W47" i="15"/>
  <c r="FV48" i="3"/>
  <c r="FY48" i="3"/>
  <c r="V47" i="15"/>
  <c r="GF46" i="3"/>
  <c r="AC45" i="15"/>
  <c r="GC46" i="3"/>
  <c r="Z45" i="15"/>
  <c r="GB46" i="3"/>
  <c r="Y45" i="15"/>
  <c r="GA46" i="3"/>
  <c r="X45" i="15"/>
  <c r="FZ46" i="3"/>
  <c r="W45" i="15"/>
  <c r="FV46" i="3"/>
  <c r="FY46" i="3"/>
  <c r="V45" i="15"/>
  <c r="GF34" i="3"/>
  <c r="AC33" i="15"/>
  <c r="GC34" i="3"/>
  <c r="Z33" i="15"/>
  <c r="GB34" i="3"/>
  <c r="Y33" i="15"/>
  <c r="GA34" i="3"/>
  <c r="X33" i="15"/>
  <c r="FZ34" i="3"/>
  <c r="W33" i="15"/>
  <c r="FV34" i="3"/>
  <c r="FY34" i="3"/>
  <c r="V33" i="15"/>
  <c r="EE112" i="3"/>
  <c r="EE104" i="3"/>
  <c r="EE103" i="3"/>
  <c r="EE94" i="3"/>
  <c r="DY65" i="3"/>
  <c r="EA65" i="3"/>
  <c r="ED65" i="3"/>
  <c r="EG65" i="3"/>
  <c r="S64" i="15"/>
  <c r="EE65" i="3"/>
  <c r="DY64" i="3"/>
  <c r="EA64" i="3"/>
  <c r="ED64" i="3"/>
  <c r="EG64" i="3"/>
  <c r="S63" i="15"/>
  <c r="EE64" i="3"/>
  <c r="DY63" i="3"/>
  <c r="EA63" i="3"/>
  <c r="ED63" i="3"/>
  <c r="EG63" i="3"/>
  <c r="S62" i="15"/>
  <c r="EE63" i="3"/>
  <c r="DY62" i="3"/>
  <c r="EA62" i="3"/>
  <c r="ED62" i="3"/>
  <c r="EG62" i="3"/>
  <c r="S61" i="15"/>
  <c r="EE62" i="3"/>
  <c r="DY61" i="3"/>
  <c r="EA61" i="3"/>
  <c r="ED61" i="3"/>
  <c r="EG61" i="3"/>
  <c r="S60" i="15"/>
  <c r="EE61" i="3"/>
  <c r="DY60" i="3"/>
  <c r="EA60" i="3"/>
  <c r="ED60" i="3"/>
  <c r="EG60" i="3"/>
  <c r="S59" i="15"/>
  <c r="EE60" i="3"/>
  <c r="DY59" i="3"/>
  <c r="EA59" i="3"/>
  <c r="ED59" i="3"/>
  <c r="EG59" i="3"/>
  <c r="S58" i="15"/>
  <c r="EE59" i="3"/>
  <c r="DY58" i="3"/>
  <c r="EA58" i="3"/>
  <c r="ED58" i="3"/>
  <c r="EG58" i="3"/>
  <c r="S57" i="15"/>
  <c r="EE58" i="3"/>
  <c r="DY57" i="3"/>
  <c r="EA57" i="3"/>
  <c r="ED57" i="3"/>
  <c r="EG57" i="3"/>
  <c r="S56" i="15"/>
  <c r="EE57" i="3"/>
  <c r="DY56" i="3"/>
  <c r="EA56" i="3"/>
  <c r="ED56" i="3"/>
  <c r="EG56" i="3"/>
  <c r="S55" i="15"/>
  <c r="EE56" i="3"/>
  <c r="DY55" i="3"/>
  <c r="EA55" i="3"/>
  <c r="ED55" i="3"/>
  <c r="EG55" i="3"/>
  <c r="S54" i="15"/>
  <c r="EE55" i="3"/>
  <c r="DY54" i="3"/>
  <c r="EA54" i="3"/>
  <c r="ED54" i="3"/>
  <c r="EG54" i="3"/>
  <c r="S53" i="15"/>
  <c r="EE54" i="3"/>
  <c r="DY53" i="3"/>
  <c r="EA53" i="3"/>
  <c r="ED53" i="3"/>
  <c r="EG53" i="3"/>
  <c r="S52" i="15"/>
  <c r="EE53" i="3"/>
  <c r="DY52" i="3"/>
  <c r="EA52" i="3"/>
  <c r="ED52" i="3"/>
  <c r="EG52" i="3"/>
  <c r="S51" i="15"/>
  <c r="EE52" i="3"/>
  <c r="DY51" i="3"/>
  <c r="EA51" i="3"/>
  <c r="ED51" i="3"/>
  <c r="EG51" i="3"/>
  <c r="S50" i="15"/>
  <c r="EE51" i="3"/>
  <c r="DY50" i="3"/>
  <c r="EA50" i="3"/>
  <c r="ED50" i="3"/>
  <c r="EG50" i="3"/>
  <c r="S49" i="15"/>
  <c r="DY49" i="3"/>
  <c r="EA49" i="3"/>
  <c r="ED49" i="3"/>
  <c r="EG49" i="3"/>
  <c r="S48" i="15"/>
  <c r="EE49" i="3"/>
  <c r="DY48" i="3"/>
  <c r="EA48" i="3"/>
  <c r="ED48" i="3"/>
  <c r="EG48" i="3"/>
  <c r="S47" i="15"/>
  <c r="EE48" i="3"/>
  <c r="DY47" i="3"/>
  <c r="EA47" i="3"/>
  <c r="ED47" i="3"/>
  <c r="EG47" i="3"/>
  <c r="S46" i="15"/>
  <c r="EE47" i="3"/>
  <c r="DY46" i="3"/>
  <c r="EA46" i="3"/>
  <c r="ED46" i="3"/>
  <c r="EG46" i="3"/>
  <c r="S45" i="15"/>
  <c r="EE46" i="3"/>
  <c r="DY45" i="3"/>
  <c r="EA45" i="3"/>
  <c r="ED45" i="3"/>
  <c r="EG45" i="3"/>
  <c r="S44" i="15"/>
  <c r="EE45" i="3"/>
  <c r="DY44" i="3"/>
  <c r="EA44" i="3"/>
  <c r="ED44" i="3"/>
  <c r="EG44" i="3"/>
  <c r="S43" i="15"/>
  <c r="EE44" i="3"/>
  <c r="DY43" i="3"/>
  <c r="EA43" i="3"/>
  <c r="ED43" i="3"/>
  <c r="EG43" i="3"/>
  <c r="S42" i="15"/>
  <c r="EE43" i="3"/>
  <c r="DY42" i="3"/>
  <c r="EA42" i="3"/>
  <c r="ED42" i="3"/>
  <c r="EG42" i="3"/>
  <c r="S41" i="15"/>
  <c r="EE42" i="3"/>
  <c r="DY41" i="3"/>
  <c r="EA41" i="3"/>
  <c r="ED41" i="3"/>
  <c r="EG41" i="3"/>
  <c r="S40" i="15"/>
  <c r="EE41" i="3"/>
  <c r="DY40" i="3"/>
  <c r="EA40" i="3"/>
  <c r="ED40" i="3"/>
  <c r="EG40" i="3"/>
  <c r="S39" i="15"/>
  <c r="DY39" i="3"/>
  <c r="EA39" i="3"/>
  <c r="ED39" i="3"/>
  <c r="EG39" i="3"/>
  <c r="S38" i="15"/>
  <c r="EE39" i="3"/>
  <c r="DY38" i="3"/>
  <c r="EA38" i="3"/>
  <c r="ED38" i="3"/>
  <c r="EG38" i="3"/>
  <c r="S37" i="15"/>
  <c r="EE38" i="3"/>
  <c r="DY37" i="3"/>
  <c r="EA37" i="3"/>
  <c r="ED37" i="3"/>
  <c r="EG37" i="3"/>
  <c r="S36" i="15"/>
  <c r="EE37" i="3"/>
  <c r="DY36" i="3"/>
  <c r="EA36" i="3"/>
  <c r="ED36" i="3"/>
  <c r="EG36" i="3"/>
  <c r="S35" i="15"/>
  <c r="EE36" i="3"/>
  <c r="DY35" i="3"/>
  <c r="EA35" i="3"/>
  <c r="ED35" i="3"/>
  <c r="EG35" i="3"/>
  <c r="S34" i="15"/>
  <c r="EE35" i="3"/>
  <c r="DY34" i="3"/>
  <c r="EA34" i="3"/>
  <c r="ED34" i="3"/>
  <c r="EG34" i="3"/>
  <c r="S33" i="15"/>
  <c r="EE34" i="3"/>
  <c r="DY33" i="3"/>
  <c r="EA33" i="3"/>
  <c r="ED33" i="3"/>
  <c r="EG33" i="3"/>
  <c r="S32" i="15"/>
  <c r="DY32" i="3"/>
  <c r="EA32" i="3"/>
  <c r="ED32" i="3"/>
  <c r="EG32" i="3"/>
  <c r="S31" i="15"/>
  <c r="DY31" i="3"/>
  <c r="EA31" i="3"/>
  <c r="ED31" i="3"/>
  <c r="EG31" i="3"/>
  <c r="S30" i="15"/>
  <c r="EE31" i="3"/>
  <c r="DY30" i="3"/>
  <c r="EA30" i="3"/>
  <c r="ED30" i="3"/>
  <c r="EG30" i="3"/>
  <c r="S29" i="15"/>
  <c r="EE30" i="3"/>
  <c r="DY29" i="3"/>
  <c r="EA29" i="3"/>
  <c r="ED29" i="3"/>
  <c r="EG29" i="3"/>
  <c r="S28" i="15"/>
  <c r="DY28" i="3"/>
  <c r="EA28" i="3"/>
  <c r="ED28" i="3"/>
  <c r="EG28" i="3"/>
  <c r="S27" i="15"/>
  <c r="DY27" i="3"/>
  <c r="EA27" i="3"/>
  <c r="ED27" i="3"/>
  <c r="EG27" i="3"/>
  <c r="S26" i="15"/>
  <c r="DY26" i="3"/>
  <c r="EA26" i="3"/>
  <c r="ED26" i="3"/>
  <c r="EG26" i="3"/>
  <c r="S25" i="15"/>
  <c r="DY25" i="3"/>
  <c r="EA25" i="3"/>
  <c r="ED25" i="3"/>
  <c r="EG25" i="3"/>
  <c r="S24" i="15"/>
  <c r="EE25" i="3"/>
  <c r="DY24" i="3"/>
  <c r="EA24" i="3"/>
  <c r="ED24" i="3"/>
  <c r="EG24" i="3"/>
  <c r="S23" i="15"/>
  <c r="DY23" i="3"/>
  <c r="EA23" i="3"/>
  <c r="ED23" i="3"/>
  <c r="EG23" i="3"/>
  <c r="S22" i="15"/>
  <c r="DY22" i="3"/>
  <c r="EA22" i="3"/>
  <c r="ED22" i="3"/>
  <c r="EG22" i="3"/>
  <c r="S21" i="15"/>
  <c r="DY21" i="3"/>
  <c r="EA21" i="3"/>
  <c r="ED21" i="3"/>
  <c r="EG21" i="3"/>
  <c r="S20" i="15"/>
  <c r="EE21" i="3"/>
  <c r="DY20" i="3"/>
  <c r="EA20" i="3"/>
  <c r="ED20" i="3"/>
  <c r="EG20" i="3"/>
  <c r="S19" i="15"/>
  <c r="EE20" i="3"/>
  <c r="DY19" i="3"/>
  <c r="EA19" i="3"/>
  <c r="ED19" i="3"/>
  <c r="EG19" i="3"/>
  <c r="S18" i="15"/>
  <c r="EE19" i="3"/>
  <c r="DY18" i="3"/>
  <c r="EA18" i="3"/>
  <c r="ED18" i="3"/>
  <c r="EG18" i="3"/>
  <c r="S17" i="15"/>
  <c r="EE18" i="3"/>
  <c r="DY17" i="3"/>
  <c r="EA17" i="3"/>
  <c r="ED17" i="3"/>
  <c r="EG17" i="3"/>
  <c r="S16" i="15"/>
  <c r="DY16" i="3"/>
  <c r="EA16" i="3"/>
  <c r="ED16" i="3"/>
  <c r="EG16" i="3"/>
  <c r="S15" i="15"/>
  <c r="EE16" i="3"/>
  <c r="DY15" i="3"/>
  <c r="EA15" i="3"/>
  <c r="ED15" i="3"/>
  <c r="EG15" i="3"/>
  <c r="S14" i="15"/>
  <c r="DY14" i="3"/>
  <c r="EA14" i="3"/>
  <c r="ED14" i="3"/>
  <c r="EG14" i="3"/>
  <c r="S13" i="15"/>
  <c r="EE14" i="3"/>
  <c r="DY13" i="3"/>
  <c r="EA13" i="3"/>
  <c r="ED13" i="3"/>
  <c r="EG13" i="3"/>
  <c r="S12" i="15"/>
  <c r="DY11" i="3"/>
  <c r="EA11" i="3"/>
  <c r="ED11" i="3"/>
  <c r="EG11" i="3"/>
  <c r="S10" i="15"/>
  <c r="EE11" i="3"/>
  <c r="EL65" i="3"/>
  <c r="EN65" i="3"/>
  <c r="EQ65" i="3"/>
  <c r="ET65" i="3"/>
  <c r="T64" i="15"/>
  <c r="ER65" i="3"/>
  <c r="EL64" i="3"/>
  <c r="EN64" i="3"/>
  <c r="EQ64" i="3"/>
  <c r="ET64" i="3"/>
  <c r="T63" i="15"/>
  <c r="ER64" i="3"/>
  <c r="EL63" i="3"/>
  <c r="EN63" i="3"/>
  <c r="EQ63" i="3"/>
  <c r="ET63" i="3"/>
  <c r="T62" i="15"/>
  <c r="ER63" i="3"/>
  <c r="EL62" i="3"/>
  <c r="EN62" i="3"/>
  <c r="EQ62" i="3"/>
  <c r="ET62" i="3"/>
  <c r="T61" i="15"/>
  <c r="ER62" i="3"/>
  <c r="EL61" i="3"/>
  <c r="EN61" i="3"/>
  <c r="EQ61" i="3"/>
  <c r="ET61" i="3"/>
  <c r="T60" i="15"/>
  <c r="ER61" i="3"/>
  <c r="EL60" i="3"/>
  <c r="EN60" i="3"/>
  <c r="EQ60" i="3"/>
  <c r="ET60" i="3"/>
  <c r="T59" i="15"/>
  <c r="ER60" i="3"/>
  <c r="EL59" i="3"/>
  <c r="EN59" i="3"/>
  <c r="EQ59" i="3"/>
  <c r="ET59" i="3"/>
  <c r="T58" i="15"/>
  <c r="ER59" i="3"/>
  <c r="EL58" i="3"/>
  <c r="EN58" i="3"/>
  <c r="EQ58" i="3"/>
  <c r="ET58" i="3"/>
  <c r="T57" i="15"/>
  <c r="ER58" i="3"/>
  <c r="EL57" i="3"/>
  <c r="EN57" i="3"/>
  <c r="EQ57" i="3"/>
  <c r="ET57" i="3"/>
  <c r="T56" i="15"/>
  <c r="ER57" i="3"/>
  <c r="EL56" i="3"/>
  <c r="EN56" i="3"/>
  <c r="EQ56" i="3"/>
  <c r="ET56" i="3"/>
  <c r="T55" i="15"/>
  <c r="ER56" i="3"/>
  <c r="EL55" i="3"/>
  <c r="EN55" i="3"/>
  <c r="EQ55" i="3"/>
  <c r="ET55" i="3"/>
  <c r="T54" i="15"/>
  <c r="ER55" i="3"/>
  <c r="EL54" i="3"/>
  <c r="EN54" i="3"/>
  <c r="EQ54" i="3"/>
  <c r="ET54" i="3"/>
  <c r="T53" i="15"/>
  <c r="ER54" i="3"/>
  <c r="EL53" i="3"/>
  <c r="EN53" i="3"/>
  <c r="EQ53" i="3"/>
  <c r="ET53" i="3"/>
  <c r="T52" i="15"/>
  <c r="ER53" i="3"/>
  <c r="EL52" i="3"/>
  <c r="EN52" i="3"/>
  <c r="EQ52" i="3"/>
  <c r="ET52" i="3"/>
  <c r="T51" i="15"/>
  <c r="ER52" i="3"/>
  <c r="EL51" i="3"/>
  <c r="EN51" i="3"/>
  <c r="EQ51" i="3"/>
  <c r="ET51" i="3"/>
  <c r="T50" i="15"/>
  <c r="ER51" i="3"/>
  <c r="EL50" i="3"/>
  <c r="EN50" i="3"/>
  <c r="EQ50" i="3"/>
  <c r="ET50" i="3"/>
  <c r="T49" i="15"/>
  <c r="EL49" i="3"/>
  <c r="EN49" i="3"/>
  <c r="EQ49" i="3"/>
  <c r="ET49" i="3"/>
  <c r="T48" i="15"/>
  <c r="ER49" i="3"/>
  <c r="EL48" i="3"/>
  <c r="EN48" i="3"/>
  <c r="EQ48" i="3"/>
  <c r="ET48" i="3"/>
  <c r="T47" i="15"/>
  <c r="ER48" i="3"/>
  <c r="EL47" i="3"/>
  <c r="EN47" i="3"/>
  <c r="EQ47" i="3"/>
  <c r="ET47" i="3"/>
  <c r="T46" i="15"/>
  <c r="ER47" i="3"/>
  <c r="EL46" i="3"/>
  <c r="EN46" i="3"/>
  <c r="EQ46" i="3"/>
  <c r="ET46" i="3"/>
  <c r="T45" i="15"/>
  <c r="ER46" i="3"/>
  <c r="EL45" i="3"/>
  <c r="EN45" i="3"/>
  <c r="EQ45" i="3"/>
  <c r="ET45" i="3"/>
  <c r="T44" i="15"/>
  <c r="ER45" i="3"/>
  <c r="EL44" i="3"/>
  <c r="EN44" i="3"/>
  <c r="EQ44" i="3"/>
  <c r="ET44" i="3"/>
  <c r="T43" i="15"/>
  <c r="ER44" i="3"/>
  <c r="EL43" i="3"/>
  <c r="EN43" i="3"/>
  <c r="EQ43" i="3"/>
  <c r="ET43" i="3"/>
  <c r="T42" i="15"/>
  <c r="ER43" i="3"/>
  <c r="EL42" i="3"/>
  <c r="EN42" i="3"/>
  <c r="EQ42" i="3"/>
  <c r="ET42" i="3"/>
  <c r="T41" i="15"/>
  <c r="ER42" i="3"/>
  <c r="EL41" i="3"/>
  <c r="EN41" i="3"/>
  <c r="EQ41" i="3"/>
  <c r="ET41" i="3"/>
  <c r="T40" i="15"/>
  <c r="ER41" i="3"/>
  <c r="EL40" i="3"/>
  <c r="EN40" i="3"/>
  <c r="EQ40" i="3"/>
  <c r="ET40" i="3"/>
  <c r="T39" i="15"/>
  <c r="EL39" i="3"/>
  <c r="EN39" i="3"/>
  <c r="EQ39" i="3"/>
  <c r="ET39" i="3"/>
  <c r="T38" i="15"/>
  <c r="ER39" i="3"/>
  <c r="EL38" i="3"/>
  <c r="EN38" i="3"/>
  <c r="EQ38" i="3"/>
  <c r="ET38" i="3"/>
  <c r="T37" i="15"/>
  <c r="ER38" i="3"/>
  <c r="EL37" i="3"/>
  <c r="EN37" i="3"/>
  <c r="EQ37" i="3"/>
  <c r="ET37" i="3"/>
  <c r="T36" i="15"/>
  <c r="ER37" i="3"/>
  <c r="EL36" i="3"/>
  <c r="EN36" i="3"/>
  <c r="EQ36" i="3"/>
  <c r="ET36" i="3"/>
  <c r="T35" i="15"/>
  <c r="ER36" i="3"/>
  <c r="EL35" i="3"/>
  <c r="EN35" i="3"/>
  <c r="EQ35" i="3"/>
  <c r="ET35" i="3"/>
  <c r="T34" i="15"/>
  <c r="ER35" i="3"/>
  <c r="EL34" i="3"/>
  <c r="EN34" i="3"/>
  <c r="EQ34" i="3"/>
  <c r="ET34" i="3"/>
  <c r="T33" i="15"/>
  <c r="ER34" i="3"/>
  <c r="EL33" i="3"/>
  <c r="EN33" i="3"/>
  <c r="EQ33" i="3"/>
  <c r="ET33" i="3"/>
  <c r="T32" i="15"/>
  <c r="EL32" i="3"/>
  <c r="EN32" i="3"/>
  <c r="EQ32" i="3"/>
  <c r="ET32" i="3"/>
  <c r="T31" i="15"/>
  <c r="EL31" i="3"/>
  <c r="EN31" i="3"/>
  <c r="EQ31" i="3"/>
  <c r="ET31" i="3"/>
  <c r="T30" i="15"/>
  <c r="ER31" i="3"/>
  <c r="EL30" i="3"/>
  <c r="EN30" i="3"/>
  <c r="EQ30" i="3"/>
  <c r="ET30" i="3"/>
  <c r="T29" i="15"/>
  <c r="ER30" i="3"/>
  <c r="EL29" i="3"/>
  <c r="EN29" i="3"/>
  <c r="EQ29" i="3"/>
  <c r="ET29" i="3"/>
  <c r="T28" i="15"/>
  <c r="EL28" i="3"/>
  <c r="EN28" i="3"/>
  <c r="EQ28" i="3"/>
  <c r="ET28" i="3"/>
  <c r="T27" i="15"/>
  <c r="EL27" i="3"/>
  <c r="EN27" i="3"/>
  <c r="EQ27" i="3"/>
  <c r="ET27" i="3"/>
  <c r="T26" i="15"/>
  <c r="EL26" i="3"/>
  <c r="EN26" i="3"/>
  <c r="EQ26" i="3"/>
  <c r="ET26" i="3"/>
  <c r="T25" i="15"/>
  <c r="EL25" i="3"/>
  <c r="EN25" i="3"/>
  <c r="EQ25" i="3"/>
  <c r="ET25" i="3"/>
  <c r="T24" i="15"/>
  <c r="ER25" i="3"/>
  <c r="EL24" i="3"/>
  <c r="EN24" i="3"/>
  <c r="EQ24" i="3"/>
  <c r="ET24" i="3"/>
  <c r="T23" i="15"/>
  <c r="EL23" i="3"/>
  <c r="EN23" i="3"/>
  <c r="EQ23" i="3"/>
  <c r="ET23" i="3"/>
  <c r="T22" i="15"/>
  <c r="EL22" i="3"/>
  <c r="EN22" i="3"/>
  <c r="EQ22" i="3"/>
  <c r="ET22" i="3"/>
  <c r="T21" i="15"/>
  <c r="EL21" i="3"/>
  <c r="EN21" i="3"/>
  <c r="EQ21" i="3"/>
  <c r="ET21" i="3"/>
  <c r="T20" i="15"/>
  <c r="ER21" i="3"/>
  <c r="EL20" i="3"/>
  <c r="EN20" i="3"/>
  <c r="EQ20" i="3"/>
  <c r="ET20" i="3"/>
  <c r="T19" i="15"/>
  <c r="ER20" i="3"/>
  <c r="EL19" i="3"/>
  <c r="EN19" i="3"/>
  <c r="EQ19" i="3"/>
  <c r="ET19" i="3"/>
  <c r="T18" i="15"/>
  <c r="ER19" i="3"/>
  <c r="EL18" i="3"/>
  <c r="EN18" i="3"/>
  <c r="EQ18" i="3"/>
  <c r="ET18" i="3"/>
  <c r="T17" i="15"/>
  <c r="ER18" i="3"/>
  <c r="EL17" i="3"/>
  <c r="EN17" i="3"/>
  <c r="EQ17" i="3"/>
  <c r="ET17" i="3"/>
  <c r="T16" i="15"/>
  <c r="EL16" i="3"/>
  <c r="EN16" i="3"/>
  <c r="EQ16" i="3"/>
  <c r="ET16" i="3"/>
  <c r="T15" i="15"/>
  <c r="ER16" i="3"/>
  <c r="EL15" i="3"/>
  <c r="EN15" i="3"/>
  <c r="EQ15" i="3"/>
  <c r="ET15" i="3"/>
  <c r="T14" i="15"/>
  <c r="EL14" i="3"/>
  <c r="EN14" i="3"/>
  <c r="EQ14" i="3"/>
  <c r="ET14" i="3"/>
  <c r="T13" i="15"/>
  <c r="ER14" i="3"/>
  <c r="EL13" i="3"/>
  <c r="EN13" i="3"/>
  <c r="EQ13" i="3"/>
  <c r="ET13" i="3"/>
  <c r="T12" i="15"/>
  <c r="EL11" i="3"/>
  <c r="EN11" i="3"/>
  <c r="EQ11" i="3"/>
  <c r="ET11" i="3"/>
  <c r="T10" i="15"/>
  <c r="ER11" i="3"/>
  <c r="GE65" i="3"/>
  <c r="AB64" i="15"/>
  <c r="GD65" i="3"/>
  <c r="AA64" i="15"/>
  <c r="GE64" i="3"/>
  <c r="AB63" i="15"/>
  <c r="GD64" i="3"/>
  <c r="AA63" i="15"/>
  <c r="GE63" i="3"/>
  <c r="AB62" i="15"/>
  <c r="GD63" i="3"/>
  <c r="AA62" i="15"/>
  <c r="GE62" i="3"/>
  <c r="AB61" i="15"/>
  <c r="GD62" i="3"/>
  <c r="AA61" i="15"/>
  <c r="GE61" i="3"/>
  <c r="AB60" i="15"/>
  <c r="GD61" i="3"/>
  <c r="AA60" i="15"/>
  <c r="GE60" i="3"/>
  <c r="AB59" i="15"/>
  <c r="GD60" i="3"/>
  <c r="AA59" i="15"/>
  <c r="GE59" i="3"/>
  <c r="AB58" i="15"/>
  <c r="GD59" i="3"/>
  <c r="AA58" i="15"/>
  <c r="GE58" i="3"/>
  <c r="AB57" i="15"/>
  <c r="GD58" i="3"/>
  <c r="AA57" i="15"/>
  <c r="GE57" i="3"/>
  <c r="AB56" i="15"/>
  <c r="GD57" i="3"/>
  <c r="AA56" i="15"/>
  <c r="GE56" i="3"/>
  <c r="AB55" i="15"/>
  <c r="GD56" i="3"/>
  <c r="AA55" i="15"/>
  <c r="GE55" i="3"/>
  <c r="AB54" i="15"/>
  <c r="GD55" i="3"/>
  <c r="AA54" i="15"/>
  <c r="GE54" i="3"/>
  <c r="AB53" i="15"/>
  <c r="GD54" i="3"/>
  <c r="AA53" i="15"/>
  <c r="GE53" i="3"/>
  <c r="AB52" i="15"/>
  <c r="GD53" i="3"/>
  <c r="AA52" i="15"/>
  <c r="GE52" i="3"/>
  <c r="AB51" i="15"/>
  <c r="GD52" i="3"/>
  <c r="AA51" i="15"/>
  <c r="GE51" i="3"/>
  <c r="AB50" i="15"/>
  <c r="GD51" i="3"/>
  <c r="AA50" i="15"/>
  <c r="GE50" i="3"/>
  <c r="AB49" i="15"/>
  <c r="GD50" i="3"/>
  <c r="AA49" i="15"/>
  <c r="GE49" i="3"/>
  <c r="AB48" i="15"/>
  <c r="GD49" i="3"/>
  <c r="AA48" i="15"/>
  <c r="GE48" i="3"/>
  <c r="AB47" i="15"/>
  <c r="GD48" i="3"/>
  <c r="AA47" i="15"/>
  <c r="GE47" i="3"/>
  <c r="AB46" i="15"/>
  <c r="GD47" i="3"/>
  <c r="AA46" i="15"/>
  <c r="GE46" i="3"/>
  <c r="AB45" i="15"/>
  <c r="GD46" i="3"/>
  <c r="AA45" i="15"/>
  <c r="GE45" i="3"/>
  <c r="AB44" i="15"/>
  <c r="GD45" i="3"/>
  <c r="AA44" i="15"/>
  <c r="GE44" i="3"/>
  <c r="AB43" i="15"/>
  <c r="GD44" i="3"/>
  <c r="AA43" i="15"/>
  <c r="GE43" i="3"/>
  <c r="AB42" i="15"/>
  <c r="GD43" i="3"/>
  <c r="AA42" i="15"/>
  <c r="GE42" i="3"/>
  <c r="AB41" i="15"/>
  <c r="GD42" i="3"/>
  <c r="AA41" i="15"/>
  <c r="GE41" i="3"/>
  <c r="AB40" i="15"/>
  <c r="GD41" i="3"/>
  <c r="AA40" i="15"/>
  <c r="GE40" i="3"/>
  <c r="AB39" i="15"/>
  <c r="GD40" i="3"/>
  <c r="AA39" i="15"/>
  <c r="GE39" i="3"/>
  <c r="AB38" i="15"/>
  <c r="GD39" i="3"/>
  <c r="AA38" i="15"/>
  <c r="GE38" i="3"/>
  <c r="AB37" i="15"/>
  <c r="GD38" i="3"/>
  <c r="AA37" i="15"/>
  <c r="GE37" i="3"/>
  <c r="AB36" i="15"/>
  <c r="GD37" i="3"/>
  <c r="AA36" i="15"/>
  <c r="GE36" i="3"/>
  <c r="AB35" i="15"/>
  <c r="GD36" i="3"/>
  <c r="AA35" i="15"/>
  <c r="GE35" i="3"/>
  <c r="AB34" i="15"/>
  <c r="GD35" i="3"/>
  <c r="AA34" i="15"/>
  <c r="GE34" i="3"/>
  <c r="AB33" i="15"/>
  <c r="GD34" i="3"/>
  <c r="AA33" i="15"/>
  <c r="GE33" i="3"/>
  <c r="AB32" i="15"/>
  <c r="GD33" i="3"/>
  <c r="AA32" i="15"/>
  <c r="GE32" i="3"/>
  <c r="AB31" i="15"/>
  <c r="GD32" i="3"/>
  <c r="AA31" i="15"/>
  <c r="GE31" i="3"/>
  <c r="AB30" i="15"/>
  <c r="GD31" i="3"/>
  <c r="AA30" i="15"/>
  <c r="GE30" i="3"/>
  <c r="AB29" i="15"/>
  <c r="GD30" i="3"/>
  <c r="AA29" i="15"/>
  <c r="GE29" i="3"/>
  <c r="AB28" i="15"/>
  <c r="GD29" i="3"/>
  <c r="AA28" i="15"/>
  <c r="GE28" i="3"/>
  <c r="AB27" i="15"/>
  <c r="GD28" i="3"/>
  <c r="AA27" i="15"/>
  <c r="GE27" i="3"/>
  <c r="AB26" i="15"/>
  <c r="GD27" i="3"/>
  <c r="AA26" i="15"/>
  <c r="GE26" i="3"/>
  <c r="AB25" i="15"/>
  <c r="GD26" i="3"/>
  <c r="AA25" i="15"/>
  <c r="GE25" i="3"/>
  <c r="AB24" i="15"/>
  <c r="GD25" i="3"/>
  <c r="AA24" i="15"/>
  <c r="GE24" i="3"/>
  <c r="AB23" i="15"/>
  <c r="GD24" i="3"/>
  <c r="AA23" i="15"/>
  <c r="GE23" i="3"/>
  <c r="AB22" i="15"/>
  <c r="GD23" i="3"/>
  <c r="AA22" i="15"/>
  <c r="GE22" i="3"/>
  <c r="AB21" i="15"/>
  <c r="GD22" i="3"/>
  <c r="AA21" i="15"/>
  <c r="GE21" i="3"/>
  <c r="AB20" i="15"/>
  <c r="GD21" i="3"/>
  <c r="AA20" i="15"/>
  <c r="GE20" i="3"/>
  <c r="AB19" i="15"/>
  <c r="GD20" i="3"/>
  <c r="AA19" i="15"/>
  <c r="GE19" i="3"/>
  <c r="AB18" i="15"/>
  <c r="GD19" i="3"/>
  <c r="AA18" i="15"/>
  <c r="GE18" i="3"/>
  <c r="AB17" i="15"/>
  <c r="GD18" i="3"/>
  <c r="AA17" i="15"/>
  <c r="GE17" i="3"/>
  <c r="AB16" i="15"/>
  <c r="GD17" i="3"/>
  <c r="AA16" i="15"/>
  <c r="GE16" i="3"/>
  <c r="AB15" i="15"/>
  <c r="GD16" i="3"/>
  <c r="AA15" i="15"/>
  <c r="GE15" i="3"/>
  <c r="AB14" i="15"/>
  <c r="GD15" i="3"/>
  <c r="AA14" i="15"/>
  <c r="GE14" i="3"/>
  <c r="AB13" i="15"/>
  <c r="GD14" i="3"/>
  <c r="AA13" i="15"/>
  <c r="GE13" i="3"/>
  <c r="AB12" i="15"/>
  <c r="GD13" i="3"/>
  <c r="AA12" i="15"/>
  <c r="GE11" i="3"/>
  <c r="AB10" i="15"/>
  <c r="GD11" i="3"/>
  <c r="AA10" i="15"/>
  <c r="B12" i="15"/>
  <c r="B13" i="15"/>
  <c r="B14" i="15"/>
  <c r="B15" i="15"/>
  <c r="B16" i="15"/>
  <c r="B17" i="15"/>
  <c r="B18" i="15"/>
  <c r="B19" i="15"/>
  <c r="B20" i="15"/>
  <c r="B21" i="15"/>
  <c r="B22" i="15"/>
  <c r="B23" i="15"/>
  <c r="B24" i="15"/>
  <c r="B25" i="15"/>
  <c r="B26" i="15"/>
  <c r="B27" i="15"/>
  <c r="B28" i="15"/>
  <c r="B29" i="15"/>
  <c r="B30" i="15"/>
  <c r="B31" i="15"/>
  <c r="B32" i="15"/>
  <c r="B33" i="15"/>
  <c r="B34" i="15"/>
  <c r="B35" i="15"/>
  <c r="B38" i="15"/>
  <c r="B39" i="15"/>
  <c r="B40" i="15"/>
  <c r="B41" i="15"/>
  <c r="B42" i="15"/>
  <c r="B43" i="15"/>
  <c r="B44" i="15"/>
  <c r="B45" i="15"/>
  <c r="B46" i="15"/>
  <c r="B47" i="15"/>
  <c r="B48" i="15"/>
  <c r="B49" i="15"/>
  <c r="B50" i="15"/>
  <c r="B51" i="15"/>
  <c r="B52" i="15"/>
  <c r="B53" i="15"/>
  <c r="B54" i="15"/>
  <c r="B55" i="15"/>
  <c r="B56" i="15"/>
  <c r="B57" i="15"/>
  <c r="B58" i="15"/>
  <c r="B59" i="15"/>
  <c r="B60" i="15"/>
  <c r="B61" i="15"/>
  <c r="B62" i="15"/>
  <c r="B63" i="15"/>
  <c r="B64" i="15"/>
  <c r="B9" i="15"/>
  <c r="B10" i="15"/>
  <c r="B11" i="15"/>
  <c r="B8" i="15"/>
  <c r="M4" i="8"/>
  <c r="N4" i="8"/>
  <c r="M5" i="8"/>
  <c r="N5" i="8"/>
  <c r="R9" i="3" a="1"/>
  <c r="R9" i="3"/>
  <c r="U9" i="3"/>
  <c r="R154" i="3" a="1"/>
  <c r="R154" i="3"/>
  <c r="U154" i="3"/>
  <c r="R153" i="3" a="1"/>
  <c r="R153" i="3"/>
  <c r="U153" i="3"/>
  <c r="R152" i="3" a="1"/>
  <c r="R152" i="3"/>
  <c r="U152" i="3"/>
  <c r="R151" i="3" a="1"/>
  <c r="R151" i="3"/>
  <c r="U151" i="3"/>
  <c r="R150" i="3" a="1"/>
  <c r="R150" i="3"/>
  <c r="U150" i="3"/>
  <c r="R149" i="3" a="1"/>
  <c r="R149" i="3"/>
  <c r="U149" i="3"/>
  <c r="R148" i="3" a="1"/>
  <c r="R148" i="3"/>
  <c r="U148" i="3"/>
  <c r="R147" i="3" a="1"/>
  <c r="R147" i="3"/>
  <c r="U147" i="3"/>
  <c r="R146" i="3" a="1"/>
  <c r="R146" i="3"/>
  <c r="U146" i="3"/>
  <c r="R145" i="3" a="1"/>
  <c r="R145" i="3"/>
  <c r="U145" i="3"/>
  <c r="R144" i="3" a="1"/>
  <c r="R144" i="3"/>
  <c r="U144" i="3"/>
  <c r="R143" i="3" a="1"/>
  <c r="R143" i="3"/>
  <c r="U143" i="3"/>
  <c r="R142" i="3" a="1"/>
  <c r="R142" i="3"/>
  <c r="U142" i="3"/>
  <c r="R141" i="3" a="1"/>
  <c r="R141" i="3"/>
  <c r="U141" i="3"/>
  <c r="R140" i="3" a="1"/>
  <c r="R140" i="3"/>
  <c r="U140" i="3"/>
  <c r="R139" i="3" a="1"/>
  <c r="R139" i="3"/>
  <c r="U139" i="3"/>
  <c r="R138" i="3" a="1"/>
  <c r="R138" i="3"/>
  <c r="U138" i="3"/>
  <c r="R137" i="3" a="1"/>
  <c r="R137" i="3"/>
  <c r="U137" i="3"/>
  <c r="R136" i="3" a="1"/>
  <c r="R136" i="3"/>
  <c r="U136" i="3"/>
  <c r="R135" i="3" a="1"/>
  <c r="R135" i="3"/>
  <c r="U135" i="3"/>
  <c r="R134" i="3" a="1"/>
  <c r="R134" i="3"/>
  <c r="U134" i="3"/>
  <c r="R133" i="3" a="1"/>
  <c r="R133" i="3"/>
  <c r="U133" i="3"/>
  <c r="R132" i="3" a="1"/>
  <c r="R132" i="3"/>
  <c r="U132" i="3"/>
  <c r="R131" i="3" a="1"/>
  <c r="R131" i="3"/>
  <c r="U131" i="3"/>
  <c r="R130" i="3" a="1"/>
  <c r="R130" i="3"/>
  <c r="U130" i="3"/>
  <c r="R129" i="3" a="1"/>
  <c r="R129" i="3"/>
  <c r="U129" i="3"/>
  <c r="R128" i="3" a="1"/>
  <c r="R128" i="3"/>
  <c r="U128" i="3"/>
  <c r="R127" i="3" a="1"/>
  <c r="R127" i="3"/>
  <c r="U127" i="3"/>
  <c r="R126" i="3" a="1"/>
  <c r="R126" i="3"/>
  <c r="U126" i="3"/>
  <c r="R125" i="3" a="1"/>
  <c r="R125" i="3"/>
  <c r="U125" i="3"/>
  <c r="R124" i="3" a="1"/>
  <c r="R124" i="3"/>
  <c r="U124" i="3"/>
  <c r="R123" i="3" a="1"/>
  <c r="R123" i="3"/>
  <c r="U123" i="3"/>
  <c r="R122" i="3" a="1"/>
  <c r="R122" i="3"/>
  <c r="U122" i="3"/>
  <c r="R121" i="3" a="1"/>
  <c r="R121" i="3"/>
  <c r="U121" i="3"/>
  <c r="R120" i="3" a="1"/>
  <c r="R120" i="3"/>
  <c r="U120" i="3"/>
  <c r="R119" i="3" a="1"/>
  <c r="R119" i="3"/>
  <c r="U119" i="3"/>
  <c r="R118" i="3" a="1"/>
  <c r="R118" i="3"/>
  <c r="U118" i="3"/>
  <c r="R117" i="3" a="1"/>
  <c r="R117" i="3"/>
  <c r="U117" i="3"/>
  <c r="R116" i="3" a="1"/>
  <c r="R116" i="3"/>
  <c r="U116" i="3"/>
  <c r="R115" i="3" a="1"/>
  <c r="R115" i="3"/>
  <c r="U115" i="3"/>
  <c r="R114" i="3" a="1"/>
  <c r="R114" i="3"/>
  <c r="U114" i="3"/>
  <c r="R113" i="3" a="1"/>
  <c r="R113" i="3"/>
  <c r="U113" i="3"/>
  <c r="R112" i="3" a="1"/>
  <c r="R112" i="3"/>
  <c r="U112" i="3"/>
  <c r="R111" i="3" a="1"/>
  <c r="R111" i="3"/>
  <c r="U111" i="3"/>
  <c r="R110" i="3" a="1"/>
  <c r="R110" i="3"/>
  <c r="U110" i="3"/>
  <c r="R109" i="3" a="1"/>
  <c r="R109" i="3"/>
  <c r="U109" i="3"/>
  <c r="R108" i="3" a="1"/>
  <c r="R108" i="3"/>
  <c r="U108" i="3"/>
  <c r="R107" i="3" a="1"/>
  <c r="R107" i="3"/>
  <c r="U107" i="3"/>
  <c r="R106" i="3" a="1"/>
  <c r="R106" i="3"/>
  <c r="U106" i="3"/>
  <c r="R105" i="3" a="1"/>
  <c r="R105" i="3"/>
  <c r="U105" i="3"/>
  <c r="R104" i="3" a="1"/>
  <c r="R104" i="3"/>
  <c r="U104" i="3"/>
  <c r="R103" i="3" a="1"/>
  <c r="R103" i="3"/>
  <c r="U103" i="3"/>
  <c r="R102" i="3" a="1"/>
  <c r="R102" i="3"/>
  <c r="U102" i="3"/>
  <c r="R101" i="3" a="1"/>
  <c r="R101" i="3"/>
  <c r="U101" i="3"/>
  <c r="R100" i="3" a="1"/>
  <c r="R100" i="3"/>
  <c r="U100" i="3"/>
  <c r="R99" i="3" a="1"/>
  <c r="R99" i="3"/>
  <c r="U99" i="3"/>
  <c r="R98" i="3" a="1"/>
  <c r="R98" i="3"/>
  <c r="U98" i="3"/>
  <c r="R97" i="3" a="1"/>
  <c r="R97" i="3"/>
  <c r="U97" i="3"/>
  <c r="R96" i="3" a="1"/>
  <c r="R96" i="3"/>
  <c r="U96" i="3"/>
  <c r="R95" i="3" a="1"/>
  <c r="R95" i="3"/>
  <c r="U95" i="3"/>
  <c r="R94" i="3" a="1"/>
  <c r="R94" i="3"/>
  <c r="U94" i="3"/>
  <c r="R93" i="3" a="1"/>
  <c r="R93" i="3"/>
  <c r="U93" i="3"/>
  <c r="R92" i="3" a="1"/>
  <c r="R92" i="3"/>
  <c r="U92" i="3"/>
  <c r="R91" i="3" a="1"/>
  <c r="R91" i="3"/>
  <c r="U91" i="3"/>
  <c r="R90" i="3" a="1"/>
  <c r="R90" i="3"/>
  <c r="U90" i="3"/>
  <c r="R89" i="3" a="1"/>
  <c r="R89" i="3"/>
  <c r="U89" i="3"/>
  <c r="R88" i="3" a="1"/>
  <c r="R88" i="3"/>
  <c r="U88" i="3"/>
  <c r="R87" i="3" a="1"/>
  <c r="R87" i="3"/>
  <c r="U87" i="3"/>
  <c r="R86" i="3" a="1"/>
  <c r="R86" i="3"/>
  <c r="U86" i="3"/>
  <c r="R85" i="3" a="1"/>
  <c r="R85" i="3"/>
  <c r="U85" i="3"/>
  <c r="R84" i="3" a="1"/>
  <c r="R84" i="3"/>
  <c r="U84" i="3"/>
  <c r="R83" i="3" a="1"/>
  <c r="R83" i="3"/>
  <c r="U83" i="3"/>
  <c r="R82" i="3" a="1"/>
  <c r="R82" i="3"/>
  <c r="U82" i="3"/>
  <c r="R81" i="3" a="1"/>
  <c r="R81" i="3"/>
  <c r="U81" i="3"/>
  <c r="R80" i="3" a="1"/>
  <c r="R80" i="3"/>
  <c r="U80" i="3"/>
  <c r="R79" i="3" a="1"/>
  <c r="R79" i="3"/>
  <c r="U79" i="3"/>
  <c r="R78" i="3" a="1"/>
  <c r="R78" i="3"/>
  <c r="U78" i="3"/>
  <c r="R77" i="3" a="1"/>
  <c r="R77" i="3"/>
  <c r="U77" i="3"/>
  <c r="R76" i="3" a="1"/>
  <c r="R76" i="3"/>
  <c r="U76" i="3"/>
  <c r="R75" i="3" a="1"/>
  <c r="R75" i="3"/>
  <c r="U75" i="3"/>
  <c r="R74" i="3" a="1"/>
  <c r="R74" i="3"/>
  <c r="U74" i="3"/>
  <c r="R73" i="3" a="1"/>
  <c r="R73" i="3"/>
  <c r="U73" i="3"/>
  <c r="R72" i="3" a="1"/>
  <c r="R72" i="3"/>
  <c r="U72" i="3"/>
  <c r="R71" i="3" a="1"/>
  <c r="R71" i="3"/>
  <c r="U71" i="3"/>
  <c r="R70" i="3" a="1"/>
  <c r="R70" i="3"/>
  <c r="U70" i="3"/>
  <c r="R69" i="3" a="1"/>
  <c r="R69" i="3"/>
  <c r="U69" i="3"/>
  <c r="R68" i="3" a="1"/>
  <c r="R68" i="3"/>
  <c r="U68" i="3"/>
  <c r="R67" i="3" a="1"/>
  <c r="R67" i="3"/>
  <c r="U67" i="3"/>
  <c r="R66" i="3" a="1"/>
  <c r="R66" i="3"/>
  <c r="U66" i="3"/>
  <c r="R65" i="3" a="1"/>
  <c r="R65" i="3"/>
  <c r="U65" i="3"/>
  <c r="R64" i="3" a="1"/>
  <c r="R64" i="3"/>
  <c r="U64" i="3"/>
  <c r="R63" i="3" a="1"/>
  <c r="R63" i="3"/>
  <c r="U63" i="3"/>
  <c r="R62" i="3" a="1"/>
  <c r="R62" i="3"/>
  <c r="U62" i="3"/>
  <c r="R61" i="3" a="1"/>
  <c r="R61" i="3"/>
  <c r="U61" i="3"/>
  <c r="R60" i="3" a="1"/>
  <c r="R60" i="3"/>
  <c r="U60" i="3"/>
  <c r="R59" i="3" a="1"/>
  <c r="R59" i="3"/>
  <c r="U59" i="3"/>
  <c r="R58" i="3" a="1"/>
  <c r="R58" i="3"/>
  <c r="U58" i="3"/>
  <c r="R57" i="3" a="1"/>
  <c r="R57" i="3"/>
  <c r="U57" i="3"/>
  <c r="R56" i="3" a="1"/>
  <c r="R56" i="3"/>
  <c r="U56" i="3"/>
  <c r="R55" i="3" a="1"/>
  <c r="R55" i="3"/>
  <c r="U55" i="3"/>
  <c r="R54" i="3" a="1"/>
  <c r="R54" i="3"/>
  <c r="U54" i="3"/>
  <c r="R53" i="3" a="1"/>
  <c r="R53" i="3"/>
  <c r="U53" i="3"/>
  <c r="R52" i="3" a="1"/>
  <c r="R52" i="3"/>
  <c r="U52" i="3"/>
  <c r="R51" i="3" a="1"/>
  <c r="R51" i="3"/>
  <c r="U51" i="3"/>
  <c r="R50" i="3" a="1"/>
  <c r="R50" i="3"/>
  <c r="U50" i="3"/>
  <c r="R49" i="3" a="1"/>
  <c r="R49" i="3"/>
  <c r="U49" i="3"/>
  <c r="R48" i="3" a="1"/>
  <c r="R48" i="3"/>
  <c r="U48" i="3"/>
  <c r="R47" i="3" a="1"/>
  <c r="R47" i="3"/>
  <c r="U47" i="3"/>
  <c r="R46" i="3" a="1"/>
  <c r="R46" i="3"/>
  <c r="U46" i="3"/>
  <c r="R45" i="3" a="1"/>
  <c r="R45" i="3"/>
  <c r="U45" i="3"/>
  <c r="R44" i="3" a="1"/>
  <c r="R44" i="3"/>
  <c r="U44" i="3"/>
  <c r="R43" i="3" a="1"/>
  <c r="R43" i="3"/>
  <c r="U43" i="3"/>
  <c r="R42" i="3" a="1"/>
  <c r="R42" i="3"/>
  <c r="U42" i="3"/>
  <c r="R41" i="3" a="1"/>
  <c r="R41" i="3"/>
  <c r="U41" i="3"/>
  <c r="R40" i="3" a="1"/>
  <c r="R40" i="3"/>
  <c r="U40" i="3"/>
  <c r="R39" i="3" a="1"/>
  <c r="R39" i="3"/>
  <c r="U39" i="3"/>
  <c r="R38" i="3" a="1"/>
  <c r="R38" i="3"/>
  <c r="U38" i="3"/>
  <c r="R37" i="3" a="1"/>
  <c r="R37" i="3"/>
  <c r="U37" i="3"/>
  <c r="R36" i="3" a="1"/>
  <c r="R36" i="3"/>
  <c r="U36" i="3"/>
  <c r="R35" i="3" a="1"/>
  <c r="R35" i="3"/>
  <c r="U35" i="3"/>
  <c r="R34" i="3" a="1"/>
  <c r="R34" i="3"/>
  <c r="U34" i="3"/>
  <c r="R33" i="3" a="1"/>
  <c r="R33" i="3"/>
  <c r="U33" i="3"/>
  <c r="R32" i="3" a="1"/>
  <c r="R32" i="3"/>
  <c r="U32" i="3"/>
  <c r="R31" i="3" a="1"/>
  <c r="R31" i="3"/>
  <c r="U31" i="3"/>
  <c r="R30" i="3" a="1"/>
  <c r="R30" i="3"/>
  <c r="U30" i="3"/>
  <c r="R29" i="3" a="1"/>
  <c r="R29" i="3"/>
  <c r="U29" i="3"/>
  <c r="R28" i="3" a="1"/>
  <c r="R28" i="3"/>
  <c r="U28" i="3"/>
  <c r="R27" i="3" a="1"/>
  <c r="R27" i="3"/>
  <c r="U27" i="3"/>
  <c r="R26" i="3" a="1"/>
  <c r="R26" i="3"/>
  <c r="U26" i="3"/>
  <c r="R25" i="3" a="1"/>
  <c r="R25" i="3"/>
  <c r="U25" i="3"/>
  <c r="R24" i="3" a="1"/>
  <c r="R24" i="3"/>
  <c r="U24" i="3"/>
  <c r="R23" i="3" a="1"/>
  <c r="R23" i="3"/>
  <c r="U23" i="3"/>
  <c r="R22" i="3" a="1"/>
  <c r="R22" i="3"/>
  <c r="U22" i="3"/>
  <c r="R21" i="3" a="1"/>
  <c r="R21" i="3"/>
  <c r="U21" i="3"/>
  <c r="R20" i="3" a="1"/>
  <c r="R20" i="3"/>
  <c r="U20" i="3"/>
  <c r="R19" i="3" a="1"/>
  <c r="R19" i="3"/>
  <c r="U19" i="3"/>
  <c r="R18" i="3" a="1"/>
  <c r="R18" i="3"/>
  <c r="U18" i="3"/>
  <c r="R17" i="3" a="1"/>
  <c r="R17" i="3"/>
  <c r="U17" i="3"/>
  <c r="R16" i="3" a="1"/>
  <c r="R16" i="3"/>
  <c r="U16" i="3"/>
  <c r="R15" i="3" a="1"/>
  <c r="R15" i="3"/>
  <c r="U15" i="3"/>
  <c r="R14" i="3" a="1"/>
  <c r="R14" i="3"/>
  <c r="U14" i="3"/>
  <c r="R13" i="3" a="1"/>
  <c r="R13" i="3"/>
  <c r="U13" i="3"/>
  <c r="R12" i="3" a="1"/>
  <c r="R12" i="3"/>
  <c r="U12" i="3"/>
  <c r="R11" i="3" a="1"/>
  <c r="R11" i="3"/>
  <c r="U11" i="3"/>
  <c r="R10" i="3" a="1"/>
  <c r="R10" i="3"/>
  <c r="U10" i="3"/>
  <c r="T102" i="3"/>
  <c r="T9" i="3"/>
  <c r="T154" i="3"/>
  <c r="T153" i="3"/>
  <c r="T151" i="3"/>
  <c r="T148" i="3"/>
  <c r="T142" i="3"/>
  <c r="T141" i="3"/>
  <c r="T134" i="3"/>
  <c r="T132" i="3"/>
  <c r="T130" i="3"/>
  <c r="T118" i="3"/>
  <c r="T111" i="3"/>
  <c r="T105" i="3"/>
  <c r="T101" i="3"/>
  <c r="T96" i="3"/>
  <c r="T95" i="3"/>
  <c r="T90" i="3"/>
  <c r="T88" i="3"/>
  <c r="T86" i="3"/>
  <c r="T82" i="3"/>
  <c r="T81" i="3"/>
  <c r="T76" i="3"/>
  <c r="T50" i="3"/>
  <c r="T40" i="3"/>
  <c r="T33" i="3"/>
  <c r="T32" i="3"/>
  <c r="T29" i="3"/>
  <c r="T28" i="3"/>
  <c r="T27" i="3"/>
  <c r="T26" i="3"/>
  <c r="T24" i="3"/>
  <c r="T23" i="3"/>
  <c r="T22" i="3"/>
  <c r="T17" i="3"/>
  <c r="T15" i="3"/>
  <c r="T13" i="3"/>
  <c r="T152" i="3"/>
  <c r="T150" i="3"/>
  <c r="T149" i="3"/>
  <c r="T147" i="3"/>
  <c r="T146" i="3"/>
  <c r="T145" i="3"/>
  <c r="T144" i="3"/>
  <c r="T143" i="3"/>
  <c r="T140" i="3"/>
  <c r="T139" i="3"/>
  <c r="T138" i="3"/>
  <c r="T137" i="3"/>
  <c r="T136" i="3"/>
  <c r="T135" i="3"/>
  <c r="T133" i="3"/>
  <c r="T131" i="3"/>
  <c r="T129" i="3"/>
  <c r="T128" i="3"/>
  <c r="T127" i="3"/>
  <c r="T126" i="3"/>
  <c r="T125" i="3"/>
  <c r="T124" i="3"/>
  <c r="T123" i="3"/>
  <c r="T122" i="3"/>
  <c r="T121" i="3"/>
  <c r="T120" i="3"/>
  <c r="T119" i="3"/>
  <c r="T117" i="3"/>
  <c r="T116" i="3"/>
  <c r="T115" i="3"/>
  <c r="T114" i="3"/>
  <c r="T113" i="3"/>
  <c r="T112" i="3"/>
  <c r="T110" i="3"/>
  <c r="T109" i="3"/>
  <c r="T108" i="3"/>
  <c r="T107" i="3"/>
  <c r="T106" i="3"/>
  <c r="T104" i="3"/>
  <c r="T103" i="3"/>
  <c r="T100" i="3"/>
  <c r="T99" i="3"/>
  <c r="T98" i="3"/>
  <c r="T97" i="3"/>
  <c r="T94" i="3"/>
  <c r="T93" i="3"/>
  <c r="T92" i="3"/>
  <c r="T91" i="3"/>
  <c r="T89" i="3"/>
  <c r="T87" i="3"/>
  <c r="T85" i="3"/>
  <c r="T84" i="3"/>
  <c r="T83" i="3"/>
  <c r="T80" i="3"/>
  <c r="T79" i="3"/>
  <c r="T78" i="3"/>
  <c r="T77" i="3"/>
  <c r="T75" i="3"/>
  <c r="T74" i="3"/>
  <c r="T73" i="3"/>
  <c r="T72" i="3"/>
  <c r="T71" i="3"/>
  <c r="T70" i="3"/>
  <c r="T69" i="3"/>
  <c r="T68" i="3"/>
  <c r="T67" i="3"/>
  <c r="T66" i="3"/>
  <c r="T65" i="3"/>
  <c r="T64" i="3"/>
  <c r="T63" i="3"/>
  <c r="T62" i="3"/>
  <c r="T61" i="3"/>
  <c r="T60" i="3"/>
  <c r="T59" i="3"/>
  <c r="T58" i="3"/>
  <c r="T57" i="3"/>
  <c r="T56" i="3"/>
  <c r="T55" i="3"/>
  <c r="T54" i="3"/>
  <c r="T53" i="3"/>
  <c r="T52" i="3"/>
  <c r="T51" i="3"/>
  <c r="T49" i="3"/>
  <c r="T48" i="3"/>
  <c r="T47" i="3"/>
  <c r="T46" i="3"/>
  <c r="T45" i="3"/>
  <c r="T44" i="3"/>
  <c r="T43" i="3"/>
  <c r="T42" i="3"/>
  <c r="T41" i="3"/>
  <c r="T39" i="3"/>
  <c r="T38" i="3"/>
  <c r="T37" i="3"/>
  <c r="T36" i="3"/>
  <c r="T35" i="3"/>
  <c r="T34" i="3"/>
  <c r="T31" i="3"/>
  <c r="T30" i="3"/>
  <c r="T25" i="3"/>
  <c r="T21" i="3"/>
  <c r="T20" i="3"/>
  <c r="T19" i="3"/>
  <c r="T18" i="3"/>
  <c r="T16" i="3"/>
  <c r="T14" i="3"/>
  <c r="T12" i="3"/>
  <c r="T11" i="3"/>
  <c r="T10" i="3"/>
  <c r="P10" i="3" a="1"/>
  <c r="P10" i="3"/>
  <c r="S10" i="3"/>
  <c r="AU10" i="3"/>
  <c r="DZ10" i="3"/>
  <c r="EE10" i="3"/>
  <c r="AV10" i="3"/>
  <c r="BD10" i="3"/>
  <c r="DB10" i="3"/>
  <c r="DC10" i="3"/>
  <c r="BN10" i="3"/>
  <c r="DE10" i="3"/>
  <c r="DF10" i="3"/>
  <c r="DI10" i="3"/>
  <c r="DM10" i="3"/>
  <c r="DN10" i="3"/>
  <c r="DP10" i="3"/>
  <c r="DQ10" i="3"/>
  <c r="DT10" i="3"/>
  <c r="AW10" i="3"/>
  <c r="AZ10" i="3"/>
  <c r="O9" i="15"/>
  <c r="EZ10" i="3"/>
  <c r="FE10" i="3"/>
  <c r="BP10" i="3"/>
  <c r="EY10" i="3"/>
  <c r="FA10" i="3"/>
  <c r="FC10" i="3"/>
  <c r="FD10" i="3"/>
  <c r="FG10" i="3"/>
  <c r="U9" i="15"/>
  <c r="CP10" i="3"/>
  <c r="CR10" i="3"/>
  <c r="CT10" i="3"/>
  <c r="CU10" i="3"/>
  <c r="CX10" i="3"/>
  <c r="R9" i="15"/>
  <c r="CC10" i="3"/>
  <c r="CE10" i="3"/>
  <c r="CG10" i="3"/>
  <c r="CH10" i="3"/>
  <c r="CK10" i="3"/>
  <c r="Q9" i="15"/>
  <c r="BQ10" i="3"/>
  <c r="BR10" i="3"/>
  <c r="BS10" i="3"/>
  <c r="BU10" i="3"/>
  <c r="BV10" i="3"/>
  <c r="BY10" i="3"/>
  <c r="P9" i="15"/>
  <c r="EM10" i="3"/>
  <c r="ER10" i="3"/>
  <c r="BA10" i="3"/>
  <c r="D9" i="15"/>
  <c r="BF10" i="3"/>
  <c r="BG10" i="3"/>
  <c r="E9" i="15"/>
  <c r="CA10" i="3"/>
  <c r="F9" i="15"/>
  <c r="CB10" i="3"/>
  <c r="CD10" i="3"/>
  <c r="CN10" i="3"/>
  <c r="G9" i="15"/>
  <c r="CO10" i="3"/>
  <c r="CQ10" i="3"/>
  <c r="DA10" i="3"/>
  <c r="H9" i="15"/>
  <c r="DL10" i="3"/>
  <c r="I9" i="15"/>
  <c r="DW10" i="3"/>
  <c r="J9" i="15"/>
  <c r="DX10" i="3"/>
  <c r="EC10" i="3"/>
  <c r="EJ10" i="3"/>
  <c r="K9" i="15"/>
  <c r="EK10" i="3"/>
  <c r="EP10" i="3"/>
  <c r="EW10" i="3"/>
  <c r="L9" i="15"/>
  <c r="EX10" i="3"/>
  <c r="FJ10" i="3"/>
  <c r="M9" i="15"/>
  <c r="FK10" i="3"/>
  <c r="FL10" i="3"/>
  <c r="FN10" i="3"/>
  <c r="FO10" i="3"/>
  <c r="FR10" i="3"/>
  <c r="FT10" i="3"/>
  <c r="N9" i="15"/>
  <c r="C9" i="15"/>
  <c r="GF10" i="3"/>
  <c r="AC9" i="15"/>
  <c r="GC10" i="3"/>
  <c r="Z9" i="15"/>
  <c r="GB10" i="3"/>
  <c r="Y9" i="15"/>
  <c r="GA10" i="3"/>
  <c r="X9" i="15"/>
  <c r="FZ10" i="3"/>
  <c r="W9" i="15"/>
  <c r="FV10" i="3"/>
  <c r="FY10" i="3"/>
  <c r="V9" i="15"/>
  <c r="BJ10" i="3"/>
  <c r="BM10" i="3"/>
  <c r="DY10" i="3"/>
  <c r="EA10" i="3"/>
  <c r="ED10" i="3"/>
  <c r="EG10" i="3"/>
  <c r="S9" i="15"/>
  <c r="EL10" i="3"/>
  <c r="EN10" i="3"/>
  <c r="EQ10" i="3"/>
  <c r="ET10" i="3"/>
  <c r="T9" i="15"/>
  <c r="GE10" i="3"/>
  <c r="AB9" i="15"/>
  <c r="GD10" i="3"/>
  <c r="AA9" i="15"/>
  <c r="P102" i="3" a="1"/>
  <c r="P102" i="3"/>
  <c r="S102" i="3"/>
  <c r="BN102" i="3"/>
  <c r="EP102" i="3"/>
  <c r="EQ102" i="3"/>
  <c r="ET102" i="3"/>
  <c r="ET4" i="3"/>
  <c r="T4" i="20"/>
  <c r="AB4" i="20"/>
  <c r="EC102" i="3"/>
  <c r="ED102" i="3"/>
  <c r="EG102" i="3"/>
  <c r="EG4" i="3"/>
  <c r="S4" i="20"/>
  <c r="AA4" i="20"/>
  <c r="FC102" i="3"/>
  <c r="FD102" i="3"/>
  <c r="FG102" i="3"/>
  <c r="FG4" i="3"/>
  <c r="U4" i="20"/>
  <c r="AC4" i="20"/>
  <c r="CT102" i="3"/>
  <c r="CU102" i="3"/>
  <c r="CX102" i="3"/>
  <c r="CX4" i="3"/>
  <c r="R4" i="20"/>
  <c r="Z4" i="20"/>
  <c r="CG102" i="3"/>
  <c r="CH102" i="3"/>
  <c r="CK102" i="3"/>
  <c r="CK4" i="3"/>
  <c r="Q4" i="20"/>
  <c r="Y4" i="20"/>
  <c r="BU102" i="3"/>
  <c r="BV102" i="3"/>
  <c r="BY102" i="3"/>
  <c r="BY4" i="3"/>
  <c r="P4" i="20"/>
  <c r="X4" i="20"/>
  <c r="DP102" i="3"/>
  <c r="DQ102" i="3"/>
  <c r="DT102" i="3"/>
  <c r="DE102" i="3"/>
  <c r="DF102" i="3"/>
  <c r="DI102" i="3"/>
  <c r="FV102" i="3"/>
  <c r="FY102" i="3"/>
  <c r="V101" i="15"/>
  <c r="U101" i="15"/>
  <c r="T101" i="15"/>
  <c r="S101" i="15"/>
  <c r="R101" i="15"/>
  <c r="Q101" i="15"/>
  <c r="P101" i="15"/>
  <c r="CA102" i="3"/>
  <c r="F101" i="15"/>
  <c r="CN102" i="3"/>
  <c r="G101" i="15"/>
  <c r="CQ102" i="3"/>
  <c r="DA102" i="3"/>
  <c r="H101" i="15"/>
  <c r="DL102" i="3"/>
  <c r="I101" i="15"/>
  <c r="DW102" i="3"/>
  <c r="J101" i="15"/>
  <c r="EJ102" i="3"/>
  <c r="K101" i="15"/>
  <c r="EW102" i="3"/>
  <c r="L101" i="15"/>
  <c r="FJ102" i="3"/>
  <c r="M101" i="15"/>
  <c r="FN102" i="3"/>
  <c r="FO102" i="3"/>
  <c r="FR102" i="3"/>
  <c r="FT102" i="3"/>
  <c r="N101" i="15"/>
  <c r="C101" i="15"/>
  <c r="P12" i="3" a="1"/>
  <c r="P12" i="3"/>
  <c r="S12" i="3"/>
  <c r="AU12" i="3"/>
  <c r="AV12" i="3"/>
  <c r="BD12" i="3"/>
  <c r="BP12" i="3"/>
  <c r="CP12" i="3"/>
  <c r="DY12" i="3"/>
  <c r="GD12" i="3"/>
  <c r="AA11" i="15"/>
  <c r="EL12" i="3"/>
  <c r="GE12" i="3"/>
  <c r="AB11" i="15"/>
  <c r="EM12" i="3"/>
  <c r="ER12" i="3"/>
  <c r="EN12" i="3"/>
  <c r="BN12" i="3"/>
  <c r="EP12" i="3"/>
  <c r="EQ12" i="3"/>
  <c r="ET12" i="3"/>
  <c r="T11" i="15"/>
  <c r="DZ12" i="3"/>
  <c r="EE12" i="3"/>
  <c r="EA12" i="3"/>
  <c r="EC12" i="3"/>
  <c r="ED12" i="3"/>
  <c r="EG12" i="3"/>
  <c r="S11" i="15"/>
  <c r="BJ12" i="3"/>
  <c r="BM12" i="3"/>
  <c r="FV12" i="3"/>
  <c r="FY12" i="3"/>
  <c r="V11" i="15"/>
  <c r="FZ12" i="3"/>
  <c r="W11" i="15"/>
  <c r="BQ12" i="3"/>
  <c r="BR12" i="3"/>
  <c r="GA12" i="3"/>
  <c r="X11" i="15"/>
  <c r="CC12" i="3"/>
  <c r="GB12" i="3"/>
  <c r="Y11" i="15"/>
  <c r="GC12" i="3"/>
  <c r="Z11" i="15"/>
  <c r="EY12" i="3"/>
  <c r="GF12" i="3"/>
  <c r="AC11" i="15"/>
  <c r="EZ12" i="3"/>
  <c r="FE12" i="3"/>
  <c r="AW12" i="3"/>
  <c r="AZ12" i="3"/>
  <c r="BA12" i="3"/>
  <c r="D11" i="15"/>
  <c r="BF12" i="3"/>
  <c r="BG12" i="3"/>
  <c r="E11" i="15"/>
  <c r="BS12" i="3"/>
  <c r="BU12" i="3"/>
  <c r="BV12" i="3"/>
  <c r="BY12" i="3"/>
  <c r="CA12" i="3"/>
  <c r="F11" i="15"/>
  <c r="CB12" i="3"/>
  <c r="CD12" i="3"/>
  <c r="CG12" i="3"/>
  <c r="CN12" i="3"/>
  <c r="G11" i="15"/>
  <c r="CO12" i="3"/>
  <c r="CQ12" i="3"/>
  <c r="CT12" i="3"/>
  <c r="DA12" i="3"/>
  <c r="H11" i="15"/>
  <c r="DB12" i="3"/>
  <c r="DC12" i="3"/>
  <c r="DE12" i="3"/>
  <c r="DF12" i="3"/>
  <c r="DL12" i="3"/>
  <c r="I11" i="15"/>
  <c r="DM12" i="3"/>
  <c r="DN12" i="3"/>
  <c r="DP12" i="3"/>
  <c r="DQ12" i="3"/>
  <c r="DW12" i="3"/>
  <c r="J11" i="15"/>
  <c r="DX12" i="3"/>
  <c r="EJ12" i="3"/>
  <c r="K11" i="15"/>
  <c r="EK12" i="3"/>
  <c r="EW12" i="3"/>
  <c r="L11" i="15"/>
  <c r="EX12" i="3"/>
  <c r="FC12" i="3"/>
  <c r="FJ12" i="3"/>
  <c r="M11" i="15"/>
  <c r="FK12" i="3"/>
  <c r="FL12" i="3"/>
  <c r="FN12" i="3"/>
  <c r="FO12" i="3"/>
  <c r="FR12" i="3"/>
  <c r="FT12" i="3"/>
  <c r="N11" i="15"/>
  <c r="C11" i="15"/>
  <c r="P11" i="15"/>
  <c r="CE12" i="3"/>
  <c r="CH12" i="3"/>
  <c r="CK12" i="3"/>
  <c r="Q11" i="15"/>
  <c r="CR12" i="3"/>
  <c r="CU12" i="3"/>
  <c r="CX12" i="3"/>
  <c r="R11" i="15"/>
  <c r="FA12" i="3"/>
  <c r="FD12" i="3"/>
  <c r="FG12" i="3"/>
  <c r="U11" i="15"/>
  <c r="O11" i="15"/>
  <c r="DT12" i="3"/>
  <c r="DI12" i="3"/>
  <c r="CD3" i="3"/>
</calcChain>
</file>

<file path=xl/comments1.xml><?xml version="1.0" encoding="utf-8"?>
<comments xmlns="http://schemas.openxmlformats.org/spreadsheetml/2006/main">
  <authors>
    <author>Rob Terwel</author>
  </authors>
  <commentList>
    <comment ref="DK9" authorId="0" shapeId="0">
      <text>
        <r>
          <rPr>
            <b/>
            <sz val="10"/>
            <color indexed="81"/>
            <rFont val="Calibri"/>
            <family val="2"/>
          </rPr>
          <t>Rob Terwel:this includes CO2 storage but should include spent fuel storage</t>
        </r>
      </text>
    </comment>
    <comment ref="DV9" authorId="0" shapeId="0">
      <text>
        <r>
          <rPr>
            <b/>
            <sz val="10"/>
            <color indexed="81"/>
            <rFont val="Calibri"/>
            <family val="2"/>
          </rPr>
          <t>Rob Terwel:this includes CO2 storage but should include spent fuel storage</t>
        </r>
      </text>
    </comment>
    <comment ref="L13" authorId="0" shapeId="0">
      <text>
        <r>
          <rPr>
            <b/>
            <sz val="10"/>
            <color indexed="81"/>
            <rFont val="Calibri"/>
            <family val="2"/>
          </rPr>
          <t>Rob Terwel:</t>
        </r>
        <r>
          <rPr>
            <sz val="10"/>
            <color indexed="81"/>
            <rFont val="Calibri"/>
            <family val="2"/>
          </rPr>
          <t xml:space="preserve">
Not included in dataset, estimate</t>
        </r>
      </text>
    </comment>
    <comment ref="L59" authorId="0" shapeId="0">
      <text>
        <r>
          <rPr>
            <b/>
            <sz val="10"/>
            <color indexed="81"/>
            <rFont val="Calibri"/>
            <family val="2"/>
          </rPr>
          <t>Rob Terwel:</t>
        </r>
        <r>
          <rPr>
            <sz val="10"/>
            <color indexed="81"/>
            <rFont val="Calibri"/>
            <family val="2"/>
          </rPr>
          <t xml:space="preserve">
Not included in dataset, estimate</t>
        </r>
      </text>
    </comment>
    <comment ref="L114" authorId="0" shapeId="0">
      <text>
        <r>
          <rPr>
            <b/>
            <sz val="10"/>
            <color indexed="81"/>
            <rFont val="Calibri"/>
            <family val="2"/>
          </rPr>
          <t>Rob Terwel:</t>
        </r>
        <r>
          <rPr>
            <sz val="10"/>
            <color indexed="81"/>
            <rFont val="Calibri"/>
            <family val="2"/>
          </rPr>
          <t xml:space="preserve">
Not included in dataset, estimate</t>
        </r>
      </text>
    </comment>
    <comment ref="L140" authorId="0" shapeId="0">
      <text>
        <r>
          <rPr>
            <b/>
            <sz val="10"/>
            <color indexed="81"/>
            <rFont val="Calibri"/>
            <family val="2"/>
          </rPr>
          <t>Rob Terwel:</t>
        </r>
        <r>
          <rPr>
            <sz val="10"/>
            <color indexed="81"/>
            <rFont val="Calibri"/>
            <family val="2"/>
          </rPr>
          <t xml:space="preserve">
Not included in dataset, estimate</t>
        </r>
      </text>
    </comment>
    <comment ref="L143" authorId="0" shapeId="0">
      <text>
        <r>
          <rPr>
            <b/>
            <sz val="10"/>
            <color indexed="81"/>
            <rFont val="Calibri"/>
            <family val="2"/>
          </rPr>
          <t>Rob Terwel:</t>
        </r>
        <r>
          <rPr>
            <sz val="10"/>
            <color indexed="81"/>
            <rFont val="Calibri"/>
            <family val="2"/>
          </rPr>
          <t xml:space="preserve">
Not included in dataset, estimate</t>
        </r>
      </text>
    </comment>
  </commentList>
</comments>
</file>

<file path=xl/sharedStrings.xml><?xml version="1.0" encoding="utf-8"?>
<sst xmlns="http://schemas.openxmlformats.org/spreadsheetml/2006/main" count="4937" uniqueCount="1625">
  <si>
    <t>Solar PV</t>
  </si>
  <si>
    <t>Offshore wind</t>
  </si>
  <si>
    <t>Onshore wind</t>
  </si>
  <si>
    <t>LH2</t>
  </si>
  <si>
    <t>MeOH</t>
  </si>
  <si>
    <t>CH4</t>
  </si>
  <si>
    <t>NaBH4</t>
  </si>
  <si>
    <t>Pipeline</t>
  </si>
  <si>
    <t>Offshore Wind</t>
  </si>
  <si>
    <t>Country</t>
  </si>
  <si>
    <t>FLH</t>
  </si>
  <si>
    <t>Nautical distance</t>
  </si>
  <si>
    <t>LCOE</t>
  </si>
  <si>
    <t>WACC</t>
  </si>
  <si>
    <t>Potential</t>
  </si>
  <si>
    <t>PR</t>
  </si>
  <si>
    <t>Bolivia</t>
  </si>
  <si>
    <t>Brazil</t>
  </si>
  <si>
    <t>Brunei</t>
  </si>
  <si>
    <t>Canada</t>
  </si>
  <si>
    <t>Chile</t>
  </si>
  <si>
    <t>China</t>
  </si>
  <si>
    <t>Colombia</t>
  </si>
  <si>
    <t>Costa Rica</t>
  </si>
  <si>
    <t>Cote d'Ivoire</t>
  </si>
  <si>
    <t>Cuba</t>
  </si>
  <si>
    <t>Taiwan</t>
  </si>
  <si>
    <t>Tunisia</t>
  </si>
  <si>
    <t>Uruguay</t>
  </si>
  <si>
    <t>Zambia</t>
  </si>
  <si>
    <t>Afghanistan</t>
  </si>
  <si>
    <t>Albania</t>
  </si>
  <si>
    <t>Algeria</t>
  </si>
  <si>
    <t>Angola</t>
  </si>
  <si>
    <t>Argentina</t>
  </si>
  <si>
    <t>Armenia</t>
  </si>
  <si>
    <t>Australia</t>
  </si>
  <si>
    <t>Azerbaijan</t>
  </si>
  <si>
    <t>Bangladesh</t>
  </si>
  <si>
    <t>Belgium</t>
  </si>
  <si>
    <t>Belize</t>
  </si>
  <si>
    <t>Benin</t>
  </si>
  <si>
    <t>Cyprus</t>
  </si>
  <si>
    <t>Botswana</t>
  </si>
  <si>
    <t>Burundi</t>
  </si>
  <si>
    <t>Burkina Faso</t>
  </si>
  <si>
    <t>Cambodia</t>
  </si>
  <si>
    <t>Cameroon</t>
  </si>
  <si>
    <t>Chad</t>
  </si>
  <si>
    <t>Denmark</t>
  </si>
  <si>
    <t>Djibouti</t>
  </si>
  <si>
    <t>Dominican Republic</t>
  </si>
  <si>
    <t>Ecuador</t>
  </si>
  <si>
    <t>Egypt</t>
  </si>
  <si>
    <t>El Salvador</t>
  </si>
  <si>
    <t>Eritrea</t>
  </si>
  <si>
    <t>Ethiopia</t>
  </si>
  <si>
    <t>Fiji</t>
  </si>
  <si>
    <t>Finland</t>
  </si>
  <si>
    <t>France</t>
  </si>
  <si>
    <t>Gabon</t>
  </si>
  <si>
    <t>Georgia</t>
  </si>
  <si>
    <t>Germany</t>
  </si>
  <si>
    <t>Ghana</t>
  </si>
  <si>
    <t>Grenada</t>
  </si>
  <si>
    <t>Guatemala</t>
  </si>
  <si>
    <t>Guinea</t>
  </si>
  <si>
    <t>Guyana</t>
  </si>
  <si>
    <t>Haiti</t>
  </si>
  <si>
    <t>Honduras</t>
  </si>
  <si>
    <t>India</t>
  </si>
  <si>
    <t>Indonesia</t>
  </si>
  <si>
    <t>Iran</t>
  </si>
  <si>
    <t>Iraq</t>
  </si>
  <si>
    <t>Ireland</t>
  </si>
  <si>
    <t>Israel</t>
  </si>
  <si>
    <t>Italy</t>
  </si>
  <si>
    <t>Jamaica</t>
  </si>
  <si>
    <t>Japan</t>
  </si>
  <si>
    <t>Jordan</t>
  </si>
  <si>
    <t>Kazakhstan</t>
  </si>
  <si>
    <t>Kenya</t>
  </si>
  <si>
    <t>Kuwait</t>
  </si>
  <si>
    <t>Lebanon</t>
  </si>
  <si>
    <t>Liberia</t>
  </si>
  <si>
    <t>Libya</t>
  </si>
  <si>
    <t>Madagascar</t>
  </si>
  <si>
    <t>Malawi</t>
  </si>
  <si>
    <t>Malaysia</t>
  </si>
  <si>
    <t>Mali</t>
  </si>
  <si>
    <t>Malta</t>
  </si>
  <si>
    <t>Mauritania</t>
  </si>
  <si>
    <t>United Arab Emirates</t>
  </si>
  <si>
    <t>United States</t>
  </si>
  <si>
    <t>Uzbekistan</t>
  </si>
  <si>
    <t>Vietnam</t>
  </si>
  <si>
    <t>Mauritius</t>
  </si>
  <si>
    <t>Mexico</t>
  </si>
  <si>
    <t>Moldova</t>
  </si>
  <si>
    <t>Mongolia</t>
  </si>
  <si>
    <t>Morocco</t>
  </si>
  <si>
    <t>Mozambique</t>
  </si>
  <si>
    <t>Myanmar</t>
  </si>
  <si>
    <t>Namibia</t>
  </si>
  <si>
    <t>Nepal</t>
  </si>
  <si>
    <t>Netherlands</t>
  </si>
  <si>
    <t>New Zealand</t>
  </si>
  <si>
    <t>Nicaragua</t>
  </si>
  <si>
    <t>Niger</t>
  </si>
  <si>
    <t>Nigeria</t>
  </si>
  <si>
    <t>Norway</t>
  </si>
  <si>
    <t>Oman</t>
  </si>
  <si>
    <t>Pakistan</t>
  </si>
  <si>
    <t>Panama</t>
  </si>
  <si>
    <t>Paraguay</t>
  </si>
  <si>
    <t>Peru</t>
  </si>
  <si>
    <t>Philippines</t>
  </si>
  <si>
    <t>Puerto Rico</t>
  </si>
  <si>
    <t>Qatar</t>
  </si>
  <si>
    <t>Rwanda</t>
  </si>
  <si>
    <t>Saudi Arabia</t>
  </si>
  <si>
    <t>Senegal</t>
  </si>
  <si>
    <t>Serbia</t>
  </si>
  <si>
    <t>Seychelles</t>
  </si>
  <si>
    <t>Sierra Leone</t>
  </si>
  <si>
    <t>Somalia</t>
  </si>
  <si>
    <t>South Africa</t>
  </si>
  <si>
    <t>Spain</t>
  </si>
  <si>
    <t>Sri Lanka</t>
  </si>
  <si>
    <t>Sudan</t>
  </si>
  <si>
    <t>Suriname</t>
  </si>
  <si>
    <t>Swaziland</t>
  </si>
  <si>
    <t>Sweden</t>
  </si>
  <si>
    <t>Switzerland</t>
  </si>
  <si>
    <t>Tajikistan</t>
  </si>
  <si>
    <t>Tanzania</t>
  </si>
  <si>
    <t>Thailand</t>
  </si>
  <si>
    <t>Togo</t>
  </si>
  <si>
    <t>Turkmenistan</t>
  </si>
  <si>
    <t>Uganda</t>
  </si>
  <si>
    <t>United Kingdom</t>
  </si>
  <si>
    <t>Zimbabwe</t>
  </si>
  <si>
    <t>potential capacity for export</t>
  </si>
  <si>
    <t>Weighted FLH</t>
  </si>
  <si>
    <t>Min FLH</t>
  </si>
  <si>
    <t>Max FLH</t>
  </si>
  <si>
    <t>Weighted cost</t>
  </si>
  <si>
    <t>Min cost</t>
  </si>
  <si>
    <t>Max cost</t>
  </si>
  <si>
    <t>Class</t>
  </si>
  <si>
    <t>KWh/m^2/day</t>
  </si>
  <si>
    <t>KWh/year</t>
  </si>
  <si>
    <t>MWh/year</t>
  </si>
  <si>
    <t>GWh/year</t>
  </si>
  <si>
    <t>TWh/year</t>
  </si>
  <si>
    <t>kwh/m2/y</t>
  </si>
  <si>
    <t>Energy = Productive Land * KWh/m^2/day * n * 365 days</t>
  </si>
  <si>
    <t>4.5 - 5</t>
  </si>
  <si>
    <t>Productive Land = 1.5% of total land available</t>
  </si>
  <si>
    <t>5 - 5.5</t>
  </si>
  <si>
    <t>n = 10% conversion efficiency</t>
  </si>
  <si>
    <t>5.5 - 6</t>
  </si>
  <si>
    <t>6 - 6.5</t>
  </si>
  <si>
    <t>6.5 - 7</t>
  </si>
  <si>
    <t>4 - 4.5</t>
  </si>
  <si>
    <t>7 - 7.5</t>
  </si>
  <si>
    <t>American Samoa</t>
  </si>
  <si>
    <t>Andorra</t>
  </si>
  <si>
    <t>Anguilla</t>
  </si>
  <si>
    <t>Antarctica</t>
  </si>
  <si>
    <t>1.5 - 2</t>
  </si>
  <si>
    <t>2 - 2.5</t>
  </si>
  <si>
    <t>2.5 - 3</t>
  </si>
  <si>
    <t>3 - 3.5</t>
  </si>
  <si>
    <t>3.5 - 4</t>
  </si>
  <si>
    <t>Antigua &amp; Barbuda</t>
  </si>
  <si>
    <t>Aruba</t>
  </si>
  <si>
    <t>Austria</t>
  </si>
  <si>
    <t>Bahrain</t>
  </si>
  <si>
    <t>Baker I.</t>
  </si>
  <si>
    <t>Barbados</t>
  </si>
  <si>
    <t>Belarus</t>
  </si>
  <si>
    <t>Bermuda</t>
  </si>
  <si>
    <t>Bhutan</t>
  </si>
  <si>
    <t>Bosnia &amp; Herzegovina</t>
  </si>
  <si>
    <t>Bouvet I.</t>
  </si>
  <si>
    <t>&lt; 0.5</t>
  </si>
  <si>
    <t>0.5 - 1</t>
  </si>
  <si>
    <t>1 - 1.5</t>
  </si>
  <si>
    <t>British Indian Ocean Territory</t>
  </si>
  <si>
    <t>British Virgin Is.</t>
  </si>
  <si>
    <t>Bulgaria</t>
  </si>
  <si>
    <t>Cape Verde</t>
  </si>
  <si>
    <t>Cayman Is.</t>
  </si>
  <si>
    <t>Central African Republic</t>
  </si>
  <si>
    <t>Christmas I.</t>
  </si>
  <si>
    <t>Cocos Is.</t>
  </si>
  <si>
    <t>Comoros</t>
  </si>
  <si>
    <t>Congo</t>
  </si>
  <si>
    <t>Cook Is.</t>
  </si>
  <si>
    <t>Croatia</t>
  </si>
  <si>
    <t>Czech Republic</t>
  </si>
  <si>
    <t>Dominica</t>
  </si>
  <si>
    <t>Equatorial Guinea</t>
  </si>
  <si>
    <t>Estonia</t>
  </si>
  <si>
    <t>Falkland Is.</t>
  </si>
  <si>
    <t>Faroe Is.</t>
  </si>
  <si>
    <t>French Guiana</t>
  </si>
  <si>
    <t>French Polynesia</t>
  </si>
  <si>
    <t>French Southern &amp; Antarctic Lands</t>
  </si>
  <si>
    <t>Gaza Strip</t>
  </si>
  <si>
    <t>Gibraltar</t>
  </si>
  <si>
    <t>Glorioso Is.</t>
  </si>
  <si>
    <t>Greece</t>
  </si>
  <si>
    <t>Greenland</t>
  </si>
  <si>
    <t>Guadeloupe</t>
  </si>
  <si>
    <t>Guam</t>
  </si>
  <si>
    <t>Guernsey</t>
  </si>
  <si>
    <t>Guinea-Bissau</t>
  </si>
  <si>
    <t>Heard I. &amp; McDonald Is.</t>
  </si>
  <si>
    <t>Howland I.</t>
  </si>
  <si>
    <t>Hungary</t>
  </si>
  <si>
    <t>Iceland</t>
  </si>
  <si>
    <t>Isle of Man</t>
  </si>
  <si>
    <t>Jan Mayen</t>
  </si>
  <si>
    <t>Jarvis I.</t>
  </si>
  <si>
    <t>Jersey</t>
  </si>
  <si>
    <t>Johnston Atoll</t>
  </si>
  <si>
    <t>Juan De Nova I.</t>
  </si>
  <si>
    <t>Kiribati</t>
  </si>
  <si>
    <t>Kyrgyzstan</t>
  </si>
  <si>
    <t>Laos</t>
  </si>
  <si>
    <t>Latvia</t>
  </si>
  <si>
    <t>Lesotho</t>
  </si>
  <si>
    <t>Liechtenstein</t>
  </si>
  <si>
    <t>Lithuania</t>
  </si>
  <si>
    <t>Luxembourg</t>
  </si>
  <si>
    <t>Macedonia</t>
  </si>
  <si>
    <t>Maldives</t>
  </si>
  <si>
    <t>Marshall Is.</t>
  </si>
  <si>
    <t>Martinique</t>
  </si>
  <si>
    <t>Mayotte</t>
  </si>
  <si>
    <t>Micronesia</t>
  </si>
  <si>
    <t>Midway Is.</t>
  </si>
  <si>
    <t>Monaco</t>
  </si>
  <si>
    <t>Montenegro</t>
  </si>
  <si>
    <t>Montserrat</t>
  </si>
  <si>
    <t>Nauru</t>
  </si>
  <si>
    <t>Netherlands Antilles</t>
  </si>
  <si>
    <t>New Caledonia</t>
  </si>
  <si>
    <t>Niue</t>
  </si>
  <si>
    <t>Norfolk I.</t>
  </si>
  <si>
    <t>North Korea</t>
  </si>
  <si>
    <t>Northern Mariana Is.</t>
  </si>
  <si>
    <t>Palau</t>
  </si>
  <si>
    <t>Papua New Guinea</t>
  </si>
  <si>
    <t>Pitcairn Is.</t>
  </si>
  <si>
    <t>Poland</t>
  </si>
  <si>
    <t>Portugal</t>
  </si>
  <si>
    <t>Reunion</t>
  </si>
  <si>
    <t>Romania</t>
  </si>
  <si>
    <t>Russia</t>
  </si>
  <si>
    <t>Samoa</t>
  </si>
  <si>
    <t>San Marino</t>
  </si>
  <si>
    <t>Sao Tome &amp; Principe</t>
  </si>
  <si>
    <t>Singapore</t>
  </si>
  <si>
    <t>Slovakia</t>
  </si>
  <si>
    <t>Slovenia</t>
  </si>
  <si>
    <t>Solomon Is.</t>
  </si>
  <si>
    <t>South Georgia &amp; the South Sandwich Is.</t>
  </si>
  <si>
    <t>South Korea</t>
  </si>
  <si>
    <t>St. Helena</t>
  </si>
  <si>
    <t>St. Kitts &amp; Nevis</t>
  </si>
  <si>
    <t>St. Lucia</t>
  </si>
  <si>
    <t>St. Pierre &amp; Miquelon</t>
  </si>
  <si>
    <t>St. Vincent &amp; the Grenadines</t>
  </si>
  <si>
    <t>Svalbard</t>
  </si>
  <si>
    <t>Syria</t>
  </si>
  <si>
    <t>The Bahamas</t>
  </si>
  <si>
    <t>The Gambia</t>
  </si>
  <si>
    <t>Timor-Leste</t>
  </si>
  <si>
    <t>Tokelau</t>
  </si>
  <si>
    <t>Tonga</t>
  </si>
  <si>
    <t>Trinidad &amp; Tobago</t>
  </si>
  <si>
    <t>Turkey</t>
  </si>
  <si>
    <t>Turks &amp; Caicos Is.</t>
  </si>
  <si>
    <t>Tuvalu</t>
  </si>
  <si>
    <t>Ukraine</t>
  </si>
  <si>
    <t>Vanuatu</t>
  </si>
  <si>
    <t>Vatican City</t>
  </si>
  <si>
    <t>Venezuela</t>
  </si>
  <si>
    <t>Virgin Is.</t>
  </si>
  <si>
    <t>Wake I.</t>
  </si>
  <si>
    <t>Wallis &amp; Futuna</t>
  </si>
  <si>
    <t>West Bank</t>
  </si>
  <si>
    <t>Western Sahara</t>
  </si>
  <si>
    <t>Yemen</t>
  </si>
  <si>
    <t>Capacity Factor</t>
  </si>
  <si>
    <t>Gambia</t>
  </si>
  <si>
    <t>Net</t>
  </si>
  <si>
    <t>Area (km2)</t>
  </si>
  <si>
    <t>Demand</t>
  </si>
  <si>
    <t>Solar</t>
  </si>
  <si>
    <t>Onshore Wind</t>
  </si>
  <si>
    <t>Full Load Wind Hrs - area (km^2) in each load range</t>
  </si>
  <si>
    <t>Full Load Hr Range</t>
  </si>
  <si>
    <t>Capacity Factor Range</t>
  </si>
  <si>
    <t>FLH average</t>
  </si>
  <si>
    <t>ISO Code</t>
  </si>
  <si>
    <t>Name</t>
  </si>
  <si>
    <t>2629 - 3066 / Class 3 at 50m</t>
  </si>
  <si>
    <t>3067 - 3504 / Class 4 at 50m</t>
  </si>
  <si>
    <t>3505 - 3942 / Class 5 at 50m</t>
  </si>
  <si>
    <t>3943 - 4000 / Class 6&amp;7 at 50m</t>
  </si>
  <si>
    <t>Total area</t>
  </si>
  <si>
    <t>Turbine Power (GW)</t>
  </si>
  <si>
    <t>Electricity prod (TWh)</t>
  </si>
  <si>
    <t>Weighted av FLH</t>
  </si>
  <si>
    <t>0 - 438</t>
  </si>
  <si>
    <t>0 - 5%</t>
  </si>
  <si>
    <t>ABW</t>
  </si>
  <si>
    <t>439 - 876</t>
  </si>
  <si>
    <t>5 - 10%</t>
  </si>
  <si>
    <t>AFG</t>
  </si>
  <si>
    <t>877 - 1314</t>
  </si>
  <si>
    <t>10 - 15%</t>
  </si>
  <si>
    <t>AGO</t>
  </si>
  <si>
    <t>1315 - 1752</t>
  </si>
  <si>
    <t>15 - 20%</t>
  </si>
  <si>
    <t>AIA</t>
  </si>
  <si>
    <t>1753 - 2190</t>
  </si>
  <si>
    <t>20 - 25%</t>
  </si>
  <si>
    <t>ALB</t>
  </si>
  <si>
    <t>2191 - 2628</t>
  </si>
  <si>
    <t>25 - 30%</t>
  </si>
  <si>
    <t>AND</t>
  </si>
  <si>
    <t>2629 - 3066</t>
  </si>
  <si>
    <t>30 - 35%</t>
  </si>
  <si>
    <t>ANT</t>
  </si>
  <si>
    <t>3067 - 3504</t>
  </si>
  <si>
    <t>35 - 40%</t>
  </si>
  <si>
    <t>ARE</t>
  </si>
  <si>
    <t>3505 - 3942</t>
  </si>
  <si>
    <t>40 - 45%</t>
  </si>
  <si>
    <t>ARG</t>
  </si>
  <si>
    <t>3943 - 4000</t>
  </si>
  <si>
    <t>45 - 46%</t>
  </si>
  <si>
    <t>est weighted av class 6&amp;7</t>
  </si>
  <si>
    <t>ARM</t>
  </si>
  <si>
    <t>ASM</t>
  </si>
  <si>
    <t>50 m ht</t>
  </si>
  <si>
    <t>2005 -2010*</t>
  </si>
  <si>
    <t>ATG</t>
  </si>
  <si>
    <t>Wind class</t>
  </si>
  <si>
    <t>Equiv IMAGE Range</t>
  </si>
  <si>
    <t>AUS</t>
  </si>
  <si>
    <t>32 - 35</t>
  </si>
  <si>
    <t>AUT</t>
  </si>
  <si>
    <t>36 - 39</t>
  </si>
  <si>
    <t>AZE</t>
  </si>
  <si>
    <t>40 - 43</t>
  </si>
  <si>
    <t>BDI</t>
  </si>
  <si>
    <t>44 - 46</t>
  </si>
  <si>
    <t>BEL</t>
  </si>
  <si>
    <t>Wind power density class 3</t>
  </si>
  <si>
    <t>MW/km2</t>
  </si>
  <si>
    <t>47 - 50</t>
  </si>
  <si>
    <t>BEN</t>
  </si>
  <si>
    <t>Wind power density class 4</t>
  </si>
  <si>
    <t>* 20% Wind Energy by 2030 (http://www.20percentwind.org/report/Appendix%20B_Assumptions_Used_for_Wind_Deployment_System_Model.pdf), table B-10.</t>
  </si>
  <si>
    <t>BFA</t>
  </si>
  <si>
    <t>Wind power density class 5</t>
  </si>
  <si>
    <t>BGD</t>
  </si>
  <si>
    <t>Wind power density class 6&amp;7</t>
  </si>
  <si>
    <t>Where countries were partially available with high resolution data, GIS was used to identify the overlap and sum the two components.</t>
  </si>
  <si>
    <t>BGR</t>
  </si>
  <si>
    <t>BHR</t>
  </si>
  <si>
    <t>BHS</t>
  </si>
  <si>
    <t>BIH</t>
  </si>
  <si>
    <t>BLR</t>
  </si>
  <si>
    <t>BLZ</t>
  </si>
  <si>
    <t>BMU</t>
  </si>
  <si>
    <t>No Data</t>
  </si>
  <si>
    <t>BOL</t>
  </si>
  <si>
    <t>BRA</t>
  </si>
  <si>
    <t>BRB</t>
  </si>
  <si>
    <t>BRN</t>
  </si>
  <si>
    <t>BTN</t>
  </si>
  <si>
    <t>BWA</t>
  </si>
  <si>
    <t>CAF</t>
  </si>
  <si>
    <t>CAN</t>
  </si>
  <si>
    <t>CHE</t>
  </si>
  <si>
    <t>CHL</t>
  </si>
  <si>
    <t>CHN</t>
  </si>
  <si>
    <t>CIV</t>
  </si>
  <si>
    <t>CMR</t>
  </si>
  <si>
    <t>COG</t>
  </si>
  <si>
    <t>COL</t>
  </si>
  <si>
    <t>COM</t>
  </si>
  <si>
    <t>CPV</t>
  </si>
  <si>
    <t>CRI</t>
  </si>
  <si>
    <t>CUB</t>
  </si>
  <si>
    <t>CYP</t>
  </si>
  <si>
    <t>CZE</t>
  </si>
  <si>
    <t>DEU</t>
  </si>
  <si>
    <t>DJI</t>
  </si>
  <si>
    <t>DMA</t>
  </si>
  <si>
    <t>DNK</t>
  </si>
  <si>
    <t>DOM</t>
  </si>
  <si>
    <t>DZA</t>
  </si>
  <si>
    <t>ECU</t>
  </si>
  <si>
    <t>EGY</t>
  </si>
  <si>
    <t>ERI</t>
  </si>
  <si>
    <t>ESH</t>
  </si>
  <si>
    <t>ESP</t>
  </si>
  <si>
    <t>EST</t>
  </si>
  <si>
    <t>ETH</t>
  </si>
  <si>
    <t>FIN</t>
  </si>
  <si>
    <t>FJI</t>
  </si>
  <si>
    <t>FLK</t>
  </si>
  <si>
    <t>FRA</t>
  </si>
  <si>
    <t>FRO</t>
  </si>
  <si>
    <t>FSM</t>
  </si>
  <si>
    <t>GAB</t>
  </si>
  <si>
    <t>GBR</t>
  </si>
  <si>
    <t>GEO</t>
  </si>
  <si>
    <t>GHA</t>
  </si>
  <si>
    <t>GIB</t>
  </si>
  <si>
    <t>GIN</t>
  </si>
  <si>
    <t>GLP</t>
  </si>
  <si>
    <t>GMB</t>
  </si>
  <si>
    <t>GNB</t>
  </si>
  <si>
    <t>GNQ</t>
  </si>
  <si>
    <t>GRC</t>
  </si>
  <si>
    <t>GRD</t>
  </si>
  <si>
    <t>GRL</t>
  </si>
  <si>
    <t>GTM</t>
  </si>
  <si>
    <t>GUF</t>
  </si>
  <si>
    <t>GUM</t>
  </si>
  <si>
    <t>GUY</t>
  </si>
  <si>
    <t>HND</t>
  </si>
  <si>
    <t>HRV</t>
  </si>
  <si>
    <t>HTI</t>
  </si>
  <si>
    <t>HUN</t>
  </si>
  <si>
    <t>IDN</t>
  </si>
  <si>
    <t>IND</t>
  </si>
  <si>
    <t>IRL</t>
  </si>
  <si>
    <t>IRN</t>
  </si>
  <si>
    <t>IRQ</t>
  </si>
  <si>
    <t>ISL</t>
  </si>
  <si>
    <t>ISR</t>
  </si>
  <si>
    <t>ITA</t>
  </si>
  <si>
    <t>JAM</t>
  </si>
  <si>
    <t>JOR</t>
  </si>
  <si>
    <t>JPN</t>
  </si>
  <si>
    <t>KAZ</t>
  </si>
  <si>
    <t>KEN</t>
  </si>
  <si>
    <t>KGZ</t>
  </si>
  <si>
    <t>KHM</t>
  </si>
  <si>
    <t>KNA</t>
  </si>
  <si>
    <t>KOR</t>
  </si>
  <si>
    <t>KWT</t>
  </si>
  <si>
    <t>LAO</t>
  </si>
  <si>
    <t>LBN</t>
  </si>
  <si>
    <t>LBR</t>
  </si>
  <si>
    <t>LBY</t>
  </si>
  <si>
    <t>LCA</t>
  </si>
  <si>
    <t>LIE</t>
  </si>
  <si>
    <t>LKA</t>
  </si>
  <si>
    <t>LSO</t>
  </si>
  <si>
    <t>LTU</t>
  </si>
  <si>
    <t>LUX</t>
  </si>
  <si>
    <t>LVA</t>
  </si>
  <si>
    <t>MAR</t>
  </si>
  <si>
    <t>MCO</t>
  </si>
  <si>
    <t>MDA</t>
  </si>
  <si>
    <t>MDG</t>
  </si>
  <si>
    <t>MDV</t>
  </si>
  <si>
    <t>MEX</t>
  </si>
  <si>
    <t>MKD</t>
  </si>
  <si>
    <t>MLI</t>
  </si>
  <si>
    <t>MLT</t>
  </si>
  <si>
    <t>MMR</t>
  </si>
  <si>
    <t>MNG</t>
  </si>
  <si>
    <t>MON</t>
  </si>
  <si>
    <t>MOZ</t>
  </si>
  <si>
    <t>MRT</t>
  </si>
  <si>
    <t>MSR</t>
  </si>
  <si>
    <t>MTQ</t>
  </si>
  <si>
    <t>MUS</t>
  </si>
  <si>
    <t>MWI</t>
  </si>
  <si>
    <t>MYS</t>
  </si>
  <si>
    <t>MYT</t>
  </si>
  <si>
    <t>NAM</t>
  </si>
  <si>
    <t>NCL</t>
  </si>
  <si>
    <t>NER</t>
  </si>
  <si>
    <t>NGA</t>
  </si>
  <si>
    <t>NIC</t>
  </si>
  <si>
    <t>NLD</t>
  </si>
  <si>
    <t>NOR</t>
  </si>
  <si>
    <t>NPL</t>
  </si>
  <si>
    <t>NZL</t>
  </si>
  <si>
    <t>OMN</t>
  </si>
  <si>
    <t>PAK</t>
  </si>
  <si>
    <t>PAN</t>
  </si>
  <si>
    <t>PER</t>
  </si>
  <si>
    <t>PHL</t>
  </si>
  <si>
    <t>PNG</t>
  </si>
  <si>
    <t>POL</t>
  </si>
  <si>
    <t>PRI</t>
  </si>
  <si>
    <t>PRK</t>
  </si>
  <si>
    <t>PRT</t>
  </si>
  <si>
    <t>PRY</t>
  </si>
  <si>
    <t>PYF</t>
  </si>
  <si>
    <t>QAT</t>
  </si>
  <si>
    <t>REU</t>
  </si>
  <si>
    <t>ROM</t>
  </si>
  <si>
    <t>RUS</t>
  </si>
  <si>
    <t>RWA</t>
  </si>
  <si>
    <t>SAU</t>
  </si>
  <si>
    <t>SDN</t>
  </si>
  <si>
    <t>SEN</t>
  </si>
  <si>
    <t>SGP</t>
  </si>
  <si>
    <t>SJM</t>
  </si>
  <si>
    <t>Jan Mayen/Svalbard</t>
  </si>
  <si>
    <t>SLB</t>
  </si>
  <si>
    <t>SLE</t>
  </si>
  <si>
    <t>SLV</t>
  </si>
  <si>
    <t>SMR</t>
  </si>
  <si>
    <t>SOM</t>
  </si>
  <si>
    <t>SPM</t>
  </si>
  <si>
    <t>SRB</t>
  </si>
  <si>
    <t>STP</t>
  </si>
  <si>
    <t>SUR</t>
  </si>
  <si>
    <t>SVK</t>
  </si>
  <si>
    <t>SVN</t>
  </si>
  <si>
    <t>SWE</t>
  </si>
  <si>
    <t>SWZ</t>
  </si>
  <si>
    <t>SYC</t>
  </si>
  <si>
    <t>SYR</t>
  </si>
  <si>
    <t>TCA</t>
  </si>
  <si>
    <t>TCD</t>
  </si>
  <si>
    <t>TGO</t>
  </si>
  <si>
    <t>THA</t>
  </si>
  <si>
    <t>TJK</t>
  </si>
  <si>
    <t>TKM</t>
  </si>
  <si>
    <t>TLS</t>
  </si>
  <si>
    <t>TON</t>
  </si>
  <si>
    <t>TTO</t>
  </si>
  <si>
    <t>TUN</t>
  </si>
  <si>
    <t>TUR</t>
  </si>
  <si>
    <t>TUV</t>
  </si>
  <si>
    <t>TZA</t>
  </si>
  <si>
    <t>UGA</t>
  </si>
  <si>
    <t>UKR</t>
  </si>
  <si>
    <t>UMI</t>
  </si>
  <si>
    <t>URY</t>
  </si>
  <si>
    <t>USA</t>
  </si>
  <si>
    <t>UZB</t>
  </si>
  <si>
    <t>VCT</t>
  </si>
  <si>
    <t>VEN</t>
  </si>
  <si>
    <t>VGB</t>
  </si>
  <si>
    <t>VNM</t>
  </si>
  <si>
    <t>VTC</t>
  </si>
  <si>
    <t>VUT</t>
  </si>
  <si>
    <t>WSM</t>
  </si>
  <si>
    <t>XGK</t>
  </si>
  <si>
    <t>XIM</t>
  </si>
  <si>
    <t>XJE</t>
  </si>
  <si>
    <t>YEM</t>
  </si>
  <si>
    <t>ZAF</t>
  </si>
  <si>
    <t>ZAR</t>
  </si>
  <si>
    <t>Congo, DRC</t>
  </si>
  <si>
    <t>ZMB</t>
  </si>
  <si>
    <t>ZWE</t>
  </si>
  <si>
    <t>GW of Potential within 100 nautical miles of shore</t>
  </si>
  <si>
    <t xml:space="preserve"> Shallow: 0-30m</t>
  </si>
  <si>
    <t xml:space="preserve"> Transitional: 30-60m</t>
  </si>
  <si>
    <t xml:space="preserve"> Deep: 60-1000m</t>
  </si>
  <si>
    <t>Grand</t>
  </si>
  <si>
    <t>Electric</t>
  </si>
  <si>
    <t>Expected</t>
  </si>
  <si>
    <t>IAM Country Names</t>
  </si>
  <si>
    <t>Total</t>
  </si>
  <si>
    <t>Total (GW)</t>
  </si>
  <si>
    <t>Load (TWh)</t>
  </si>
  <si>
    <t>Production (TWh)</t>
  </si>
  <si>
    <t>Unassigned Economic Zones</t>
  </si>
  <si>
    <t>Grand Total (GW)</t>
  </si>
  <si>
    <t>Assumed Wind Classes</t>
  </si>
  <si>
    <t>Alaska</t>
  </si>
  <si>
    <t>Class 3</t>
  </si>
  <si>
    <t>30-34% CF</t>
  </si>
  <si>
    <t>Class 4</t>
  </si>
  <si>
    <t>34-38%</t>
  </si>
  <si>
    <t>Amsterdam Island and Saint Paul Island</t>
  </si>
  <si>
    <t>Class 5</t>
  </si>
  <si>
    <t>38-42%</t>
  </si>
  <si>
    <t>Andaman and Nicobar</t>
  </si>
  <si>
    <t>Class 6</t>
  </si>
  <si>
    <t>42-46%</t>
  </si>
  <si>
    <t>Class 7</t>
  </si>
  <si>
    <t>&gt;46%</t>
  </si>
  <si>
    <t>Antigua and Barbuda</t>
  </si>
  <si>
    <t>Ascension</t>
  </si>
  <si>
    <t>Australia - East Timor</t>
  </si>
  <si>
    <t>Bahamas</t>
  </si>
  <si>
    <t>Australia - Papua New Guinea</t>
  </si>
  <si>
    <t>Azores</t>
  </si>
  <si>
    <t>Bassas da India</t>
  </si>
  <si>
    <t>Bornholm</t>
  </si>
  <si>
    <t>Bouvet Island</t>
  </si>
  <si>
    <t>British Virgin Islands</t>
  </si>
  <si>
    <t>Canary Islands</t>
  </si>
  <si>
    <t>Cayman Islands</t>
  </si>
  <si>
    <t>Christmas Island</t>
  </si>
  <si>
    <t>Clipperton Island</t>
  </si>
  <si>
    <t>Cocos Islands</t>
  </si>
  <si>
    <t>Brunei Darussalam</t>
  </si>
  <si>
    <t>Colombia - Jamaica</t>
  </si>
  <si>
    <t>Conflict Zone</t>
  </si>
  <si>
    <t>Cook Islands</t>
  </si>
  <si>
    <t>Crozet Islands</t>
  </si>
  <si>
    <t>Easter Island</t>
  </si>
  <si>
    <t>Faeroe Islands</t>
  </si>
  <si>
    <t>Falkland Islands</t>
  </si>
  <si>
    <t>Galapagos Islands</t>
  </si>
  <si>
    <t>Glorioso Islands</t>
  </si>
  <si>
    <t>China Hong Kong SAR</t>
  </si>
  <si>
    <t>China Macao SAR</t>
  </si>
  <si>
    <t>Hawaii</t>
  </si>
  <si>
    <t>Heard and McDonald Islands</t>
  </si>
  <si>
    <t>Howland Island and Baker Island</t>
  </si>
  <si>
    <t>Ile Europa</t>
  </si>
  <si>
    <t>Ile Tromelin</t>
  </si>
  <si>
    <t>Japan - Korea</t>
  </si>
  <si>
    <t>Japan - South Korea Conflict Zone</t>
  </si>
  <si>
    <t>Jarvis Island</t>
  </si>
  <si>
    <t>Democratic Republic of the Congo</t>
  </si>
  <si>
    <t>Juan de Nova Island</t>
  </si>
  <si>
    <t>Kerguelen Islands</t>
  </si>
  <si>
    <t>East Timor</t>
  </si>
  <si>
    <t>Line Group</t>
  </si>
  <si>
    <t>Macquarie Island</t>
  </si>
  <si>
    <t>Madeira</t>
  </si>
  <si>
    <t>Marshall Islands</t>
  </si>
  <si>
    <t>Nigeria - Sao Tome and Principe</t>
  </si>
  <si>
    <t>Norfolk Island</t>
  </si>
  <si>
    <t>Northern Saint-Martin</t>
  </si>
  <si>
    <t>Oecussi Ambeno</t>
  </si>
  <si>
    <t>Palmyra Atoll</t>
  </si>
  <si>
    <t>Paracel Islands</t>
  </si>
  <si>
    <t>Phoenix Group</t>
  </si>
  <si>
    <t>Pitcairn</t>
  </si>
  <si>
    <t>Prince Edward Islands</t>
  </si>
  <si>
    <t>Saint Helena</t>
  </si>
  <si>
    <t>Saint Kitts and Nevis</t>
  </si>
  <si>
    <t>Saint Lucia</t>
  </si>
  <si>
    <t>Saint Pierre and Miquelon</t>
  </si>
  <si>
    <t>Saint Vincent and the Grenadines</t>
  </si>
  <si>
    <t>Sao Tome and Principe</t>
  </si>
  <si>
    <t>South Georgia and the South Sandwich Islands</t>
  </si>
  <si>
    <t>Southern Kuriles</t>
  </si>
  <si>
    <t>Southern Saint-Martin</t>
  </si>
  <si>
    <t>Spratly Islands</t>
  </si>
  <si>
    <t>Trindade</t>
  </si>
  <si>
    <t>Tristan da Cunha</t>
  </si>
  <si>
    <t>Turks and Caicos Islands</t>
  </si>
  <si>
    <t>Wake Island</t>
  </si>
  <si>
    <t>Wallis and Futuna</t>
  </si>
  <si>
    <t>Occupied Palestinian Territory</t>
  </si>
  <si>
    <t>Solomon Islands</t>
  </si>
  <si>
    <t>United Republic of Tanzania</t>
  </si>
  <si>
    <t>Yugoslavia</t>
  </si>
  <si>
    <t>IAM-country Total</t>
  </si>
  <si>
    <t>Global Total</t>
  </si>
  <si>
    <t>Unassigned Resource (~1/3 is Alaska)</t>
  </si>
  <si>
    <t>Av. CF</t>
  </si>
  <si>
    <t>TWh</t>
  </si>
  <si>
    <t xml:space="preserve">Standard assumption for power density is 5 MW/km2, such as in </t>
  </si>
  <si>
    <t>(Eg NREL An Improved Global Wind Resource Estimate for Integrated Assessment Models in Energy Economics)</t>
  </si>
  <si>
    <t>Dutch Ministery of Economic Affairs uses 6 MW/km2</t>
  </si>
  <si>
    <t>New windmills with larger rotor can achieve better density</t>
  </si>
  <si>
    <t>A density that is too high results in shadowing (swept area), reducing FLH of affected turbines</t>
  </si>
  <si>
    <t>Source: NREL (2014): Wind Resources by Class and Country. Integrated.</t>
  </si>
  <si>
    <t>Raw Source Data is Grey</t>
  </si>
  <si>
    <t>Raw Source data is shaded</t>
  </si>
  <si>
    <t>Source: NREL (2014): Global Wind Potential Supply Curves by Country, Class and Depth (quantities in GW)</t>
  </si>
  <si>
    <t>Raw Source Data is shaded</t>
  </si>
  <si>
    <t>Methanol</t>
  </si>
  <si>
    <t>Ammonia</t>
  </si>
  <si>
    <t>Traverse</t>
  </si>
  <si>
    <t>Suez</t>
  </si>
  <si>
    <t>DWT</t>
  </si>
  <si>
    <t>Port</t>
  </si>
  <si>
    <t>Vlore</t>
  </si>
  <si>
    <t>Algiers</t>
  </si>
  <si>
    <t>Lobito</t>
  </si>
  <si>
    <t>Buenos Aires</t>
  </si>
  <si>
    <t>Sydney</t>
  </si>
  <si>
    <t>Chittagong</t>
  </si>
  <si>
    <t>Antwerp</t>
  </si>
  <si>
    <t>Belize City</t>
  </si>
  <si>
    <t>Cotonou</t>
  </si>
  <si>
    <t>Santos</t>
  </si>
  <si>
    <t>Douala</t>
  </si>
  <si>
    <t>Halifax</t>
  </si>
  <si>
    <t>San Antonio</t>
  </si>
  <si>
    <t>Shanghai</t>
  </si>
  <si>
    <t>Cartagena</t>
  </si>
  <si>
    <t>Matadi</t>
  </si>
  <si>
    <t>Limon/Moin</t>
  </si>
  <si>
    <t>Havana</t>
  </si>
  <si>
    <t>Famagusta</t>
  </si>
  <si>
    <t>Copenhagen</t>
  </si>
  <si>
    <t>Santo Domingo</t>
  </si>
  <si>
    <t>Guayaquil</t>
  </si>
  <si>
    <t>Alexandria</t>
  </si>
  <si>
    <t>Acajutla</t>
  </si>
  <si>
    <t>Massawa</t>
  </si>
  <si>
    <t>Suva</t>
  </si>
  <si>
    <t>Helsinki</t>
  </si>
  <si>
    <t>Marseille</t>
  </si>
  <si>
    <t>Port Gentil</t>
  </si>
  <si>
    <t>Banjul</t>
  </si>
  <si>
    <t>Poti</t>
  </si>
  <si>
    <t>Hamburg</t>
  </si>
  <si>
    <t>Tema</t>
  </si>
  <si>
    <t>St George</t>
  </si>
  <si>
    <t>Puerto Quetzal</t>
  </si>
  <si>
    <t>Conakry</t>
  </si>
  <si>
    <t>Georgetown</t>
  </si>
  <si>
    <t>Port au Prince</t>
  </si>
  <si>
    <t>La Ceiba</t>
  </si>
  <si>
    <t>Jawahar Dweep</t>
  </si>
  <si>
    <t>Tanjung Priok</t>
  </si>
  <si>
    <t>Kharg Island</t>
  </si>
  <si>
    <t>Khor Al Zubair (Umm Qasr)</t>
  </si>
  <si>
    <t>Dublin</t>
  </si>
  <si>
    <t>Haifa</t>
  </si>
  <si>
    <t>Kingston</t>
  </si>
  <si>
    <t>Genoa</t>
  </si>
  <si>
    <t>Nagoya</t>
  </si>
  <si>
    <t>Aqaba</t>
  </si>
  <si>
    <t>Mombasa</t>
  </si>
  <si>
    <t>Hungnam</t>
  </si>
  <si>
    <t>Busan</t>
  </si>
  <si>
    <t>Shuwaikh</t>
  </si>
  <si>
    <t>Beirut</t>
  </si>
  <si>
    <t>Monrovia</t>
  </si>
  <si>
    <t>Tripoli</t>
  </si>
  <si>
    <t>Toamasina</t>
  </si>
  <si>
    <t>Port Kelang</t>
  </si>
  <si>
    <t>Valletta</t>
  </si>
  <si>
    <t>Nouakchott</t>
  </si>
  <si>
    <t>Port Louis</t>
  </si>
  <si>
    <t>Manzanillo</t>
  </si>
  <si>
    <t>Casablanca</t>
  </si>
  <si>
    <t>Maputo</t>
  </si>
  <si>
    <t>Yangon</t>
  </si>
  <si>
    <t>Walvis Bay</t>
  </si>
  <si>
    <t>Tauranga</t>
  </si>
  <si>
    <t>Corinto</t>
  </si>
  <si>
    <t>Lago</t>
  </si>
  <si>
    <t>Oslo</t>
  </si>
  <si>
    <t>Muscat</t>
  </si>
  <si>
    <t>Karachi</t>
  </si>
  <si>
    <t>Colon</t>
  </si>
  <si>
    <t>Callao</t>
  </si>
  <si>
    <t>Manila</t>
  </si>
  <si>
    <t>San Juan</t>
  </si>
  <si>
    <t>Doha/Hammad</t>
  </si>
  <si>
    <t>Novorossiysk</t>
  </si>
  <si>
    <t>Jeddah</t>
  </si>
  <si>
    <t>Dakar</t>
  </si>
  <si>
    <t>Bar</t>
  </si>
  <si>
    <t>Mahe</t>
  </si>
  <si>
    <t>Freetown</t>
  </si>
  <si>
    <t>Mogadiscio</t>
  </si>
  <si>
    <t>Durban</t>
  </si>
  <si>
    <t>Valencia</t>
  </si>
  <si>
    <t>Colombo</t>
  </si>
  <si>
    <t>Port Sudan</t>
  </si>
  <si>
    <t>Paramibo</t>
  </si>
  <si>
    <t>Gothenburg</t>
  </si>
  <si>
    <t>Latakia</t>
  </si>
  <si>
    <t>Dar Es Salaam</t>
  </si>
  <si>
    <t>Laem Chabang</t>
  </si>
  <si>
    <t>Lome</t>
  </si>
  <si>
    <t>Port of Spain</t>
  </si>
  <si>
    <t>Tunis</t>
  </si>
  <si>
    <t>Dubai (Jebel Ali)</t>
  </si>
  <si>
    <t>Grimsby</t>
  </si>
  <si>
    <t>Houston</t>
  </si>
  <si>
    <t>Montevideo</t>
  </si>
  <si>
    <t>Puerto Cabello</t>
  </si>
  <si>
    <t>Saigon</t>
  </si>
  <si>
    <t>Hoedeidah</t>
  </si>
  <si>
    <t>Ambarli</t>
  </si>
  <si>
    <t>Odessa</t>
  </si>
  <si>
    <t>Faro</t>
  </si>
  <si>
    <t>t</t>
  </si>
  <si>
    <t>Barras (2004):  Ship Design and Performance for Masters and Mates</t>
  </si>
  <si>
    <t>Sources</t>
  </si>
  <si>
    <t>GT</t>
  </si>
  <si>
    <t>Investment</t>
  </si>
  <si>
    <t>LNG</t>
  </si>
  <si>
    <t>Availability</t>
  </si>
  <si>
    <t>Hamburg Financial Research Center (2015): Martitime Investment Appraisal and Budgeting</t>
  </si>
  <si>
    <t>Ship weight</t>
  </si>
  <si>
    <t>Carry vol</t>
  </si>
  <si>
    <t>OPEX</t>
  </si>
  <si>
    <t>Port duration</t>
  </si>
  <si>
    <t>Handysize</t>
  </si>
  <si>
    <t>Average age ship OPEX, obtained from Moore Stephens (2017): Ship operating costs: current and future trends</t>
  </si>
  <si>
    <t>CRF</t>
  </si>
  <si>
    <t>Lifetime</t>
  </si>
  <si>
    <t>Capital charge</t>
  </si>
  <si>
    <t>CAPEX/d</t>
  </si>
  <si>
    <t>y</t>
  </si>
  <si>
    <t>PoR cost</t>
  </si>
  <si>
    <t>Carry mass</t>
  </si>
  <si>
    <t>Port2 duration</t>
  </si>
  <si>
    <t>Port2 cost</t>
  </si>
  <si>
    <t>Assumption: 90% of DWT is load mass capacity</t>
  </si>
  <si>
    <t>CAPEX</t>
  </si>
  <si>
    <t>Fuel</t>
  </si>
  <si>
    <t>Fuel cost</t>
  </si>
  <si>
    <t>Speed</t>
  </si>
  <si>
    <t>Displacement</t>
  </si>
  <si>
    <t>Fuel consumption</t>
  </si>
  <si>
    <t>Duration outgoing journey</t>
  </si>
  <si>
    <t>Duration return journey</t>
  </si>
  <si>
    <t>Total cost</t>
  </si>
  <si>
    <t>Cost per m3</t>
  </si>
  <si>
    <t>Channel fees</t>
  </si>
  <si>
    <t>Capacity</t>
  </si>
  <si>
    <t>Total port cost</t>
  </si>
  <si>
    <t>Port fuel usage</t>
  </si>
  <si>
    <t>Port 2 fuel usage</t>
  </si>
  <si>
    <t>Port fuel cost</t>
  </si>
  <si>
    <t>Port 2 fuel cost</t>
  </si>
  <si>
    <t>ballast</t>
  </si>
  <si>
    <t xml:space="preserve">Losses </t>
  </si>
  <si>
    <t>Boil off</t>
  </si>
  <si>
    <t>Qmax LNG with LH2 Tanks</t>
  </si>
  <si>
    <t>Losses</t>
  </si>
  <si>
    <t>K. Grover (2013): Methanol Shipping: A snapshot</t>
  </si>
  <si>
    <t>Advanced Shipping &amp; Trading (2018): Weekly shipping market report week 8</t>
  </si>
  <si>
    <t>GWh</t>
  </si>
  <si>
    <t>Port of Rotterdam (2018): General Terms and conditions including port tariffs</t>
  </si>
  <si>
    <t>Assumed to be the same as PoR cost</t>
  </si>
  <si>
    <t>Waterfront Shipping Company (2018): Fleet. Fleet list.</t>
  </si>
  <si>
    <t>Formic acid</t>
  </si>
  <si>
    <t>Stainless steel tanks</t>
  </si>
  <si>
    <t>Marinelink (2016): Odffjell to build record size stainless steel chemical tankers</t>
  </si>
  <si>
    <t>Yara Nauma</t>
  </si>
  <si>
    <t>LNG World Shipping (2016): Fleet profile: Qatar Gas Transport Co</t>
  </si>
  <si>
    <t>Large LNG with LH2 tanks</t>
  </si>
  <si>
    <t>D. Dobrota et al. (2013): Problem of Boil-off in LNG Supply Chain. Trans marit. Sci. 02, 91-100</t>
  </si>
  <si>
    <t>Y. Takaoka et al. (2017): Introduction to a Liquefied Hydrogen Carrier for a Pilot Hydrogen Energy Supply Chain (HESC) project in Japan)</t>
  </si>
  <si>
    <t>H2</t>
  </si>
  <si>
    <t>Constant is 110,000 for steam engine, 120,000 for diesel engine</t>
  </si>
  <si>
    <t>Formic Acid</t>
  </si>
  <si>
    <t>Semirefrigerated</t>
  </si>
  <si>
    <t>II</t>
  </si>
  <si>
    <t>III</t>
  </si>
  <si>
    <t>Hull</t>
  </si>
  <si>
    <t>Double</t>
  </si>
  <si>
    <t>DWT, GT</t>
  </si>
  <si>
    <t>IMO/IMDG Class</t>
  </si>
  <si>
    <t>IMO/IMDG classifies bulk chemicals on their potential hazard and the extent of required safety measures. There are 3 classes, 1 requiring max measures and 3 requiring the lowest degree of measures</t>
  </si>
  <si>
    <t>Odfjell (unnamed)</t>
  </si>
  <si>
    <t>?</t>
  </si>
  <si>
    <t>Marinetraffic</t>
  </si>
  <si>
    <t>Port 1</t>
  </si>
  <si>
    <t>Port 2</t>
  </si>
  <si>
    <t>PoR</t>
  </si>
  <si>
    <t>Unloading</t>
  </si>
  <si>
    <t>Origin</t>
  </si>
  <si>
    <t>Loading</t>
  </si>
  <si>
    <t>Same as MeOH</t>
  </si>
  <si>
    <t>MDR2</t>
  </si>
  <si>
    <t>DWT, fuel</t>
  </si>
  <si>
    <t>Noteworthy</t>
  </si>
  <si>
    <t>Investment, capacity</t>
  </si>
  <si>
    <t>Average</t>
  </si>
  <si>
    <t>Speed (recorded)</t>
  </si>
  <si>
    <t>Eg Cajun Sun, Manchac Sun</t>
  </si>
  <si>
    <t>Age</t>
  </si>
  <si>
    <t>Like MeOH</t>
  </si>
  <si>
    <t>Investment cost, capacity</t>
  </si>
  <si>
    <t xml:space="preserve">Qmax </t>
  </si>
  <si>
    <t>Eg Mozah</t>
  </si>
  <si>
    <t xml:space="preserve">Large </t>
  </si>
  <si>
    <t>Gate Terminal (2017): List of Approved Ships for Gate LNG Terminal Rotterdam and Gate Terminal (2017): LNG Carrier Master's Marine Services Manual</t>
  </si>
  <si>
    <t>P.E. Dodds and W. McDowall (2012): A review of hydrogen delivery technologies for energy system models.</t>
  </si>
  <si>
    <t>Dual fuel, zinc coated tanks largest MeOH size</t>
  </si>
  <si>
    <t>eg Al Yassasiya</t>
  </si>
  <si>
    <t>Bunkerworld (2018): BW380 Aug. 2018</t>
  </si>
  <si>
    <t>Same formula as before; assumption: 20% ballast mass of max cargo mass</t>
  </si>
  <si>
    <t>To PoR</t>
  </si>
  <si>
    <t>From PoR</t>
  </si>
  <si>
    <t>Source: NREL (2014): Solar Resources by Class and Country. Tilt.</t>
  </si>
  <si>
    <t>Production</t>
  </si>
  <si>
    <t>Estimate</t>
  </si>
  <si>
    <t>70-100</t>
  </si>
  <si>
    <t>O&amp;M</t>
  </si>
  <si>
    <t>%</t>
  </si>
  <si>
    <t>Density</t>
  </si>
  <si>
    <t>Investment cost</t>
  </si>
  <si>
    <t>€/m</t>
  </si>
  <si>
    <t>CAPEX/y</t>
  </si>
  <si>
    <t>€/t</t>
  </si>
  <si>
    <t>Source</t>
  </si>
  <si>
    <t>M. Robinius et al. (2018): Comparative Analysis of Infrastructures: Hydrogen Fueling and Electric Charging of Vehicles</t>
  </si>
  <si>
    <t>Distance (min)</t>
  </si>
  <si>
    <t>Detour multiplier</t>
  </si>
  <si>
    <t>Distance</t>
  </si>
  <si>
    <t>Compression</t>
  </si>
  <si>
    <t>Energy req</t>
  </si>
  <si>
    <t>Mass flow rate</t>
  </si>
  <si>
    <t>M€</t>
  </si>
  <si>
    <t>Total Capacity</t>
  </si>
  <si>
    <t>Number of compressors</t>
  </si>
  <si>
    <t>Capacity per compressor</t>
  </si>
  <si>
    <t>Total investment</t>
  </si>
  <si>
    <t>Investment per compressor</t>
  </si>
  <si>
    <t>Electricity price</t>
  </si>
  <si>
    <t>Energy cost</t>
  </si>
  <si>
    <t xml:space="preserve">Total O&amp;M </t>
  </si>
  <si>
    <t>Total capital cost/y</t>
  </si>
  <si>
    <t>Equipment</t>
  </si>
  <si>
    <t>Installation</t>
  </si>
  <si>
    <t>Alkaline</t>
  </si>
  <si>
    <t>PEM</t>
  </si>
  <si>
    <t>Direct Air Capture</t>
  </si>
  <si>
    <t>Cryogenic Air Separation</t>
  </si>
  <si>
    <t>Energy</t>
  </si>
  <si>
    <t>Energy demand</t>
  </si>
  <si>
    <t>Total yearly cost</t>
  </si>
  <si>
    <t>Total output</t>
  </si>
  <si>
    <t>Running cost</t>
  </si>
  <si>
    <t>[kWh/kg]</t>
  </si>
  <si>
    <t>[GWh]</t>
  </si>
  <si>
    <t>[Mt/y]</t>
  </si>
  <si>
    <t>[€/t]</t>
  </si>
  <si>
    <t>[y]</t>
  </si>
  <si>
    <t>N2</t>
  </si>
  <si>
    <t>Oxford Institute of Energy Studies (2015): Analysis of Islanded Ammonia-based Energy Storage Systems</t>
  </si>
  <si>
    <t>E.R. Morgan (2013): Techno-Economic Feasibility Study of Ammonia Plants Powered by Offshore Wind</t>
  </si>
  <si>
    <t>Capacity (el)</t>
  </si>
  <si>
    <t>Capacity (prod)</t>
  </si>
  <si>
    <t>[GW]</t>
  </si>
  <si>
    <t>[t/d]</t>
  </si>
  <si>
    <t>[bar]</t>
  </si>
  <si>
    <t>CRI (2015): Power and CO2 emissions to methanol</t>
  </si>
  <si>
    <t>CO2</t>
  </si>
  <si>
    <t xml:space="preserve"> E. Simões Van-Dal and C. Bouallou (2013): Design and simulation of a methanol production plant from CO2 hydrogenation. Journal of Cleaner Production, 57, 38-45.</t>
  </si>
  <si>
    <t>VTT (2017): BioCO2-project workshop</t>
  </si>
  <si>
    <t>M. Pérez-Fortes et al. (2016): Formic acid synthesis using CO2 as raw material: Techno-economic and environmental evaluation and market potential. International journal of hydrogen energy, 41, 16444-16462</t>
  </si>
  <si>
    <t>JRC (2016): Techno-economic and environmental evaluation of CO2 utilisation for fuel production</t>
  </si>
  <si>
    <t>SNG</t>
  </si>
  <si>
    <t>F. Re et al. (2017): Sabatier based cycle for CO2 methanation: exergy and thermo-economic analysis. Proceedings of ASME</t>
  </si>
  <si>
    <t>DME</t>
  </si>
  <si>
    <t>TEU</t>
  </si>
  <si>
    <t>United States Merchant Marine Academy (2017): Economies of Scale in Container Ship Costs</t>
  </si>
  <si>
    <t>€/$</t>
  </si>
  <si>
    <t>m% H2</t>
  </si>
  <si>
    <t>Ships needed</t>
  </si>
  <si>
    <t>Total duration</t>
  </si>
  <si>
    <t>Total yearly transported</t>
  </si>
  <si>
    <t>Min production storage needed</t>
  </si>
  <si>
    <t>NH3</t>
  </si>
  <si>
    <t>HCOOH</t>
  </si>
  <si>
    <t>CH3OH</t>
  </si>
  <si>
    <t>Max LNG</t>
  </si>
  <si>
    <t>Max LH2</t>
  </si>
  <si>
    <t>Storage built including buffer</t>
  </si>
  <si>
    <t>Volume</t>
  </si>
  <si>
    <t>[t]</t>
  </si>
  <si>
    <t>Liquefaction</t>
  </si>
  <si>
    <t>Hydrogen</t>
  </si>
  <si>
    <t>Tank vol</t>
  </si>
  <si>
    <t>[%/d]</t>
  </si>
  <si>
    <t>[m3]</t>
  </si>
  <si>
    <t>Tank storage mass</t>
  </si>
  <si>
    <t>% of DWT for products</t>
  </si>
  <si>
    <t>M. Fasihi et al. (2016): Techno-Economic Assessment of Power-to-Liquids (PtL) Fuels Production and Global Trading Based on Hybrid PV-Wind Power Plants. Energy Procedia 99, 243-268</t>
  </si>
  <si>
    <t>Does not exist yet</t>
  </si>
  <si>
    <t>LPG tanker</t>
  </si>
  <si>
    <t>Chemical tanker</t>
  </si>
  <si>
    <t>Container ship</t>
  </si>
  <si>
    <t>LNG tanker</t>
  </si>
  <si>
    <t>LNG tanker with LH2 tanks</t>
  </si>
  <si>
    <t>averages for class from</t>
  </si>
  <si>
    <t>Oxford Insitute for Energy Studies (2018): The LNG Shipping Forecast: costs rebounding, outlook uncertain</t>
  </si>
  <si>
    <t>Investment single tank</t>
  </si>
  <si>
    <t>Investment total storage</t>
  </si>
  <si>
    <t>[M€/y]</t>
  </si>
  <si>
    <t>[€/kWh]</t>
  </si>
  <si>
    <t>[t/m3]</t>
  </si>
  <si>
    <t>[t/ship]</t>
  </si>
  <si>
    <t>Sheet</t>
  </si>
  <si>
    <t>Technology</t>
  </si>
  <si>
    <t>Parameter</t>
  </si>
  <si>
    <t>Carriers</t>
  </si>
  <si>
    <t>Investment cost, energy req, FLH</t>
  </si>
  <si>
    <t>[M€]</t>
  </si>
  <si>
    <t>H2 (l)</t>
  </si>
  <si>
    <t>CH4 (l)</t>
  </si>
  <si>
    <t>Oxford Energy Institue (2014): LNG Plant Cost Escalation</t>
  </si>
  <si>
    <t>NH3 (l)</t>
  </si>
  <si>
    <t>Pressure</t>
  </si>
  <si>
    <t>H2 mass%</t>
  </si>
  <si>
    <t>Assumption: origin storage same capacity as destination storage</t>
  </si>
  <si>
    <t>Tank lifetime</t>
  </si>
  <si>
    <t>Destination</t>
  </si>
  <si>
    <t>[t/y]</t>
  </si>
  <si>
    <t>to ship</t>
  </si>
  <si>
    <t>Total demand out</t>
  </si>
  <si>
    <t>Total demand in</t>
  </si>
  <si>
    <t>Total ship out</t>
  </si>
  <si>
    <t>Total ship in</t>
  </si>
  <si>
    <t>Demand out</t>
  </si>
  <si>
    <t>CAPEX journey</t>
  </si>
  <si>
    <t>OPEX journey</t>
  </si>
  <si>
    <t>Total fuel cost</t>
  </si>
  <si>
    <t>Investment/day</t>
  </si>
  <si>
    <t>Cost</t>
  </si>
  <si>
    <t>GH2</t>
  </si>
  <si>
    <t>€ct/kwh</t>
  </si>
  <si>
    <t>LCOE OPEX</t>
  </si>
  <si>
    <t>NA</t>
  </si>
  <si>
    <t>[dC]</t>
  </si>
  <si>
    <t>Euro chlor (2018): The Energy Situation in Europe</t>
  </si>
  <si>
    <t>DBT</t>
  </si>
  <si>
    <t>dibenzyltoluene</t>
  </si>
  <si>
    <t>nm</t>
  </si>
  <si>
    <t>Demand in</t>
  </si>
  <si>
    <t>€ct/kWh</t>
  </si>
  <si>
    <t>0.10 kWh/kg for pumps,</t>
  </si>
  <si>
    <t>source: M. Reuss et al. (2017): Seasonal storage and alternative carriers: a flexible hydrogen supply chain model. Applied Energy 200, 290-302</t>
  </si>
  <si>
    <t>[€/(MW km)]</t>
  </si>
  <si>
    <t>Underground</t>
  </si>
  <si>
    <t>Overhead</t>
  </si>
  <si>
    <t>Seacables</t>
  </si>
  <si>
    <t>Station</t>
  </si>
  <si>
    <t>[€/MW]</t>
  </si>
  <si>
    <t>Length</t>
  </si>
  <si>
    <t>[km]</t>
  </si>
  <si>
    <t>[%/1000 km]</t>
  </si>
  <si>
    <t>[%]</t>
  </si>
  <si>
    <t>[PWh]</t>
  </si>
  <si>
    <t># of stations</t>
  </si>
  <si>
    <t>[€ct/kWh]</t>
  </si>
  <si>
    <t>Length multiplier</t>
  </si>
  <si>
    <t>Capacity multiplier</t>
  </si>
  <si>
    <t>Electricity</t>
  </si>
  <si>
    <t>Transmission</t>
  </si>
  <si>
    <t>F. Trieb et al. (2011): Solar electricity imports from the Middle East and North Africa to Europe. Energy Policy 42, 341-353</t>
  </si>
  <si>
    <t>Nuuk</t>
  </si>
  <si>
    <t>Thermal cracking</t>
  </si>
  <si>
    <t>N2 released</t>
  </si>
  <si>
    <t>Returned</t>
  </si>
  <si>
    <t>Hydrogen cost</t>
  </si>
  <si>
    <t>ISPT (2017): Power to Ammonia</t>
  </si>
  <si>
    <t>Hydrogenious Technologies (2015): Hydrogen storage and distribution via liquid organic carriers.</t>
  </si>
  <si>
    <t>M. Reuss et al. (2017): Seasonal storage and alternative carriers: a flexible hydrogen supply chain model. Applied Energy 200, 290-302</t>
  </si>
  <si>
    <t>[€/kwh]</t>
  </si>
  <si>
    <t>everything passes through storage</t>
  </si>
  <si>
    <t>NL reference</t>
  </si>
  <si>
    <t>Carrier capital</t>
  </si>
  <si>
    <t>Sums</t>
  </si>
  <si>
    <t>Cost per t</t>
  </si>
  <si>
    <t>None</t>
  </si>
  <si>
    <t>Evaporation</t>
  </si>
  <si>
    <t>Dehydrogenation</t>
  </si>
  <si>
    <t>Hydrolysis</t>
  </si>
  <si>
    <t>M. Grasemann and G. Laurenczy (2012): Formic acid as a hydrogen source – recent developments and future trends. Energy Environ. Sci. 5, 8171</t>
  </si>
  <si>
    <t>molar mass</t>
  </si>
  <si>
    <t>[g/mol]</t>
  </si>
  <si>
    <t>40-250</t>
  </si>
  <si>
    <t>C21H20</t>
  </si>
  <si>
    <t>Single</t>
  </si>
  <si>
    <t>Lightweight displacement</t>
  </si>
  <si>
    <t>DTU (2013): Statistical Analysis and Determination of Regression Formulas for Main Dimensions of Container Ships based on HIS Fairplay Data</t>
  </si>
  <si>
    <t>Investment cost, OPEX</t>
  </si>
  <si>
    <t>ULCV</t>
  </si>
  <si>
    <t>Eg Maersk Mc Kinney Moller</t>
  </si>
  <si>
    <t>Ship details</t>
  </si>
  <si>
    <t>DNV GL (2014): Future development of ultra large container ships. Where are the limits?</t>
  </si>
  <si>
    <t>Max (recorded)</t>
  </si>
  <si>
    <t>LPG Tanker</t>
  </si>
  <si>
    <t>VLGC</t>
  </si>
  <si>
    <t>Bu Sidra</t>
  </si>
  <si>
    <t>Qship (2018): Deepsea Fleet. Bu Sidra</t>
  </si>
  <si>
    <t>Small Ammonia</t>
  </si>
  <si>
    <t>Calculated using the Wilhelmsen Panama Toll Calculator. Assuming ballast journey costs 90% of laden journey</t>
  </si>
  <si>
    <t>Suez (excluding discounts)</t>
  </si>
  <si>
    <t xml:space="preserve"> M. Reuss et al. (2017): Seasonal storage and alternative carriers: a flexible hydrogen supply chain model. Applied Energy 200, 290-302</t>
  </si>
  <si>
    <t>Sources (mostly investment)</t>
  </si>
  <si>
    <t>Tractebel (2015): Mini / Micro LNG for commercialization of small volumes of associated gas</t>
  </si>
  <si>
    <t>IEA (2015): Hydrogen and Fuel Cells Roadmap. Technical Annex</t>
  </si>
  <si>
    <t>Salt cavern in NL</t>
  </si>
  <si>
    <t>ATR</t>
  </si>
  <si>
    <t>MeOH ATR</t>
  </si>
  <si>
    <t>J.J. Sims (2015): Formic Acid Decomposition on Cobalt Surfaces</t>
  </si>
  <si>
    <t>Energy density (LHV)</t>
  </si>
  <si>
    <t>[kwh/kg]</t>
  </si>
  <si>
    <t>Energy density (HHV)</t>
  </si>
  <si>
    <t>1-250</t>
  </si>
  <si>
    <t>cryo T</t>
  </si>
  <si>
    <t>ambient or slightly elevated</t>
  </si>
  <si>
    <t>ambient or elevated</t>
  </si>
  <si>
    <t>Haber Bosch</t>
  </si>
  <si>
    <t>Direct Synthetis</t>
  </si>
  <si>
    <t>Hydrogenation</t>
  </si>
  <si>
    <t xml:space="preserve">Methanation </t>
  </si>
  <si>
    <t>[€/d]</t>
  </si>
  <si>
    <t>HV DC</t>
  </si>
  <si>
    <t>M</t>
  </si>
  <si>
    <t>MWh/c</t>
  </si>
  <si>
    <t>[TWh]</t>
  </si>
  <si>
    <t>Depreciation</t>
  </si>
  <si>
    <t>Wind power density class 6</t>
  </si>
  <si>
    <t>Wind power density class 7</t>
  </si>
  <si>
    <t>Sideproducts</t>
  </si>
  <si>
    <t>[€/kW]</t>
  </si>
  <si>
    <t>[% CAPEX]</t>
  </si>
  <si>
    <t>[h/y]</t>
  </si>
  <si>
    <t>LCOE CAPEX</t>
  </si>
  <si>
    <t>Yearly CAPEX</t>
  </si>
  <si>
    <t>Part of distance that is land</t>
  </si>
  <si>
    <t>Part of distance that is water</t>
  </si>
  <si>
    <t>Assumption: all transmission over land happens via overhead cables, transmission over water with seacables</t>
  </si>
  <si>
    <t xml:space="preserve">Total cost </t>
  </si>
  <si>
    <t>Optimistic 2050 investment costs are 306, 779 and 1400 €/kW respectively</t>
  </si>
  <si>
    <t>Investment and O&amp;M cost are based on reference 2050 values in Agora (2017): The Future Cost of Electricity Based Synthetic Fuels. Electronic appendix: Model</t>
  </si>
  <si>
    <t>Compound</t>
  </si>
  <si>
    <t>Ship size</t>
  </si>
  <si>
    <t>Ship type</t>
  </si>
  <si>
    <t>Modelled on</t>
  </si>
  <si>
    <t>Could technically be transported in VLCC</t>
  </si>
  <si>
    <t>Standard assumption</t>
  </si>
  <si>
    <t>TECH</t>
  </si>
  <si>
    <t>Total journey cost</t>
  </si>
  <si>
    <t>[knots]</t>
  </si>
  <si>
    <t>[d]</t>
  </si>
  <si>
    <t>[€]</t>
  </si>
  <si>
    <t>[€/m3]</t>
  </si>
  <si>
    <t>Assumed to be 10% of fuel consumption when travelling</t>
  </si>
  <si>
    <t>Total OPEX</t>
  </si>
  <si>
    <t>Min flow rate</t>
  </si>
  <si>
    <t>Assumed mass flow rate</t>
  </si>
  <si>
    <t>Volumetric flow rate</t>
  </si>
  <si>
    <t>Cross section pipe</t>
  </si>
  <si>
    <t>Diameter pipe</t>
  </si>
  <si>
    <t>[kg/h]</t>
  </si>
  <si>
    <t>[m3/h]</t>
  </si>
  <si>
    <t>[m3/s]</t>
  </si>
  <si>
    <t>[m2]</t>
  </si>
  <si>
    <t>[m]</t>
  </si>
  <si>
    <t>[MWh]</t>
  </si>
  <si>
    <t>[kW]</t>
  </si>
  <si>
    <t>An offshore wind spacing is recommended of</t>
  </si>
  <si>
    <t>10 rotor diameters downstream and 5 rotor diameters across</t>
  </si>
  <si>
    <t>This would give a max wind power density of (</t>
  </si>
  <si>
    <t>For the largest turbine currently in production (8 MW at 164m rotor diameter)</t>
  </si>
  <si>
    <t>7 rotor diameters downstream and 4 rotor diameters across</t>
  </si>
  <si>
    <t>This would give a max wind power density of</t>
  </si>
  <si>
    <t>Here you can fill in the installed wind power density</t>
  </si>
  <si>
    <t>This determines the production potential</t>
  </si>
  <si>
    <t>Currently the model does not check whether a specific ship can pass through the Panama channel (all of them can pass through the Suez channel) nor whether it can dock at a certain port</t>
  </si>
  <si>
    <t>Abroad and in Rotterdam</t>
  </si>
  <si>
    <t>Carrier Production</t>
  </si>
  <si>
    <t>[M€/day of transport]</t>
  </si>
  <si>
    <t>From NH3</t>
  </si>
  <si>
    <t>From FA</t>
  </si>
  <si>
    <t>Frm MeOH</t>
  </si>
  <si>
    <t>From DBT</t>
  </si>
  <si>
    <t>From NaBH4</t>
  </si>
  <si>
    <t>From LNG</t>
  </si>
  <si>
    <t>From LH2</t>
  </si>
  <si>
    <t>Carrier</t>
  </si>
  <si>
    <t>[€/m]</t>
  </si>
  <si>
    <t>[M€/km]</t>
  </si>
  <si>
    <t>[% invest]</t>
  </si>
  <si>
    <t>[kg/m3]</t>
  </si>
  <si>
    <t>[m/s]</t>
  </si>
  <si>
    <t>Hydrogen density</t>
  </si>
  <si>
    <t>Hydrogen speed</t>
  </si>
  <si>
    <t>Total cost exl losses</t>
  </si>
  <si>
    <t>Compression to 70-100 bar</t>
  </si>
  <si>
    <t>Has NL country parameters</t>
  </si>
  <si>
    <t>(Boil-off) Losses</t>
  </si>
  <si>
    <t>Loss over year</t>
  </si>
  <si>
    <t>Storage multiplier</t>
  </si>
  <si>
    <t>Temperature</t>
  </si>
  <si>
    <t>Product demand out</t>
  </si>
  <si>
    <t>from ship</t>
  </si>
  <si>
    <t>Total demand in (from production)</t>
  </si>
  <si>
    <t>[% of invest]</t>
  </si>
  <si>
    <t>[dC]]</t>
  </si>
  <si>
    <t>Losses are taken into account in the running cost and in the carrier production sheet</t>
  </si>
  <si>
    <t>km</t>
  </si>
  <si>
    <t>origin wacc</t>
  </si>
  <si>
    <t>Storage</t>
  </si>
  <si>
    <t>Transport</t>
  </si>
  <si>
    <t>Potential capacity for export</t>
  </si>
  <si>
    <t>Fut demand ref</t>
  </si>
  <si>
    <t>Shipping demand</t>
  </si>
  <si>
    <t>Distance to NL</t>
  </si>
  <si>
    <t>Part distance over land</t>
  </si>
  <si>
    <t>Part distance over water</t>
  </si>
  <si>
    <t>Carrier cost</t>
  </si>
  <si>
    <t>Carrier capital cost</t>
  </si>
  <si>
    <t>Input carrier</t>
  </si>
  <si>
    <t>Cost carrier</t>
  </si>
  <si>
    <t>Input H2</t>
  </si>
  <si>
    <t>Input CO2</t>
  </si>
  <si>
    <t>Input N2</t>
  </si>
  <si>
    <t>Input MeOH</t>
  </si>
  <si>
    <t>Input CH4</t>
  </si>
  <si>
    <t>Carrier replacement</t>
  </si>
  <si>
    <t>Carrier chain losses</t>
  </si>
  <si>
    <t>50-100</t>
  </si>
  <si>
    <t>80-100</t>
  </si>
  <si>
    <t>(BW0.1%S) low sulphur is at 670 $/t however, according to Bunkerworld Aug 2018</t>
  </si>
  <si>
    <t>Single trip distance</t>
  </si>
  <si>
    <t>only &gt;2.6k FLH considered</t>
  </si>
  <si>
    <t>only &gt;3k FLH considered</t>
  </si>
  <si>
    <t>Import results</t>
  </si>
  <si>
    <t>Dehydr(ogen)ation</t>
  </si>
  <si>
    <t>cargo</t>
  </si>
  <si>
    <t>kWh/kWp</t>
  </si>
  <si>
    <t>GWp</t>
  </si>
  <si>
    <t>Performance ratio</t>
  </si>
  <si>
    <t>NEW solar PV module efficiency (excludes system performance ratio)</t>
  </si>
  <si>
    <t>TWh/year new eff</t>
  </si>
  <si>
    <t>SY (kWh/kWp)</t>
  </si>
  <si>
    <t>Estimates</t>
  </si>
  <si>
    <t>NREL (2013): Weather-corrected Performance Ratio</t>
  </si>
  <si>
    <t>Molecule Production</t>
  </si>
  <si>
    <t>An onshore wind spacing is recommended of</t>
  </si>
  <si>
    <t>According to X. Lu et al (2009): Global potential for wind-generated electricity. PNAS 106, 10933-10938</t>
  </si>
  <si>
    <t>tank estimates</t>
  </si>
  <si>
    <t>FA</t>
  </si>
  <si>
    <t>Meoh</t>
  </si>
  <si>
    <t>Hydrogen pipeline</t>
  </si>
  <si>
    <t>Electricity via HV DC</t>
  </si>
  <si>
    <t>Hydrogen produced in NL</t>
  </si>
  <si>
    <t>Min H2</t>
  </si>
  <si>
    <t>includes H2 that is generated through hydrolysis (H2 content from water)</t>
  </si>
  <si>
    <t>H2 (g)</t>
  </si>
  <si>
    <t>CH3OH (l)</t>
  </si>
  <si>
    <t>C21H20 (l)</t>
  </si>
  <si>
    <t>NaBH4 (s)</t>
  </si>
  <si>
    <t>Row Labels</t>
  </si>
  <si>
    <t>Grand Total</t>
  </si>
  <si>
    <t>Lowest H2 cost (€/t)</t>
  </si>
  <si>
    <t>H2 from NH3 (€/t)</t>
  </si>
  <si>
    <t>H2 from FA (€/t)</t>
  </si>
  <si>
    <t>H2 from pipeline (€/t)</t>
  </si>
  <si>
    <t>H2 from HV DC (€/t)</t>
  </si>
  <si>
    <t>H2 from MeOH (€/t)</t>
  </si>
  <si>
    <t>H2 from DBT (€/t)</t>
  </si>
  <si>
    <t>H2 from NaBH4 (€/t)</t>
  </si>
  <si>
    <t>H2 from LNG (€/t)</t>
  </si>
  <si>
    <t>H2 from LH2 (€/t)</t>
  </si>
  <si>
    <t>Electricity from HV DC (€ct/kWh)</t>
  </si>
  <si>
    <t>NH3 (€/t)</t>
  </si>
  <si>
    <t>FA (€/t)</t>
  </si>
  <si>
    <t>MeOH (€/t)</t>
  </si>
  <si>
    <t>LNG (€/t)</t>
  </si>
  <si>
    <t>Hydrogen produced abroad</t>
  </si>
  <si>
    <t>Formic acid produced abroad and transported by ship</t>
  </si>
  <si>
    <t>Methanol produced abroad and transported by ship</t>
  </si>
  <si>
    <t>DBT produced abroad and transported by ship</t>
  </si>
  <si>
    <t>NaBH4 produced abroad and transported by ship</t>
  </si>
  <si>
    <t>LNG produced abroad and transported by ship</t>
  </si>
  <si>
    <t>Liquefied Natural Gas (LNG)</t>
  </si>
  <si>
    <t>Liquid Hydrogen (LH2)</t>
  </si>
  <si>
    <t>Sodiumborohydride</t>
  </si>
  <si>
    <t>Dibenzyltoluene (DBT)</t>
  </si>
  <si>
    <t>DBT is a liquid organic hydrogen carrier (LOHC)</t>
  </si>
  <si>
    <t>Produced &amp; used abroad</t>
  </si>
  <si>
    <t>Formatting electricity production costs for each technology: dark green if &lt; NL min cost, green if &lt; weighted NL cost, light green if &lt; NL max cost</t>
  </si>
  <si>
    <t>Average quantity stored</t>
  </si>
  <si>
    <t>use future population and energy demand/capita to determine country's own demand</t>
  </si>
  <si>
    <t>Distances to Rotterdam, bunker price and WACC</t>
  </si>
  <si>
    <t>These production cost include losses as they concern the end of the chain; carrier cost are however accounted for elsewhere</t>
  </si>
  <si>
    <t>Ships NL WACC</t>
  </si>
  <si>
    <t>System lifetime</t>
  </si>
  <si>
    <t>Weighted FLH (GHI)</t>
  </si>
  <si>
    <t>Max FLH (GHI)</t>
  </si>
  <si>
    <t>Min FLH (GHI)</t>
  </si>
  <si>
    <t>rule of thumb: max flh det temp det lifetime and PR; but should have low lifetime and PR for high FLH, but also conversely!</t>
  </si>
  <si>
    <t>CO2 (l)</t>
  </si>
  <si>
    <t>CO2 captured &amp; returned</t>
  </si>
  <si>
    <t>LOHC and NaBH4 and carbon carriers at full mass</t>
  </si>
  <si>
    <t>incl CO2 capture</t>
  </si>
  <si>
    <t>low TRL</t>
  </si>
  <si>
    <t>ship back co2 in same ship</t>
  </si>
  <si>
    <t>CO2 ratio back</t>
  </si>
  <si>
    <t>re-density if all back</t>
  </si>
  <si>
    <t>actual density</t>
  </si>
  <si>
    <t>lose</t>
  </si>
  <si>
    <t>Refill after shipping back CO2</t>
  </si>
  <si>
    <t>L.E. Oi et al. (2016): Simulation and cost comparison of CO2 liquefaction . Energy Procedia 86, 500-510</t>
  </si>
  <si>
    <t>U. Zahid (2015): Techno-Economic Assessment of CO2 Transport for Carbon Capture and Storage. PhD Thesis</t>
  </si>
  <si>
    <t>depends</t>
  </si>
  <si>
    <t xml:space="preserve">on </t>
  </si>
  <si>
    <t>ship</t>
  </si>
  <si>
    <t>T. Suzuki et al. (2013): Conceptual Design of CO2 Transportation System for CCS. Energy Procedia 37, 2989,2996</t>
  </si>
  <si>
    <t>Here the price of the carrier (DBT or NaBH4) or the spent fuel (CO2) can be set. For the carriers reference prices have been used, for CO2 DAC capture costs</t>
  </si>
  <si>
    <t>Electricity demand abroad</t>
  </si>
  <si>
    <t>Electricity demand NL</t>
  </si>
  <si>
    <t>TWh (LHV)</t>
  </si>
  <si>
    <t>Electricity demand H2 retrieval</t>
  </si>
  <si>
    <t>includes heat</t>
  </si>
  <si>
    <t>Electricity demand NL storage</t>
  </si>
  <si>
    <t>incl CO2 storage</t>
  </si>
  <si>
    <t>incl heat</t>
  </si>
  <si>
    <t>VLCC</t>
  </si>
  <si>
    <t>Layla</t>
  </si>
  <si>
    <t>Too large</t>
  </si>
  <si>
    <t>HFO</t>
  </si>
  <si>
    <t>[% Invest]</t>
  </si>
  <si>
    <t>Assumption based on the ratio of minimal vs actual length of various existing HV DC grid cables</t>
  </si>
  <si>
    <t>Overhead investment</t>
  </si>
  <si>
    <t>Seacables investment</t>
  </si>
  <si>
    <t>Underground investment</t>
  </si>
  <si>
    <t>Station investment</t>
  </si>
  <si>
    <t>DII (2014): Desert Power: Getting Connected</t>
  </si>
  <si>
    <t>Electricity (weighted solar) cost</t>
  </si>
  <si>
    <t>Electricity (onshore w.) cost</t>
  </si>
  <si>
    <t>Electricity (offshore w.) cost</t>
  </si>
  <si>
    <t>Ammonia cost</t>
  </si>
  <si>
    <t>Methanol cost</t>
  </si>
  <si>
    <t>Formic Acid cost</t>
  </si>
  <si>
    <t>LNG cost</t>
  </si>
  <si>
    <t>Source: Agora/Fraunhofer (2015): Current and Future Cost of Photovolatics</t>
  </si>
  <si>
    <t>Min w. Electricity  cost</t>
  </si>
  <si>
    <t>8h storage for GH2, N2, CO2</t>
  </si>
  <si>
    <t>D. Teichmann et al. (2012): Liquid Organic Hydrogen Carriers as an efficient vector for the transport and storage of renewable energy. International Journal of Hydrogen Energy 37, 18118-18132</t>
  </si>
  <si>
    <t>hydrogen</t>
  </si>
  <si>
    <t>IREC elec</t>
  </si>
  <si>
    <t>IREC H2</t>
  </si>
  <si>
    <t>IREC NH3</t>
  </si>
  <si>
    <t>IREC FA</t>
  </si>
  <si>
    <t>IREC MeOH</t>
  </si>
  <si>
    <t>IREC LNG</t>
  </si>
  <si>
    <t>Reference 2050 investment costs are 456, 1078, 1600 €/kW respectively</t>
  </si>
  <si>
    <t>HFO Bunker price</t>
  </si>
  <si>
    <t>Land area</t>
  </si>
  <si>
    <t>km2</t>
  </si>
  <si>
    <t>Radius if surface circle</t>
  </si>
  <si>
    <t>Inland distance to port</t>
  </si>
  <si>
    <t>World Bank (2017): Land Area in sq m.</t>
  </si>
  <si>
    <t>Total cost pipeline</t>
  </si>
  <si>
    <t>HV DC cost</t>
  </si>
  <si>
    <t>Inland transport to port</t>
  </si>
  <si>
    <t>Center to center</t>
  </si>
  <si>
    <t>port to port</t>
  </si>
  <si>
    <t>center to port</t>
  </si>
  <si>
    <t>PR is the ratio between actual electricity output and rated electricity output. It is typically between 0.7-0.95, with most of the losses coming from high temperatures</t>
  </si>
  <si>
    <t>Country parameters</t>
  </si>
  <si>
    <t>Distance to NL (center to center)</t>
  </si>
  <si>
    <t xml:space="preserve">Online distance calculator: distancefromto.net </t>
  </si>
  <si>
    <t>Online distance calculator: sea-distances.org or marinetraffic.com/en/voyage-planner</t>
  </si>
  <si>
    <t>Part land</t>
  </si>
  <si>
    <t>Part water</t>
  </si>
  <si>
    <t>Rough estimate based on world map</t>
  </si>
  <si>
    <t>Nautical distance (from selected port to PoR)</t>
  </si>
  <si>
    <t>Picked largest or significant port of country</t>
  </si>
  <si>
    <t>Indicated on online nautical distance calculator</t>
  </si>
  <si>
    <t>HFO bunker</t>
  </si>
  <si>
    <t>J. Ondraczek et al. (2014): WACC the dog: the effect of financing costs on the levelised cost of solar pv power. Renewable Energy 75, 888-898</t>
  </si>
  <si>
    <t>Population (current and future)</t>
  </si>
  <si>
    <t>UN (2017): World Population. Medium Fertility rate.</t>
  </si>
  <si>
    <t>Current Energy demand per capita</t>
  </si>
  <si>
    <t>World Bank (2017): World Development Indicators. 2013 data.</t>
  </si>
  <si>
    <t>Population in 2017</t>
  </si>
  <si>
    <t>Population in 2050</t>
  </si>
  <si>
    <t>Energy demand / capita in 2050</t>
  </si>
  <si>
    <t>Future energy demand</t>
  </si>
  <si>
    <t>See solar_data sheet. NREL (2014): Solar Resources by Class and Country. Tilt.</t>
  </si>
  <si>
    <t>See onshore_wind_data sheet. NREL (2014): Wind Resources by Class and Country. Integrated.</t>
  </si>
  <si>
    <t>See offshore_wind_data_sheet. NREL (2014): Global Wind Potential Supply Curves by Country, Class and Depth (quantities in GW)</t>
  </si>
  <si>
    <t>Spent Fuel</t>
  </si>
  <si>
    <t>DBT spent</t>
  </si>
  <si>
    <t>NaBH4 spent</t>
  </si>
  <si>
    <t>assumed: same as DBT</t>
  </si>
  <si>
    <t>assumed: same as NaBH4</t>
  </si>
  <si>
    <t>low pressure</t>
  </si>
  <si>
    <t>&lt;200</t>
  </si>
  <si>
    <t xml:space="preserve">Short term </t>
  </si>
  <si>
    <t>duration</t>
  </si>
  <si>
    <t>hours</t>
  </si>
  <si>
    <t xml:space="preserve">similarly A. Maroufmashat (2017): Transition of Future Energy System Infrastructure through Power-to-Gas Pathways. Energies 10, </t>
  </si>
  <si>
    <t>Storage (twice, spent fuel)</t>
  </si>
  <si>
    <t>Storage costs assumed to be the same as original mol</t>
  </si>
  <si>
    <t>Long term equal to 30 days of production capacity, E.R. Morgan (2013): Techno-Economic Feasibility Study of Ammonia Plants Powered by Offshore Wind</t>
  </si>
  <si>
    <t>everything (long-term storage) passes through storage</t>
  </si>
  <si>
    <t>IEA (2015): Technology Roadmap: Hydrogen and Fuel Cells. Technical Annex</t>
  </si>
  <si>
    <t>Short term H2</t>
  </si>
  <si>
    <t>Investment, lifetime</t>
  </si>
  <si>
    <t>C2H6O</t>
  </si>
  <si>
    <t>C2H6O (l)</t>
  </si>
  <si>
    <t>Dehydration (of methanol)</t>
  </si>
  <si>
    <t>OME</t>
  </si>
  <si>
    <t>Like DBT</t>
  </si>
  <si>
    <t>http://www.neocarbonenergy.fi/wp-content/uploads/2016/02/05_Fasihi-2.pdf</t>
  </si>
  <si>
    <t>what about heat</t>
  </si>
  <si>
    <t>DME ATR</t>
  </si>
  <si>
    <t>Oxymethylene ether</t>
  </si>
  <si>
    <t>CH3O(CH2O)nCH3 n=1</t>
  </si>
  <si>
    <t>OME with n=0</t>
  </si>
  <si>
    <t>Dimethylether (DME)</t>
  </si>
  <si>
    <t>DME produced abroad and transported by ship</t>
  </si>
  <si>
    <t>OME produced abroad and transported by ship</t>
  </si>
  <si>
    <t>Oxymethylene ether (OME)</t>
  </si>
  <si>
    <t>N. Schmitz et al. (2016): From methanol to the oxygenated diesel fuel poly(oxymethylene) dimethyl ether) An assessment of the production costs. Fuel 185, 67-72</t>
  </si>
  <si>
    <t>S. Deutz et al. (2018): Cleaner production of cleaner fuels: wind-to-wheel - environmental assessment of CO2-based oxymethylene ether as a drop-in fuel. Energy Environ. Sci 11</t>
  </si>
  <si>
    <t>R. Frauzem (2017): Sustainable process design with process intensification: development and implementation of a framework for sustainable carbon capture and utilisation processes. Phd thesis.</t>
  </si>
  <si>
    <t>Use which ship</t>
  </si>
  <si>
    <t>WACC from Ondraczek et al</t>
  </si>
  <si>
    <t>WACC used</t>
  </si>
  <si>
    <t>wacc if uniform</t>
  </si>
  <si>
    <t>dataset rv</t>
  </si>
  <si>
    <t>reduced variance if rv</t>
  </si>
  <si>
    <t>pipeline</t>
  </si>
  <si>
    <t>Assumed to be 30 years</t>
  </si>
  <si>
    <t xml:space="preserve">Energy req </t>
  </si>
  <si>
    <t>3% of CAPEX as a general assumption</t>
  </si>
  <si>
    <t>8000 as a general assumption</t>
  </si>
  <si>
    <t>20 years as a general assumption</t>
  </si>
  <si>
    <t>Shipping</t>
  </si>
  <si>
    <t>Capacity etc</t>
  </si>
  <si>
    <t>General</t>
  </si>
  <si>
    <t>H2 retrieval</t>
  </si>
  <si>
    <t>includes 85% efficiency for heat requirements; DOE: Potential Roles of Ammonia in a Hydrogen Economy</t>
  </si>
  <si>
    <t>OME ATR</t>
  </si>
  <si>
    <t>HV DC FLH</t>
  </si>
  <si>
    <t>HV DC FLH if custom</t>
  </si>
  <si>
    <t>Hydrogen compression from 0 to 100 bar requires about 0.85 kWh/kg, as also per C. Yang &amp; J. Ogden (2007): Determining the lowest-cost hydrogen delivery mode</t>
  </si>
  <si>
    <t>Starting pressure is 30 bar (from electrolyser). Hence compression energy req. is about 0.2 kWh/kg H2. Source: Marija Saric, ECN</t>
  </si>
  <si>
    <t>Local Production Results</t>
  </si>
  <si>
    <t>Investment, capacity, DWT</t>
  </si>
  <si>
    <t>Port fees</t>
  </si>
  <si>
    <t>Ship characteristics</t>
  </si>
  <si>
    <t>Calculated using the Wilhelmsen Suez Toll Calculator. Assuming ballast journey costs 90% of laden journey, and Suez Channel Net Tonnage equal to half a vessel's DWT (as in Leth Agencies 2018)</t>
  </si>
  <si>
    <t>LH2 ship investment assumed to be 1.25 times LNG ship investment</t>
  </si>
  <si>
    <t>General assumption</t>
  </si>
  <si>
    <t>CAPEX and OPEX</t>
  </si>
  <si>
    <t>1.25 times LNG CAPEX and OPEX respectively</t>
  </si>
  <si>
    <t>Admissability</t>
  </si>
  <si>
    <t>kiloton</t>
  </si>
  <si>
    <t>Agora (2017): The Future Cost of Electricity Based Synthetic Fuels. Electronic appendix: Model</t>
  </si>
  <si>
    <t>Investment and OPEX, lifetime</t>
  </si>
  <si>
    <t>H2 alk</t>
  </si>
  <si>
    <t>H2 PEM</t>
  </si>
  <si>
    <t>Energ req</t>
  </si>
  <si>
    <t>1.5x MeOH</t>
  </si>
  <si>
    <t>D. Belotti et al. (2017): Feasibility study of methanol production plant from hydrogen and captured carbon dioxide. Journal of CO2 Utilization 27,132-138</t>
  </si>
  <si>
    <t>Investment, energy req</t>
  </si>
  <si>
    <t>M. Fasihi and C. Breyer (2017): Synthetic methanol and dimethyl ether production based on hybrid PV-wind power plants.</t>
  </si>
  <si>
    <t>T. Nguyen et al. (2016): Techno-economic optimisation of three gas liquefaction processes for small-scale applications. Proceedings of ECOS 2016.</t>
  </si>
  <si>
    <t>Kalavasta (2018): ISPT integral comparison CO2 reduction options</t>
  </si>
  <si>
    <t>Investment costs, energy req</t>
  </si>
  <si>
    <t>MWh/capita</t>
  </si>
  <si>
    <t>Kalavasta (2018): Carbon Neutral Aviation</t>
  </si>
  <si>
    <t>FCH JU (2013): Integrated Design for Demonstration of Efficient Liquefaction of Hydrogen (IDEALHY)</t>
  </si>
  <si>
    <t>Selected electricity cost</t>
  </si>
  <si>
    <t>Selected FLH</t>
  </si>
  <si>
    <t>hybrid = onshore + solar in 1:1, no overlap</t>
  </si>
  <si>
    <t>standard</t>
  </si>
  <si>
    <t>Solar: ETIP PV (2017): The True Competitiveness of Solar PV; wind: Agora optimistic 2050 values</t>
  </si>
  <si>
    <t>hrs</t>
  </si>
  <si>
    <t>Low TRL</t>
  </si>
  <si>
    <t>m% and purchasing cost</t>
  </si>
  <si>
    <t>Investment, O&amp;M</t>
  </si>
  <si>
    <t>H2-fuel (2016): H2fuel drager van waterstofenergie</t>
  </si>
  <si>
    <t>H2-fuel (2018): Private communication, data based on undisclosed documents and research carried out by Delft Technical University</t>
  </si>
  <si>
    <t>assumption ~30% losses on theoretical minimum of 181 MJ/ 4.7 kg NaBH4</t>
  </si>
  <si>
    <t>Purchasing cost, refilling</t>
  </si>
  <si>
    <t>VLCC is an option for MeOH, DBT, DME, OME</t>
  </si>
  <si>
    <t>Trans-mission</t>
  </si>
  <si>
    <t>Production (if carrier)</t>
  </si>
  <si>
    <t>Production (if H2)</t>
  </si>
  <si>
    <t>Storage (if H2)</t>
  </si>
  <si>
    <t>Storage (if carrier)</t>
  </si>
  <si>
    <t>Total cost (if carrier)</t>
  </si>
  <si>
    <t>Storage (if carrier</t>
  </si>
  <si>
    <t>DME cost</t>
  </si>
  <si>
    <t>OME cost</t>
  </si>
  <si>
    <t>IREC DME</t>
  </si>
  <si>
    <t>IREC OME</t>
  </si>
  <si>
    <t>From DME</t>
  </si>
  <si>
    <t>From OME</t>
  </si>
  <si>
    <t>H2 from DME (€/t)</t>
  </si>
  <si>
    <t>H2 from OME (€/t)</t>
  </si>
  <si>
    <t>DME (€/t)</t>
  </si>
  <si>
    <t>OME (€/t)</t>
  </si>
  <si>
    <t>custom</t>
  </si>
  <si>
    <t>Energy demand / capita in 2017</t>
  </si>
  <si>
    <t>Production cost H2 (€/t)</t>
  </si>
  <si>
    <t>Production cost electricity (€ct/kWh)</t>
  </si>
  <si>
    <t>Production cost NH3 (€/t)</t>
  </si>
  <si>
    <t>Production cost FA (€/t)</t>
  </si>
  <si>
    <t>Production cost MeOH (€/t)</t>
  </si>
  <si>
    <t>Production cost DME (€/t)</t>
  </si>
  <si>
    <t>Production cost OME (€/t)</t>
  </si>
  <si>
    <t>Production cost LNG (€/t)</t>
  </si>
  <si>
    <t>Import cost</t>
  </si>
  <si>
    <t>Version</t>
  </si>
  <si>
    <t>Date:</t>
  </si>
  <si>
    <t>It is strongly recommended you read the separate user guide</t>
  </si>
  <si>
    <t>before using this model</t>
  </si>
  <si>
    <t>Hydrogen demand</t>
  </si>
  <si>
    <t>€/USD Exchange rate</t>
  </si>
  <si>
    <t>Use which electricity and FLH</t>
  </si>
  <si>
    <t xml:space="preserve">Inland transport to port </t>
  </si>
  <si>
    <t>Use which bunker</t>
  </si>
  <si>
    <t>NTNU (2016): Concepts for Large Scale Hydrogen Production</t>
  </si>
  <si>
    <t>ETIP PV (2017): The True Competitiveness of Solar PV</t>
  </si>
  <si>
    <t>HV DC grid</t>
  </si>
  <si>
    <t>Investment, O&amp;M, losses, lifetime</t>
  </si>
  <si>
    <t>Country_details</t>
  </si>
  <si>
    <t>The model, based on country and technology parameters calculates</t>
  </si>
  <si>
    <t xml:space="preserve">the cost of importing renewable electricity, hydrogen and hydrogen </t>
  </si>
  <si>
    <t>carriers to the Netherlands</t>
  </si>
  <si>
    <t>offshore wind electricity or the costs of producing hydrogen or</t>
  </si>
  <si>
    <t>hydrogen carriers with that offshore wind electricity, in the Netherlands</t>
  </si>
  <si>
    <t>These import costs are displayed on the tabs country_results_pivot</t>
  </si>
  <si>
    <t>and country_results. The former is a pivot table whose data you need</t>
  </si>
  <si>
    <t>to refresh if you change any input parameters, the latter is a simple</t>
  </si>
  <si>
    <t>table that is updated automatically</t>
  </si>
  <si>
    <t>The import costs are compared to the costs of producing renewable</t>
  </si>
  <si>
    <t>We use a greenfield approach and use 2050 as a reference year</t>
  </si>
  <si>
    <t>Estimate of the hydrogen demand in the Netherlands in the industry in 2030 by Gasunie</t>
  </si>
  <si>
    <t>Export Potential (TWh)</t>
  </si>
  <si>
    <t>inland transport can be done as electricity via HV DC cable or as hydrogen via gas pipeline</t>
  </si>
  <si>
    <t>min = min cost, highest FLH and conversely for max.; weighted = weighted average of FLH</t>
  </si>
  <si>
    <t>ships can either use HFO, hydrogen or the carrier they transport as a fuel</t>
  </si>
  <si>
    <t>indicate the number of FLH of the HV DC cable: that of electricity production or custom value</t>
  </si>
  <si>
    <t>set the hydrogen import demand; currently the Netherlands produces about 800 kiloton H2</t>
  </si>
  <si>
    <t>use the original dataset, the dataset with reduced variance (rv) or a uniform, custom value</t>
  </si>
  <si>
    <t>indicate here to what % of its original size the variance is reduced if dataset rv is selected</t>
  </si>
  <si>
    <t>value if uniform is selected</t>
  </si>
  <si>
    <t>value if custom is selected</t>
  </si>
  <si>
    <t>1. import of renewable electricity via a HV DC cable</t>
  </si>
  <si>
    <t>The model considers 3 conceptually different import routes</t>
  </si>
  <si>
    <t>2. import of renewable hydrogen via a gas pipeline</t>
  </si>
  <si>
    <t xml:space="preserve">3. import renewable hydrogen carriers via ships, with optional </t>
  </si>
  <si>
    <t xml:space="preserve">    hydrogen retrieval in the Netherlands</t>
  </si>
  <si>
    <t>This project has been carried out with a Topsector Energie subsidy</t>
  </si>
  <si>
    <t>from the Dutch Ministry of Economic Affairs</t>
  </si>
  <si>
    <t>Auke Visser's International Super Tankers (2018)</t>
  </si>
  <si>
    <t>Marinetraffic (2018)</t>
  </si>
  <si>
    <t>Various MSDS</t>
  </si>
  <si>
    <t>Ship safety class</t>
  </si>
  <si>
    <t>DNV GL Shipping Register (2018)</t>
  </si>
  <si>
    <t>Wilhelmsen toll calculator (2018)</t>
  </si>
  <si>
    <t>Note that YARA reports hydrogen storage investment costs which are several factors higher</t>
  </si>
  <si>
    <t>Bunker price</t>
  </si>
  <si>
    <t>Assumed to be the same in all ports; Bunkerworld (26 Nov 2018): BW380</t>
  </si>
  <si>
    <t>Assumed to be equal to DBT dehydrogenation with 0.7 scaling factor</t>
  </si>
  <si>
    <t>Assumed to be 0.75 if more than 2500 FLH, 0.8 if between 2300 and 2500, 0.85 if between 2100 and 2300 and 0.9 if below 2100</t>
  </si>
  <si>
    <t>Private communication with Gerard Luttigheid, H2-fuel. Investment costs between 800 and 1500 € for 30 kW system.</t>
  </si>
  <si>
    <t xml:space="preserve"> Country Details</t>
  </si>
  <si>
    <t>REFRESH THE PIVOT TABLE DATA IF YOU HAVE MADE CHANGES TO THE INPUT ON OTHER SHEETS</t>
  </si>
  <si>
    <t>Import costs are compared to Dutch production costs, using offshore</t>
  </si>
  <si>
    <t>wind electricity (as onshore wind and solar PV have limited potential)</t>
  </si>
  <si>
    <t>excludes shipping</t>
  </si>
  <si>
    <t>average</t>
  </si>
  <si>
    <t>Country Parameters</t>
  </si>
  <si>
    <t>Country demand</t>
  </si>
  <si>
    <t>Country Electricity Production</t>
  </si>
  <si>
    <t>If import costs are lower, the relevant cell is highlighted through a fill</t>
  </si>
  <si>
    <t>Production cost abroad</t>
  </si>
  <si>
    <t>Export</t>
  </si>
  <si>
    <t>NL References in this row</t>
  </si>
  <si>
    <t>using the electricity mix selected on the input sheet and displayed in columns AU and AV</t>
  </si>
  <si>
    <t>H2 LHV eff (excl. shipping energy)</t>
  </si>
  <si>
    <t>H2 retrieval cost (€/t)</t>
  </si>
  <si>
    <t>Ammonia produced abroad &amp; transported by ship</t>
  </si>
  <si>
    <t>LH2 produced abroad &amp; transported by ship</t>
  </si>
  <si>
    <t>local production costs using selected electricity costs from input menu</t>
  </si>
  <si>
    <t>NOTE: THESE RESULTS HAVE A VERY LARGE UNCERTAINTY AND AS SUCH SHOULD NOT BE TREATED AS EXPLICIT OR EXACT. THIS IS AN EXPLORATIVE MODEL, TO BE USED TO INVESTIGATE SENSITIVITIES AND SCENARIOS</t>
  </si>
  <si>
    <t>minimum is about 200 kton (for scale of technologies and plants to hold)</t>
  </si>
  <si>
    <t>Gasunie experience</t>
  </si>
  <si>
    <t>Like NH3</t>
  </si>
  <si>
    <t>Vopak</t>
  </si>
  <si>
    <t>Supplied by Vopak. 0.10 kWh/kg otherwise; M. Reuss et al. (2017): Seasonal storage and alternative carriers: a flexible hydrogen supply chain model. Applied Energy 200, 290-302</t>
  </si>
  <si>
    <t>2.5% of CAPEX as a general assumption (Vopak); 1.5% for GH2 and NaBH4</t>
  </si>
  <si>
    <t>Assumed to be half of DBT</t>
  </si>
  <si>
    <t>ECN (2017): Verkenning Energie-functionaliteit Energie Eilanden Noordzee</t>
  </si>
  <si>
    <t>H21 North of England (2018)</t>
  </si>
  <si>
    <t>Alternatively one could use costs of actual projects, such as Sudlink in Germany land and the recent UK-BE interconnector (sea). Some cost improvement and scaling can be expected however</t>
  </si>
  <si>
    <t>C. Yang &amp; J. Ogden (2007): Determining the lowest-cost hydrogen delivery mode</t>
  </si>
  <si>
    <t>Investment cost source</t>
  </si>
  <si>
    <t>In line with Gasunie experience regarding natural gas pipelines and expectation regarding hydrogen pipelines</t>
  </si>
  <si>
    <t>excl. grid connection (0.7 €ct/kWh)</t>
  </si>
  <si>
    <t>PJ (LHV)</t>
  </si>
  <si>
    <t>weighted hybrid</t>
  </si>
  <si>
    <t>HyChain 1 max demand in 2050 is 1632 PJ (13600 kton), min is 96 PJ (800 kton); this excludes growth</t>
  </si>
  <si>
    <t>Onshore wind data</t>
  </si>
  <si>
    <t>Offshore wind data</t>
  </si>
  <si>
    <t>Solar data</t>
  </si>
  <si>
    <t>Not necerssary</t>
  </si>
  <si>
    <t xml:space="preserve"> Sources</t>
  </si>
  <si>
    <t xml:space="preserve"> Carrier properties</t>
  </si>
  <si>
    <t xml:space="preserve"> Country results</t>
  </si>
  <si>
    <r>
      <t xml:space="preserve"> H</t>
    </r>
    <r>
      <rPr>
        <sz val="10"/>
        <color theme="0"/>
        <rFont val="Arial"/>
        <family val="2"/>
      </rPr>
      <t>2</t>
    </r>
    <r>
      <rPr>
        <sz val="18"/>
        <color theme="0"/>
        <rFont val="Arial"/>
        <family val="2"/>
      </rPr>
      <t xml:space="preserve"> retrieval</t>
    </r>
  </si>
  <si>
    <t xml:space="preserve"> Hydrogen Storage</t>
  </si>
  <si>
    <t xml:space="preserve"> Shipping Carrier Transportation</t>
  </si>
  <si>
    <t xml:space="preserve"> Carrier Production</t>
  </si>
  <si>
    <t xml:space="preserve"> Pipeline Gaseous Hydrogen Transportation</t>
  </si>
  <si>
    <t xml:space="preserve"> HV DC Grid Electricity Transportation</t>
  </si>
  <si>
    <t xml:space="preserve"> Electricity Production</t>
  </si>
  <si>
    <t xml:space="preserve"> Country Results pilot</t>
  </si>
  <si>
    <t xml:space="preserve"> Overview</t>
  </si>
  <si>
    <t xml:space="preserve"> Input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</si>
</sst>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-* #,##0.00_-;_-* #,##0.00\-;_-* &quot;-&quot;??_-;_-@_-"/>
    <numFmt numFmtId="165" formatCode="0.0"/>
    <numFmt numFmtId="166" formatCode="_-* #,##0.0_-;_-* #,##0.0\-;_-* &quot;-&quot;??_-;_-@_-"/>
    <numFmt numFmtId="167" formatCode="_-* #,##0_-;_-* #,##0\-;_-* &quot;-&quot;??_-;_-@_-"/>
    <numFmt numFmtId="168" formatCode="0.000"/>
    <numFmt numFmtId="169" formatCode="0.0%"/>
    <numFmt numFmtId="170" formatCode="#,##0.0"/>
    <numFmt numFmtId="171" formatCode="#,##0_ ;\-#,##0\ "/>
  </numFmts>
  <fonts count="26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indexed="81"/>
      <name val="Calibri"/>
      <family val="2"/>
    </font>
    <font>
      <sz val="10"/>
      <color indexed="81"/>
      <name val="Calibri"/>
      <family val="2"/>
    </font>
    <font>
      <sz val="18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sz val="10"/>
      <color theme="0"/>
      <name val="Arial"/>
      <family val="2"/>
    </font>
    <font>
      <sz val="18"/>
      <color theme="0"/>
      <name val="Arial"/>
      <family val="2"/>
    </font>
    <font>
      <sz val="18"/>
      <color rgb="FF0F265C"/>
      <name val="Arial"/>
      <family val="2"/>
    </font>
    <font>
      <b/>
      <sz val="10"/>
      <color rgb="FF0F265C"/>
      <name val="Arial"/>
      <family val="2"/>
    </font>
    <font>
      <i/>
      <sz val="10"/>
      <color rgb="FF0F265C"/>
      <name val="Arial"/>
      <family val="2"/>
    </font>
    <font>
      <sz val="10"/>
      <color rgb="FF0F265C"/>
      <name val="Arial"/>
      <family val="2"/>
    </font>
    <font>
      <i/>
      <u/>
      <sz val="10"/>
      <color rgb="FF0F265C"/>
      <name val="Arial"/>
      <family val="2"/>
    </font>
    <font>
      <b/>
      <sz val="10"/>
      <color theme="0"/>
      <name val="Arial"/>
      <family val="2"/>
    </font>
    <font>
      <u/>
      <sz val="10"/>
      <color rgb="FF0F265C"/>
      <name val="Arial"/>
      <family val="2"/>
    </font>
    <font>
      <sz val="8"/>
      <color rgb="FF0F265C"/>
      <name val="Arial"/>
      <family val="2"/>
    </font>
    <font>
      <b/>
      <u/>
      <sz val="10"/>
      <color rgb="FF0F265C"/>
      <name val="Arial"/>
      <family val="2"/>
    </font>
    <font>
      <b/>
      <i/>
      <sz val="10"/>
      <color rgb="FF0F265C"/>
      <name val="Arial"/>
      <family val="2"/>
    </font>
    <font>
      <i/>
      <sz val="10"/>
      <color theme="0"/>
      <name val="Arial"/>
      <family val="2"/>
    </font>
    <font>
      <b/>
      <sz val="9"/>
      <color rgb="FF0F265C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rgb="FF00000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92CFCC"/>
        <bgColor indexed="64"/>
      </patternFill>
    </fill>
    <fill>
      <patternFill patternType="solid">
        <fgColor rgb="FF92CFCC"/>
        <bgColor rgb="FF000000"/>
      </patternFill>
    </fill>
    <fill>
      <patternFill patternType="solid">
        <fgColor rgb="FF0080C9"/>
        <bgColor indexed="64"/>
      </patternFill>
    </fill>
    <fill>
      <patternFill patternType="solid">
        <fgColor rgb="FF00AB9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F265C"/>
        <bgColor indexed="64"/>
      </patternFill>
    </fill>
    <fill>
      <patternFill patternType="solid">
        <fgColor rgb="FF0F265C"/>
        <bgColor rgb="FF000000"/>
      </patternFill>
    </fill>
    <fill>
      <patternFill patternType="solid">
        <fgColor theme="0" tint="-0.34998626667073579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</borders>
  <cellStyleXfs count="290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265">
    <xf numFmtId="0" fontId="0" fillId="0" borderId="0" xfId="0"/>
    <xf numFmtId="0" fontId="9" fillId="2" borderId="0" xfId="0" applyFont="1" applyFill="1"/>
    <xf numFmtId="0" fontId="9" fillId="0" borderId="0" xfId="0" applyFont="1"/>
    <xf numFmtId="0" fontId="10" fillId="2" borderId="0" xfId="0" applyFont="1" applyFill="1"/>
    <xf numFmtId="0" fontId="11" fillId="3" borderId="0" xfId="0" applyFont="1" applyFill="1"/>
    <xf numFmtId="0" fontId="9" fillId="10" borderId="0" xfId="0" applyFont="1" applyFill="1"/>
    <xf numFmtId="0" fontId="12" fillId="9" borderId="0" xfId="0" applyFont="1" applyFill="1"/>
    <xf numFmtId="0" fontId="14" fillId="10" borderId="0" xfId="0" applyFont="1" applyFill="1"/>
    <xf numFmtId="0" fontId="15" fillId="2" borderId="0" xfId="0" applyFont="1" applyFill="1"/>
    <xf numFmtId="165" fontId="15" fillId="2" borderId="0" xfId="0" applyNumberFormat="1" applyFont="1" applyFill="1" applyAlignment="1">
      <alignment horizontal="left"/>
    </xf>
    <xf numFmtId="0" fontId="16" fillId="2" borderId="0" xfId="0" applyFont="1" applyFill="1"/>
    <xf numFmtId="14" fontId="16" fillId="2" borderId="0" xfId="0" applyNumberFormat="1" applyFont="1" applyFill="1" applyAlignment="1">
      <alignment horizontal="left"/>
    </xf>
    <xf numFmtId="0" fontId="17" fillId="2" borderId="0" xfId="0" applyFont="1" applyFill="1"/>
    <xf numFmtId="0" fontId="18" fillId="2" borderId="0" xfId="0" applyFont="1" applyFill="1"/>
    <xf numFmtId="0" fontId="17" fillId="3" borderId="0" xfId="0" applyFont="1" applyFill="1"/>
    <xf numFmtId="0" fontId="17" fillId="2" borderId="1" xfId="0" applyFont="1" applyFill="1" applyBorder="1"/>
    <xf numFmtId="1" fontId="17" fillId="2" borderId="0" xfId="0" applyNumberFormat="1" applyFont="1" applyFill="1"/>
    <xf numFmtId="9" fontId="17" fillId="2" borderId="0" xfId="0" applyNumberFormat="1" applyFont="1" applyFill="1"/>
    <xf numFmtId="9" fontId="17" fillId="2" borderId="1" xfId="0" applyNumberFormat="1" applyFont="1" applyFill="1" applyBorder="1"/>
    <xf numFmtId="9" fontId="17" fillId="2" borderId="0" xfId="0" applyNumberFormat="1" applyFont="1" applyFill="1" applyBorder="1"/>
    <xf numFmtId="0" fontId="17" fillId="0" borderId="1" xfId="0" applyFont="1" applyFill="1" applyBorder="1"/>
    <xf numFmtId="0" fontId="17" fillId="0" borderId="0" xfId="0" applyFont="1" applyFill="1"/>
    <xf numFmtId="10" fontId="17" fillId="0" borderId="1" xfId="0" applyNumberFormat="1" applyFont="1" applyFill="1" applyBorder="1"/>
    <xf numFmtId="10" fontId="17" fillId="2" borderId="1" xfId="0" applyNumberFormat="1" applyFont="1" applyFill="1" applyBorder="1"/>
    <xf numFmtId="2" fontId="17" fillId="2" borderId="0" xfId="0" applyNumberFormat="1" applyFont="1" applyFill="1"/>
    <xf numFmtId="0" fontId="17" fillId="6" borderId="0" xfId="0" applyFont="1" applyFill="1"/>
    <xf numFmtId="0" fontId="17" fillId="0" borderId="0" xfId="0" applyFont="1"/>
    <xf numFmtId="1" fontId="17" fillId="2" borderId="1" xfId="0" applyNumberFormat="1" applyFont="1" applyFill="1" applyBorder="1"/>
    <xf numFmtId="167" fontId="17" fillId="2" borderId="0" xfId="31" applyNumberFormat="1" applyFont="1" applyFill="1"/>
    <xf numFmtId="164" fontId="17" fillId="2" borderId="0" xfId="31" applyNumberFormat="1" applyFont="1" applyFill="1"/>
    <xf numFmtId="2" fontId="15" fillId="2" borderId="0" xfId="0" applyNumberFormat="1" applyFont="1" applyFill="1"/>
    <xf numFmtId="9" fontId="17" fillId="2" borderId="0" xfId="16" applyFont="1" applyFill="1"/>
    <xf numFmtId="0" fontId="17" fillId="2" borderId="0" xfId="0" applyFont="1" applyFill="1" applyAlignment="1">
      <alignment horizontal="right"/>
    </xf>
    <xf numFmtId="164" fontId="17" fillId="2" borderId="0" xfId="0" applyNumberFormat="1" applyFont="1" applyFill="1"/>
    <xf numFmtId="165" fontId="17" fillId="2" borderId="0" xfId="0" applyNumberFormat="1" applyFont="1" applyFill="1"/>
    <xf numFmtId="9" fontId="17" fillId="2" borderId="1" xfId="16" applyFont="1" applyFill="1" applyBorder="1"/>
    <xf numFmtId="10" fontId="17" fillId="2" borderId="0" xfId="0" applyNumberFormat="1" applyFont="1" applyFill="1"/>
    <xf numFmtId="2" fontId="17" fillId="0" borderId="1" xfId="0" applyNumberFormat="1" applyFont="1" applyFill="1" applyBorder="1"/>
    <xf numFmtId="2" fontId="17" fillId="2" borderId="1" xfId="0" applyNumberFormat="1" applyFont="1" applyFill="1" applyBorder="1"/>
    <xf numFmtId="1" fontId="15" fillId="2" borderId="0" xfId="0" applyNumberFormat="1" applyFont="1" applyFill="1"/>
    <xf numFmtId="0" fontId="15" fillId="6" borderId="0" xfId="0" applyFont="1" applyFill="1"/>
    <xf numFmtId="0" fontId="17" fillId="6" borderId="0" xfId="0" applyFont="1" applyFill="1" applyAlignment="1">
      <alignment horizontal="left"/>
    </xf>
    <xf numFmtId="165" fontId="17" fillId="2" borderId="1" xfId="0" applyNumberFormat="1" applyFont="1" applyFill="1" applyBorder="1"/>
    <xf numFmtId="165" fontId="17" fillId="0" borderId="1" xfId="0" applyNumberFormat="1" applyFont="1" applyFill="1" applyBorder="1"/>
    <xf numFmtId="0" fontId="17" fillId="6" borderId="0" xfId="0" applyFont="1" applyFill="1" applyAlignment="1">
      <alignment horizontal="center"/>
    </xf>
    <xf numFmtId="1" fontId="17" fillId="0" borderId="0" xfId="0" applyNumberFormat="1" applyFont="1" applyFill="1"/>
    <xf numFmtId="0" fontId="17" fillId="2" borderId="0" xfId="0" applyFont="1" applyFill="1" applyBorder="1"/>
    <xf numFmtId="2" fontId="17" fillId="2" borderId="0" xfId="0" applyNumberFormat="1" applyFont="1" applyFill="1" applyBorder="1"/>
    <xf numFmtId="9" fontId="17" fillId="0" borderId="1" xfId="0" applyNumberFormat="1" applyFont="1" applyFill="1" applyBorder="1"/>
    <xf numFmtId="169" fontId="17" fillId="0" borderId="1" xfId="0" applyNumberFormat="1" applyFont="1" applyFill="1" applyBorder="1"/>
    <xf numFmtId="169" fontId="17" fillId="2" borderId="1" xfId="0" applyNumberFormat="1" applyFont="1" applyFill="1" applyBorder="1"/>
    <xf numFmtId="169" fontId="17" fillId="0" borderId="0" xfId="0" applyNumberFormat="1" applyFont="1" applyFill="1"/>
    <xf numFmtId="169" fontId="17" fillId="2" borderId="0" xfId="0" applyNumberFormat="1" applyFont="1" applyFill="1"/>
    <xf numFmtId="10" fontId="17" fillId="0" borderId="0" xfId="0" applyNumberFormat="1" applyFont="1" applyFill="1"/>
    <xf numFmtId="2" fontId="17" fillId="0" borderId="0" xfId="0" applyNumberFormat="1" applyFont="1" applyFill="1"/>
    <xf numFmtId="20" fontId="17" fillId="6" borderId="0" xfId="0" applyNumberFormat="1" applyFont="1" applyFill="1" applyAlignment="1">
      <alignment horizontal="left"/>
    </xf>
    <xf numFmtId="0" fontId="17" fillId="2" borderId="0" xfId="0" applyFont="1" applyFill="1" applyAlignment="1">
      <alignment horizontal="center"/>
    </xf>
    <xf numFmtId="0" fontId="20" fillId="2" borderId="0" xfId="206" applyFont="1" applyFill="1"/>
    <xf numFmtId="0" fontId="17" fillId="2" borderId="0" xfId="0" applyFont="1" applyFill="1" applyAlignment="1">
      <alignment vertical="center"/>
    </xf>
    <xf numFmtId="0" fontId="17" fillId="6" borderId="1" xfId="0" applyFont="1" applyFill="1" applyBorder="1"/>
    <xf numFmtId="1" fontId="17" fillId="0" borderId="1" xfId="0" applyNumberFormat="1" applyFont="1" applyFill="1" applyBorder="1"/>
    <xf numFmtId="10" fontId="17" fillId="2" borderId="0" xfId="0" applyNumberFormat="1" applyFont="1" applyFill="1" applyBorder="1"/>
    <xf numFmtId="164" fontId="17" fillId="2" borderId="0" xfId="0" applyNumberFormat="1" applyFont="1" applyFill="1" applyAlignment="1">
      <alignment horizontal="center"/>
    </xf>
    <xf numFmtId="167" fontId="17" fillId="2" borderId="0" xfId="0" applyNumberFormat="1" applyFont="1" applyFill="1"/>
    <xf numFmtId="3" fontId="17" fillId="2" borderId="0" xfId="0" applyNumberFormat="1" applyFont="1" applyFill="1" applyBorder="1"/>
    <xf numFmtId="3" fontId="17" fillId="2" borderId="0" xfId="0" applyNumberFormat="1" applyFont="1" applyFill="1"/>
    <xf numFmtId="4" fontId="17" fillId="2" borderId="0" xfId="0" applyNumberFormat="1" applyFont="1" applyFill="1" applyBorder="1"/>
    <xf numFmtId="4" fontId="17" fillId="2" borderId="1" xfId="0" applyNumberFormat="1" applyFont="1" applyFill="1" applyBorder="1"/>
    <xf numFmtId="167" fontId="17" fillId="2" borderId="0" xfId="31" applyNumberFormat="1" applyFont="1" applyFill="1" applyAlignment="1">
      <alignment horizontal="center"/>
    </xf>
    <xf numFmtId="10" fontId="17" fillId="2" borderId="0" xfId="16" applyNumberFormat="1" applyFont="1" applyFill="1"/>
    <xf numFmtId="1" fontId="17" fillId="2" borderId="0" xfId="0" applyNumberFormat="1" applyFont="1" applyFill="1" applyBorder="1"/>
    <xf numFmtId="2" fontId="17" fillId="0" borderId="0" xfId="0" applyNumberFormat="1" applyFont="1" applyFill="1" applyBorder="1"/>
    <xf numFmtId="164" fontId="17" fillId="2" borderId="1" xfId="0" applyNumberFormat="1" applyFont="1" applyFill="1" applyBorder="1"/>
    <xf numFmtId="164" fontId="17" fillId="2" borderId="0" xfId="0" applyNumberFormat="1" applyFont="1" applyFill="1" applyBorder="1"/>
    <xf numFmtId="20" fontId="17" fillId="6" borderId="0" xfId="0" applyNumberFormat="1" applyFont="1" applyFill="1"/>
    <xf numFmtId="20" fontId="17" fillId="2" borderId="0" xfId="0" applyNumberFormat="1" applyFont="1" applyFill="1"/>
    <xf numFmtId="167" fontId="15" fillId="2" borderId="0" xfId="0" applyNumberFormat="1" applyFont="1" applyFill="1"/>
    <xf numFmtId="166" fontId="17" fillId="2" borderId="0" xfId="0" applyNumberFormat="1" applyFont="1" applyFill="1"/>
    <xf numFmtId="166" fontId="15" fillId="2" borderId="0" xfId="0" applyNumberFormat="1" applyFont="1" applyFill="1"/>
    <xf numFmtId="0" fontId="16" fillId="6" borderId="0" xfId="0" applyFont="1" applyFill="1"/>
    <xf numFmtId="165" fontId="15" fillId="6" borderId="1" xfId="0" applyNumberFormat="1" applyFont="1" applyFill="1" applyBorder="1"/>
    <xf numFmtId="165" fontId="15" fillId="6" borderId="0" xfId="0" applyNumberFormat="1" applyFont="1" applyFill="1"/>
    <xf numFmtId="168" fontId="17" fillId="2" borderId="0" xfId="0" applyNumberFormat="1" applyFont="1" applyFill="1"/>
    <xf numFmtId="167" fontId="17" fillId="0" borderId="0" xfId="31" applyNumberFormat="1" applyFont="1" applyFill="1" applyBorder="1"/>
    <xf numFmtId="0" fontId="21" fillId="2" borderId="0" xfId="0" applyFont="1" applyFill="1"/>
    <xf numFmtId="167" fontId="17" fillId="2" borderId="1" xfId="31" applyNumberFormat="1" applyFont="1" applyFill="1" applyBorder="1"/>
    <xf numFmtId="167" fontId="17" fillId="2" borderId="0" xfId="31" applyNumberFormat="1" applyFont="1" applyFill="1" applyBorder="1"/>
    <xf numFmtId="164" fontId="17" fillId="2" borderId="1" xfId="31" applyNumberFormat="1" applyFont="1" applyFill="1" applyBorder="1"/>
    <xf numFmtId="164" fontId="17" fillId="0" borderId="1" xfId="31" applyNumberFormat="1" applyFont="1" applyFill="1" applyBorder="1"/>
    <xf numFmtId="166" fontId="17" fillId="2" borderId="1" xfId="31" applyNumberFormat="1" applyFont="1" applyFill="1" applyBorder="1"/>
    <xf numFmtId="167" fontId="16" fillId="2" borderId="0" xfId="31" applyNumberFormat="1" applyFont="1" applyFill="1"/>
    <xf numFmtId="0" fontId="17" fillId="2" borderId="7" xfId="0" applyFont="1" applyFill="1" applyBorder="1"/>
    <xf numFmtId="164" fontId="17" fillId="2" borderId="7" xfId="31" applyNumberFormat="1" applyFont="1" applyFill="1" applyBorder="1"/>
    <xf numFmtId="167" fontId="17" fillId="2" borderId="7" xfId="31" applyNumberFormat="1" applyFont="1" applyFill="1" applyBorder="1"/>
    <xf numFmtId="0" fontId="22" fillId="2" borderId="0" xfId="0" applyFont="1" applyFill="1"/>
    <xf numFmtId="164" fontId="16" fillId="2" borderId="0" xfId="31" applyNumberFormat="1" applyFont="1" applyFill="1"/>
    <xf numFmtId="9" fontId="17" fillId="2" borderId="0" xfId="31" applyNumberFormat="1" applyFont="1" applyFill="1"/>
    <xf numFmtId="164" fontId="17" fillId="2" borderId="0" xfId="31" applyNumberFormat="1" applyFont="1" applyFill="1" applyBorder="1"/>
    <xf numFmtId="169" fontId="17" fillId="2" borderId="1" xfId="31" applyNumberFormat="1" applyFont="1" applyFill="1" applyBorder="1"/>
    <xf numFmtId="9" fontId="17" fillId="2" borderId="0" xfId="31" applyNumberFormat="1" applyFont="1" applyFill="1" applyBorder="1"/>
    <xf numFmtId="166" fontId="17" fillId="2" borderId="0" xfId="31" applyNumberFormat="1" applyFont="1" applyFill="1"/>
    <xf numFmtId="20" fontId="17" fillId="2" borderId="0" xfId="0" applyNumberFormat="1" applyFont="1" applyFill="1" applyAlignment="1">
      <alignment horizontal="center"/>
    </xf>
    <xf numFmtId="167" fontId="17" fillId="3" borderId="0" xfId="0" applyNumberFormat="1" applyFont="1" applyFill="1"/>
    <xf numFmtId="169" fontId="17" fillId="2" borderId="0" xfId="16" applyNumberFormat="1" applyFont="1" applyFill="1"/>
    <xf numFmtId="167" fontId="15" fillId="2" borderId="0" xfId="31" applyNumberFormat="1" applyFont="1" applyFill="1"/>
    <xf numFmtId="167" fontId="17" fillId="0" borderId="0" xfId="31" applyNumberFormat="1" applyFont="1" applyFill="1"/>
    <xf numFmtId="9" fontId="17" fillId="2" borderId="1" xfId="31" applyNumberFormat="1" applyFont="1" applyFill="1" applyBorder="1"/>
    <xf numFmtId="165" fontId="12" fillId="9" borderId="1" xfId="0" applyNumberFormat="1" applyFont="1" applyFill="1" applyBorder="1"/>
    <xf numFmtId="0" fontId="17" fillId="2" borderId="1" xfId="0" applyFont="1" applyFill="1" applyBorder="1" applyAlignment="1">
      <alignment horizontal="right"/>
    </xf>
    <xf numFmtId="2" fontId="17" fillId="2" borderId="1" xfId="0" applyNumberFormat="1" applyFont="1" applyFill="1" applyBorder="1" applyAlignment="1">
      <alignment horizontal="right"/>
    </xf>
    <xf numFmtId="9" fontId="17" fillId="2" borderId="1" xfId="0" applyNumberFormat="1" applyFont="1" applyFill="1" applyBorder="1" applyAlignment="1">
      <alignment horizontal="right"/>
    </xf>
    <xf numFmtId="9" fontId="17" fillId="2" borderId="0" xfId="0" applyNumberFormat="1" applyFont="1" applyFill="1" applyBorder="1" applyAlignment="1">
      <alignment horizontal="right"/>
    </xf>
    <xf numFmtId="9" fontId="17" fillId="0" borderId="1" xfId="16" applyFont="1" applyFill="1" applyBorder="1"/>
    <xf numFmtId="20" fontId="17" fillId="6" borderId="0" xfId="0" applyNumberFormat="1" applyFont="1" applyFill="1" applyAlignment="1">
      <alignment horizontal="center"/>
    </xf>
    <xf numFmtId="0" fontId="15" fillId="2" borderId="8" xfId="0" applyFont="1" applyFill="1" applyBorder="1"/>
    <xf numFmtId="0" fontId="15" fillId="2" borderId="0" xfId="0" applyFont="1" applyFill="1" applyBorder="1"/>
    <xf numFmtId="0" fontId="17" fillId="5" borderId="0" xfId="0" applyFont="1" applyFill="1"/>
    <xf numFmtId="167" fontId="15" fillId="5" borderId="0" xfId="31" applyNumberFormat="1" applyFont="1" applyFill="1"/>
    <xf numFmtId="168" fontId="15" fillId="2" borderId="0" xfId="0" applyNumberFormat="1" applyFont="1" applyFill="1"/>
    <xf numFmtId="0" fontId="16" fillId="2" borderId="0" xfId="206" applyFont="1" applyFill="1"/>
    <xf numFmtId="0" fontId="16" fillId="0" borderId="0" xfId="0" applyFont="1" applyFill="1" applyBorder="1"/>
    <xf numFmtId="0" fontId="15" fillId="2" borderId="2" xfId="0" applyFont="1" applyFill="1" applyBorder="1"/>
    <xf numFmtId="0" fontId="17" fillId="2" borderId="8" xfId="0" applyFont="1" applyFill="1" applyBorder="1"/>
    <xf numFmtId="0" fontId="16" fillId="2" borderId="0" xfId="0" applyFont="1" applyFill="1" applyAlignment="1">
      <alignment horizontal="right"/>
    </xf>
    <xf numFmtId="0" fontId="16" fillId="3" borderId="0" xfId="0" applyFont="1" applyFill="1" applyAlignment="1">
      <alignment horizontal="right"/>
    </xf>
    <xf numFmtId="164" fontId="16" fillId="2" borderId="0" xfId="0" applyNumberFormat="1" applyFont="1" applyFill="1" applyAlignment="1">
      <alignment horizontal="right"/>
    </xf>
    <xf numFmtId="0" fontId="16" fillId="0" borderId="0" xfId="0" applyFont="1" applyAlignment="1">
      <alignment horizontal="right"/>
    </xf>
    <xf numFmtId="2" fontId="16" fillId="2" borderId="0" xfId="0" applyNumberFormat="1" applyFont="1" applyFill="1" applyAlignment="1">
      <alignment horizontal="right"/>
    </xf>
    <xf numFmtId="1" fontId="15" fillId="2" borderId="0" xfId="0" applyNumberFormat="1" applyFont="1" applyFill="1" applyAlignment="1">
      <alignment horizontal="right"/>
    </xf>
    <xf numFmtId="167" fontId="15" fillId="2" borderId="0" xfId="31" applyNumberFormat="1" applyFont="1" applyFill="1" applyAlignment="1">
      <alignment horizontal="right"/>
    </xf>
    <xf numFmtId="0" fontId="17" fillId="3" borderId="8" xfId="0" applyFont="1" applyFill="1" applyBorder="1"/>
    <xf numFmtId="0" fontId="17" fillId="3" borderId="0" xfId="0" applyFont="1" applyFill="1" applyBorder="1"/>
    <xf numFmtId="2" fontId="15" fillId="2" borderId="0" xfId="0" applyNumberFormat="1" applyFont="1" applyFill="1" applyAlignment="1">
      <alignment horizontal="right"/>
    </xf>
    <xf numFmtId="0" fontId="15" fillId="6" borderId="0" xfId="0" applyFont="1" applyFill="1" applyAlignment="1">
      <alignment horizontal="right" wrapText="1"/>
    </xf>
    <xf numFmtId="0" fontId="15" fillId="6" borderId="8" xfId="0" applyFont="1" applyFill="1" applyBorder="1" applyAlignment="1">
      <alignment horizontal="right" wrapText="1"/>
    </xf>
    <xf numFmtId="0" fontId="15" fillId="6" borderId="0" xfId="0" applyFont="1" applyFill="1" applyBorder="1" applyAlignment="1">
      <alignment horizontal="right" wrapText="1"/>
    </xf>
    <xf numFmtId="0" fontId="15" fillId="6" borderId="2" xfId="0" applyFont="1" applyFill="1" applyBorder="1" applyAlignment="1">
      <alignment horizontal="right" wrapText="1"/>
    </xf>
    <xf numFmtId="0" fontId="15" fillId="7" borderId="0" xfId="0" applyFont="1" applyFill="1" applyAlignment="1">
      <alignment horizontal="right" wrapText="1"/>
    </xf>
    <xf numFmtId="0" fontId="17" fillId="2" borderId="0" xfId="0" applyFont="1" applyFill="1" applyAlignment="1">
      <alignment wrapText="1"/>
    </xf>
    <xf numFmtId="0" fontId="17" fillId="0" borderId="0" xfId="0" applyFont="1" applyAlignment="1">
      <alignment wrapText="1"/>
    </xf>
    <xf numFmtId="0" fontId="16" fillId="6" borderId="0" xfId="0" applyFont="1" applyFill="1" applyAlignment="1">
      <alignment horizontal="right"/>
    </xf>
    <xf numFmtId="0" fontId="16" fillId="6" borderId="0" xfId="0" applyFont="1" applyFill="1" applyAlignment="1">
      <alignment horizontal="right" vertical="center"/>
    </xf>
    <xf numFmtId="0" fontId="16" fillId="6" borderId="8" xfId="0" applyFont="1" applyFill="1" applyBorder="1" applyAlignment="1">
      <alignment horizontal="right"/>
    </xf>
    <xf numFmtId="0" fontId="16" fillId="6" borderId="0" xfId="0" applyFont="1" applyFill="1" applyBorder="1" applyAlignment="1">
      <alignment horizontal="right"/>
    </xf>
    <xf numFmtId="0" fontId="16" fillId="6" borderId="2" xfId="0" applyFont="1" applyFill="1" applyBorder="1" applyAlignment="1">
      <alignment horizontal="right"/>
    </xf>
    <xf numFmtId="20" fontId="16" fillId="6" borderId="0" xfId="0" applyNumberFormat="1" applyFont="1" applyFill="1" applyAlignment="1">
      <alignment horizontal="right"/>
    </xf>
    <xf numFmtId="167" fontId="16" fillId="6" borderId="0" xfId="31" applyNumberFormat="1" applyFont="1" applyFill="1" applyAlignment="1">
      <alignment horizontal="right"/>
    </xf>
    <xf numFmtId="0" fontId="16" fillId="7" borderId="0" xfId="0" applyFont="1" applyFill="1" applyAlignment="1">
      <alignment horizontal="right"/>
    </xf>
    <xf numFmtId="1" fontId="17" fillId="2" borderId="2" xfId="0" applyNumberFormat="1" applyFont="1" applyFill="1" applyBorder="1"/>
    <xf numFmtId="167" fontId="17" fillId="2" borderId="8" xfId="31" applyNumberFormat="1" applyFont="1" applyFill="1" applyBorder="1"/>
    <xf numFmtId="2" fontId="17" fillId="2" borderId="8" xfId="0" applyNumberFormat="1" applyFont="1" applyFill="1" applyBorder="1"/>
    <xf numFmtId="1" fontId="17" fillId="2" borderId="8" xfId="0" applyNumberFormat="1" applyFont="1" applyFill="1" applyBorder="1"/>
    <xf numFmtId="166" fontId="17" fillId="0" borderId="0" xfId="31" applyNumberFormat="1" applyFont="1" applyFill="1"/>
    <xf numFmtId="171" fontId="17" fillId="2" borderId="0" xfId="31" applyNumberFormat="1" applyFont="1" applyFill="1"/>
    <xf numFmtId="3" fontId="15" fillId="6" borderId="0" xfId="0" applyNumberFormat="1" applyFont="1" applyFill="1"/>
    <xf numFmtId="3" fontId="17" fillId="6" borderId="0" xfId="0" applyNumberFormat="1" applyFont="1" applyFill="1"/>
    <xf numFmtId="3" fontId="17" fillId="0" borderId="0" xfId="0" applyNumberFormat="1" applyFont="1"/>
    <xf numFmtId="0" fontId="17" fillId="0" borderId="0" xfId="0" applyFont="1" applyBorder="1"/>
    <xf numFmtId="167" fontId="17" fillId="0" borderId="0" xfId="31" applyNumberFormat="1" applyFont="1"/>
    <xf numFmtId="168" fontId="17" fillId="2" borderId="0" xfId="0" applyNumberFormat="1" applyFont="1" applyFill="1" applyAlignment="1">
      <alignment vertical="center"/>
    </xf>
    <xf numFmtId="0" fontId="20" fillId="2" borderId="0" xfId="0" applyFont="1" applyFill="1"/>
    <xf numFmtId="0" fontId="17" fillId="6" borderId="0" xfId="11" applyFont="1" applyFill="1"/>
    <xf numFmtId="0" fontId="17" fillId="0" borderId="0" xfId="11" applyFont="1"/>
    <xf numFmtId="0" fontId="15" fillId="6" borderId="0" xfId="11" applyFont="1" applyFill="1" applyAlignment="1">
      <alignment horizontal="center"/>
    </xf>
    <xf numFmtId="1" fontId="17" fillId="2" borderId="0" xfId="11" applyNumberFormat="1" applyFont="1" applyFill="1"/>
    <xf numFmtId="3" fontId="17" fillId="2" borderId="0" xfId="11" applyNumberFormat="1" applyFont="1" applyFill="1"/>
    <xf numFmtId="0" fontId="17" fillId="2" borderId="0" xfId="11" applyFont="1" applyFill="1"/>
    <xf numFmtId="49" fontId="17" fillId="0" borderId="0" xfId="11" applyNumberFormat="1" applyFont="1"/>
    <xf numFmtId="3" fontId="17" fillId="0" borderId="0" xfId="11" applyNumberFormat="1" applyFont="1"/>
    <xf numFmtId="0" fontId="17" fillId="8" borderId="0" xfId="11" applyFont="1" applyFill="1"/>
    <xf numFmtId="9" fontId="15" fillId="9" borderId="1" xfId="11" applyNumberFormat="1" applyFont="1" applyFill="1" applyBorder="1" applyAlignment="1">
      <alignment horizontal="left"/>
    </xf>
    <xf numFmtId="0" fontId="16" fillId="2" borderId="0" xfId="11" applyFont="1" applyFill="1"/>
    <xf numFmtId="0" fontId="23" fillId="2" borderId="0" xfId="11" applyFont="1" applyFill="1"/>
    <xf numFmtId="0" fontId="17" fillId="0" borderId="0" xfId="11" applyFont="1" applyAlignment="1">
      <alignment horizontal="center"/>
    </xf>
    <xf numFmtId="1" fontId="17" fillId="0" borderId="0" xfId="11" applyNumberFormat="1" applyFont="1"/>
    <xf numFmtId="0" fontId="17" fillId="9" borderId="1" xfId="11" applyFont="1" applyFill="1" applyBorder="1"/>
    <xf numFmtId="0" fontId="15" fillId="0" borderId="0" xfId="11" applyFont="1"/>
    <xf numFmtId="165" fontId="15" fillId="0" borderId="0" xfId="11" applyNumberFormat="1" applyFont="1"/>
    <xf numFmtId="0" fontId="17" fillId="0" borderId="2" xfId="11" applyFont="1" applyBorder="1"/>
    <xf numFmtId="0" fontId="17" fillId="0" borderId="3" xfId="11" applyFont="1" applyBorder="1"/>
    <xf numFmtId="2" fontId="17" fillId="0" borderId="0" xfId="11" applyNumberFormat="1" applyFont="1"/>
    <xf numFmtId="1" fontId="15" fillId="0" borderId="0" xfId="11" applyNumberFormat="1" applyFont="1"/>
    <xf numFmtId="0" fontId="17" fillId="0" borderId="0" xfId="11" applyFont="1" applyAlignment="1">
      <alignment horizontal="left"/>
    </xf>
    <xf numFmtId="0" fontId="17" fillId="0" borderId="0" xfId="11" applyFont="1" applyFill="1" applyBorder="1"/>
    <xf numFmtId="0" fontId="17" fillId="4" borderId="1" xfId="11" applyFont="1" applyFill="1" applyBorder="1"/>
    <xf numFmtId="0" fontId="17" fillId="0" borderId="4" xfId="11" applyFont="1" applyBorder="1"/>
    <xf numFmtId="2" fontId="17" fillId="0" borderId="3" xfId="11" applyNumberFormat="1" applyFont="1" applyBorder="1"/>
    <xf numFmtId="2" fontId="17" fillId="0" borderId="2" xfId="11" applyNumberFormat="1" applyFont="1" applyBorder="1"/>
    <xf numFmtId="0" fontId="17" fillId="0" borderId="0" xfId="0" applyFont="1" applyAlignment="1">
      <alignment horizontal="left"/>
    </xf>
    <xf numFmtId="2" fontId="17" fillId="0" borderId="0" xfId="0" applyNumberFormat="1" applyFont="1"/>
    <xf numFmtId="170" fontId="17" fillId="0" borderId="0" xfId="0" applyNumberFormat="1" applyFont="1"/>
    <xf numFmtId="0" fontId="15" fillId="7" borderId="0" xfId="0" applyFont="1" applyFill="1"/>
    <xf numFmtId="0" fontId="17" fillId="6" borderId="0" xfId="0" applyFont="1" applyFill="1" applyBorder="1"/>
    <xf numFmtId="0" fontId="17" fillId="6" borderId="0" xfId="0" applyFont="1" applyFill="1" applyAlignment="1">
      <alignment horizontal="center" vertical="center"/>
    </xf>
    <xf numFmtId="0" fontId="17" fillId="6" borderId="8" xfId="0" applyFont="1" applyFill="1" applyBorder="1"/>
    <xf numFmtId="1" fontId="17" fillId="6" borderId="0" xfId="0" applyNumberFormat="1" applyFont="1" applyFill="1"/>
    <xf numFmtId="0" fontId="17" fillId="6" borderId="2" xfId="0" applyFont="1" applyFill="1" applyBorder="1"/>
    <xf numFmtId="0" fontId="16" fillId="6" borderId="8" xfId="0" applyFont="1" applyFill="1" applyBorder="1"/>
    <xf numFmtId="2" fontId="15" fillId="6" borderId="0" xfId="0" applyNumberFormat="1" applyFont="1" applyFill="1"/>
    <xf numFmtId="0" fontId="22" fillId="6" borderId="8" xfId="0" applyFont="1" applyFill="1" applyBorder="1"/>
    <xf numFmtId="0" fontId="22" fillId="6" borderId="0" xfId="0" applyFont="1" applyFill="1" applyBorder="1"/>
    <xf numFmtId="0" fontId="15" fillId="6" borderId="8" xfId="0" applyFont="1" applyFill="1" applyBorder="1"/>
    <xf numFmtId="0" fontId="15" fillId="6" borderId="0" xfId="0" applyFont="1" applyFill="1" applyBorder="1"/>
    <xf numFmtId="167" fontId="17" fillId="6" borderId="0" xfId="31" applyNumberFormat="1" applyFont="1" applyFill="1"/>
    <xf numFmtId="169" fontId="17" fillId="6" borderId="0" xfId="16" applyNumberFormat="1" applyFont="1" applyFill="1"/>
    <xf numFmtId="1" fontId="17" fillId="0" borderId="2" xfId="0" applyNumberFormat="1" applyFont="1" applyFill="1" applyBorder="1"/>
    <xf numFmtId="165" fontId="12" fillId="9" borderId="0" xfId="0" applyNumberFormat="1" applyFont="1" applyFill="1"/>
    <xf numFmtId="0" fontId="13" fillId="11" borderId="0" xfId="0" applyFont="1" applyFill="1"/>
    <xf numFmtId="0" fontId="17" fillId="11" borderId="0" xfId="11" applyFont="1" applyFill="1"/>
    <xf numFmtId="0" fontId="8" fillId="11" borderId="0" xfId="0" applyFont="1" applyFill="1"/>
    <xf numFmtId="0" fontId="9" fillId="11" borderId="0" xfId="0" applyFont="1" applyFill="1"/>
    <xf numFmtId="0" fontId="17" fillId="11" borderId="0" xfId="0" applyFont="1" applyFill="1"/>
    <xf numFmtId="0" fontId="12" fillId="11" borderId="0" xfId="0" applyFont="1" applyFill="1"/>
    <xf numFmtId="0" fontId="19" fillId="11" borderId="0" xfId="0" applyFont="1" applyFill="1"/>
    <xf numFmtId="0" fontId="17" fillId="9" borderId="0" xfId="0" applyFont="1" applyFill="1"/>
    <xf numFmtId="0" fontId="17" fillId="11" borderId="0" xfId="0" applyFont="1" applyFill="1" applyBorder="1"/>
    <xf numFmtId="0" fontId="19" fillId="12" borderId="0" xfId="0" applyFont="1" applyFill="1"/>
    <xf numFmtId="0" fontId="24" fillId="11" borderId="0" xfId="0" applyFont="1" applyFill="1"/>
    <xf numFmtId="0" fontId="12" fillId="11" borderId="0" xfId="0" applyFont="1" applyFill="1" applyBorder="1"/>
    <xf numFmtId="167" fontId="12" fillId="11" borderId="0" xfId="0" applyNumberFormat="1" applyFont="1" applyFill="1"/>
    <xf numFmtId="164" fontId="12" fillId="11" borderId="0" xfId="0" applyNumberFormat="1" applyFont="1" applyFill="1"/>
    <xf numFmtId="0" fontId="16" fillId="6" borderId="0" xfId="11" applyFont="1" applyFill="1"/>
    <xf numFmtId="0" fontId="15" fillId="6" borderId="0" xfId="11" applyFont="1" applyFill="1"/>
    <xf numFmtId="0" fontId="23" fillId="6" borderId="0" xfId="11" applyFont="1" applyFill="1"/>
    <xf numFmtId="0" fontId="15" fillId="6" borderId="0" xfId="11" applyFont="1" applyFill="1" applyAlignment="1">
      <alignment horizontal="center" wrapText="1"/>
    </xf>
    <xf numFmtId="0" fontId="15" fillId="6" borderId="0" xfId="11" applyFont="1" applyFill="1" applyBorder="1"/>
    <xf numFmtId="0" fontId="15" fillId="6" borderId="2" xfId="11" applyFont="1" applyFill="1" applyBorder="1"/>
    <xf numFmtId="0" fontId="15" fillId="6" borderId="5" xfId="11" applyFont="1" applyFill="1" applyBorder="1"/>
    <xf numFmtId="0" fontId="15" fillId="6" borderId="6" xfId="11" applyFont="1" applyFill="1" applyBorder="1"/>
    <xf numFmtId="0" fontId="15" fillId="6" borderId="3" xfId="11" applyFont="1" applyFill="1" applyBorder="1"/>
    <xf numFmtId="3" fontId="17" fillId="8" borderId="0" xfId="11" applyNumberFormat="1" applyFont="1" applyFill="1" applyAlignment="1">
      <alignment horizontal="left" vertical="center"/>
    </xf>
    <xf numFmtId="0" fontId="15" fillId="6" borderId="0" xfId="11" applyFont="1" applyFill="1" applyAlignment="1">
      <alignment horizontal="left" vertical="center"/>
    </xf>
    <xf numFmtId="3" fontId="15" fillId="6" borderId="0" xfId="11" applyNumberFormat="1" applyFont="1" applyFill="1" applyAlignment="1">
      <alignment horizontal="left" vertical="center"/>
    </xf>
    <xf numFmtId="1" fontId="15" fillId="6" borderId="0" xfId="11" applyNumberFormat="1" applyFont="1" applyFill="1" applyAlignment="1">
      <alignment horizontal="left" vertical="center"/>
    </xf>
    <xf numFmtId="3" fontId="17" fillId="2" borderId="0" xfId="11" applyNumberFormat="1" applyFont="1" applyFill="1" applyAlignment="1">
      <alignment horizontal="left" vertical="center"/>
    </xf>
    <xf numFmtId="0" fontId="17" fillId="2" borderId="0" xfId="11" applyFont="1" applyFill="1" applyAlignment="1">
      <alignment horizontal="left" vertical="center"/>
    </xf>
    <xf numFmtId="0" fontId="17" fillId="0" borderId="0" xfId="11" applyFont="1" applyAlignment="1">
      <alignment horizontal="left" vertical="center"/>
    </xf>
    <xf numFmtId="0" fontId="17" fillId="10" borderId="0" xfId="0" applyFont="1" applyFill="1"/>
    <xf numFmtId="0" fontId="15" fillId="9" borderId="0" xfId="0" applyFont="1" applyFill="1"/>
    <xf numFmtId="0" fontId="17" fillId="10" borderId="0" xfId="11" applyFont="1" applyFill="1"/>
    <xf numFmtId="0" fontId="14" fillId="6" borderId="0" xfId="0" applyFont="1" applyFill="1"/>
    <xf numFmtId="167" fontId="17" fillId="6" borderId="0" xfId="0" applyNumberFormat="1" applyFont="1" applyFill="1"/>
    <xf numFmtId="164" fontId="17" fillId="6" borderId="0" xfId="0" applyNumberFormat="1" applyFont="1" applyFill="1"/>
    <xf numFmtId="0" fontId="16" fillId="10" borderId="0" xfId="0" applyFont="1" applyFill="1"/>
    <xf numFmtId="0" fontId="19" fillId="9" borderId="0" xfId="0" applyFont="1" applyFill="1"/>
    <xf numFmtId="0" fontId="19" fillId="11" borderId="0" xfId="0" applyFont="1" applyFill="1" applyAlignment="1">
      <alignment wrapText="1"/>
    </xf>
    <xf numFmtId="0" fontId="15" fillId="0" borderId="0" xfId="0" applyFont="1"/>
    <xf numFmtId="0" fontId="15" fillId="6" borderId="7" xfId="0" applyFont="1" applyFill="1" applyBorder="1"/>
    <xf numFmtId="0" fontId="17" fillId="6" borderId="7" xfId="0" applyFont="1" applyFill="1" applyBorder="1"/>
    <xf numFmtId="0" fontId="17" fillId="6" borderId="7" xfId="0" applyFont="1" applyFill="1" applyBorder="1" applyAlignment="1">
      <alignment horizontal="left"/>
    </xf>
    <xf numFmtId="0" fontId="15" fillId="6" borderId="0" xfId="0" applyFont="1" applyFill="1" applyAlignment="1">
      <alignment wrapText="1"/>
    </xf>
    <xf numFmtId="0" fontId="25" fillId="6" borderId="0" xfId="0" applyFont="1" applyFill="1" applyAlignment="1">
      <alignment wrapText="1"/>
    </xf>
    <xf numFmtId="0" fontId="13" fillId="11" borderId="0" xfId="0" applyFont="1" applyFill="1" applyBorder="1"/>
    <xf numFmtId="164" fontId="17" fillId="6" borderId="0" xfId="31" applyNumberFormat="1" applyFont="1" applyFill="1"/>
    <xf numFmtId="165" fontId="17" fillId="6" borderId="0" xfId="0" applyNumberFormat="1" applyFont="1" applyFill="1"/>
    <xf numFmtId="167" fontId="23" fillId="6" borderId="0" xfId="31" applyNumberFormat="1" applyFont="1" applyFill="1"/>
    <xf numFmtId="0" fontId="19" fillId="9" borderId="0" xfId="0" applyFont="1" applyFill="1" applyAlignment="1">
      <alignment wrapText="1"/>
    </xf>
    <xf numFmtId="0" fontId="19" fillId="8" borderId="0" xfId="0" applyFont="1" applyFill="1" applyAlignment="1">
      <alignment wrapText="1"/>
    </xf>
    <xf numFmtId="0" fontId="17" fillId="13" borderId="0" xfId="0" applyFont="1" applyFill="1"/>
    <xf numFmtId="167" fontId="15" fillId="13" borderId="0" xfId="0" applyNumberFormat="1" applyFont="1" applyFill="1"/>
    <xf numFmtId="167" fontId="15" fillId="13" borderId="0" xfId="31" applyNumberFormat="1" applyFont="1" applyFill="1"/>
    <xf numFmtId="2" fontId="15" fillId="13" borderId="0" xfId="0" applyNumberFormat="1" applyFont="1" applyFill="1"/>
    <xf numFmtId="1" fontId="15" fillId="13" borderId="0" xfId="0" applyNumberFormat="1" applyFont="1" applyFill="1"/>
    <xf numFmtId="0" fontId="15" fillId="13" borderId="1" xfId="0" applyFont="1" applyFill="1" applyBorder="1"/>
    <xf numFmtId="0" fontId="13" fillId="11" borderId="0" xfId="0" applyFont="1" applyFill="1" applyAlignment="1">
      <alignment horizontal="left"/>
    </xf>
  </cellXfs>
  <cellStyles count="290">
    <cellStyle name="Gevolgde hyperlink" xfId="2" builtinId="9" hidden="1"/>
    <cellStyle name="Gevolgde hyperlink" xfId="4" builtinId="9" hidden="1"/>
    <cellStyle name="Gevolgde hyperlink" xfId="6" builtinId="9" hidden="1"/>
    <cellStyle name="Gevolgde hyperlink" xfId="8" builtinId="9" hidden="1"/>
    <cellStyle name="Gevolgde hyperlink" xfId="10" builtinId="9" hidden="1"/>
    <cellStyle name="Gevolgde hyperlink" xfId="13" builtinId="9" hidden="1"/>
    <cellStyle name="Gevolgde hyperlink" xfId="15" builtinId="9" hidden="1"/>
    <cellStyle name="Gevolgde hyperlink" xfId="18" builtinId="9" hidden="1"/>
    <cellStyle name="Gevolgde hyperlink" xfId="20" builtinId="9" hidden="1"/>
    <cellStyle name="Gevolgde hyperlink" xfId="22" builtinId="9" hidden="1"/>
    <cellStyle name="Gevolgde hyperlink" xfId="24" builtinId="9" hidden="1"/>
    <cellStyle name="Gevolgde hyperlink" xfId="26" builtinId="9" hidden="1"/>
    <cellStyle name="Gevolgde hyperlink" xfId="28" builtinId="9" hidden="1"/>
    <cellStyle name="Gevolgde hyperlink" xfId="30" builtinId="9" hidden="1"/>
    <cellStyle name="Gevolgde hyperlink" xfId="33" builtinId="9" hidden="1"/>
    <cellStyle name="Gevolgde hyperlink" xfId="35" builtinId="9" hidden="1"/>
    <cellStyle name="Gevolgde hyperlink" xfId="37" builtinId="9" hidden="1"/>
    <cellStyle name="Gevolgde hyperlink" xfId="39" builtinId="9" hidden="1"/>
    <cellStyle name="Gevolgde hyperlink" xfId="41" builtinId="9" hidden="1"/>
    <cellStyle name="Gevolgde hyperlink" xfId="43" builtinId="9" hidden="1"/>
    <cellStyle name="Gevolgde hyperlink" xfId="45" builtinId="9" hidden="1"/>
    <cellStyle name="Gevolgde hyperlink" xfId="47" builtinId="9" hidden="1"/>
    <cellStyle name="Gevolgde hyperlink" xfId="49" builtinId="9" hidden="1"/>
    <cellStyle name="Gevolgde hyperlink" xfId="51" builtinId="9" hidden="1"/>
    <cellStyle name="Gevolgde hyperlink" xfId="53" builtinId="9" hidden="1"/>
    <cellStyle name="Gevolgde hyperlink" xfId="55" builtinId="9" hidden="1"/>
    <cellStyle name="Gevolgde hyperlink" xfId="57" builtinId="9" hidden="1"/>
    <cellStyle name="Gevolgde hyperlink" xfId="58" builtinId="9" hidden="1"/>
    <cellStyle name="Gevolgde hyperlink" xfId="59" builtinId="9" hidden="1"/>
    <cellStyle name="Gevolgde hyperlink" xfId="60" builtinId="9" hidden="1"/>
    <cellStyle name="Gevolgde hyperlink" xfId="61" builtinId="9" hidden="1"/>
    <cellStyle name="Gevolgde hyperlink" xfId="63" builtinId="9" hidden="1"/>
    <cellStyle name="Gevolgde hyperlink" xfId="65" builtinId="9" hidden="1"/>
    <cellStyle name="Gevolgde hyperlink" xfId="67" builtinId="9" hidden="1"/>
    <cellStyle name="Gevolgde hyperlink" xfId="69" builtinId="9" hidden="1"/>
    <cellStyle name="Gevolgde hyperlink" xfId="71" builtinId="9" hidden="1"/>
    <cellStyle name="Gevolgde hyperlink" xfId="73" builtinId="9" hidden="1"/>
    <cellStyle name="Gevolgde hyperlink" xfId="75" builtinId="9" hidden="1"/>
    <cellStyle name="Gevolgde hyperlink" xfId="77" builtinId="9" hidden="1"/>
    <cellStyle name="Gevolgde hyperlink" xfId="79" builtinId="9" hidden="1"/>
    <cellStyle name="Gevolgde hyperlink" xfId="81" builtinId="9" hidden="1"/>
    <cellStyle name="Gevolgde hyperlink" xfId="83" builtinId="9" hidden="1"/>
    <cellStyle name="Gevolgde hyperlink" xfId="85" builtinId="9" hidden="1"/>
    <cellStyle name="Gevolgde hyperlink" xfId="87" builtinId="9" hidden="1"/>
    <cellStyle name="Gevolgde hyperlink" xfId="89" builtinId="9" hidden="1"/>
    <cellStyle name="Gevolgde hyperlink" xfId="91" builtinId="9" hidden="1"/>
    <cellStyle name="Gevolgde hyperlink" xfId="93" builtinId="9" hidden="1"/>
    <cellStyle name="Gevolgde hyperlink" xfId="95" builtinId="9" hidden="1"/>
    <cellStyle name="Gevolgde hyperlink" xfId="97" builtinId="9" hidden="1"/>
    <cellStyle name="Gevolgde hyperlink" xfId="99" builtinId="9" hidden="1"/>
    <cellStyle name="Gevolgde hyperlink" xfId="101" builtinId="9" hidden="1"/>
    <cellStyle name="Gevolgde hyperlink" xfId="103" builtinId="9" hidden="1"/>
    <cellStyle name="Gevolgde hyperlink" xfId="105" builtinId="9" hidden="1"/>
    <cellStyle name="Gevolgde hyperlink" xfId="107" builtinId="9" hidden="1"/>
    <cellStyle name="Gevolgde hyperlink" xfId="109" builtinId="9" hidden="1"/>
    <cellStyle name="Gevolgde hyperlink" xfId="111" builtinId="9" hidden="1"/>
    <cellStyle name="Gevolgde hyperlink" xfId="113" builtinId="9" hidden="1"/>
    <cellStyle name="Gevolgde hyperlink" xfId="115" builtinId="9" hidden="1"/>
    <cellStyle name="Gevolgde hyperlink" xfId="117" builtinId="9" hidden="1"/>
    <cellStyle name="Gevolgde hyperlink" xfId="119" builtinId="9" hidden="1"/>
    <cellStyle name="Gevolgde hyperlink" xfId="121" builtinId="9" hidden="1"/>
    <cellStyle name="Gevolgde hyperlink" xfId="123" builtinId="9" hidden="1"/>
    <cellStyle name="Gevolgde hyperlink" xfId="125" builtinId="9" hidden="1"/>
    <cellStyle name="Gevolgde hyperlink" xfId="127" builtinId="9" hidden="1"/>
    <cellStyle name="Gevolgde hyperlink" xfId="129" builtinId="9" hidden="1"/>
    <cellStyle name="Gevolgde hyperlink" xfId="131" builtinId="9" hidden="1"/>
    <cellStyle name="Gevolgde hyperlink" xfId="133" builtinId="9" hidden="1"/>
    <cellStyle name="Gevolgde hyperlink" xfId="135" builtinId="9" hidden="1"/>
    <cellStyle name="Gevolgde hyperlink" xfId="137" builtinId="9" hidden="1"/>
    <cellStyle name="Gevolgde hyperlink" xfId="139" builtinId="9" hidden="1"/>
    <cellStyle name="Gevolgde hyperlink" xfId="141" builtinId="9" hidden="1"/>
    <cellStyle name="Gevolgde hyperlink" xfId="143" builtinId="9" hidden="1"/>
    <cellStyle name="Gevolgde hyperlink" xfId="145" builtinId="9" hidden="1"/>
    <cellStyle name="Gevolgde hyperlink" xfId="147" builtinId="9" hidden="1"/>
    <cellStyle name="Gevolgde hyperlink" xfId="149" builtinId="9" hidden="1"/>
    <cellStyle name="Gevolgde hyperlink" xfId="151" builtinId="9" hidden="1"/>
    <cellStyle name="Gevolgde hyperlink" xfId="153" builtinId="9" hidden="1"/>
    <cellStyle name="Gevolgde hyperlink" xfId="155" builtinId="9" hidden="1"/>
    <cellStyle name="Gevolgde hyperlink" xfId="157" builtinId="9" hidden="1"/>
    <cellStyle name="Gevolgde hyperlink" xfId="159" builtinId="9" hidden="1"/>
    <cellStyle name="Gevolgde hyperlink" xfId="161" builtinId="9" hidden="1"/>
    <cellStyle name="Gevolgde hyperlink" xfId="163" builtinId="9" hidden="1"/>
    <cellStyle name="Gevolgde hyperlink" xfId="165" builtinId="9" hidden="1"/>
    <cellStyle name="Gevolgde hyperlink" xfId="167" builtinId="9" hidden="1"/>
    <cellStyle name="Gevolgde hyperlink" xfId="169" builtinId="9" hidden="1"/>
    <cellStyle name="Gevolgde hyperlink" xfId="171" builtinId="9" hidden="1"/>
    <cellStyle name="Gevolgde hyperlink" xfId="173" builtinId="9" hidden="1"/>
    <cellStyle name="Gevolgde hyperlink" xfId="175" builtinId="9" hidden="1"/>
    <cellStyle name="Gevolgde hyperlink" xfId="177" builtinId="9" hidden="1"/>
    <cellStyle name="Gevolgde hyperlink" xfId="179" builtinId="9" hidden="1"/>
    <cellStyle name="Gevolgde hyperlink" xfId="181" builtinId="9" hidden="1"/>
    <cellStyle name="Gevolgde hyperlink" xfId="183" builtinId="9" hidden="1"/>
    <cellStyle name="Gevolgde hyperlink" xfId="185" builtinId="9" hidden="1"/>
    <cellStyle name="Gevolgde hyperlink" xfId="187" builtinId="9" hidden="1"/>
    <cellStyle name="Gevolgde hyperlink" xfId="189" builtinId="9" hidden="1"/>
    <cellStyle name="Gevolgde hyperlink" xfId="191" builtinId="9" hidden="1"/>
    <cellStyle name="Gevolgde hyperlink" xfId="193" builtinId="9" hidden="1"/>
    <cellStyle name="Gevolgde hyperlink" xfId="195" builtinId="9" hidden="1"/>
    <cellStyle name="Gevolgde hyperlink" xfId="197" builtinId="9" hidden="1"/>
    <cellStyle name="Gevolgde hyperlink" xfId="199" builtinId="9" hidden="1"/>
    <cellStyle name="Gevolgde hyperlink" xfId="201" builtinId="9" hidden="1"/>
    <cellStyle name="Gevolgde hyperlink" xfId="203" builtinId="9" hidden="1"/>
    <cellStyle name="Gevolgde hyperlink" xfId="205" builtinId="9" hidden="1"/>
    <cellStyle name="Gevolgde hyperlink" xfId="207" builtinId="9" hidden="1"/>
    <cellStyle name="Gevolgde hyperlink" xfId="208" builtinId="9" hidden="1"/>
    <cellStyle name="Gevolgde hyperlink" xfId="209" builtinId="9" hidden="1"/>
    <cellStyle name="Gevolgde hyperlink" xfId="210" builtinId="9" hidden="1"/>
    <cellStyle name="Gevolgde hyperlink" xfId="211" builtinId="9" hidden="1"/>
    <cellStyle name="Gevolgde hyperlink" xfId="212" builtinId="9" hidden="1"/>
    <cellStyle name="Gevolgde hyperlink" xfId="213" builtinId="9" hidden="1"/>
    <cellStyle name="Gevolgde hyperlink" xfId="214" builtinId="9" hidden="1"/>
    <cellStyle name="Gevolgde hyperlink" xfId="215" builtinId="9" hidden="1"/>
    <cellStyle name="Gevolgde hyperlink" xfId="216" builtinId="9" hidden="1"/>
    <cellStyle name="Gevolgde hyperlink" xfId="217" builtinId="9" hidden="1"/>
    <cellStyle name="Gevolgde hyperlink" xfId="218" builtinId="9" hidden="1"/>
    <cellStyle name="Gevolgde hyperlink" xfId="219" builtinId="9" hidden="1"/>
    <cellStyle name="Gevolgde hyperlink" xfId="220" builtinId="9" hidden="1"/>
    <cellStyle name="Gevolgde hyperlink" xfId="221" builtinId="9" hidden="1"/>
    <cellStyle name="Gevolgde hyperlink" xfId="222" builtinId="9" hidden="1"/>
    <cellStyle name="Gevolgde hyperlink" xfId="223" builtinId="9" hidden="1"/>
    <cellStyle name="Gevolgde hyperlink" xfId="224" builtinId="9" hidden="1"/>
    <cellStyle name="Gevolgde hyperlink" xfId="225" builtinId="9" hidden="1"/>
    <cellStyle name="Gevolgde hyperlink" xfId="226" builtinId="9" hidden="1"/>
    <cellStyle name="Gevolgde hyperlink" xfId="227" builtinId="9" hidden="1"/>
    <cellStyle name="Gevolgde hyperlink" xfId="228" builtinId="9" hidden="1"/>
    <cellStyle name="Gevolgde hyperlink" xfId="229" builtinId="9" hidden="1"/>
    <cellStyle name="Gevolgde hyperlink" xfId="230" builtinId="9" hidden="1"/>
    <cellStyle name="Gevolgde hyperlink" xfId="231" builtinId="9" hidden="1"/>
    <cellStyle name="Gevolgde hyperlink" xfId="232" builtinId="9" hidden="1"/>
    <cellStyle name="Gevolgde hyperlink" xfId="233" builtinId="9" hidden="1"/>
    <cellStyle name="Gevolgde hyperlink" xfId="234" builtinId="9" hidden="1"/>
    <cellStyle name="Gevolgde hyperlink" xfId="235" builtinId="9" hidden="1"/>
    <cellStyle name="Gevolgde hyperlink" xfId="236" builtinId="9" hidden="1"/>
    <cellStyle name="Gevolgde hyperlink" xfId="237" builtinId="9" hidden="1"/>
    <cellStyle name="Gevolgde hyperlink" xfId="238" builtinId="9" hidden="1"/>
    <cellStyle name="Gevolgde hyperlink" xfId="239" builtinId="9" hidden="1"/>
    <cellStyle name="Gevolgde hyperlink" xfId="240" builtinId="9" hidden="1"/>
    <cellStyle name="Gevolgde hyperlink" xfId="241" builtinId="9" hidden="1"/>
    <cellStyle name="Gevolgde hyperlink" xfId="242" builtinId="9" hidden="1"/>
    <cellStyle name="Gevolgde hyperlink" xfId="243" builtinId="9" hidden="1"/>
    <cellStyle name="Gevolgde hyperlink" xfId="244" builtinId="9" hidden="1"/>
    <cellStyle name="Gevolgde hyperlink" xfId="245" builtinId="9" hidden="1"/>
    <cellStyle name="Gevolgde hyperlink" xfId="246" builtinId="9" hidden="1"/>
    <cellStyle name="Gevolgde hyperlink" xfId="247" builtinId="9" hidden="1"/>
    <cellStyle name="Gevolgde hyperlink" xfId="248" builtinId="9" hidden="1"/>
    <cellStyle name="Gevolgde hyperlink" xfId="249" builtinId="9" hidden="1"/>
    <cellStyle name="Gevolgde hyperlink" xfId="250" builtinId="9" hidden="1"/>
    <cellStyle name="Gevolgde hyperlink" xfId="251" builtinId="9" hidden="1"/>
    <cellStyle name="Gevolgde hyperlink" xfId="252" builtinId="9" hidden="1"/>
    <cellStyle name="Gevolgde hyperlink" xfId="253" builtinId="9" hidden="1"/>
    <cellStyle name="Gevolgde hyperlink" xfId="254" builtinId="9" hidden="1"/>
    <cellStyle name="Gevolgde hyperlink" xfId="255" builtinId="9" hidden="1"/>
    <cellStyle name="Gevolgde hyperlink" xfId="256" builtinId="9" hidden="1"/>
    <cellStyle name="Gevolgde hyperlink" xfId="257" builtinId="9" hidden="1"/>
    <cellStyle name="Gevolgde hyperlink" xfId="258" builtinId="9" hidden="1"/>
    <cellStyle name="Gevolgde hyperlink" xfId="259" builtinId="9" hidden="1"/>
    <cellStyle name="Gevolgde hyperlink" xfId="260" builtinId="9" hidden="1"/>
    <cellStyle name="Gevolgde hyperlink" xfId="261" builtinId="9" hidden="1"/>
    <cellStyle name="Gevolgde hyperlink" xfId="262" builtinId="9" hidden="1"/>
    <cellStyle name="Gevolgde hyperlink" xfId="263" builtinId="9" hidden="1"/>
    <cellStyle name="Gevolgde hyperlink" xfId="264" builtinId="9" hidden="1"/>
    <cellStyle name="Gevolgde hyperlink" xfId="265" builtinId="9" hidden="1"/>
    <cellStyle name="Gevolgde hyperlink" xfId="266" builtinId="9" hidden="1"/>
    <cellStyle name="Gevolgde hyperlink" xfId="267" builtinId="9" hidden="1"/>
    <cellStyle name="Gevolgde hyperlink" xfId="268" builtinId="9" hidden="1"/>
    <cellStyle name="Gevolgde hyperlink" xfId="269" builtinId="9" hidden="1"/>
    <cellStyle name="Gevolgde hyperlink" xfId="270" builtinId="9" hidden="1"/>
    <cellStyle name="Gevolgde hyperlink" xfId="271" builtinId="9" hidden="1"/>
    <cellStyle name="Gevolgde hyperlink" xfId="272" builtinId="9" hidden="1"/>
    <cellStyle name="Gevolgde hyperlink" xfId="273" builtinId="9" hidden="1"/>
    <cellStyle name="Gevolgde hyperlink" xfId="274" builtinId="9" hidden="1"/>
    <cellStyle name="Gevolgde hyperlink" xfId="275" builtinId="9" hidden="1"/>
    <cellStyle name="Gevolgde hyperlink" xfId="276" builtinId="9" hidden="1"/>
    <cellStyle name="Gevolgde hyperlink" xfId="277" builtinId="9" hidden="1"/>
    <cellStyle name="Gevolgde hyperlink" xfId="278" builtinId="9" hidden="1"/>
    <cellStyle name="Gevolgde hyperlink" xfId="279" builtinId="9" hidden="1"/>
    <cellStyle name="Gevolgde hyperlink" xfId="280" builtinId="9" hidden="1"/>
    <cellStyle name="Gevolgde hyperlink" xfId="281" builtinId="9" hidden="1"/>
    <cellStyle name="Gevolgde hyperlink" xfId="282" builtinId="9" hidden="1"/>
    <cellStyle name="Gevolgde hyperlink" xfId="283" builtinId="9" hidden="1"/>
    <cellStyle name="Gevolgde hyperlink" xfId="284" builtinId="9" hidden="1"/>
    <cellStyle name="Gevolgde hyperlink" xfId="285" builtinId="9" hidden="1"/>
    <cellStyle name="Gevolgde hyperlink" xfId="286" builtinId="9" hidden="1"/>
    <cellStyle name="Gevolgde hyperlink" xfId="287" builtinId="9" hidden="1"/>
    <cellStyle name="Gevolgde hyperlink" xfId="288" builtinId="9" hidden="1"/>
    <cellStyle name="Gevolgde hyperlink" xfId="289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2" builtinId="8" hidden="1"/>
    <cellStyle name="Hyperlink" xfId="14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/>
    <cellStyle name="Komma" xfId="31" builtinId="3"/>
    <cellStyle name="Normal 2" xfId="11"/>
    <cellStyle name="Procent" xfId="16" builtinId="5"/>
    <cellStyle name="Standaard" xfId="0" builtinId="0"/>
  </cellStyles>
  <dxfs count="88">
    <dxf>
      <font>
        <color theme="9" tint="0.79998168889431442"/>
      </font>
      <fill>
        <patternFill>
          <bgColor theme="9" tint="-0.499984740745262"/>
        </patternFill>
      </fill>
    </dxf>
    <dxf>
      <font>
        <color theme="9" tint="-0.499984740745262"/>
      </font>
      <fill>
        <patternFill>
          <bgColor rgb="FF5D87E5"/>
        </patternFill>
      </fill>
    </dxf>
    <dxf>
      <font>
        <color theme="9" tint="0.39994506668294322"/>
      </font>
      <fill>
        <patternFill>
          <bgColor rgb="FF1A44A2"/>
        </patternFill>
      </fill>
    </dxf>
    <dxf>
      <font>
        <color theme="9" tint="0.39994506668294322"/>
      </font>
      <fill>
        <patternFill>
          <bgColor rgb="FF0F265C"/>
        </patternFill>
      </fill>
    </dxf>
    <dxf>
      <font>
        <color theme="0"/>
      </font>
      <fill>
        <patternFill>
          <bgColor rgb="FF0080C9"/>
        </patternFill>
      </fill>
    </dxf>
    <dxf>
      <font>
        <color theme="9" tint="0.79998168889431442"/>
      </font>
      <fill>
        <patternFill>
          <bgColor theme="0" tint="-0.499984740745262"/>
        </patternFill>
      </fill>
    </dxf>
    <dxf>
      <font>
        <color theme="0"/>
      </font>
      <fill>
        <patternFill>
          <bgColor rgb="FF0080C9"/>
        </patternFill>
      </fill>
    </dxf>
    <dxf>
      <font>
        <color theme="9" tint="-0.499984740745262"/>
      </font>
      <fill>
        <patternFill>
          <bgColor rgb="FF5D87E5"/>
        </patternFill>
      </fill>
    </dxf>
    <dxf>
      <font>
        <color theme="9" tint="0.39994506668294322"/>
      </font>
      <fill>
        <patternFill>
          <bgColor rgb="FF1A44A2"/>
        </patternFill>
      </fill>
    </dxf>
    <dxf>
      <font>
        <color theme="9" tint="0.39994506668294322"/>
      </font>
      <fill>
        <patternFill>
          <bgColor rgb="FF0F265C"/>
        </patternFill>
      </fill>
    </dxf>
    <dxf>
      <font>
        <color theme="0"/>
      </font>
      <fill>
        <patternFill>
          <bgColor rgb="FF0080C9"/>
        </patternFill>
      </fill>
    </dxf>
    <dxf>
      <font>
        <color theme="0"/>
      </font>
      <fill>
        <patternFill>
          <bgColor rgb="FF0080C9"/>
        </patternFill>
      </fill>
    </dxf>
    <dxf>
      <font>
        <color theme="9" tint="0.79998168889431442"/>
      </font>
      <fill>
        <patternFill>
          <bgColor theme="0" tint="-0.499984740745262"/>
        </patternFill>
      </fill>
    </dxf>
    <dxf>
      <font>
        <color theme="9" tint="0.79998168889431442"/>
      </font>
      <fill>
        <patternFill>
          <bgColor theme="9" tint="-0.499984740745262"/>
        </patternFill>
      </fill>
    </dxf>
    <dxf>
      <font>
        <color theme="9" tint="0.79998168889431442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80C9"/>
        </patternFill>
      </fill>
    </dxf>
    <dxf>
      <font>
        <color theme="0"/>
      </font>
      <fill>
        <patternFill>
          <bgColor rgb="FF0080C9"/>
        </patternFill>
      </fill>
    </dxf>
    <dxf>
      <font>
        <color theme="9" tint="0.79998168889431442"/>
      </font>
      <fill>
        <patternFill>
          <bgColor theme="0" tint="-0.499984740745262"/>
        </patternFill>
      </fill>
    </dxf>
    <dxf>
      <font>
        <color theme="9" tint="-0.499984740745262"/>
      </font>
      <fill>
        <patternFill>
          <bgColor rgb="FF5D87E5"/>
        </patternFill>
      </fill>
    </dxf>
    <dxf>
      <font>
        <color theme="9" tint="0.39994506668294322"/>
      </font>
      <fill>
        <patternFill>
          <bgColor rgb="FF1B46A5"/>
        </patternFill>
      </fill>
    </dxf>
    <dxf>
      <font>
        <b val="0"/>
        <i val="0"/>
        <u val="none"/>
        <color theme="9" tint="0.39988402966399123"/>
      </font>
      <fill>
        <patternFill>
          <bgColor rgb="FF0F265C"/>
        </patternFill>
      </fill>
    </dxf>
    <dxf>
      <font>
        <color theme="0"/>
      </font>
      <fill>
        <patternFill>
          <bgColor rgb="FF0080C9"/>
        </patternFill>
      </fill>
    </dxf>
    <dxf>
      <font>
        <color theme="9" tint="0.79998168889431442"/>
      </font>
      <fill>
        <patternFill>
          <bgColor rgb="FF00AB97"/>
        </patternFill>
      </fill>
    </dxf>
    <dxf>
      <font>
        <color theme="0"/>
      </font>
      <fill>
        <patternFill>
          <bgColor rgb="FF00AB97"/>
        </patternFill>
      </fill>
    </dxf>
    <dxf>
      <font>
        <color theme="0"/>
      </font>
      <fill>
        <patternFill>
          <bgColor rgb="FF00AB97"/>
        </patternFill>
      </fill>
    </dxf>
    <dxf>
      <font>
        <color theme="0"/>
      </font>
      <fill>
        <patternFill>
          <bgColor rgb="FF0F265C"/>
        </patternFill>
      </fill>
    </dxf>
    <dxf>
      <font>
        <color theme="0"/>
      </font>
      <fill>
        <patternFill>
          <bgColor rgb="FF0F265C"/>
        </patternFill>
      </fill>
    </dxf>
    <dxf>
      <font>
        <color theme="9" tint="0.79998168889431442"/>
      </font>
      <fill>
        <patternFill>
          <bgColor rgb="FF0080C9"/>
        </patternFill>
      </fill>
    </dxf>
    <dxf>
      <font>
        <color theme="7" tint="0.79998168889431442"/>
      </font>
      <fill>
        <patternFill>
          <bgColor rgb="FF0F265C"/>
        </patternFill>
      </fill>
    </dxf>
    <dxf>
      <font>
        <color theme="7" tint="0.79998168889431442"/>
      </font>
      <fill>
        <patternFill>
          <bgColor rgb="FF0F265C"/>
        </patternFill>
      </fill>
    </dxf>
    <dxf>
      <font>
        <color theme="9" tint="0.79998168889431442"/>
      </font>
      <fill>
        <patternFill>
          <bgColor rgb="FF0F265C"/>
        </patternFill>
      </fill>
    </dxf>
    <dxf>
      <font>
        <color theme="7" tint="0.79998168889431442"/>
      </font>
      <fill>
        <patternFill>
          <bgColor rgb="FF0F265C"/>
        </patternFill>
      </fill>
    </dxf>
    <dxf>
      <font>
        <color theme="0"/>
      </font>
      <fill>
        <patternFill>
          <bgColor rgb="FF00AB97"/>
        </patternFill>
      </fill>
    </dxf>
    <dxf>
      <font>
        <color theme="0"/>
      </font>
      <fill>
        <patternFill>
          <bgColor rgb="FF00AB97"/>
        </patternFill>
      </fill>
    </dxf>
    <dxf>
      <font>
        <color theme="0"/>
      </font>
      <fill>
        <patternFill>
          <bgColor rgb="FF00AB97"/>
        </patternFill>
      </fill>
    </dxf>
    <dxf>
      <font>
        <color theme="0"/>
      </font>
      <fill>
        <patternFill>
          <bgColor rgb="FF00AB97"/>
        </patternFill>
      </fill>
    </dxf>
    <dxf>
      <font>
        <color theme="4" tint="0.79998168889431442"/>
      </font>
      <fill>
        <patternFill>
          <bgColor theme="4" tint="-0.499984740745262"/>
        </patternFill>
      </fill>
    </dxf>
    <dxf>
      <font>
        <color theme="4" tint="-0.499984740745262"/>
      </font>
      <fill>
        <patternFill>
          <bgColor theme="4" tint="0.39994506668294322"/>
        </patternFill>
      </fill>
    </dxf>
    <dxf>
      <font>
        <color theme="4" tint="-0.499984740745262"/>
      </font>
      <fill>
        <patternFill>
          <bgColor theme="4" tint="0.79998168889431442"/>
        </patternFill>
      </fill>
    </dxf>
    <dxf>
      <font>
        <color theme="9" tint="0.79998168889431442"/>
      </font>
      <fill>
        <patternFill>
          <bgColor rgb="FF00AB97"/>
        </patternFill>
      </fill>
    </dxf>
    <dxf>
      <fill>
        <patternFill patternType="solid">
          <bgColor rgb="FF00AB97"/>
        </patternFill>
      </fill>
    </dxf>
    <dxf>
      <fill>
        <patternFill>
          <bgColor rgb="FF0080C9"/>
        </patternFill>
      </fill>
    </dxf>
    <dxf>
      <fill>
        <patternFill>
          <bgColor rgb="FF0080C9"/>
        </patternFill>
      </fill>
    </dxf>
    <dxf>
      <fill>
        <patternFill>
          <bgColor rgb="FF0F265C"/>
        </patternFill>
      </fill>
    </dxf>
    <dxf>
      <fill>
        <patternFill patternType="solid">
          <bgColor rgb="FF00AB97"/>
        </patternFill>
      </fill>
    </dxf>
    <dxf>
      <fill>
        <patternFill>
          <bgColor rgb="FF00AB97"/>
        </patternFill>
      </fill>
    </dxf>
    <dxf>
      <font>
        <b/>
      </font>
    </dxf>
    <dxf>
      <font>
        <b/>
      </font>
    </dxf>
    <dxf>
      <fill>
        <patternFill>
          <bgColor rgb="FF00AB97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F265C"/>
      </font>
    </dxf>
    <dxf>
      <font>
        <color rgb="FF0F265C"/>
      </font>
    </dxf>
    <dxf>
      <font>
        <color rgb="FF0F265C"/>
      </font>
    </dxf>
    <dxf>
      <font>
        <color rgb="FF0F265C"/>
      </font>
    </dxf>
    <dxf>
      <font>
        <color rgb="FF0F265C"/>
      </font>
    </dxf>
    <dxf>
      <font>
        <color rgb="FF0F265C"/>
      </font>
    </dxf>
    <dxf>
      <font>
        <color rgb="FF0F265C"/>
      </font>
    </dxf>
    <dxf>
      <fill>
        <patternFill>
          <bgColor rgb="FF0F265C"/>
        </patternFill>
      </fill>
    </dxf>
    <dxf>
      <fill>
        <patternFill patternType="solid">
          <bgColor theme="8" tint="-0.499984740745262"/>
        </patternFill>
      </fill>
    </dxf>
    <dxf>
      <font>
        <sz val="10"/>
      </font>
    </dxf>
    <dxf>
      <fill>
        <patternFill patternType="solid">
          <fgColor indexed="64"/>
          <bgColor theme="7" tint="-0.499984740745262"/>
        </patternFill>
      </fill>
    </dxf>
    <dxf>
      <fill>
        <patternFill patternType="solid">
          <fgColor indexed="64"/>
          <bgColor theme="5" tint="-0.499984740745262"/>
        </patternFill>
      </fill>
    </dxf>
    <dxf>
      <alignment wrapText="1" readingOrder="0"/>
    </dxf>
    <dxf>
      <alignment wrapText="1" readingOrder="0"/>
    </dxf>
    <dxf>
      <fill>
        <patternFill patternType="solid">
          <fgColor indexed="64"/>
          <bgColor theme="7" tint="-0.499984740745262"/>
        </patternFill>
      </fill>
      <alignment wrapText="1" readingOrder="0"/>
    </dxf>
    <dxf>
      <fill>
        <patternFill patternType="solid">
          <fgColor indexed="64"/>
          <bgColor theme="7" tint="-0.499984740745262"/>
        </patternFill>
      </fill>
      <alignment wrapText="1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wrapText="1" readingOrder="0"/>
    </dxf>
    <dxf>
      <alignment wrapText="1" readingOrder="0"/>
    </dxf>
    <dxf>
      <numFmt numFmtId="3" formatCode="#,##0"/>
    </dxf>
    <dxf>
      <numFmt numFmtId="3" formatCode="#,##0"/>
    </dxf>
    <dxf>
      <alignment wrapText="1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70" formatCode="#,##0.0"/>
    </dxf>
    <dxf>
      <fill>
        <patternFill patternType="solid">
          <bgColor theme="1" tint="4.9989318521683403E-2"/>
        </patternFill>
      </fill>
    </dxf>
    <dxf>
      <fill>
        <patternFill patternType="solid">
          <bgColor theme="5" tint="-0.499984740745262"/>
        </patternFill>
      </fill>
    </dxf>
    <dxf>
      <fill>
        <patternFill patternType="solid">
          <bgColor theme="7" tint="-0.499984740745262"/>
        </patternFill>
      </fill>
    </dxf>
    <dxf>
      <alignment wrapText="1"/>
    </dxf>
    <dxf>
      <alignment wrapText="1" readingOrder="0"/>
    </dxf>
  </dxfs>
  <tableStyles count="0" defaultTableStyle="TableStyleMedium9" defaultPivotStyle="PivotStyleMedium7"/>
  <colors>
    <mruColors>
      <color rgb="FF5D87E5"/>
      <color rgb="FF1A44A2"/>
      <color rgb="FF0F265C"/>
      <color rgb="FF1B46A5"/>
      <color rgb="FF153681"/>
      <color rgb="FF92CFCC"/>
      <color rgb="FF00AB97"/>
      <color rgb="FF0080C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284692</xdr:colOff>
      <xdr:row>3</xdr:row>
      <xdr:rowOff>96223</xdr:rowOff>
    </xdr:from>
    <xdr:to>
      <xdr:col>19</xdr:col>
      <xdr:colOff>242359</xdr:colOff>
      <xdr:row>40</xdr:row>
      <xdr:rowOff>93134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85142" y="1010623"/>
          <a:ext cx="12530667" cy="5988136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39</xdr:row>
      <xdr:rowOff>114300</xdr:rowOff>
    </xdr:from>
    <xdr:to>
      <xdr:col>2</xdr:col>
      <xdr:colOff>581025</xdr:colOff>
      <xdr:row>44</xdr:row>
      <xdr:rowOff>128081</xdr:rowOff>
    </xdr:to>
    <xdr:pic>
      <xdr:nvPicPr>
        <xdr:cNvPr id="3" name="Afbeelding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6" y="7067550"/>
          <a:ext cx="2057399" cy="8234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54768</xdr:colOff>
      <xdr:row>1</xdr:row>
      <xdr:rowOff>88106</xdr:rowOff>
    </xdr:from>
    <xdr:to>
      <xdr:col>16</xdr:col>
      <xdr:colOff>700087</xdr:colOff>
      <xdr:row>29</xdr:row>
      <xdr:rowOff>48855</xdr:rowOff>
    </xdr:to>
    <xdr:pic>
      <xdr:nvPicPr>
        <xdr:cNvPr id="2" name="Picture 1" descr="o alt text provided for this imag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5543" y="545306"/>
          <a:ext cx="5674519" cy="4494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812800</xdr:colOff>
      <xdr:row>26</xdr:row>
      <xdr:rowOff>104775</xdr:rowOff>
    </xdr:from>
    <xdr:to>
      <xdr:col>10</xdr:col>
      <xdr:colOff>495300</xdr:colOff>
      <xdr:row>43</xdr:row>
      <xdr:rowOff>89005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70475" y="4610100"/>
          <a:ext cx="4711700" cy="273695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ob Terwel" refreshedDate="43628.510485185187" createdVersion="4" refreshedVersion="4" minRefreshableVersion="3" recordCount="146">
  <cacheSource type="worksheet">
    <worksheetSource ref="A7:AC153" sheet="Country_results"/>
  </cacheSource>
  <cacheFields count="29">
    <cacheField name="Country" numFmtId="0">
      <sharedItems count="145">
        <s v="Afghanistan"/>
        <s v="Albania"/>
        <s v="Algeria"/>
        <s v="Angola"/>
        <s v="Antarctica"/>
        <s v="Argentina"/>
        <s v="Armenia"/>
        <s v="Australia"/>
        <s v="Azerbaijan"/>
        <s v="Bangladesh"/>
        <s v="Belgium"/>
        <s v="Belize"/>
        <s v="Benin"/>
        <s v="Bolivia"/>
        <s v="Bosnia &amp; Herzegovina"/>
        <s v="Botswana"/>
        <s v="Brazil"/>
        <s v="Brunei"/>
        <s v="Burkina Faso"/>
        <s v="Burundi"/>
        <s v="Cambodia"/>
        <s v="Cameroon"/>
        <s v="Canada"/>
        <s v="Central African Republic"/>
        <s v="Chad"/>
        <s v="Chile"/>
        <s v="China"/>
        <s v="Colombia"/>
        <s v="Congo"/>
        <s v="Costa Rica"/>
        <s v="Cote d'Ivoire"/>
        <s v="Cuba"/>
        <s v="Cyprus"/>
        <s v="Denmark"/>
        <s v="Djibouti"/>
        <s v="Dominican Republic"/>
        <s v="Ecuador"/>
        <s v="Egypt"/>
        <s v="El Salvador"/>
        <s v="Eritrea"/>
        <s v="Ethiopia"/>
        <s v="Fiji"/>
        <s v="Finland"/>
        <s v="France"/>
        <s v="Gabon"/>
        <s v="Gambia"/>
        <s v="Georgia"/>
        <s v="Germany"/>
        <s v="Ghana"/>
        <s v="Greenland"/>
        <s v="Grenada"/>
        <s v="Guatemala"/>
        <s v="Guinea"/>
        <s v="Guyana"/>
        <s v="Haiti"/>
        <s v="Honduras"/>
        <s v="India"/>
        <s v="Indonesia"/>
        <s v="Iran"/>
        <s v="Iraq"/>
        <s v="Ireland"/>
        <s v="Israel"/>
        <s v="Italy"/>
        <s v="Jamaica"/>
        <s v="Japan"/>
        <s v="Jordan"/>
        <s v="Kazakhstan"/>
        <s v="Kenya"/>
        <s v="North Korea"/>
        <s v="South Korea"/>
        <s v="Kuwait"/>
        <s v="Kyrgyzstan"/>
        <s v="Laos"/>
        <s v="Lebanon"/>
        <s v="Liberia"/>
        <s v="Libya"/>
        <s v="Macedonia"/>
        <s v="Madagascar"/>
        <s v="Malawi"/>
        <s v="Malaysia"/>
        <s v="Mali"/>
        <s v="Malta"/>
        <s v="Mauritania"/>
        <s v="Mauritius"/>
        <s v="Mexico"/>
        <s v="Moldova"/>
        <s v="Mongolia"/>
        <s v="Morocco"/>
        <s v="Mozambique"/>
        <s v="Myanmar"/>
        <s v="Namibia"/>
        <s v="Nepal"/>
        <s v="Netherlands"/>
        <s v="New Zealand"/>
        <s v="Nicaragua"/>
        <s v="Niger"/>
        <s v="Nigeria"/>
        <s v="Norway"/>
        <s v="Oman"/>
        <s v="Pakistan"/>
        <s v="Panama"/>
        <s v="Paraguay"/>
        <s v="Peru"/>
        <s v="Philippines"/>
        <s v="Portugal"/>
        <s v="Puerto Rico"/>
        <s v="Qatar"/>
        <s v="Russia"/>
        <s v="Rwanda"/>
        <s v="Saudi Arabia"/>
        <s v="Senegal"/>
        <s v="Serbia"/>
        <s v="Seychelles"/>
        <s v="Sierra Leone"/>
        <s v="Somalia"/>
        <s v="South Africa"/>
        <s v="Spain"/>
        <s v="Sri Lanka"/>
        <s v="Sudan"/>
        <s v="Suriname"/>
        <s v="Swaziland"/>
        <s v="Sweden"/>
        <s v="Switzerland"/>
        <s v="Syria"/>
        <s v="Tajikistan"/>
        <s v="Tanzania"/>
        <s v="Thailand"/>
        <s v="Togo"/>
        <s v="Trinidad &amp; Tobago"/>
        <s v="Tunisia"/>
        <s v="Turkey"/>
        <s v="Turkmenistan"/>
        <s v="Uganda"/>
        <s v="Ukraine"/>
        <s v="United Arab Emirates"/>
        <s v="United Kingdom"/>
        <s v="United States"/>
        <s v="Uruguay"/>
        <s v="Uzbekistan"/>
        <s v="Venezuela"/>
        <s v="Vietnam"/>
        <s v="West Bank"/>
        <s v="Yemen"/>
        <s v="Zambia"/>
        <s v="Zimbabwe"/>
      </sharedItems>
    </cacheField>
    <cacheField name="potential capacity for export" numFmtId="167">
      <sharedItems containsSemiMixedTypes="0" containsString="0" containsNumber="1" minValue="-60145.201175924347" maxValue="122595.92811662705"/>
    </cacheField>
    <cacheField name="Min H2" numFmtId="167">
      <sharedItems containsSemiMixedTypes="0" containsString="0" containsNumber="1" minValue="2078.7938405591708" maxValue="42327.672027481916"/>
    </cacheField>
    <cacheField name="HV DC" numFmtId="167">
      <sharedItems containsSemiMixedTypes="0" containsString="0" containsNumber="1" minValue="2156.3868846922869" maxValue="68656.493310346385"/>
    </cacheField>
    <cacheField name="Pipeline" numFmtId="167">
      <sharedItems containsSemiMixedTypes="0" containsString="0" containsNumber="1" minValue="2078.7938405591708" maxValue="42327.672027481916"/>
    </cacheField>
    <cacheField name="From NH3" numFmtId="167">
      <sharedItems containsMixedTypes="1" containsNumber="1" minValue="3354.5819469471908" maxValue="8806.9369499993227"/>
    </cacheField>
    <cacheField name="From FA" numFmtId="167">
      <sharedItems containsMixedTypes="1" containsNumber="1" minValue="7229.5686887969478" maxValue="17440.393768896764"/>
    </cacheField>
    <cacheField name="Frm MeOH" numFmtId="167">
      <sharedItems containsMixedTypes="1" containsNumber="1" minValue="4858.0949813550196" maxValue="11642.893626014176"/>
    </cacheField>
    <cacheField name="From DBT" numFmtId="167">
      <sharedItems containsMixedTypes="1" containsNumber="1" minValue="3162.452969904683" maxValue="8794.5441902875518"/>
    </cacheField>
    <cacheField name="From NaBH4" numFmtId="167">
      <sharedItems containsMixedTypes="1" containsNumber="1" minValue="3383.9390048071637" maxValue="8058.5177198106376"/>
    </cacheField>
    <cacheField name="From DME" numFmtId="167">
      <sharedItems containsMixedTypes="1" containsNumber="1" minValue="6271.7329264746204" maxValue="15365.60110986608"/>
    </cacheField>
    <cacheField name="From OME" numFmtId="167">
      <sharedItems containsMixedTypes="1" containsNumber="1" minValue="11630.020568979862" maxValue="30279.685842142961"/>
    </cacheField>
    <cacheField name="From LNG" numFmtId="167">
      <sharedItems containsMixedTypes="1" containsNumber="1" minValue="5140.1044606411187" maxValue="12159.14614459003"/>
    </cacheField>
    <cacheField name="From LH2" numFmtId="167">
      <sharedItems containsMixedTypes="1" containsNumber="1" minValue="6196.2150445548323" maxValue="14249.842782512102"/>
    </cacheField>
    <cacheField name="HV DC2" numFmtId="166">
      <sharedItems containsSemiMixedTypes="0" containsString="0" containsNumber="1" minValue="3.5669466124686453" maxValue="136.67241249840427"/>
    </cacheField>
    <cacheField name="NH3" numFmtId="167">
      <sharedItems containsMixedTypes="1" containsNumber="1" minValue="523.18823103416639" maxValue="1491.6986592079004"/>
    </cacheField>
    <cacheField name="FA" numFmtId="167">
      <sharedItems containsMixedTypes="1" containsNumber="1" minValue="360.1455522070205" maxValue="886.93896969690309"/>
    </cacheField>
    <cacheField name="Meoh" numFmtId="167">
      <sharedItems containsMixedTypes="1" containsNumber="1" minValue="555.17552268628742" maxValue="1547.9305583702562"/>
    </cacheField>
    <cacheField name="DME" numFmtId="167">
      <sharedItems containsMixedTypes="1" containsNumber="1" minValue="806.55215544201678" maxValue="2203.5573223625274"/>
    </cacheField>
    <cacheField name="OME" numFmtId="167">
      <sharedItems containsMixedTypes="1" containsNumber="1" minValue="1361.2700620026824" maxValue="3689.7892774499587"/>
    </cacheField>
    <cacheField name="LNG" numFmtId="167">
      <sharedItems containsMixedTypes="1" containsNumber="1" minValue="1521.070920653191" maxValue="4166.6242971787779"/>
    </cacheField>
    <cacheField name="IREC elec" numFmtId="166">
      <sharedItems containsMixedTypes="1" containsNumber="1" minValue="1.5616135380261003" maxValue="25.919764808350187"/>
    </cacheField>
    <cacheField name="IREC H2" numFmtId="167">
      <sharedItems containsSemiMixedTypes="0" containsString="0" containsNumber="1" minValue="1834.5678419542398" maxValue="28657.961491609862"/>
    </cacheField>
    <cacheField name="IREC NH3" numFmtId="167">
      <sharedItems containsSemiMixedTypes="0" containsString="0" containsNumber="1" minValue="430.5066736809315" maxValue="6462.411878244081"/>
    </cacheField>
    <cacheField name="IREC FA" numFmtId="167">
      <sharedItems containsSemiMixedTypes="0" containsString="0" containsNumber="1" minValue="283.0383697446847" maxValue="4130.8730034028104"/>
    </cacheField>
    <cacheField name="IREC MeOH" numFmtId="167">
      <sharedItems containsSemiMixedTypes="0" containsString="0" containsNumber="1" minValue="480.54073071775775" maxValue="7256.3296701216532"/>
    </cacheField>
    <cacheField name="IREC DME" numFmtId="167">
      <sharedItems containsSemiMixedTypes="0" containsString="0" containsNumber="1" minValue="701.67823588602334" maxValue="10560.519700087696"/>
    </cacheField>
    <cacheField name="IREC OME" numFmtId="167">
      <sharedItems containsSemiMixedTypes="0" containsString="0" containsNumber="1" minValue="1225.584707212518" maxValue="18400.94019022632"/>
    </cacheField>
    <cacheField name="IREC LNG" numFmtId="167">
      <sharedItems containsSemiMixedTypes="0" containsString="0" containsNumber="1" minValue="1290.4853331581603" maxValue="19218.11188683692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6">
  <r>
    <x v="0"/>
    <n v="2857.5364891400604"/>
    <n v="3907.3010404646056"/>
    <n v="5671.81732991437"/>
    <n v="3907.3010404646056"/>
    <s v=""/>
    <s v=""/>
    <s v=""/>
    <s v=""/>
    <s v=""/>
    <s v=""/>
    <s v=""/>
    <s v=""/>
    <s v=""/>
    <n v="10.410299630226255"/>
    <s v=""/>
    <s v=""/>
    <s v=""/>
    <s v=""/>
    <s v=""/>
    <s v=""/>
    <n v="2.8367088617348855"/>
    <n v="2918.0856827912239"/>
    <n v="689.5977802331787"/>
    <n v="502.50540641010235"/>
    <n v="778.61165707505143"/>
    <n v="1140.2093041637506"/>
    <n v="2001.1010123219862"/>
    <n v="2067.1060444240366"/>
  </r>
  <r>
    <x v="1"/>
    <n v="160.25076768618806"/>
    <n v="2782.4379861969055"/>
    <n v="2782.4379861969055"/>
    <n v="3736.9382582311291"/>
    <n v="5225.1396876906529"/>
    <n v="10253.347332703872"/>
    <n v="7310.1775185123342"/>
    <n v="5214.1427328834407"/>
    <n v="4241.2866271254288"/>
    <n v="9594.3901427516048"/>
    <n v="18570.256985012184"/>
    <n v="7656.5566445861805"/>
    <n v="8867.034876764028"/>
    <n v="4.7856561735054735"/>
    <n v="855.45835603464968"/>
    <n v="514.90833134037837"/>
    <n v="900.18999935167415"/>
    <n v="1297.0698034850516"/>
    <n v="2190.7019848983468"/>
    <n v="2442.0542734005153"/>
    <n v="2.7339377089900689"/>
    <n v="3444.8218156678972"/>
    <n v="762.19863168464951"/>
    <n v="467.2403317045011"/>
    <n v="849.80935658752423"/>
    <n v="1234.5456457846149"/>
    <n v="2147.0200948626348"/>
    <n v="2259.8928448156885"/>
  </r>
  <r>
    <x v="2"/>
    <n v="15511.583660693541"/>
    <n v="2890.0558020629569"/>
    <n v="3048.7454887733179"/>
    <n v="2890.0558020629569"/>
    <n v="4192.3404160228911"/>
    <n v="8203.0090794957832"/>
    <n v="5816.254456891993"/>
    <n v="4112.7867442017314"/>
    <n v="3792.6224991477661"/>
    <n v="7528.0103910328853"/>
    <n v="14107.427419383774"/>
    <n v="6178.8091651560489"/>
    <n v="7595.0452960785215"/>
    <n v="5.3040667294260748"/>
    <n v="672.00059067261304"/>
    <n v="416.61701903764521"/>
    <n v="696.82397123707142"/>
    <n v="1003.3585364074989"/>
    <n v="1678.6845394563434"/>
    <n v="1914.1526236532457"/>
    <n v="2.1527060076320712"/>
    <n v="2462.7231909650122"/>
    <n v="572.49805862259166"/>
    <n v="374.63892984874303"/>
    <n v="640.17704406998519"/>
    <n v="934.08099382634009"/>
    <n v="1630.6978299071125"/>
    <n v="1712.8918888253143"/>
  </r>
  <r>
    <x v="3"/>
    <n v="5599.9478904854059"/>
    <n v="4618.6122573121993"/>
    <n v="6631.0177382194479"/>
    <n v="4618.6122573121993"/>
    <n v="5436.2741850847633"/>
    <n v="10877.671460292206"/>
    <n v="7364.7993497925918"/>
    <n v="5698.9898778497827"/>
    <n v="4623.4113912554703"/>
    <n v="9579.2807137333493"/>
    <n v="18257.142841903173"/>
    <n v="7700.8148553732381"/>
    <n v="9310.3218473181678"/>
    <n v="12.277538112424187"/>
    <n v="892.96251017702468"/>
    <n v="548.42758004073949"/>
    <n v="918.2763171805617"/>
    <n v="1311.4228483739098"/>
    <n v="2186.0850254759785"/>
    <n v="2483.0145929281944"/>
    <n v="2.8038257586242801"/>
    <n v="3280.7012922975837"/>
    <n v="743.9095025836051"/>
    <n v="473.43083545998576"/>
    <n v="831.46313092817331"/>
    <n v="1210.6296027165592"/>
    <n v="2109.7880582601019"/>
    <n v="2215.5642531101971"/>
  </r>
  <r>
    <x v="4"/>
    <n v="75987.557650087314"/>
    <n v="5312.9532877756228"/>
    <n v="20223.020403405841"/>
    <n v="5312.9532877756228"/>
    <s v=""/>
    <s v=""/>
    <s v=""/>
    <s v=""/>
    <s v=""/>
    <s v=""/>
    <s v=""/>
    <s v=""/>
    <s v=""/>
    <n v="39.494497356067711"/>
    <s v=""/>
    <s v=""/>
    <s v=""/>
    <s v=""/>
    <s v=""/>
    <s v=""/>
    <e v="#N/A"/>
    <n v="2996.905847899427"/>
    <n v="658.59527314413583"/>
    <n v="401.57206891665152"/>
    <n v="733.50115303389828"/>
    <n v="1065.0907515964382"/>
    <n v="1851.7589821871402"/>
    <n v="1950.2655050956964"/>
  </r>
  <r>
    <x v="5"/>
    <n v="33465.577249690519"/>
    <n v="4977.4936546584768"/>
    <n v="17399.71153233933"/>
    <n v="4977.4936546584768"/>
    <n v="5109.0009883964967"/>
    <n v="11323.569082893382"/>
    <n v="6816.620784864971"/>
    <n v="5474.5374789758534"/>
    <n v="5625.5807380405895"/>
    <n v="8836.6104332078048"/>
    <n v="16659.365865301344"/>
    <n v="7112.4564220551965"/>
    <n v="8889.6284289057949"/>
    <n v="33.82975243017183"/>
    <n v="834.82845550213517"/>
    <n v="568.65759518985703"/>
    <n v="852.21759023509549"/>
    <n v="1216.9079727053495"/>
    <n v="2022.5555757405375"/>
    <n v="2291.9422875354048"/>
    <n v="3.0522721120115612"/>
    <n v="2831.2412431098792"/>
    <n v="667.26162577617458"/>
    <n v="485.62151315857716"/>
    <n v="753.22078883719371"/>
    <n v="1102.8512429525927"/>
    <n v="1935.359704753944"/>
    <n v="1999.2388216380962"/>
  </r>
  <r>
    <x v="6"/>
    <n v="101.49477081949692"/>
    <n v="3723.2206881685311"/>
    <n v="4709.6458042346603"/>
    <n v="3723.2206881685311"/>
    <s v=""/>
    <s v=""/>
    <s v=""/>
    <s v=""/>
    <s v=""/>
    <s v=""/>
    <s v=""/>
    <s v=""/>
    <s v=""/>
    <n v="8.5372773882957311"/>
    <s v=""/>
    <s v=""/>
    <s v=""/>
    <s v=""/>
    <s v=""/>
    <s v=""/>
    <n v="3.1459680952779476"/>
    <n v="3103.2212136038415"/>
    <n v="723.80655000438185"/>
    <n v="521.21125996676437"/>
    <n v="816.69632827928672"/>
    <n v="1194.7728258506509"/>
    <n v="2095.1892752087588"/>
    <n v="2164.6087497159415"/>
  </r>
  <r>
    <x v="7"/>
    <n v="86029.997494464871"/>
    <n v="4381.0854877682386"/>
    <n v="10452.238869367595"/>
    <n v="4381.0854877682386"/>
    <n v="4741.7182309925065"/>
    <n v="10482.573523284262"/>
    <n v="6219.9612525871935"/>
    <n v="5950.1903307683924"/>
    <n v="4979.4072917730591"/>
    <n v="7872.2074666213302"/>
    <n v="14173.864762718043"/>
    <n v="6329.0600824747962"/>
    <n v="8021.6824917841595"/>
    <n v="19.890200538173954"/>
    <n v="769.5874393843211"/>
    <n v="513.32563360115398"/>
    <n v="744.84392029354137"/>
    <n v="1043.3981406266478"/>
    <n v="1678.5520948752414"/>
    <n v="1968.0273828572424"/>
    <n v="1.9729100600722784"/>
    <n v="2260.5465030993951"/>
    <n v="535.24870488395607"/>
    <n v="390.228386677321"/>
    <n v="603.4950096689879"/>
    <n v="883.95859086337305"/>
    <n v="1551.6160512564834"/>
    <n v="1605.254823786237"/>
  </r>
  <r>
    <x v="8"/>
    <n v="547.66840565040684"/>
    <n v="4056.2800588858845"/>
    <n v="4056.2800588858845"/>
    <n v="4579.0545383316885"/>
    <s v=""/>
    <s v=""/>
    <s v=""/>
    <s v=""/>
    <s v=""/>
    <s v=""/>
    <s v=""/>
    <s v=""/>
    <s v=""/>
    <n v="7.2653954623685832"/>
    <s v=""/>
    <s v=""/>
    <s v=""/>
    <s v=""/>
    <s v=""/>
    <s v=""/>
    <n v="3.1369311072162192"/>
    <n v="3928.7820935154004"/>
    <n v="861.16958679422453"/>
    <n v="522.96506469571909"/>
    <n v="960.08676076830102"/>
    <n v="1393.6605844107999"/>
    <n v="2422.2801680996126"/>
    <n v="2548.6376804438128"/>
  </r>
  <r>
    <x v="9"/>
    <n v="-9068.8536941601415"/>
    <n v="4423.0056142787462"/>
    <n v="5722.8490315613526"/>
    <n v="4601.7909143288289"/>
    <n v="5502.8449949668793"/>
    <n v="11213.377949941474"/>
    <n v="7451.8513762839057"/>
    <n v="6258.3775529341438"/>
    <n v="4423.0056142787462"/>
    <n v="9619.5151325074785"/>
    <n v="18203.656711784108"/>
    <n v="7652.5415575419383"/>
    <n v="9240.409148354478"/>
    <n v="10.509641077855187"/>
    <n v="904.78758824818999"/>
    <n v="557.80198019723423"/>
    <n v="919.97701692634735"/>
    <n v="1303.4186332544723"/>
    <n v="2157.7234291683885"/>
    <n v="2450.9655029119381"/>
    <n v="2.5848817491514664"/>
    <n v="3249.7762699655764"/>
    <n v="729.87149185752571"/>
    <n v="454.91818723975194"/>
    <n v="814.50588393880605"/>
    <n v="1184.7226686946472"/>
    <n v="2062.4154650643632"/>
    <n v="2170.1671632700873"/>
  </r>
  <r>
    <x v="10"/>
    <n v="-356.45430572165719"/>
    <n v="2558.6333078519951"/>
    <n v="2558.6333078519951"/>
    <n v="2678.7552635028469"/>
    <n v="4112.2897585075671"/>
    <n v="8996.2776659752053"/>
    <n v="5899.0913681117408"/>
    <n v="3817.7853558400407"/>
    <n v="4676.284844677768"/>
    <n v="7750.4028123401349"/>
    <n v="14926.843164811205"/>
    <n v="6226.6555459645615"/>
    <n v="7287.1688196786963"/>
    <n v="4.3499842281192347"/>
    <n v="657.78106598239106"/>
    <n v="449.93753737597734"/>
    <n v="705.70923444885898"/>
    <n v="1029.8362674247448"/>
    <n v="1761.2149543663368"/>
    <n v="1925.0915387134762"/>
    <n v="3.2660498895352803"/>
    <n v="2643.251507149716"/>
    <n v="604.14384293699322"/>
    <n v="427.4985255293164"/>
    <n v="680.12873947242406"/>
    <n v="993.52815137692198"/>
    <n v="1740.3690386199394"/>
    <n v="1800.3059249411135"/>
  </r>
  <r>
    <x v="11"/>
    <n v="211.99870274641853"/>
    <n v="4537.5127672340486"/>
    <n v="16288.40307047555"/>
    <n v="4537.5127672340486"/>
    <n v="4972.9472121550316"/>
    <n v="11173.117004773307"/>
    <n v="6744.6508268213856"/>
    <n v="5142.9472637273966"/>
    <n v="5504.9656200110276"/>
    <n v="8842.5632339991389"/>
    <n v="16966.095575320367"/>
    <n v="7077.6486816636025"/>
    <n v="8783.2128041805681"/>
    <n v="31.600000299626519"/>
    <n v="810.6610084066117"/>
    <n v="563.7754623383687"/>
    <n v="846.60343171014665"/>
    <n v="1221.881986768936"/>
    <n v="2062.1785841770647"/>
    <n v="2284.5014883385038"/>
    <n v="2.6688210123229816"/>
    <n v="2954.8516757852312"/>
    <n v="691.93139981987588"/>
    <n v="499.77580203259936"/>
    <n v="780.74811031597187"/>
    <n v="1142.5281156701224"/>
    <n v="2004.0203878938971"/>
    <n v="2070.8094662119779"/>
  </r>
  <r>
    <x v="12"/>
    <n v="-297.95633603558736"/>
    <n v="4174.9719247408639"/>
    <n v="4999.503397249413"/>
    <n v="4174.9719247408639"/>
    <n v="5257.5335985641959"/>
    <n v="10494.962465498671"/>
    <n v="7207.7382445674975"/>
    <n v="5401.0225922383925"/>
    <n v="4398.6060170864257"/>
    <n v="9422.3201568726727"/>
    <n v="18094.047489809815"/>
    <n v="7560.3018450843529"/>
    <n v="9087.6757739140121"/>
    <n v="9.1015319980188227"/>
    <n v="861.21253757139755"/>
    <n v="530.43580218181887"/>
    <n v="896.20133673120222"/>
    <n v="1287.4088050543796"/>
    <n v="2162.7627775941191"/>
    <n v="2429.8853893424812"/>
    <n v="2.7149275122216259"/>
    <n v="3291.1789035065913"/>
    <n v="743.3943722050758"/>
    <n v="468.67369943620093"/>
    <n v="830.32135109446881"/>
    <n v="1208.4321120027937"/>
    <n v="2104.9419638406048"/>
    <n v="2212.5568613714158"/>
  </r>
  <r>
    <x v="13"/>
    <n v="6842.0828683284744"/>
    <n v="4572.8383933495334"/>
    <n v="14480.272038967831"/>
    <n v="4572.8383933495334"/>
    <s v=""/>
    <s v=""/>
    <s v=""/>
    <s v=""/>
    <s v=""/>
    <s v=""/>
    <s v=""/>
    <s v=""/>
    <s v=""/>
    <n v="27.972129048607819"/>
    <s v=""/>
    <s v=""/>
    <s v=""/>
    <s v=""/>
    <s v=""/>
    <s v=""/>
    <n v="2.7875456376764625"/>
    <n v="2842.2261683249521"/>
    <n v="665.01104594208334"/>
    <n v="481.17906288424314"/>
    <n v="750.31656620891988"/>
    <n v="1098.0180854320258"/>
    <n v="1926.1210438301084"/>
    <n v="1989.9115183342144"/>
  </r>
  <r>
    <x v="14"/>
    <n v="170.42113783448355"/>
    <n v="2532.3980998158604"/>
    <n v="2532.3980998158604"/>
    <n v="3698.0177658613111"/>
    <s v=""/>
    <s v=""/>
    <s v=""/>
    <s v=""/>
    <s v=""/>
    <s v=""/>
    <s v=""/>
    <s v=""/>
    <s v=""/>
    <n v="4.298913159331744"/>
    <s v=""/>
    <s v=""/>
    <s v=""/>
    <s v=""/>
    <s v=""/>
    <s v=""/>
    <n v="2.7475103894496677"/>
    <n v="3487.1067070016966"/>
    <n v="759.86821889004409"/>
    <n v="457.34926189748188"/>
    <n v="846.1793762187051"/>
    <n v="1227.6870012646223"/>
    <n v="2132.8422613721414"/>
    <n v="2246.4515662234126"/>
  </r>
  <r>
    <x v="15"/>
    <n v="4840.4091855400029"/>
    <n v="3989.2993250461723"/>
    <n v="6497.4161381936901"/>
    <n v="3989.2993250461723"/>
    <s v=""/>
    <s v=""/>
    <s v=""/>
    <s v=""/>
    <s v=""/>
    <s v=""/>
    <s v=""/>
    <s v=""/>
    <s v=""/>
    <n v="12.017461024579614"/>
    <s v=""/>
    <s v=""/>
    <s v=""/>
    <s v=""/>
    <s v=""/>
    <s v=""/>
    <n v="2.1654955272287553"/>
    <n v="2552.5471013547326"/>
    <n v="597.22879129977446"/>
    <n v="391.59606945016236"/>
    <n v="668.06609186893252"/>
    <n v="975.13212832098986"/>
    <n v="1702.6616396582003"/>
    <n v="1788.96468793382"/>
  </r>
  <r>
    <x v="16"/>
    <n v="113613.01356229674"/>
    <n v="6595.6082028847377"/>
    <n v="24711.669492432648"/>
    <n v="6595.6082028847377"/>
    <n v="7317.2402980139641"/>
    <n v="16024.101974250485"/>
    <n v="9389.1872812668662"/>
    <n v="7306.5045499130665"/>
    <n v="8058.5177198106376"/>
    <n v="12294.411146036064"/>
    <n v="23692.196154171852"/>
    <n v="9887.2021987033859"/>
    <n v="12447.770241904369"/>
    <n v="48.500615110936906"/>
    <n v="1227.0814907631327"/>
    <n v="819.2683166159826"/>
    <n v="1256.5063642536177"/>
    <n v="1786.896232727079"/>
    <n v="2968.9812140445547"/>
    <n v="3387.405341900007"/>
    <n v="4.3780494197704707"/>
    <n v="4139.2983926772558"/>
    <n v="976.59610014284715"/>
    <n v="711.56321951041696"/>
    <n v="1104.3543362978428"/>
    <n v="1616.9229840646472"/>
    <n v="2837.3586290058929"/>
    <n v="2926.1804253779815"/>
  </r>
  <r>
    <x v="17"/>
    <n v="21.545972512939009"/>
    <n v="4067.6088898257394"/>
    <n v="5710.7548296696432"/>
    <n v="4067.6088898257394"/>
    <s v=""/>
    <s v=""/>
    <s v=""/>
    <s v=""/>
    <s v=""/>
    <s v=""/>
    <s v=""/>
    <s v=""/>
    <s v=""/>
    <n v="10.486097760954838"/>
    <s v=""/>
    <s v=""/>
    <s v=""/>
    <s v=""/>
    <s v=""/>
    <s v=""/>
    <e v="#N/A"/>
    <n v="2524.2427663672038"/>
    <n v="571.26624934284325"/>
    <n v="357.76320865371423"/>
    <n v="636.79952485871991"/>
    <n v="926.81339855995759"/>
    <n v="1614.1221646241586"/>
    <n v="1701.1899903087751"/>
  </r>
  <r>
    <x v="18"/>
    <n v="113.13535073685853"/>
    <n v="3888.2852468695432"/>
    <n v="4737.1283446361067"/>
    <n v="3888.2852468695432"/>
    <s v=""/>
    <s v=""/>
    <s v=""/>
    <s v=""/>
    <s v=""/>
    <s v=""/>
    <s v=""/>
    <s v=""/>
    <s v=""/>
    <n v="8.5907765909460068"/>
    <s v=""/>
    <s v=""/>
    <s v=""/>
    <s v=""/>
    <s v=""/>
    <s v=""/>
    <n v="2.5180425948868481"/>
    <n v="3050.3267835044044"/>
    <n v="700.44271540086345"/>
    <n v="449.15543993542417"/>
    <n v="782.99444608576039"/>
    <n v="1141.0580317362374"/>
    <n v="1989.6652529067715"/>
    <n v="2091.0329564865979"/>
  </r>
  <r>
    <x v="19"/>
    <n v="-1085.7721809711043"/>
    <n v="4632.8369653068967"/>
    <n v="6131.3965202232739"/>
    <n v="4632.8369653068967"/>
    <s v=""/>
    <s v=""/>
    <s v=""/>
    <s v=""/>
    <s v=""/>
    <s v=""/>
    <s v=""/>
    <s v=""/>
    <s v=""/>
    <n v="11.304944734973974"/>
    <s v=""/>
    <s v=""/>
    <s v=""/>
    <s v=""/>
    <s v=""/>
    <s v=""/>
    <n v="2.7288574697010617"/>
    <n v="3421.8955977494006"/>
    <n v="765.88931593552638"/>
    <n v="475.77815424119848"/>
    <n v="854.67991846911514"/>
    <n v="1242.8036386326728"/>
    <n v="2163.0544676730465"/>
    <n v="2275.7071745224348"/>
  </r>
  <r>
    <x v="20"/>
    <n v="371.72862454213418"/>
    <n v="4704.5336993578821"/>
    <n v="6509.3530528088804"/>
    <n v="4704.5336993578821"/>
    <s v=""/>
    <s v=""/>
    <s v=""/>
    <s v=""/>
    <s v=""/>
    <s v=""/>
    <s v=""/>
    <s v=""/>
    <s v=""/>
    <n v="12.040698156398166"/>
    <s v=""/>
    <s v=""/>
    <s v=""/>
    <s v=""/>
    <s v=""/>
    <s v=""/>
    <n v="2.4117234315368345"/>
    <n v="3035.3969088836693"/>
    <n v="688.78363169590091"/>
    <n v="433.88604296318465"/>
    <n v="768.93873558416919"/>
    <n v="1119.3767386901786"/>
    <n v="1949.9428770490192"/>
    <n v="2051.9086130565415"/>
  </r>
  <r>
    <x v="21"/>
    <n v="798.26690250983802"/>
    <n v="4296.1785965795116"/>
    <n v="5087.0500042970179"/>
    <n v="4296.1785965795116"/>
    <n v="5416.0119237973022"/>
    <n v="10770.220037047144"/>
    <n v="7437.9440847305332"/>
    <n v="5635.5639082558719"/>
    <n v="4478.2959969310323"/>
    <n v="9703.3863560328482"/>
    <n v="18611.262921108315"/>
    <n v="7759.3754199222676"/>
    <n v="9167.7211499491423"/>
    <n v="9.2719556052752097"/>
    <n v="889.36329271148873"/>
    <n v="540.37422135848738"/>
    <n v="921.48847596784162"/>
    <n v="1319.0289086156045"/>
    <n v="2208.5226636254615"/>
    <n v="2489.5357696158203"/>
    <n v="2.7935860267036161"/>
    <n v="3394.120789855901"/>
    <n v="758.37501988880308"/>
    <n v="472.50300588607041"/>
    <n v="846.47011860697262"/>
    <n v="1230.8457307481451"/>
    <n v="2142.4648559118973"/>
    <n v="2252.5969258629138"/>
  </r>
  <r>
    <x v="22"/>
    <n v="118778.19380131936"/>
    <n v="2877.2052845120766"/>
    <n v="7865.3890357099008"/>
    <n v="2877.2052845120766"/>
    <n v="3806.031526577151"/>
    <n v="8082.8943674427301"/>
    <n v="5335.2424316619581"/>
    <n v="3904.5056160805298"/>
    <n v="4270.0106501793089"/>
    <n v="6833.0456497932018"/>
    <n v="12548.817752317384"/>
    <n v="5592.0648314411756"/>
    <n v="6749.0005588955619"/>
    <n v="14.699891883162532"/>
    <n v="603.37993267896195"/>
    <n v="400.12122943946417"/>
    <n v="617.52171585899021"/>
    <n v="884.09569608889819"/>
    <n v="1465.4808356791168"/>
    <n v="1678.8547085327953"/>
    <n v="2.2192544404716674"/>
    <n v="2074.4597569468783"/>
    <n v="486.1421366796734"/>
    <n v="350.74409330512037"/>
    <n v="547.29258761338815"/>
    <n v="801.02227997067507"/>
    <n v="1405.1651752616756"/>
    <n v="1455.4117211214161"/>
  </r>
  <r>
    <x v="23"/>
    <n v="4229.4319886480116"/>
    <n v="4257.0106901677837"/>
    <n v="5282.2301087465848"/>
    <n v="4257.0106901677837"/>
    <s v=""/>
    <s v=""/>
    <s v=""/>
    <s v=""/>
    <s v=""/>
    <s v=""/>
    <s v=""/>
    <s v=""/>
    <s v=""/>
    <n v="9.6519051954047939"/>
    <s v=""/>
    <s v=""/>
    <s v=""/>
    <s v=""/>
    <s v=""/>
    <s v=""/>
    <n v="2.71217413736353"/>
    <n v="3289.4346258186565"/>
    <n v="742.21390052897766"/>
    <n v="467.35407049221459"/>
    <n v="828.9114142319637"/>
    <n v="1206.2744918468265"/>
    <n v="2101.0345151324464"/>
    <n v="2208.5927005237904"/>
  </r>
  <r>
    <x v="24"/>
    <n v="8496.6534506222233"/>
    <n v="2346.9788066254682"/>
    <n v="2859.5923603872502"/>
    <n v="2346.9788066254682"/>
    <s v=""/>
    <s v=""/>
    <s v=""/>
    <s v=""/>
    <s v=""/>
    <s v=""/>
    <s v=""/>
    <s v=""/>
    <s v=""/>
    <n v="4.9358496214134835"/>
    <s v=""/>
    <s v=""/>
    <s v=""/>
    <s v=""/>
    <s v=""/>
    <s v=""/>
    <n v="1.5616135380261003"/>
    <n v="1834.5678419542398"/>
    <n v="430.5066736809315"/>
    <n v="283.0383697446847"/>
    <n v="480.54073071775775"/>
    <n v="701.67823588602334"/>
    <n v="1225.584707212518"/>
    <n v="1290.4853331581603"/>
  </r>
  <r>
    <x v="25"/>
    <n v="8139.9283339327903"/>
    <n v="4213.6362816263072"/>
    <n v="14450.519608652598"/>
    <n v="4213.6362816263072"/>
    <n v="4438.940766205792"/>
    <n v="9921.3650402250896"/>
    <n v="5989.7633769205331"/>
    <n v="5038.8164459259488"/>
    <n v="4890.5382008165916"/>
    <n v="7701.9501935609187"/>
    <n v="14287.563850545148"/>
    <s v=""/>
    <s v=""/>
    <n v="27.91243316113745"/>
    <n v="715.80460024457579"/>
    <n v="492.93397132048955"/>
    <n v="722.56436619015096"/>
    <n v="1030.9342677463408"/>
    <n v="1707.1318678903976"/>
    <s v=""/>
    <n v="2.448392436138862"/>
    <n v="2371.3383477159332"/>
    <n v="561.02626450317291"/>
    <n v="409.2215283271679"/>
    <n v="632.76776053647166"/>
    <n v="926.78959873341819"/>
    <n v="1626.7833981112983"/>
    <n v="1682.2398948473033"/>
  </r>
  <r>
    <x v="26"/>
    <n v="11899.6755981069"/>
    <n v="3359.0764577975751"/>
    <n v="5258.9626200833081"/>
    <n v="3359.0764577975751"/>
    <n v="4696.899491881426"/>
    <n v="10394.045769126837"/>
    <n v="6234.4368341922627"/>
    <n v="5734.2048814923228"/>
    <n v="4994.6850160898402"/>
    <n v="7886.2884461717085"/>
    <n v="14247.027587653134"/>
    <n v="6336.7108917573269"/>
    <n v="7969.9101695512181"/>
    <n v="9.6066112715907437"/>
    <n v="761.6262159895897"/>
    <n v="509.89954549786239"/>
    <n v="746.98414141536307"/>
    <n v="1046.0261353859748"/>
    <n v="1687.3991463509924"/>
    <n v="1969.5766572757598"/>
    <n v="2.304028735049775"/>
    <n v="2281.8634201495665"/>
    <n v="539.37496781345533"/>
    <n v="393.08430830038378"/>
    <n v="608.16037870198977"/>
    <n v="890.70247170591767"/>
    <n v="1563.3787473718435"/>
    <n v="1617.1139339695353"/>
  </r>
  <r>
    <x v="27"/>
    <n v="5812.4957143368574"/>
    <n v="4233.4082078616475"/>
    <n v="15355.198924165748"/>
    <n v="4233.4082078616475"/>
    <n v="4742.0455186127692"/>
    <n v="10512.759819214074"/>
    <n v="6435.0916927133012"/>
    <n v="4913.6419273736492"/>
    <n v="5283.0241268547743"/>
    <n v="8376.2217544370742"/>
    <n v="15875.593317504781"/>
    <n v="6750.6020628512597"/>
    <n v="8390.9962736293946"/>
    <n v="29.727600327094812"/>
    <n v="769.64557600107833"/>
    <n v="529.33297710090324"/>
    <n v="796.97640938873997"/>
    <n v="1146.2165616613024"/>
    <n v="1921.5047587342838"/>
    <n v="2153.9193182925551"/>
    <n v="3.0981844332270341"/>
    <n v="2719.3406262476324"/>
    <n v="640.4033811782532"/>
    <n v="465.26557129152098"/>
    <n v="722.63284418729404"/>
    <n v="1057.9896615629239"/>
    <n v="1856.4831839858005"/>
    <n v="1918.5618708611707"/>
  </r>
  <r>
    <x v="28"/>
    <n v="-575"/>
    <n v="7047.9869060166702"/>
    <n v="9414.1049906856315"/>
    <n v="7447.9068500720423"/>
    <n v="8806.9369499993227"/>
    <n v="17440.393768896764"/>
    <n v="11642.893626014176"/>
    <n v="8794.5441902875518"/>
    <n v="7047.9869060166702"/>
    <n v="15365.60110986608"/>
    <n v="30279.685842142961"/>
    <n v="12159.14614459003"/>
    <n v="14249.842782512102"/>
    <n v="17.807267394751079"/>
    <n v="1491.6986592079004"/>
    <n v="886.93896969690309"/>
    <n v="1547.9305583702562"/>
    <n v="2203.5573223625274"/>
    <n v="3689.7892774499587"/>
    <n v="4166.6242971787779"/>
    <n v="4.687185201530701"/>
    <n v="5722.6396897597851"/>
    <n v="1265.488336167723"/>
    <n v="779.49717074836929"/>
    <n v="1414.1087349563768"/>
    <n v="2054.2603742712863"/>
    <n v="3572.8923435187066"/>
    <n v="3750.9725452442131"/>
  </r>
  <r>
    <x v="28"/>
    <n v="-575"/>
    <n v="4438.3858923124217"/>
    <n v="5595.8398129088637"/>
    <n v="4494.4328597604799"/>
    <n v="5472.4002670717409"/>
    <n v="10854.733512636623"/>
    <n v="7512.986850202843"/>
    <n v="5745.9576574616003"/>
    <n v="4438.3858923124217"/>
    <n v="9797.5334379400902"/>
    <n v="18793.363997225712"/>
    <n v="7824.6146670683056"/>
    <n v="9224.0563049195061"/>
    <n v="10.262397124862215"/>
    <n v="899.37964316155353"/>
    <n v="543.81458934898444"/>
    <n v="930.48379690479157"/>
    <n v="1330.747991662399"/>
    <n v="2226.7363792677484"/>
    <n v="2510.880566177636"/>
    <n v="2.7340382828869325"/>
    <n v="3434.5542753199584"/>
    <n v="765.12765758841169"/>
    <n v="472.7924375916466"/>
    <n v="853.54729882697222"/>
    <n v="1240.68005610603"/>
    <n v="2158.6859902793185"/>
    <n v="2271.4884541056076"/>
  </r>
  <r>
    <x v="29"/>
    <n v="204.99648449094934"/>
    <n v="4396.7868767083191"/>
    <n v="16782.381212994467"/>
    <n v="4396.7868767083191"/>
    <n v="4753.5621509806024"/>
    <n v="10671.673250596987"/>
    <n v="6407.558840863383"/>
    <n v="4926.0997749952239"/>
    <n v="5304.0289051725185"/>
    <n v="8377.6261447036595"/>
    <n v="15965.27168223133"/>
    <n v="6753.1765530689072"/>
    <n v="8586.3712332991272"/>
    <n v="32.59112819392611"/>
    <n v="771.6912935927329"/>
    <n v="541.5202079015944"/>
    <n v="803.09562853597458"/>
    <n v="1159.8691716568326"/>
    <n v="1954.3405182654983"/>
    <n v="2174.4272025929818"/>
    <n v="2.8351890352510791"/>
    <n v="2739.1749071558438"/>
    <n v="652.709360363158"/>
    <n v="478.2130011573845"/>
    <n v="737.05888770124773"/>
    <n v="1079.9941285839666"/>
    <n v="1896.2011922701815"/>
    <n v="1959.4666331815258"/>
  </r>
  <r>
    <x v="30"/>
    <n v="-150.43649015317806"/>
    <n v="4374.5182572616195"/>
    <n v="5196.9608188910988"/>
    <n v="4374.5182572616195"/>
    <s v=""/>
    <s v=""/>
    <s v=""/>
    <s v=""/>
    <s v=""/>
    <s v=""/>
    <s v=""/>
    <s v=""/>
    <s v=""/>
    <n v="9.4859147537939581"/>
    <s v=""/>
    <s v=""/>
    <s v=""/>
    <s v=""/>
    <s v=""/>
    <s v=""/>
    <n v="2.7431492689129904"/>
    <n v="3438.1105192625892"/>
    <n v="769.74305188261235"/>
    <n v="478.36106907508582"/>
    <n v="859.02345836701136"/>
    <n v="1249.1496938506789"/>
    <n v="2174.1446437027344"/>
    <n v="2287.2758542497936"/>
  </r>
  <r>
    <x v="31"/>
    <n v="767.84252158275467"/>
    <n v="4688.5039054500221"/>
    <n v="16055.129693028359"/>
    <n v="4688.5039054500221"/>
    <n v="5298.2581155526168"/>
    <n v="11907.643973661536"/>
    <n v="7137.131713734957"/>
    <n v="5355.130698105344"/>
    <n v="5906.5689785349159"/>
    <n v="9391.3880615239996"/>
    <n v="18139.416041711615"/>
    <n v="7512.9488780826523"/>
    <n v="9339.4630285684452"/>
    <n v="31.131955802340826"/>
    <n v="868.44649782591966"/>
    <n v="603.84581826421413"/>
    <n v="910.2244474736782"/>
    <n v="1314.3807761415285"/>
    <n v="2221.9332944712705"/>
    <n v="2459.0429129339486"/>
    <n v="2.9056286370558935"/>
    <n v="3183.0045512230681"/>
    <n v="746.02190568083688"/>
    <n v="540.27973072799921"/>
    <n v="842.27659399353638"/>
    <n v="1232.6820495933671"/>
    <n v="2162.407649133037"/>
    <n v="2232.9242293168236"/>
  </r>
  <r>
    <x v="32"/>
    <n v="8.5355708701161745"/>
    <n v="2688.4642861179259"/>
    <n v="2688.4642861179259"/>
    <n v="2974.4047468730555"/>
    <n v="4153.3954803774268"/>
    <n v="8171.3630806369247"/>
    <n v="5860.4307844399482"/>
    <n v="4310.1019013695122"/>
    <n v="3477.9176986583952"/>
    <n v="7598.7615732299691"/>
    <n v="14322.932803738013"/>
    <n v="6153.5912841971376"/>
    <n v="7379.2378411098016"/>
    <n v="4.6027211918450117"/>
    <n v="665.08274026190566"/>
    <n v="409.24272573335259"/>
    <n v="691.85345215984455"/>
    <n v="997.46790069893143"/>
    <n v="1675.4158265653671"/>
    <n v="1885.5237129909367"/>
    <n v="1.991228065759381"/>
    <n v="2548.6246926073768"/>
    <n v="577.92727122567567"/>
    <n v="362.82683801580214"/>
    <n v="644.38900204146285"/>
    <n v="938.01210084449951"/>
    <n v="1633.8484747399696"/>
    <n v="1721.6497775394337"/>
  </r>
  <r>
    <x v="33"/>
    <n v="1612.1956340009228"/>
    <n v="2375.008841484404"/>
    <n v="2417.0516824202277"/>
    <n v="2375.008841484404"/>
    <n v="3750.110961168627"/>
    <n v="8189.7338445550722"/>
    <n v="5365.3973390508081"/>
    <n v="3542.172106345507"/>
    <n v="4293.4927016516167"/>
    <n v="7001.8593359517945"/>
    <n v="13296.391706396391"/>
    <n v="5686.1204805750294"/>
    <n v="6861.5600559853674"/>
    <n v="4.0743727322427175"/>
    <n v="593.44667434981625"/>
    <n v="411.18436969000544"/>
    <n v="632.0627841702966"/>
    <n v="922.46361922349843"/>
    <n v="1572.5798256527441"/>
    <n v="1731.494564497069"/>
    <n v="3.0241141706481822"/>
    <n v="2294.7224389120674"/>
    <n v="535.89086545716646"/>
    <n v="385.7551599134224"/>
    <n v="603.60260080023238"/>
    <n v="883.18328299743428"/>
    <n v="1548.9646904365839"/>
    <n v="1603.2454204303558"/>
  </r>
  <r>
    <x v="34"/>
    <n v="114.60295179975122"/>
    <n v="3511.5856867154043"/>
    <n v="4740.3268131405557"/>
    <n v="3511.5856867154043"/>
    <n v="4434.7552976980423"/>
    <n v="9000.1777412656302"/>
    <n v="6099.3962617827938"/>
    <n v="4772.5592414491402"/>
    <n v="3805.9413991686965"/>
    <n v="7880.0319460575274"/>
    <n v="14788.111849708268"/>
    <n v="6377.4778879934547"/>
    <n v="7987.843525783881"/>
    <n v="8.5970029263644392"/>
    <n v="715.06112886490973"/>
    <n v="454.91903734847324"/>
    <n v="738.72505713330327"/>
    <n v="1058.7719841356568"/>
    <n v="1767.0607594069545"/>
    <n v="1996.6736142999353"/>
    <n v="2.1125705914566999"/>
    <n v="2581.8050077209741"/>
    <n v="599.86488951431465"/>
    <n v="388.66013895588958"/>
    <n v="670.46793334253505"/>
    <n v="977.98551825024208"/>
    <n v="1706.5256370212146"/>
    <n v="1794.7359098228051"/>
  </r>
  <r>
    <x v="35"/>
    <n v="25.602416324937167"/>
    <n v="4204.0152016562279"/>
    <n v="7393.413066525346"/>
    <n v="4204.0152016562279"/>
    <n v="4876.3682473220888"/>
    <n v="10932.983722038429"/>
    <n v="6591.4562038882914"/>
    <n v="4929.7809716802549"/>
    <n v="5462.1273956609302"/>
    <n v="8654.3178605942358"/>
    <n v="16606.105793873718"/>
    <n v="6963.5378715728475"/>
    <n v="8771.140465849212"/>
    <n v="13.761663727191362"/>
    <n v="793.50553439023383"/>
    <n v="555.63874123417861"/>
    <n v="831.48999188953826"/>
    <n v="1203.0535147058715"/>
    <n v="2034.0788349182214"/>
    <n v="2253.7332437442269"/>
    <n v="2.5266037546061662"/>
    <n v="2880.6754222632053"/>
    <n v="682.41205102797346"/>
    <n v="497.78483930237473"/>
    <n v="770.52485683706095"/>
    <n v="1128.5421798789471"/>
    <n v="1980.8041510043745"/>
    <n v="2046.4878155648878"/>
  </r>
  <r>
    <x v="36"/>
    <n v="4523.0767320283185"/>
    <n v="4608.9747675342051"/>
    <n v="16915.356158263585"/>
    <n v="4608.9747675342051"/>
    <n v="4990.9138326828779"/>
    <n v="11187.176767292773"/>
    <n v="6678.4142191373921"/>
    <n v="5280.3215735200611"/>
    <n v="5547.7608186481539"/>
    <n v="8695.7797110270276"/>
    <n v="16527.475896653974"/>
    <s v=""/>
    <s v=""/>
    <n v="32.857931856183569"/>
    <n v="813.85244757932128"/>
    <n v="564.72882344368202"/>
    <n v="838.0499020884738"/>
    <n v="1203.5064848806651"/>
    <n v="2017.2877502443785"/>
    <s v=""/>
    <n v="3.3407621826758369"/>
    <n v="2829.825578440797"/>
    <n v="670.22079836024216"/>
    <n v="488.78240298698324"/>
    <n v="756.68048227604561"/>
    <n v="1108.2537333851258"/>
    <n v="1945.1787183677166"/>
    <n v="2009.8765102040256"/>
  </r>
  <r>
    <x v="37"/>
    <n v="881.59575290787325"/>
    <n v="3126.4039265215451"/>
    <n v="3661.9179344827776"/>
    <n v="3126.4039265215451"/>
    <n v="4353.1171569411026"/>
    <n v="8671.6593684044747"/>
    <n v="5976.7420561225226"/>
    <n v="4417.7861597219699"/>
    <n v="3913.5769114432919"/>
    <n v="7744.0105669727063"/>
    <n v="14541.599937785815"/>
    <n v="6332.3241747513557"/>
    <n v="7899.8790178945264"/>
    <n v="6.4977059073693475"/>
    <n v="700.55961701992703"/>
    <n v="441.1354697005678"/>
    <n v="724.26243035503433"/>
    <n v="1042.2715235523592"/>
    <n v="1743.1410848056248"/>
    <n v="1981.9843678748309"/>
    <n v="2.2275422067593516"/>
    <n v="2536.6635685945944"/>
    <n v="592.68343165840645"/>
    <n v="390.04886679490716"/>
    <n v="663.15828929783606"/>
    <n v="967.99341962730909"/>
    <n v="1690.4489479584608"/>
    <n v="1774.8448874143319"/>
  </r>
  <r>
    <x v="38"/>
    <n v="-141.13314325381438"/>
    <n v="4109.4063227595416"/>
    <n v="15682.974626966683"/>
    <n v="4109.4063227595416"/>
    <n v="4561.6746750556858"/>
    <n v="10252.667594680595"/>
    <n v="6130.7618675049853"/>
    <n v="4879.8459419858964"/>
    <n v="5098.993990898477"/>
    <n v="7971.4787367308882"/>
    <n v="15043.939240155805"/>
    <s v=""/>
    <s v=""/>
    <n v="30.385256231591072"/>
    <n v="737.60601826396476"/>
    <n v="517.86711768102737"/>
    <n v="759.12498715496349"/>
    <n v="1092.8760459414971"/>
    <n v="1833.062133196137"/>
    <s v=""/>
    <n v="2.2503551717081112"/>
    <n v="2542.379577570835"/>
    <n v="608.68243046841201"/>
    <n v="447.4565237836361"/>
    <n v="687.2480360792016"/>
    <n v="1007.3670640960232"/>
    <n v="1769.1527747475925"/>
    <n v="1828.8642694676721"/>
  </r>
  <r>
    <x v="39"/>
    <n v="649.91822141942612"/>
    <n v="3727.442056998575"/>
    <n v="4949.13835731787"/>
    <n v="3727.442056998575"/>
    <n v="4755.3624400732642"/>
    <n v="9682.7723942016146"/>
    <n v="6483.561930130405"/>
    <n v="5010.1544585395586"/>
    <n v="4139.0170306063619"/>
    <n v="8409.7962490263835"/>
    <n v="15905.986476293087"/>
    <n v="6798.6948935836681"/>
    <n v="8529.3871887917558"/>
    <n v="9.0034883150685729"/>
    <n v="772.01108178682409"/>
    <n v="492.09436927594402"/>
    <n v="800.05136731170865"/>
    <n v="1147.1429206284176"/>
    <n v="1918.1192473987719"/>
    <n v="2164.4392201321025"/>
    <n v="2.3875610722848921"/>
    <n v="2800.24179992155"/>
    <n v="651.10845962817586"/>
    <n v="424.719792225878"/>
    <n v="728.45751924893239"/>
    <n v="1062.7634421088264"/>
    <n v="1854.9915192306205"/>
    <n v="1948.1220098622528"/>
  </r>
  <r>
    <x v="40"/>
    <n v="-425.83166220330531"/>
    <n v="3507.0596954091325"/>
    <n v="4723.6106358874486"/>
    <n v="3507.0596954091325"/>
    <s v=""/>
    <s v=""/>
    <s v=""/>
    <s v=""/>
    <s v=""/>
    <s v=""/>
    <s v=""/>
    <s v=""/>
    <s v=""/>
    <n v="8.5644621880870258"/>
    <s v=""/>
    <s v=""/>
    <s v=""/>
    <s v=""/>
    <s v=""/>
    <s v=""/>
    <n v="2.1843551153571359"/>
    <n v="2586.4678828954002"/>
    <n v="596.9033033610441"/>
    <n v="385.87391055535596"/>
    <n v="667.04513896545882"/>
    <n v="972.59601453509765"/>
    <n v="1696.7715443945724"/>
    <n v="1783.6252418440979"/>
  </r>
  <r>
    <x v="41"/>
    <n v="1244.5341053535385"/>
    <n v="4056.7378280962294"/>
    <n v="16799.026947570223"/>
    <n v="5261.9317103962958"/>
    <n v="5007.8123318678436"/>
    <n v="10269.344249960446"/>
    <n v="6705.7980450882651"/>
    <n v="6120.1889893283796"/>
    <n v="4056.7378280962294"/>
    <n v="8569.4340849033924"/>
    <n v="15869.631272864413"/>
    <s v=""/>
    <s v=""/>
    <n v="32.624526537777946"/>
    <n v="816.85415467138762"/>
    <n v="505.6592665695274"/>
    <n v="807.0877134651513"/>
    <n v="1138.1232264990733"/>
    <n v="1863.1881668714773"/>
    <s v=""/>
    <n v="2.1602184806158689"/>
    <n v="2744.6119665064616"/>
    <n v="622.21397051925146"/>
    <n v="391.01833111831024"/>
    <n v="694.15337987215457"/>
    <n v="1010.435851273804"/>
    <n v="1760.015906181186"/>
    <n v="1853.4387362368063"/>
  </r>
  <r>
    <x v="42"/>
    <n v="1712.2245318409637"/>
    <n v="2627.8936158727083"/>
    <n v="2961.9195233481155"/>
    <n v="2627.8936158727083"/>
    <n v="3890.4679887181005"/>
    <n v="8476.0287498056587"/>
    <n v="5602.522994646687"/>
    <n v="3773.3158836583543"/>
    <n v="4391.5473425328128"/>
    <n v="7299.4538503997255"/>
    <n v="13867.3240119864"/>
    <n v="5878.6045054983297"/>
    <n v="6865.0859757923527"/>
    <n v="5.1350459674537117"/>
    <n v="618.37851476978847"/>
    <n v="420.09045284029452"/>
    <n v="655.63803743150436"/>
    <n v="952.45695511547433"/>
    <n v="1617.5145028687664"/>
    <n v="1783.6625440780842"/>
    <n v="3.1313111931447049"/>
    <n v="2414.8591799611172"/>
    <n v="551.55720739246181"/>
    <n v="389.86513817458996"/>
    <n v="620.53029967304815"/>
    <n v="906.4417630902085"/>
    <n v="1587.7798731755911"/>
    <n v="1643.4839166486995"/>
  </r>
  <r>
    <x v="43"/>
    <n v="3076.8598370655232"/>
    <n v="2340.1815250562054"/>
    <n v="2419.2564168671952"/>
    <n v="2340.1815250562054"/>
    <n v="3799.5493309247854"/>
    <n v="8289.7611702386621"/>
    <n v="5392.6672109849897"/>
    <n v="3783.190093593551"/>
    <n v="4295.8033056994891"/>
    <n v="6998.8935696303542"/>
    <n v="13154.656598023848"/>
    <n v="5677.9789435126604"/>
    <n v="6852.6981761807001"/>
    <n v="4.0786646038544898"/>
    <n v="602.22849003018644"/>
    <n v="413.27400632944716"/>
    <n v="632.14337442089732"/>
    <n v="916.41095774815358"/>
    <n v="1547.914516939476"/>
    <n v="1722.0316447310095"/>
    <n v="2.3441255652022392"/>
    <n v="2241.7379399906949"/>
    <n v="522.86488974151428"/>
    <n v="375.95296042485609"/>
    <n v="588.787036115462"/>
    <n v="861.43345191332469"/>
    <n v="1510.7235521802338"/>
    <n v="1563.9572341136891"/>
  </r>
  <r>
    <x v="44"/>
    <n v="1543.9945879763222"/>
    <n v="4575.7680821045587"/>
    <n v="5656.2368957125209"/>
    <n v="4788.5829455771045"/>
    <n v="5757.4929041047735"/>
    <n v="11371.199289378124"/>
    <n v="7980.186384259986"/>
    <n v="5996.4851226012652"/>
    <n v="4575.7680821045587"/>
    <n v="10437.741998721969"/>
    <n v="20177.525612780904"/>
    <n v="8274.8370885449531"/>
    <n v="9456.0910962492908"/>
    <n v="10.379969799192871"/>
    <n v="950.02109842400012"/>
    <n v="565.80406563902307"/>
    <n v="988.21455546557138"/>
    <n v="1413.3102820203508"/>
    <n v="2370.8833768258824"/>
    <n v="2659.1838263285604"/>
    <n v="2.9787129497989606"/>
    <n v="3747.9730739398224"/>
    <n v="820.04917213078613"/>
    <n v="496.61129056867753"/>
    <n v="913.90305761053719"/>
    <n v="1326.4154981551926"/>
    <n v="2305.0831735977063"/>
    <n v="2426.1886334228325"/>
  </r>
  <r>
    <x v="45"/>
    <n v="-146.75780118671327"/>
    <n v="4725.7068630492113"/>
    <n v="5790.6071516760876"/>
    <n v="4725.7068630492113"/>
    <n v="5733.0417778564497"/>
    <n v="11398.456535630025"/>
    <n v="7775.9299851432788"/>
    <n v="5583.5053319605722"/>
    <n v="4787.1576489637191"/>
    <n v="10262.794443552497"/>
    <n v="19992.257311363344"/>
    <n v="8246.4350271766689"/>
    <n v="10082.170540261959"/>
    <n v="10.641543199939544"/>
    <n v="945.67780626146896"/>
    <n v="586.25763356703658"/>
    <n v="996.48814211611182"/>
    <n v="1439.3654057513081"/>
    <n v="2435.7847970330854"/>
    <n v="2717.346375109018"/>
    <n v="2.9807921690029193"/>
    <n v="3692.1669486982032"/>
    <n v="841.75768453596902"/>
    <n v="534.2364255882236"/>
    <n v="941.10689539767213"/>
    <n v="1370.5239024483546"/>
    <n v="2388.2708364577957"/>
    <n v="2509.5287105748253"/>
  </r>
  <r>
    <x v="46"/>
    <n v="245.99667655335179"/>
    <n v="4406.7670149306059"/>
    <n v="4406.7670149306059"/>
    <n v="5448.534169646493"/>
    <n v="6985.9934270003068"/>
    <n v="13780.774106744348"/>
    <n v="9690.1462553713682"/>
    <n v="7052.149137374462"/>
    <n v="5413.4604287942157"/>
    <n v="12797.315236812903"/>
    <n v="25234.946293963723"/>
    <n v="10027.263675217489"/>
    <n v="11085.090295226448"/>
    <n v="7.9476749173904278"/>
    <n v="1168.2415860436015"/>
    <n v="685.8703042188564"/>
    <n v="1229.4405695770454"/>
    <n v="1760.9379036632922"/>
    <n v="2972.4846262030023"/>
    <n v="3299.6168990494398"/>
    <n v="3.8775236465372549"/>
    <n v="4829.5570762336811"/>
    <n v="1037.5598060497289"/>
    <n v="616.38208408739956"/>
    <n v="1155.9678126059605"/>
    <n v="1675.1516577622613"/>
    <n v="2907.6370718071817"/>
    <n v="3058.5787493880612"/>
  </r>
  <r>
    <x v="47"/>
    <n v="-1528.0591779761089"/>
    <n v="2741.1008060194822"/>
    <n v="2741.1008060194822"/>
    <n v="2816.831666668666"/>
    <n v="4330.8089178744285"/>
    <n v="9456.8653958120922"/>
    <n v="6140.1553488051331"/>
    <n v="4022.2630582947436"/>
    <n v="4918.9046324947303"/>
    <n v="8069.26403628972"/>
    <n v="15550.340749537032"/>
    <n v="6487.0889118413788"/>
    <n v="7652.6040903268586"/>
    <n v="4.7051866773454121"/>
    <n v="696.59696929097834"/>
    <n v="474.83331603451143"/>
    <n v="744.51308146312408"/>
    <n v="1083.9631932366303"/>
    <n v="1848.5664318372251"/>
    <n v="2029.8321393818605"/>
    <n v="3.4105984698557261"/>
    <n v="2752.096825165539"/>
    <n v="631.60029364748436"/>
    <n v="448.56298535506318"/>
    <n v="711.41367996782583"/>
    <n v="1039.5370914241112"/>
    <n v="1821.3700847192274"/>
    <n v="1883.4836011867553"/>
  </r>
  <r>
    <x v="48"/>
    <n v="-747.19977741638081"/>
    <n v="4455.4934276956792"/>
    <n v="6948.4023269457657"/>
    <n v="4455.4934276956792"/>
    <n v="5624.3287997063317"/>
    <n v="12614.639467165722"/>
    <n v="7523.2350287888066"/>
    <n v="5587.8184505963318"/>
    <n v="6270.253095993754"/>
    <n v="9926.0983460863408"/>
    <n v="19268.802945660493"/>
    <n v="7940.3198650652876"/>
    <n v="9904.5474181697537"/>
    <n v="12.895378464237147"/>
    <n v="926.36694830059275"/>
    <n v="642.71243562105326"/>
    <n v="972.89288881486686"/>
    <n v="1405.0133319583017"/>
    <n v="2377.0060644744945"/>
    <n v="2631.0286172815499"/>
    <n v="3.221916497703746"/>
    <n v="3401.3976378533071"/>
    <n v="798.32596577860056"/>
    <n v="578.43070592448782"/>
    <n v="901.63426467824445"/>
    <n v="1319.6351675839685"/>
    <n v="2314.9954207566784"/>
    <n v="2390.0203569224582"/>
  </r>
  <r>
    <x v="49"/>
    <n v="20759.170596802724"/>
    <n v="3115.5304915914403"/>
    <n v="6182.8212127389024"/>
    <n v="3115.5304915914403"/>
    <n v="4314.7006773262137"/>
    <n v="9481.7925578626273"/>
    <n v="6090.5028648491761"/>
    <n v="4272.601025701133"/>
    <n v="4829.8757161823787"/>
    <n v="7959.4657301073867"/>
    <n v="15198.240690111355"/>
    <n v="6382.2482626194924"/>
    <n v="7534.0755182932635"/>
    <n v="11.405051202787151"/>
    <n v="693.7356370883349"/>
    <n v="472.06255442247902"/>
    <n v="731.99902729862845"/>
    <n v="1059.8942106784848"/>
    <n v="1794.7451225133957"/>
    <n v="1982.8940646169938"/>
    <n v="2.8212375151903162"/>
    <n v="2659.4305702358629"/>
    <n v="608.92385064211692"/>
    <n v="431.55175609468012"/>
    <n v="685.62711194568055"/>
    <n v="1001.6931149662902"/>
    <n v="1754.8466130583604"/>
    <n v="1815.140567640213"/>
  </r>
  <r>
    <x v="50"/>
    <n v="-3.6317412482690301"/>
    <n v="3826.5279628868275"/>
    <n v="11472.33746233485"/>
    <n v="4061.628795204907"/>
    <n v="4628.2674847690023"/>
    <n v="9177.1804945266522"/>
    <n v="6451.1237318474668"/>
    <n v="4826.7425067965041"/>
    <n v="3826.5279628868275"/>
    <n v="8397.370326407814"/>
    <n v="15977.137312552859"/>
    <n v="6757.5507962234697"/>
    <n v="8087.6743691792308"/>
    <n v="21.936947313790441"/>
    <n v="749.43500419988288"/>
    <n v="460.72450687104879"/>
    <n v="779.534104382294"/>
    <n v="1121.7147271731376"/>
    <n v="1884.4361074261624"/>
    <n v="2116.2372740819146"/>
    <e v="#N/A"/>
    <n v="2879.4375532126614"/>
    <n v="649.61796435620636"/>
    <n v="406.26389873883392"/>
    <n v="724.64600959300083"/>
    <n v="1054.4030725715029"/>
    <n v="1836.0318381422762"/>
    <n v="1933.2631669806383"/>
  </r>
  <r>
    <x v="51"/>
    <n v="-452.3494714158353"/>
    <n v="4223.5924134332936"/>
    <n v="15620.67613346878"/>
    <n v="4223.5924134332936"/>
    <n v="4736.8106902938871"/>
    <n v="10627.563933124971"/>
    <n v="6378.6933957541905"/>
    <n v="5064.990003216577"/>
    <n v="5267.3232622146325"/>
    <n v="8297.062957023847"/>
    <n v="15706.390303463615"/>
    <s v=""/>
    <s v=""/>
    <n v="30.260259254267837"/>
    <n v="768.71570518127692"/>
    <n v="534.71481688271774"/>
    <n v="791.1331758354105"/>
    <n v="1136.8819165083362"/>
    <n v="1905.5177866975068"/>
    <s v=""/>
    <n v="2.4734819584310621"/>
    <n v="2676.2577282999991"/>
    <n v="633.47175865829672"/>
    <n v="461.6615025020929"/>
    <n v="714.9323838380277"/>
    <n v="1047.079406879011"/>
    <n v="1837.7676349629978"/>
    <n v="1899.5287225958455"/>
  </r>
  <r>
    <x v="52"/>
    <n v="626.03544898745849"/>
    <n v="4385.716704044863"/>
    <n v="5325.5186264249078"/>
    <n v="4385.716704044863"/>
    <n v="5356.4546477006552"/>
    <n v="10614.688994076012"/>
    <n v="7341.7633006286742"/>
    <n v="5324.5669062206025"/>
    <n v="4447.4553374724564"/>
    <n v="9644.7846845610093"/>
    <n v="18652.69201671223"/>
    <n v="7748.0149521743733"/>
    <n v="9352.0673309968188"/>
    <n v="9.7361732851036891"/>
    <n v="878.784039720637"/>
    <n v="540.87758916422172"/>
    <n v="922.19317269438579"/>
    <n v="1329.7659710506564"/>
    <n v="2244.5771643388534"/>
    <n v="2510.2499252933862"/>
    <n v="2.7441138731752091"/>
    <n v="3424.3004002657299"/>
    <n v="775.5093035050827"/>
    <n v="488.21113957278379"/>
    <n v="866.24702447953575"/>
    <n v="1260.8338643107077"/>
    <n v="2196.1448684490288"/>
    <n v="2309.3077789675312"/>
  </r>
  <r>
    <x v="53"/>
    <n v="2524.5163697267135"/>
    <n v="4322.7378856696178"/>
    <n v="13698.243131092844"/>
    <n v="4748.3785198367004"/>
    <n v="5297.4071945183714"/>
    <n v="10475.97922813335"/>
    <n v="7309.5871789536095"/>
    <n v="5464.7147435946918"/>
    <n v="4322.7378856696178"/>
    <n v="9548.8410295353569"/>
    <n v="18342.961678275235"/>
    <n v="7639.4185480735641"/>
    <n v="9017.1047860796862"/>
    <n v="26.403050180479838"/>
    <n v="868.29534737904714"/>
    <n v="526.32415506928567"/>
    <n v="903.18376769073063"/>
    <n v="1295.5775923987908"/>
    <n v="2174.5262961291219"/>
    <n v="2444.288380936172"/>
    <n v="2.6703265355726136"/>
    <n v="3357.1995358054442"/>
    <n v="749.6116325648577"/>
    <n v="464.28877754256411"/>
    <n v="836.28100064023863"/>
    <n v="1215.8113467946637"/>
    <n v="2115.7278107980719"/>
    <n v="2226.3964569296268"/>
  </r>
  <r>
    <x v="54"/>
    <n v="-423.42349411511918"/>
    <n v="4280.232120914251"/>
    <n v="11731.769413538119"/>
    <n v="4489.4661271389868"/>
    <n v="5016.4750963345068"/>
    <n v="10075.182698572775"/>
    <n v="6819.1074594088286"/>
    <n v="5148.1987534795289"/>
    <n v="4280.232120914251"/>
    <n v="8907.9121685149803"/>
    <n v="17028.822780109407"/>
    <n v="7199.0284939272196"/>
    <n v="8935.0240249828366"/>
    <n v="22.457476910907754"/>
    <n v="818.39293520165006"/>
    <n v="513.96640005865095"/>
    <n v="850.62870568089204"/>
    <n v="1224.6452085454255"/>
    <n v="2058.0727979477128"/>
    <n v="2315.7319652202309"/>
    <n v="2.5266299843234683"/>
    <n v="3055.8158903091444"/>
    <n v="704.49726986233713"/>
    <n v="453.70066470835832"/>
    <n v="787.79756018433011"/>
    <n v="1148.4200755396355"/>
    <n v="2003.0122177091246"/>
    <n v="2104.6560633673157"/>
  </r>
  <r>
    <x v="55"/>
    <n v="1707.983001020084"/>
    <n v="4708.4392974618168"/>
    <n v="17289.603996939546"/>
    <n v="4708.4392974618168"/>
    <n v="5142.9146999310724"/>
    <n v="11551.0760648981"/>
    <n v="6921.8966561140242"/>
    <n v="5287.2367682507365"/>
    <n v="5708.6429888324892"/>
    <n v="9079.2770714924554"/>
    <n v="17439.92968910062"/>
    <n v="7276.4088026771396"/>
    <n v="9101.4580128504476"/>
    <n v="33.608830408904204"/>
    <n v="840.85260162998748"/>
    <n v="584.97592347714078"/>
    <n v="877.07374308335136"/>
    <n v="1264.984264117162"/>
    <n v="2133.2325403027767"/>
    <n v="2368.3922326756456"/>
    <n v="2.9332337468871437"/>
    <n v="3035.5775736707665"/>
    <n v="714.20042736048799"/>
    <n v="518.27290680926922"/>
    <n v="806.29357150346243"/>
    <n v="1180.3331675222582"/>
    <n v="2070.9302708375094"/>
    <n v="2139.1960472858027"/>
  </r>
  <r>
    <x v="56"/>
    <n v="-60145.201175924347"/>
    <n v="4067.6881148942052"/>
    <n v="5119.8339427204201"/>
    <n v="4067.6881148942052"/>
    <n v="5072.1405892707835"/>
    <n v="10264.128985313493"/>
    <n v="6903.5174520899354"/>
    <n v="5627.8200971673996"/>
    <n v="4357.7916762292616"/>
    <n v="8868.8308125975364"/>
    <n v="16586.081760555586"/>
    <n v="7119.6913880899383"/>
    <n v="8603.901414721222"/>
    <n v="9.3357748352214838"/>
    <n v="828.28088460480456"/>
    <n v="510.57339056623852"/>
    <n v="840.76615684679189"/>
    <n v="1190.0048171332242"/>
    <n v="1960.3908954736116"/>
    <n v="2249.1678487693689"/>
    <n v="2.5455272572904866"/>
    <n v="2902.1641106577226"/>
    <n v="658.25593985677926"/>
    <n v="420.65571003008989"/>
    <n v="735.49991134156949"/>
    <n v="1071.0757074821743"/>
    <n v="1867.0148406657388"/>
    <n v="1960.6031373541034"/>
  </r>
  <r>
    <x v="57"/>
    <n v="739.29247988500174"/>
    <n v="4756.5126385947606"/>
    <n v="8390.4307054615529"/>
    <n v="4756.5126385947606"/>
    <n v="5189.5904813476382"/>
    <n v="11685.578684379654"/>
    <n v="6895.5713636665332"/>
    <n v="5921.52883502654"/>
    <n v="5590.08305639434"/>
    <n v="8876.9669957959286"/>
    <n v="16605.160131672157"/>
    <n v="7090.3414109253918"/>
    <n v="8917.3328788657236"/>
    <n v="15.753346276725235"/>
    <n v="849.14369438161418"/>
    <n v="582.10895806126302"/>
    <n v="858.06491528388449"/>
    <n v="1216.3910407669707"/>
    <n v="2006.996979254154"/>
    <n v="2278.724260345869"/>
    <n v="2.9754863630528092"/>
    <n v="2788.2135237368548"/>
    <n v="655.97506056935492"/>
    <n v="476.27283914103333"/>
    <n v="740.28008393792845"/>
    <n v="1083.7435848584073"/>
    <n v="1901.5670379400626"/>
    <n v="1964.863495167021"/>
  </r>
  <r>
    <x v="58"/>
    <n v="7761.38710089919"/>
    <n v="3764.5996012440341"/>
    <n v="3999.1669665600057"/>
    <n v="3764.5996012440341"/>
    <n v="5186.4049965070235"/>
    <n v="10502.729976108933"/>
    <n v="7045.6780347367221"/>
    <n v="5747.7018501066159"/>
    <n v="4378.9564373014373"/>
    <n v="9074.4905389686955"/>
    <n v="17052.762051107093"/>
    <n v="7273.2720464654021"/>
    <n v="8818.5137953559024"/>
    <n v="7.1542156057871562"/>
    <n v="848.5778516796629"/>
    <n v="523.88931598711986"/>
    <n v="863.75581795705875"/>
    <n v="1224.3896639377988"/>
    <n v="2022.6348099122756"/>
    <n v="2311.4138155543997"/>
    <n v="2.5509101428442951"/>
    <n v="3005.1566157977736"/>
    <n v="681.37053867154771"/>
    <n v="433.09366679438511"/>
    <n v="761.1614865624141"/>
    <n v="1108.2612739210188"/>
    <n v="1931.3339233246209"/>
    <n v="2029.3797861060937"/>
  </r>
  <r>
    <x v="59"/>
    <n v="-825.03181993701992"/>
    <n v="3599.6755926632322"/>
    <n v="3640.0526406666204"/>
    <n v="3599.6755926632322"/>
    <n v="5080.2976522722893"/>
    <n v="10372.7425181211"/>
    <n v="6912.5407174312413"/>
    <n v="5658.1110077025724"/>
    <n v="4287.9542968144187"/>
    <n v="8917.0907173036121"/>
    <n v="16790.238965157663"/>
    <n v="7140.9085284154744"/>
    <n v="8721.998852625462"/>
    <n v="6.4551415822454299"/>
    <n v="829.72983658533519"/>
    <n v="518.30144531295116"/>
    <n v="847.1890095850049"/>
    <n v="1203.9933849220495"/>
    <n v="1995.2885795311595"/>
    <n v="2267.6214751679986"/>
    <n v="2.5138976578407699"/>
    <n v="2960.7295541217127"/>
    <n v="673.63287007761164"/>
    <n v="429.71876052846926"/>
    <n v="752.65536138962398"/>
    <n v="1096.1823209652052"/>
    <n v="1910.7075498781808"/>
    <n v="2007.6212315789783"/>
  </r>
  <r>
    <x v="60"/>
    <n v="3840.3866690437453"/>
    <n v="2193.3674519800388"/>
    <n v="2622.4506257312032"/>
    <n v="2193.3674519800388"/>
    <n v="3423.2659335838352"/>
    <n v="7420.2392665025782"/>
    <n v="4994.1359842337406"/>
    <n v="3284.8844787278867"/>
    <n v="3911.8869006834475"/>
    <n v="6477.2447605677989"/>
    <n v="12171.702813498836"/>
    <n v="5268.8367493194391"/>
    <n v="6242.0187321926851"/>
    <n v="4.4742149423088557"/>
    <n v="535.38867602883352"/>
    <n v="368.00864505341406"/>
    <n v="568.41160495614906"/>
    <n v="829.05642322880772"/>
    <n v="1410.8703844575648"/>
    <n v="1556.991425488601"/>
    <n v="2.7200400839930605"/>
    <n v="2079.921601379152"/>
    <n v="481.52138994858848"/>
    <n v="343.94458368478672"/>
    <n v="541.64139293466167"/>
    <n v="792.03993876194113"/>
    <n v="1388.4754592061972"/>
    <n v="1438.4461087477991"/>
  </r>
  <r>
    <x v="61"/>
    <n v="-451.06824490711347"/>
    <n v="2790.372913218619"/>
    <n v="2790.372913218619"/>
    <n v="2793.2389638659843"/>
    <n v="3897.9611714117914"/>
    <n v="7757.7293007705384"/>
    <n v="5492.3841153452868"/>
    <n v="4062.98656981778"/>
    <n v="3412.3239820880608"/>
    <n v="7098.8441737318608"/>
    <n v="13267.889000770743"/>
    <n v="5785.1753279333789"/>
    <n v="7078.8147573001024"/>
    <n v="4.8011027902500976"/>
    <n v="619.70954064300986"/>
    <n v="389.60800927466039"/>
    <n v="642.82455375479356"/>
    <n v="927.89332157426406"/>
    <n v="1556.7812814443821"/>
    <n v="1756.5127865203563"/>
    <n v="1.9336289154364663"/>
    <n v="2315.0551808265809"/>
    <n v="533.80980617265743"/>
    <n v="344.17956540897109"/>
    <n v="596.00812639516676"/>
    <n v="868.9636432845324"/>
    <n v="1515.8452566324772"/>
    <n v="1594.9851780729543"/>
  </r>
  <r>
    <x v="62"/>
    <n v="640.6612601403981"/>
    <n v="2183.7089098089286"/>
    <n v="2428.933213810471"/>
    <n v="2183.7089098089286"/>
    <n v="3520.6259671061607"/>
    <n v="7682.0029334593582"/>
    <n v="5008.7153108720349"/>
    <n v="3543.0977514377378"/>
    <n v="4004.1138137552484"/>
    <n v="6476.2509238183657"/>
    <n v="12053.609315482945"/>
    <n v="5290.2663936745148"/>
    <n v="6504.5888809642365"/>
    <n v="4.0975020516708716"/>
    <n v="552.68289250977284"/>
    <n v="383.64348289413488"/>
    <n v="578.42328439446487"/>
    <n v="839.84627030306387"/>
    <n v="1417.3971459880565"/>
    <n v="1580.9303271315091"/>
    <n v="1.9729098524063626"/>
    <n v="2016.5547273108805"/>
    <n v="477.41238931003613"/>
    <n v="347.22037681556776"/>
    <n v="537.71511511098436"/>
    <n v="787.59397295607641"/>
    <n v="1382.3799007199468"/>
    <n v="1431.8636597396694"/>
  </r>
  <r>
    <x v="63"/>
    <n v="488.03009172974168"/>
    <n v="4407.1857067388464"/>
    <n v="15306.99168099143"/>
    <n v="4848.092832373899"/>
    <n v="5303.4214633384336"/>
    <n v="10602.441899284877"/>
    <n v="7214.6206309396302"/>
    <n v="5443.4814630066976"/>
    <n v="4407.1857067388464"/>
    <n v="9443.184627154631"/>
    <n v="18152.771899235824"/>
    <n v="7594.8560928041234"/>
    <n v="9296.1818916282045"/>
    <n v="29.630876323936068"/>
    <n v="869.36367144576877"/>
    <n v="539.54120716728562"/>
    <n v="904.85979934295483"/>
    <n v="1301.405849681872"/>
    <n v="2188.449356275285"/>
    <n v="2457.781021993982"/>
    <n v="2.6413584073547751"/>
    <n v="3296.7873360367785"/>
    <n v="751.64674806570531"/>
    <n v="476.48148405005992"/>
    <n v="839.86353635260627"/>
    <n v="1223.0915184934779"/>
    <n v="2131.314220526061"/>
    <n v="2241.0300236778103"/>
  </r>
  <r>
    <x v="64"/>
    <n v="6665.4063652856657"/>
    <n v="3042.6709063654325"/>
    <n v="5322.8122986831286"/>
    <n v="3042.6709063654325"/>
    <n v="3965.5205014102294"/>
    <n v="9000.9771892576082"/>
    <n v="5452.9320846181927"/>
    <n v="5139.8520500755485"/>
    <n v="4164.6428039242055"/>
    <n v="6894.6755431381562"/>
    <n v="12400.727271637039"/>
    <n v="5482.5408712315084"/>
    <n v="6804.8534600035437"/>
    <n v="9.7309049811485036"/>
    <n v="631.71021110325876"/>
    <n v="435.10612405768705"/>
    <n v="623.89325156305893"/>
    <n v="880.23818642042988"/>
    <n v="1430.1006517053431"/>
    <n v="1631.7739418928347"/>
    <n v="2.0028497353939385"/>
    <n v="1982.3434223524698"/>
    <n v="462.68669394207728"/>
    <n v="332.65662884493855"/>
    <n v="520.57607868822242"/>
    <n v="761.70958799089101"/>
    <n v="1335.9242180099354"/>
    <n v="1384.2733479664789"/>
  </r>
  <r>
    <x v="65"/>
    <n v="22.540922120127334"/>
    <n v="2999.960220609446"/>
    <n v="3115.4468087708133"/>
    <n v="2999.960220609446"/>
    <n v="4201.095584906192"/>
    <n v="8501.8081085555004"/>
    <n v="5829.4687983800104"/>
    <n v="4436.5030149728491"/>
    <n v="3686.9928282031074"/>
    <n v="7525.0372222281949"/>
    <n v="14084.463881530688"/>
    <n v="6111.514885473608"/>
    <n v="7630.9113035409146"/>
    <n v="5.4339116194348245"/>
    <n v="673.55578514530475"/>
    <n v="429.66189509593107"/>
    <n v="698.55950236513013"/>
    <n v="1003.1435978592051"/>
    <n v="1676.7573129209218"/>
    <n v="1893.6738505633534"/>
    <n v="2.0645418884251492"/>
    <n v="2446.9873810668896"/>
    <n v="569.91586040643017"/>
    <n v="371.71493312771827"/>
    <n v="637.10413060078827"/>
    <n v="929.6117446178838"/>
    <n v="1622.7010407123585"/>
    <n v="1705.8365344594813"/>
  </r>
  <r>
    <x v="66"/>
    <n v="16897.721584147956"/>
    <n v="3951.695888913775"/>
    <n v="3951.695888913775"/>
    <n v="4248.9107009694253"/>
    <s v=""/>
    <s v=""/>
    <s v=""/>
    <s v=""/>
    <s v=""/>
    <s v=""/>
    <s v=""/>
    <s v=""/>
    <s v=""/>
    <n v="7.0618054877294751"/>
    <s v=""/>
    <s v=""/>
    <s v=""/>
    <s v=""/>
    <s v=""/>
    <s v=""/>
    <n v="2.8021058344273979"/>
    <n v="3548.0361365246754"/>
    <n v="774.13250527029061"/>
    <n v="466.7980285765513"/>
    <n v="862.24377087949654"/>
    <n v="1251.1325758304663"/>
    <n v="2173.7834318212758"/>
    <n v="2289.158099330718"/>
  </r>
  <r>
    <x v="67"/>
    <n v="89.157958278914521"/>
    <n v="4165.4628300621025"/>
    <n v="5821.0494785936726"/>
    <n v="4165.4628300621025"/>
    <n v="5149.2586499384606"/>
    <n v="10493.10330804793"/>
    <n v="6988.4358981343948"/>
    <n v="5665.5341151248276"/>
    <n v="4366.0342548134786"/>
    <n v="9026.4530807583506"/>
    <n v="17028.353745518536"/>
    <n v="7238.1610060431058"/>
    <n v="8872.1889014865228"/>
    <n v="10.700804104976697"/>
    <n v="841.9794874865629"/>
    <n v="526.12943045752081"/>
    <n v="861.2556985693335"/>
    <n v="1224.8733583118558"/>
    <n v="2031.7690310045482"/>
    <n v="2309.2068416095335"/>
    <n v="2.559632475347366"/>
    <n v="3007.3448519405997"/>
    <n v="686.15395364957794"/>
    <n v="439.12728526983307"/>
    <n v="766.88872907184293"/>
    <n v="1117.1617507915632"/>
    <n v="1947.6352452329727"/>
    <n v="2045.9545622576525"/>
  </r>
  <r>
    <x v="68"/>
    <n v="-337.07029961870967"/>
    <n v="3611.7667694057664"/>
    <n v="5629.3532212023247"/>
    <n v="3611.7667694057664"/>
    <n v="4644.6554404201343"/>
    <n v="10604.213693373904"/>
    <n v="6269.0737779844449"/>
    <n v="5769.9463616921003"/>
    <n v="4873.6790974264222"/>
    <n v="8009.7989560236338"/>
    <n v="14762.00070045258"/>
    <n v="6341.8802057608491"/>
    <n v="7873.9278701088915"/>
    <n v="10.327636385702126"/>
    <n v="752.34602263791294"/>
    <n v="518.40176678854311"/>
    <n v="750.49552544800258"/>
    <n v="1060.6906590203471"/>
    <n v="1739.4391861813654"/>
    <n v="1969.637416045364"/>
    <n v="2.2165779423180529"/>
    <n v="2440.3939708690523"/>
    <n v="566.77451989755082"/>
    <n v="406.31972969449271"/>
    <n v="638.45783818300151"/>
    <n v="933.79089394470691"/>
    <n v="1637.2121806765333"/>
    <n v="1693.9533730151741"/>
  </r>
  <r>
    <x v="69"/>
    <n v="-4.4681482621699615"/>
    <n v="3941.2831728982023"/>
    <n v="5101.332223627137"/>
    <n v="4062.0390862661984"/>
    <n v="4993.0337181546083"/>
    <n v="10264.468348511415"/>
    <n v="6801.4647863205328"/>
    <n v="6166.0466399793258"/>
    <n v="3941.2831728982023"/>
    <n v="8674.3069441820899"/>
    <n v="16065.991433355339"/>
    <n v="6876.0144885011687"/>
    <n v="8246.570275795144"/>
    <n v="9.2997582514307826"/>
    <n v="814.22900618285234"/>
    <n v="500.6343050525204"/>
    <n v="810.56743033782539"/>
    <n v="1139.5092139727312"/>
    <n v="1862.5509836495178"/>
    <n v="2135.669653608164"/>
    <n v="2.1844559879421159"/>
    <n v="2795.9421457130443"/>
    <n v="623.29248659633868"/>
    <n v="384.27729804799606"/>
    <n v="694.47865114148601"/>
    <n v="1009.5156164986423"/>
    <n v="1756.4416362583208"/>
    <n v="1850.898316091771"/>
  </r>
  <r>
    <x v="70"/>
    <n v="-136.4318041692589"/>
    <n v="2868.4314712519313"/>
    <n v="3122.3039296006377"/>
    <n v="2868.4314712519313"/>
    <n v="4067.2249254261324"/>
    <n v="8317.0763301306088"/>
    <n v="5622.4131353030907"/>
    <n v="4693.829753482778"/>
    <n v="3470.3917291911198"/>
    <n v="7188.6400570205496"/>
    <n v="13224.669231617692"/>
    <n v="5816.7247027782105"/>
    <n v="7306.6086308712765"/>
    <n v="5.4472601123875686"/>
    <n v="649.77612852713628"/>
    <n v="414.56660595988041"/>
    <n v="660.26955223737468"/>
    <n v="941.37349159005646"/>
    <n v="1555.4737115989694"/>
    <n v="1772.3635128453056"/>
    <n v="1.8161952398063972"/>
    <n v="2247.2836105155475"/>
    <n v="523.05705585023736"/>
    <n v="338.82320665386112"/>
    <n v="584.09477272111337"/>
    <n v="852.1193406862194"/>
    <n v="1487.0089610783195"/>
    <n v="1565.576215402243"/>
  </r>
  <r>
    <x v="71"/>
    <n v="1045.6706359326936"/>
    <n v="5383.6498315492736"/>
    <n v="5707.5307448954845"/>
    <n v="5383.6498315492736"/>
    <s v=""/>
    <s v=""/>
    <s v=""/>
    <s v=""/>
    <s v=""/>
    <s v=""/>
    <s v=""/>
    <s v=""/>
    <s v=""/>
    <n v="10.479821559331013"/>
    <s v=""/>
    <s v=""/>
    <s v=""/>
    <s v=""/>
    <s v=""/>
    <s v=""/>
    <n v="3.4262274783414801"/>
    <n v="4248.2601443632057"/>
    <n v="941.30946164728323"/>
    <n v="579.49702897079919"/>
    <n v="1050.7480926485525"/>
    <n v="1526.6477108321953"/>
    <n v="2655.4276068873492"/>
    <n v="2791.4003071672942"/>
  </r>
  <r>
    <x v="72"/>
    <n v="1346.5267732191955"/>
    <n v="5723.522927579872"/>
    <n v="7641.6360861557578"/>
    <n v="5723.522927579872"/>
    <s v=""/>
    <s v=""/>
    <s v=""/>
    <s v=""/>
    <s v=""/>
    <s v=""/>
    <s v=""/>
    <s v=""/>
    <s v=""/>
    <n v="14.250949368005747"/>
    <s v=""/>
    <s v=""/>
    <s v=""/>
    <s v=""/>
    <s v=""/>
    <s v=""/>
    <n v="3.1104491962750767"/>
    <n v="3860.8238410438098"/>
    <n v="867.5109569629517"/>
    <n v="542.0743262478079"/>
    <n v="969.00129078030352"/>
    <n v="1409.4922812809928"/>
    <n v="2453.8768848489403"/>
    <n v="2579.3685153918982"/>
  </r>
  <r>
    <x v="73"/>
    <n v="-184.65639577723576"/>
    <n v="3392.0491904455694"/>
    <n v="3419.5561545521359"/>
    <n v="3392.0491904455694"/>
    <n v="4598.8565100882388"/>
    <n v="9080.0914947426882"/>
    <n v="6419.2015679014548"/>
    <n v="4714.4469749133941"/>
    <n v="3821.6014809515973"/>
    <n v="8365.5043298311375"/>
    <n v="15938.156224676673"/>
    <n v="6743.1382493225738"/>
    <n v="8073.5495560657109"/>
    <n v="6.0259095672279379"/>
    <n v="744.21068632895776"/>
    <n v="457.07240467398736"/>
    <n v="776.52152437745713"/>
    <n v="1118.9531733616132"/>
    <n v="1882.6877508801797"/>
    <n v="2112.8184785589074"/>
    <n v="2.2705071535560428"/>
    <n v="2876.8174209898561"/>
    <n v="650.01612317898594"/>
    <n v="407.20886942662878"/>
    <n v="725.17335477918061"/>
    <n v="1055.3011070923051"/>
    <n v="1837.7804917299352"/>
    <n v="1934.9860211001842"/>
  </r>
  <r>
    <x v="74"/>
    <n v="175.40715544064955"/>
    <n v="4479.6071387463853"/>
    <n v="5345.9310125967831"/>
    <n v="4590.8511603561192"/>
    <n v="5541.579398662454"/>
    <n v="10914.72930971409"/>
    <n v="7689.4288275037788"/>
    <n v="5587.7873459647599"/>
    <n v="4479.6071387463853"/>
    <n v="10091.9189514135"/>
    <n v="19559.728598687911"/>
    <n v="8038.2431993779819"/>
    <n v="9324.3668974130469"/>
    <n v="9.7759092908889222"/>
    <n v="911.66804153621968"/>
    <n v="548.28015488136271"/>
    <n v="955.84888661349873"/>
    <n v="1373.929545209978"/>
    <n v="2315.6424854081311"/>
    <n v="2587.0794231392879"/>
    <n v="2.8950966603646733"/>
    <n v="3633.1074402197487"/>
    <n v="803.34865405133132"/>
    <n v="492.46129134465332"/>
    <n v="895.91237204879053"/>
    <n v="1301.4557697024763"/>
    <n v="2263.3247781823748"/>
    <n v="2381.5552865935147"/>
  </r>
  <r>
    <x v="75"/>
    <n v="13134.653030952659"/>
    <n v="2595.3680904312982"/>
    <n v="2890.2613106036683"/>
    <n v="2595.3680904312982"/>
    <n v="3799.3708827509381"/>
    <n v="7463.7543645838441"/>
    <n v="5306.8054224600837"/>
    <n v="3844.0597555919321"/>
    <n v="3462.2718580622554"/>
    <n v="6826.0962570064767"/>
    <n v="12621.485585013566"/>
    <n v="5630.5861299418912"/>
    <n v="7002.2071585343328"/>
    <n v="4.9955516852959398"/>
    <n v="602.19679199930567"/>
    <n v="377.406156049419"/>
    <n v="620.55151888260457"/>
    <n v="893.58277332022271"/>
    <n v="1490.7294975442944"/>
    <n v="1706.0271854036898"/>
    <n v="1.8699255626487159"/>
    <n v="2156.2742652679217"/>
    <n v="506.41242433740808"/>
    <n v="334.21757152471031"/>
    <n v="566.14577893153273"/>
    <n v="826.72380671319434"/>
    <n v="1444.1462005699154"/>
    <n v="1518.0421052692864"/>
  </r>
  <r>
    <x v="76"/>
    <n v="71.575248821496587"/>
    <n v="2718.0367043209999"/>
    <n v="2718.0367043209999"/>
    <n v="3702.0346854187537"/>
    <s v=""/>
    <s v=""/>
    <s v=""/>
    <s v=""/>
    <s v=""/>
    <s v=""/>
    <s v=""/>
    <s v=""/>
    <s v=""/>
    <n v="4.6602886791003622"/>
    <s v=""/>
    <s v=""/>
    <s v=""/>
    <s v=""/>
    <s v=""/>
    <s v=""/>
    <n v="2.7003366725813831"/>
    <n v="3419.1756704504969"/>
    <n v="750.47519171361694"/>
    <n v="455.58311920803396"/>
    <n v="836.13211715265857"/>
    <n v="1213.8546942235532"/>
    <n v="2109.8626431316493"/>
    <n v="2221.7616645688609"/>
  </r>
  <r>
    <x v="77"/>
    <n v="2855.8652555898307"/>
    <n v="6349.720577132508"/>
    <n v="12842.620055862388"/>
    <n v="7054.6019871359622"/>
    <n v="7606.5728094516771"/>
    <n v="15604.134199512113"/>
    <n v="9959.7395444108133"/>
    <n v="7979.2107276548131"/>
    <n v="6349.720577132508"/>
    <n v="13049.246107415953"/>
    <n v="25398.345841381153"/>
    <n v="10373.115780807917"/>
    <n v="12751.905106913931"/>
    <n v="24.686310462922741"/>
    <n v="1278.4760816106211"/>
    <n v="795.16953040633143"/>
    <n v="1315.9384612584149"/>
    <n v="1870.1915857729011"/>
    <n v="3121.9422759793765"/>
    <n v="3529.456268448514"/>
    <n v="4.066630335389001"/>
    <n v="4660.4374352663244"/>
    <n v="1057.3494921880692"/>
    <n v="675.73274982732971"/>
    <n v="1183.8580288493022"/>
    <n v="1723.7975435852284"/>
    <n v="3004.4084009740395"/>
    <n v="3148.9121441784778"/>
  </r>
  <r>
    <x v="78"/>
    <n v="-1123.0309397989768"/>
    <n v="5463.9978804791099"/>
    <n v="7143.8674980875421"/>
    <n v="5463.9978804791099"/>
    <s v=""/>
    <s v=""/>
    <s v=""/>
    <s v=""/>
    <s v=""/>
    <s v=""/>
    <s v=""/>
    <s v=""/>
    <s v=""/>
    <n v="13.275882982714421"/>
    <s v=""/>
    <s v=""/>
    <s v=""/>
    <s v=""/>
    <s v=""/>
    <s v=""/>
    <n v="3.0364688875781054"/>
    <n v="3763.0421076689609"/>
    <n v="853.480050271089"/>
    <n v="538.71539987363758"/>
    <n v="953.90550690244788"/>
    <n v="1388.583712474948"/>
    <n v="2418.9389486952687"/>
    <n v="2542.0379539124815"/>
  </r>
  <r>
    <x v="79"/>
    <n v="277.36194887643614"/>
    <n v="3818.8643452880892"/>
    <n v="6348.46061244267"/>
    <n v="4181.5525117690395"/>
    <n v="4751.6329163010678"/>
    <n v="9633.6704407540965"/>
    <n v="6557.0584843018351"/>
    <n v="5592.677047274793"/>
    <n v="3818.8643452880892"/>
    <n v="8393.4185275095788"/>
    <n v="15611.644655336195"/>
    <n v="6688.9132767806286"/>
    <n v="7978.8528427236261"/>
    <n v="11.727495041026916"/>
    <n v="771.34860059044718"/>
    <n v="472.66104761748466"/>
    <n v="778.91908208479526"/>
    <n v="1101.1995842527124"/>
    <n v="1811.5789584008601"/>
    <n v="2068.3852387097804"/>
    <n v="2.1347285626295291"/>
    <n v="2734.6310355809183"/>
    <n v="611.16972864050297"/>
    <n v="377.77594014803697"/>
    <n v="680.99923220170695"/>
    <n v="990.12739965959088"/>
    <n v="1722.9891845279608"/>
    <n v="1815.766857971754"/>
  </r>
  <r>
    <x v="80"/>
    <n v="8149.2496053873856"/>
    <n v="3698.25002706139"/>
    <n v="3965.8837062001307"/>
    <n v="3698.25002706139"/>
    <s v=""/>
    <s v=""/>
    <s v=""/>
    <s v=""/>
    <s v=""/>
    <s v=""/>
    <s v=""/>
    <s v=""/>
    <s v=""/>
    <n v="7.089424365063242"/>
    <s v=""/>
    <s v=""/>
    <s v=""/>
    <s v=""/>
    <s v=""/>
    <s v=""/>
    <n v="2.5311675214449232"/>
    <n v="2962.3458450057115"/>
    <n v="684.89442640752384"/>
    <n v="444.41468975502596"/>
    <n v="766.17424905952112"/>
    <n v="1117.2881295324719"/>
    <n v="1949.4863841333695"/>
    <n v="2047.0513674576237"/>
  </r>
  <r>
    <x v="81"/>
    <n v="106.89580090304781"/>
    <n v="2405.3879908202744"/>
    <n v="2405.3879908202744"/>
    <n v="2790.5906638935548"/>
    <n v="4028.6465958626291"/>
    <n v="7870.6355228905113"/>
    <n v="5734.1933971451872"/>
    <n v="4075.1867851537313"/>
    <n v="3383.9390048071637"/>
    <n v="7446.7406253589033"/>
    <n v="14066.889895767121"/>
    <n v="6039.6108193228174"/>
    <n v="7195.8388363081312"/>
    <n v="4.0516674731421665"/>
    <n v="642.92339893361918"/>
    <n v="394.5181097146189"/>
    <n v="673.1064393416849"/>
    <n v="973.31826759945591"/>
    <n v="1640.9068119997323"/>
    <n v="1840.5014665280944"/>
    <n v="1.9583831681782546"/>
    <n v="2513.1480732363898"/>
    <n v="568.78388279746252"/>
    <n v="356.2111017243414"/>
    <n v="634.02220646597698"/>
    <n v="922.77581390371608"/>
    <n v="1607.0944787875815"/>
    <n v="1693.8281877509146"/>
  </r>
  <r>
    <x v="82"/>
    <n v="8283.9277658351075"/>
    <n v="3845.7324398186111"/>
    <n v="4510.4539937198397"/>
    <n v="3845.7324398186111"/>
    <n v="5093.4173547297805"/>
    <n v="10089.226145190869"/>
    <n v="6912.2629682195111"/>
    <n v="4972.2280823055407"/>
    <n v="4476.5326898551957"/>
    <n v="9041.9795552416854"/>
    <n v="17304.756145056392"/>
    <n v="7346.7746680566452"/>
    <n v="9093.6307025676797"/>
    <n v="8.1495183645176112"/>
    <n v="832.06031004817908"/>
    <n v="517.9152113562559"/>
    <n v="868.1433626806878"/>
    <n v="1250.5651790268671"/>
    <n v="2101.5217572209644"/>
    <n v="2374.9929465852501"/>
    <n v="2.6644335337976477"/>
    <n v="3106.8851999617718"/>
    <n v="718.92196944523016"/>
    <n v="467.18258657587899"/>
    <n v="804.53364072819795"/>
    <n v="1173.3034845344785"/>
    <n v="2047.354493761454"/>
    <n v="2149.0366202924051"/>
  </r>
  <r>
    <x v="83"/>
    <n v="1185.702063569734"/>
    <n v="4123.1611186360351"/>
    <n v="8119.2068597960333"/>
    <n v="4619.0227945016459"/>
    <n v="5074.1850574234322"/>
    <n v="10335.397309195348"/>
    <n v="6936.2316453613257"/>
    <n v="5712.7871638395673"/>
    <n v="4123.1611186360351"/>
    <n v="8959.9114541433937"/>
    <n v="16924.971811005911"/>
    <n v="7150.3022896003422"/>
    <n v="8686.278662203229"/>
    <n v="15.209157180285594"/>
    <n v="828.6440467108672"/>
    <n v="515.37702205759524"/>
    <n v="847.87360077531707"/>
    <n v="1206.2864802467595"/>
    <n v="2003.8135976392193"/>
    <n v="2266.330730485452"/>
    <n v="2.3853377127282265"/>
    <n v="3009.9748271919257"/>
    <n v="680.14891808185382"/>
    <n v="426.41418776872263"/>
    <n v="759.03171761860438"/>
    <n v="1104.5814399148928"/>
    <n v="1923.6375024157858"/>
    <n v="2024.6740672387014"/>
  </r>
  <r>
    <x v="84"/>
    <n v="11945.135600357669"/>
    <n v="3570.1987213878256"/>
    <n v="11008.524246630981"/>
    <n v="3570.1987213878256"/>
    <n v="4250.0265933100945"/>
    <n v="9387.0520029392483"/>
    <n v="5738.553027889363"/>
    <n v="4745.8748827288873"/>
    <n v="4718.4313149354221"/>
    <n v="7362.5192465025129"/>
    <n v="13564.462693574376"/>
    <s v=""/>
    <s v=""/>
    <n v="21.006342948413501"/>
    <n v="682.24747742757688"/>
    <n v="467.79715235872561"/>
    <n v="687.91821173820165"/>
    <n v="981.57455322638452"/>
    <n v="1622.0155693013874"/>
    <s v=""/>
    <n v="2.0049664037889374"/>
    <n v="2225.7853069084076"/>
    <n v="531.75627580108744"/>
    <n v="390.35762094573789"/>
    <n v="599.82650392784626"/>
    <n v="879.15013663941841"/>
    <n v="1543.9126773945318"/>
    <n v="1597.2573714704058"/>
  </r>
  <r>
    <x v="85"/>
    <n v="40.745459413496377"/>
    <n v="3174.5826194159808"/>
    <n v="3174.5826194159808"/>
    <n v="4497.5173880890334"/>
    <s v=""/>
    <s v=""/>
    <s v=""/>
    <s v=""/>
    <s v=""/>
    <s v=""/>
    <s v=""/>
    <s v=""/>
    <s v=""/>
    <n v="5.5490290238443398"/>
    <s v=""/>
    <s v=""/>
    <s v=""/>
    <s v=""/>
    <s v=""/>
    <s v=""/>
    <n v="3.3279100175293759"/>
    <n v="4182.806894673954"/>
    <n v="901.67318069774058"/>
    <n v="536.898108335134"/>
    <n v="1004.1655894294661"/>
    <n v="1455.5757596206024"/>
    <n v="2526.9924460871621"/>
    <n v="2659.9003280952397"/>
  </r>
  <r>
    <x v="86"/>
    <n v="14349.528024624562"/>
    <n v="4412.6261523944322"/>
    <n v="6734.4460977504305"/>
    <n v="4412.6261523944322"/>
    <s v=""/>
    <s v=""/>
    <s v=""/>
    <s v=""/>
    <s v=""/>
    <s v=""/>
    <s v=""/>
    <s v=""/>
    <s v=""/>
    <n v="12.478878115404491"/>
    <s v=""/>
    <s v=""/>
    <s v=""/>
    <s v=""/>
    <s v=""/>
    <s v=""/>
    <n v="2.7937083269891332"/>
    <n v="3129.8108783515022"/>
    <n v="735.01316485502025"/>
    <n v="532.6303785408827"/>
    <n v="829.80118934766915"/>
    <n v="1214.5725624802267"/>
    <n v="2130.779264353197"/>
    <n v="2200.7612916723178"/>
  </r>
  <r>
    <x v="87"/>
    <n v="1749.3320010127345"/>
    <n v="3078.9844779240152"/>
    <n v="3963.5228257338217"/>
    <n v="3078.9844779240152"/>
    <n v="4397.9640532923358"/>
    <n v="9677.1857380033416"/>
    <n v="6091.2934839809122"/>
    <n v="4184.2928427999077"/>
    <n v="5020.7684410737365"/>
    <n v="7996.8035956040994"/>
    <n v="15316.869493189248"/>
    <n v="6470.7551521771511"/>
    <n v="7955.1862566948357"/>
    <n v="7.0848285300110527"/>
    <n v="708.52584202968558"/>
    <n v="490.77371775641501"/>
    <n v="750.57919547492361"/>
    <n v="1090.7050098551003"/>
    <n v="1852.0262945933364"/>
    <n v="2048.4687594394936"/>
    <n v="2.3266285985658905"/>
    <n v="2663.1254947920779"/>
    <n v="626.34562715184325"/>
    <n v="454.52507833958407"/>
    <n v="706.60909561853134"/>
    <n v="1034.4365078425344"/>
    <n v="1815.0314397715651"/>
    <n v="1876.0212025582932"/>
  </r>
  <r>
    <x v="88"/>
    <n v="4738.5531315467551"/>
    <n v="4639.3146512707654"/>
    <n v="7542.6549156331075"/>
    <n v="4873.3910876652917"/>
    <n v="5570.3034351118758"/>
    <n v="11239.264461716532"/>
    <n v="7452.0815754243995"/>
    <n v="6096.2307246107084"/>
    <n v="4639.3146512707654"/>
    <n v="9656.7137818888168"/>
    <n v="18308.13929030305"/>
    <n v="7756.2310628364639"/>
    <n v="9526.8836808634715"/>
    <n v="14.052351513827075"/>
    <n v="916.77033748447229"/>
    <n v="565.68873576584815"/>
    <n v="931.95139909029785"/>
    <n v="1325.5578263494665"/>
    <n v="2198.5735460914648"/>
    <n v="2509.7907188248246"/>
    <n v="2.69753804550799"/>
    <n v="3261.0693473672009"/>
    <n v="743.09756379770454"/>
    <n v="472.99431608979211"/>
    <n v="830.53625583845144"/>
    <n v="1209.601906505025"/>
    <n v="2108.1812614626124"/>
    <n v="2215.249492528299"/>
  </r>
  <r>
    <x v="89"/>
    <n v="2119.097520636652"/>
    <n v="4294.1913676720069"/>
    <n v="5759.1307042265234"/>
    <n v="4437.9660440671605"/>
    <n v="5275.2081611538251"/>
    <n v="10705.586977098012"/>
    <n v="7124.8503206272744"/>
    <n v="6025.9200093921017"/>
    <n v="4294.1913676720069"/>
    <n v="9163.7757354341138"/>
    <n v="17195.534070406535"/>
    <n v="7327.2282231511945"/>
    <n v="8947.1081146630768"/>
    <n v="10.580269212301692"/>
    <n v="864.35209803139753"/>
    <n v="533.09637205745003"/>
    <n v="874.38207629524754"/>
    <n v="1237.1113759161346"/>
    <n v="2039.626002602763"/>
    <n v="2332.5248083280635"/>
    <n v="2.4047030470013619"/>
    <n v="3029.1140084438812"/>
    <n v="686.28816019514557"/>
    <n v="431.58768838281247"/>
    <n v="766.08093696475953"/>
    <n v="1115.0797444607849"/>
    <n v="1942.2631807719065"/>
    <n v="2043.9353557070344"/>
  </r>
  <r>
    <x v="90"/>
    <n v="7605.5914638939539"/>
    <n v="3971.113601730257"/>
    <n v="5640.027120444317"/>
    <n v="3971.113601730257"/>
    <n v="4527.2675686049724"/>
    <n v="9147.2760681404907"/>
    <n v="6148.0630357980735"/>
    <n v="4884.527690061559"/>
    <n v="4008.4213360405834"/>
    <n v="7932.5831360901211"/>
    <n v="14809.927124695412"/>
    <n v="6453.5310455999488"/>
    <n v="8096.7221805537392"/>
    <n v="10.348414854150619"/>
    <n v="731.49422961811445"/>
    <n v="461.99691094619715"/>
    <n v="746.11462540631703"/>
    <n v="1067.5731916066957"/>
    <n v="1772.8168261555809"/>
    <n v="2025.8355888645133"/>
    <n v="2.2506798164683364"/>
    <n v="2562.2790145357258"/>
    <n v="597.83303515031571"/>
    <n v="392.94048479378762"/>
    <n v="668.90419925065669"/>
    <n v="976.27538255517391"/>
    <n v="1704.7695709130535"/>
    <n v="1789.8237968418243"/>
  </r>
  <r>
    <x v="91"/>
    <n v="-549.65841531807791"/>
    <n v="3419.8988709442301"/>
    <n v="5430.6608765400833"/>
    <n v="3419.8988709442301"/>
    <s v=""/>
    <s v=""/>
    <s v=""/>
    <s v=""/>
    <s v=""/>
    <s v=""/>
    <s v=""/>
    <s v=""/>
    <s v=""/>
    <n v="9.9408496528575814"/>
    <s v=""/>
    <s v=""/>
    <s v=""/>
    <s v=""/>
    <s v=""/>
    <s v=""/>
    <n v="2.3459338836843924"/>
    <n v="2312.8214503364611"/>
    <n v="558.16456357324421"/>
    <n v="412.98898657457698"/>
    <n v="630.17475379930249"/>
    <n v="924.27654028796826"/>
    <n v="1624.003864890791"/>
    <n v="1679.4322252610045"/>
  </r>
  <r>
    <x v="92"/>
    <n v="538.24817023238938"/>
    <n v="2929.7238657532516"/>
    <n v="2929.7238657532516"/>
    <n v="3015.0423355485573"/>
    <n v="4400.5663923921211"/>
    <n v="9862.7008161638278"/>
    <n v="6440.0996155278153"/>
    <n v="4108.7344197598086"/>
    <n v="5190.6455185564701"/>
    <n v="8508.5079572896339"/>
    <n v="16584.092738614148"/>
    <n v="6705.4982001373892"/>
    <n v="7303.2746776835775"/>
    <n v="5.0723719211331675"/>
    <n v="708.98809963293684"/>
    <n v="482.58939325608668"/>
    <n v="766.21871722134017"/>
    <n v="1116.4631816782523"/>
    <n v="1914.8360394941569"/>
    <n v="2067.3433860663758"/>
    <n v="2.6844056332194994"/>
    <n v="3003.993936299285"/>
    <n v="660.69323840205982"/>
    <n v="462.68383241004273"/>
    <n v="743.76431537595636"/>
    <n v="1083.9108717142501"/>
    <n v="1896.5043159027932"/>
    <n v="1954.1578325386772"/>
  </r>
  <r>
    <x v="93"/>
    <n v="15612.160871110276"/>
    <n v="4297.1887004287728"/>
    <n v="11978.043391577106"/>
    <n v="4700.6636813649329"/>
    <n v="4297.1887004287728"/>
    <n v="9689.6415587326337"/>
    <n v="5739.2906232486821"/>
    <n v="5370.4972162308723"/>
    <n v="4586.3317092829921"/>
    <n v="7301.7219164966473"/>
    <n v="13268.355472661384"/>
    <s v=""/>
    <s v=""/>
    <n v="22.951606080327874"/>
    <n v="690.6249569815526"/>
    <n v="475.96249426376966"/>
    <n v="678.78215792719072"/>
    <n v="961.31851120843532"/>
    <n v="1569.9426507308794"/>
    <s v=""/>
    <n v="2.4555496280690532"/>
    <n v="2136.6178474739295"/>
    <n v="508.25854965529538"/>
    <n v="371.202142565239"/>
    <n v="572.92331175730988"/>
    <n v="839.43678865740469"/>
    <n v="1473.7336065018637"/>
    <n v="1525.6185662756466"/>
  </r>
  <r>
    <x v="94"/>
    <n v="1898.9865052287341"/>
    <n v="4487.4608987186202"/>
    <n v="16374.961541966226"/>
    <n v="4487.4608987186202"/>
    <n v="5007.690614135262"/>
    <n v="11254.181526161674"/>
    <n v="6737.5780656570387"/>
    <n v="5288.4655108174866"/>
    <n v="5569.7456672947019"/>
    <n v="8788.1980983642679"/>
    <n v="16756.299476482407"/>
    <s v=""/>
    <s v=""/>
    <n v="31.773672995233817"/>
    <n v="816.83253375836318"/>
    <n v="566.47889280954496"/>
    <n v="843.82192179229344"/>
    <n v="1212.6507557947523"/>
    <n v="2036.3859793642314"/>
    <s v=""/>
    <n v="3.0345427400696887"/>
    <n v="2887.8441425144838"/>
    <n v="678.66883872421192"/>
    <n v="492.37739111803711"/>
    <n v="765.97572060599464"/>
    <n v="1121.2605486906471"/>
    <n v="1967.2656365374082"/>
    <n v="2032.39533888135"/>
  </r>
  <r>
    <x v="95"/>
    <n v="6147.505595746863"/>
    <n v="3679.5257299686773"/>
    <n v="4419.4173417126067"/>
    <n v="3679.5257299686773"/>
    <s v=""/>
    <s v=""/>
    <s v=""/>
    <s v=""/>
    <s v=""/>
    <s v=""/>
    <s v=""/>
    <s v=""/>
    <s v=""/>
    <n v="7.9723008211903119"/>
    <s v=""/>
    <s v=""/>
    <s v=""/>
    <s v=""/>
    <s v=""/>
    <s v=""/>
    <n v="2.6152040808318184"/>
    <n v="2951.4170395280817"/>
    <n v="684.86457285836298"/>
    <n v="448.4138788972698"/>
    <n v="766.64978577005638"/>
    <n v="1118.4508580855249"/>
    <n v="1952.4274978395936"/>
    <n v="2048.1942419171505"/>
  </r>
  <r>
    <x v="96"/>
    <n v="-13431.50392472258"/>
    <n v="4048.8947518157051"/>
    <n v="4943.4975717947555"/>
    <n v="4048.8947518157051"/>
    <n v="5195.178996530316"/>
    <n v="10305.484159807125"/>
    <n v="7079.5529867829055"/>
    <n v="5346.4168776954566"/>
    <n v="4391.7837555318129"/>
    <n v="9220.6942156473397"/>
    <n v="17580.526575922791"/>
    <n v="7435.2960957122568"/>
    <n v="9015.0032087458349"/>
    <n v="8.9925076151987771"/>
    <n v="850.1363911574847"/>
    <n v="521.48803373507337"/>
    <n v="878.88512927031843"/>
    <n v="1259.1998924798329"/>
    <n v="2105.3051829192041"/>
    <n v="2385.5715652710614"/>
    <n v="2.6088027011918369"/>
    <n v="3163.2922735775314"/>
    <n v="719.44566769703295"/>
    <n v="456.80299892385051"/>
    <n v="803.82465877586435"/>
    <n v="1170.5191019939919"/>
    <n v="2039.7971046701714"/>
    <n v="2144.0184542720785"/>
  </r>
  <r>
    <x v="97"/>
    <n v="19881.97287744646"/>
    <n v="2390.4822941555876"/>
    <n v="2586.4751506394882"/>
    <n v="2390.4822941555876"/>
    <n v="3719.6777694819484"/>
    <n v="8066.9866165825215"/>
    <n v="5335.4981307056651"/>
    <n v="3521.0780076390115"/>
    <n v="4251.4415898645775"/>
    <n v="6942.6741612978549"/>
    <n v="13132.64326853394"/>
    <n v="5643.3366186465046"/>
    <n v="6758.3338860213735"/>
    <n v="4.4041828708825079"/>
    <n v="588.04077845810355"/>
    <n v="403.54258486496389"/>
    <n v="624.03003630978822"/>
    <n v="908.83409436864326"/>
    <n v="1545.0699017731479"/>
    <n v="1708.8259041964004"/>
    <n v="3.1986040905668061"/>
    <n v="2259.2765074384984"/>
    <n v="525.73730498355371"/>
    <n v="377.31312960402255"/>
    <n v="591.95706203868497"/>
    <n v="865.92154289211885"/>
    <n v="1518.3984683838466"/>
    <n v="1571.887510695768"/>
  </r>
  <r>
    <x v="98"/>
    <n v="2297.7230098586292"/>
    <n v="3046.8639100203955"/>
    <n v="3664.8971983920642"/>
    <n v="3046.8639100203955"/>
    <n v="4072.0135679953196"/>
    <n v="8300.2311898191856"/>
    <n v="5621.9002464753512"/>
    <n v="4605.1422650532804"/>
    <n v="3549.7858812333275"/>
    <n v="7188.6094719505318"/>
    <n v="13222.669045740593"/>
    <n v="5835.5384645819631"/>
    <n v="7337.2210242477358"/>
    <n v="6.5035055256471104"/>
    <n v="650.62674266771558"/>
    <n v="414.92641508784601"/>
    <n v="662.10537932338616"/>
    <n v="944.09562280949206"/>
    <n v="1559.9080732054674"/>
    <n v="1781.9545608644796"/>
    <n v="1.8783342958777625"/>
    <n v="2241.5412239329521"/>
    <n v="523.79117341819654"/>
    <n v="342.35612360356646"/>
    <n v="585.30413873794089"/>
    <n v="854.25319006851134"/>
    <n v="1491.4328778146332"/>
    <n v="1568.7956216783712"/>
  </r>
  <r>
    <x v="99"/>
    <n v="-7059.1566766545748"/>
    <n v="3698.9116314069115"/>
    <n v="5511.6726180333253"/>
    <n v="3698.9116314069115"/>
    <n v="4874.0540073261545"/>
    <n v="10973.555803767593"/>
    <n v="6533.569837433045"/>
    <n v="5296.4848505717637"/>
    <n v="5367.3221108105345"/>
    <n v="8465.3450484093119"/>
    <n v="15941.386228755748"/>
    <n v="6799.1698015883403"/>
    <n v="8641.6925365131938"/>
    <n v="10.098552089091262"/>
    <n v="793.0944522856928"/>
    <n v="552.29848485912385"/>
    <n v="815.0878390566952"/>
    <n v="1165.3099016884669"/>
    <n v="1941.4313857452662"/>
    <n v="2182.5816932316338"/>
    <n v="2.4092810200858708"/>
    <n v="2691.0507424124366"/>
    <n v="640.27774776750107"/>
    <n v="468.92557366673435"/>
    <n v="722.93345563878961"/>
    <n v="1059.2135227865281"/>
    <n v="1859.6524132969851"/>
    <n v="1921.649318969374"/>
  </r>
  <r>
    <x v="100"/>
    <n v="249.43218179838334"/>
    <n v="4020.2186730562871"/>
    <n v="13138.865356140217"/>
    <n v="4569.0794319682545"/>
    <n v="5015.0167103321292"/>
    <n v="9917.9080037880976"/>
    <n v="7017.231262482388"/>
    <n v="5343.0142558179959"/>
    <n v="4020.2186730562871"/>
    <n v="9128.1593244671767"/>
    <n v="17434.709693652563"/>
    <n v="7272.4339575058211"/>
    <n v="8389.883982885267"/>
    <n v="25.280703119980984"/>
    <n v="818.13387979333299"/>
    <n v="491.29192176307811"/>
    <n v="847.61673770083382"/>
    <n v="1213.196312597968"/>
    <n v="2031.3634066620828"/>
    <n v="2283.1949962614876"/>
    <n v="2.5031723718720564"/>
    <n v="3184.9522619026884"/>
    <n v="701.30600129519769"/>
    <n v="426.93344863179385"/>
    <n v="781.24369416602133"/>
    <n v="1134.4733814010974"/>
    <n v="1972.2744535575541"/>
    <n v="2077.5621769882705"/>
  </r>
  <r>
    <x v="101"/>
    <n v="2557.996765896542"/>
    <n v="6394.3873434559928"/>
    <n v="19869.032115498649"/>
    <n v="6394.3873434559928"/>
    <s v=""/>
    <s v=""/>
    <s v=""/>
    <s v=""/>
    <s v=""/>
    <s v=""/>
    <s v=""/>
    <s v=""/>
    <s v=""/>
    <n v="38.784247982257128"/>
    <s v=""/>
    <s v=""/>
    <s v=""/>
    <s v=""/>
    <s v=""/>
    <s v=""/>
    <n v="3.306362126179839"/>
    <n v="4094.750059076815"/>
    <n v="916.16777358040622"/>
    <n v="570.10261480361089"/>
    <n v="1023.297239226035"/>
    <n v="1487.9544163361929"/>
    <n v="2589.7827665507539"/>
    <n v="2721.8252729480946"/>
  </r>
  <r>
    <x v="102"/>
    <n v="18718.529929955526"/>
    <n v="4854.4563683426004"/>
    <n v="17615.148696962635"/>
    <n v="4854.4563683426004"/>
    <n v="5228.6914288399439"/>
    <n v="11655.219260808557"/>
    <n v="6892.1662792578472"/>
    <n v="5544.9918427959255"/>
    <n v="5810.1608031488886"/>
    <n v="8954.323609092653"/>
    <n v="16949.36548029909"/>
    <s v=""/>
    <s v=""/>
    <n v="34.262009983589373"/>
    <n v="856.08925742301062"/>
    <n v="590.42861209743285"/>
    <n v="874.43668398456077"/>
    <n v="1250.9469532308551"/>
    <n v="2085.4196809353057"/>
    <s v=""/>
    <n v="3.2465597292337911"/>
    <n v="2877.5025117259379"/>
    <n v="687.57046363730683"/>
    <n v="505.36084979530494"/>
    <n v="776.83936938593752"/>
    <n v="1138.5196337540654"/>
    <n v="1999.3149372817684"/>
    <n v="2065.0484744890346"/>
  </r>
  <r>
    <x v="103"/>
    <n v="-4373.8210377041141"/>
    <n v="4150.2201472241632"/>
    <n v="8101.8420040853307"/>
    <n v="4150.2201472241632"/>
    <n v="4712.9473826077301"/>
    <n v="10718.241423471818"/>
    <n v="6307.264733232184"/>
    <n v="5612.0388976290105"/>
    <n v="5039.6171565998384"/>
    <n v="8091.1237869115921"/>
    <n v="14992.798179318581"/>
    <n v="6455.9219438459986"/>
    <n v="8198.9815023257397"/>
    <n v="15.174315977013716"/>
    <n v="764.47682815807798"/>
    <n v="531.15488749902079"/>
    <n v="768.84257555725935"/>
    <n v="1091.0431276750246"/>
    <n v="1797.7620070332021"/>
    <n v="2035.0704657904162"/>
    <n v="2.3996306862104064"/>
    <n v="2480.6761638174635"/>
    <n v="586.62414147406048"/>
    <n v="427.0749243465803"/>
    <n v="661.72218987560052"/>
    <n v="969.10535784572619"/>
    <n v="1700.8536853300548"/>
    <n v="1758.849628522531"/>
  </r>
  <r>
    <x v="104"/>
    <n v="950.34776791028253"/>
    <n v="2530.5606185880961"/>
    <n v="2905.3773840992621"/>
    <n v="2530.5606185880961"/>
    <n v="3803.6262623119974"/>
    <n v="8332.6899903740887"/>
    <n v="5376.7920420723613"/>
    <n v="3655.5243420742595"/>
    <n v="4348.6758643340545"/>
    <n v="7017.8223895869005"/>
    <n v="13285.319994255258"/>
    <n v="5710.3074430842889"/>
    <n v="7006.6312535185707"/>
    <n v="5.0249775632316886"/>
    <n v="602.95268178975698"/>
    <n v="419.87342320300604"/>
    <n v="638.83419966705162"/>
    <n v="930.88000796793972"/>
    <n v="1582.400666105354"/>
    <n v="1749.1115383436452"/>
    <n v="2.0162384852324275"/>
    <n v="2274.9064465428173"/>
    <n v="536.50289966188325"/>
    <n v="389.24914808330249"/>
    <n v="604.65517598022643"/>
    <n v="885.3579663974192"/>
    <n v="1553.6090844583496"/>
    <n v="1607.8711089669684"/>
  </r>
  <r>
    <x v="105"/>
    <n v="85.902839270719198"/>
    <n v="3091.4166496847029"/>
    <n v="9731.120667735222"/>
    <n v="3091.4166496847029"/>
    <n v="3731.7232234905182"/>
    <n v="8277.976410990248"/>
    <n v="5245.2404131830854"/>
    <n v="3927.3280444296452"/>
    <n v="4196.9150506952574"/>
    <n v="6792.884507411738"/>
    <n v="12679.694994042069"/>
    <n v="5509.0490316300002"/>
    <n v="6825.3553072394252"/>
    <n v="18.443334162507082"/>
    <n v="590.18043147278377"/>
    <n v="413.01483690195903"/>
    <n v="614.51441936633876"/>
    <n v="890.23957987084293"/>
    <n v="1499.262664444854"/>
    <n v="1668.2647027184883"/>
    <n v="1.8396150843537327"/>
    <n v="2127.5211773705332"/>
    <n v="503.1670319514451"/>
    <n v="366.04681408626277"/>
    <n v="566.96038628182191"/>
    <n v="830.37058206244342"/>
    <n v="1457.4178157484835"/>
    <n v="1508.7756183034169"/>
  </r>
  <r>
    <x v="106"/>
    <n v="-105.93466134438552"/>
    <n v="3212.5948147982649"/>
    <n v="3466.4887993132165"/>
    <n v="3212.5948147982649"/>
    <n v="4380.4886035830514"/>
    <n v="8881.6757190337285"/>
    <n v="6075.1824426735602"/>
    <n v="4989.2143538799301"/>
    <n v="3666.3100695447415"/>
    <n v="7788.1365734672536"/>
    <n v="14459.322727406226"/>
    <n v="6259.7853455207196"/>
    <n v="7620.7009424043727"/>
    <n v="6.1172715387309182"/>
    <n v="705.42165030500996"/>
    <n v="440.08731479778191"/>
    <n v="718.71017853600358"/>
    <n v="1022.2403093359804"/>
    <n v="1690.0913531547358"/>
    <n v="1923.7310420641302"/>
    <n v="2.0275317117193983"/>
    <n v="2508.7824732065937"/>
    <n v="571.09952804149088"/>
    <n v="361.75179031409255"/>
    <n v="637.14235817782389"/>
    <n v="927.86604378168272"/>
    <n v="1616.9264376903416"/>
    <n v="1702.4617279792012"/>
  </r>
  <r>
    <x v="107"/>
    <n v="122595.92811662705"/>
    <n v="3915.4782671985954"/>
    <n v="5417.0361500789031"/>
    <n v="3915.4782671985954"/>
    <n v="5280.4387728593265"/>
    <n v="11268.957428884481"/>
    <n v="7163.3040582427002"/>
    <n v="5351.2313604408855"/>
    <n v="5809.955954056104"/>
    <n v="9263.7305629405982"/>
    <n v="17457.381373095246"/>
    <n v="7460.6274539856659"/>
    <n v="8813.7279428938764"/>
    <n v="9.9143269227404343"/>
    <n v="865.28121984750624"/>
    <n v="560.58694041052445"/>
    <n v="885.26694889083842"/>
    <n v="1258.081533744423"/>
    <n v="2081.0869962630286"/>
    <n v="2384.1249645627381"/>
    <n v="3.5791764777715738"/>
    <n v="3009.4491902612858"/>
    <n v="689.19007222830589"/>
    <n v="488.80504460379603"/>
    <n v="776.58447789465299"/>
    <n v="1134.5624410753451"/>
    <n v="1987.60198972646"/>
    <n v="2054.3472287616482"/>
  </r>
  <r>
    <x v="108"/>
    <n v="-914.67609454626495"/>
    <n v="4767.0056307588447"/>
    <n v="6140.3513936608624"/>
    <n v="4767.0056307588447"/>
    <s v=""/>
    <s v=""/>
    <s v=""/>
    <s v=""/>
    <s v=""/>
    <s v=""/>
    <s v=""/>
    <s v=""/>
    <s v=""/>
    <n v="11.322376842113528"/>
    <s v=""/>
    <s v=""/>
    <s v=""/>
    <s v=""/>
    <s v=""/>
    <s v=""/>
    <n v="2.8531989479668374"/>
    <n v="3576.0406579846554"/>
    <n v="795.07362574785679"/>
    <n v="490.40478078020067"/>
    <n v="886.98658122482709"/>
    <n v="1289.0740855572908"/>
    <n v="2242.6112740737153"/>
    <n v="2359.4434170035497"/>
  </r>
  <r>
    <x v="109"/>
    <n v="13546.617550056981"/>
    <n v="2898.9198793372639"/>
    <n v="3324.157351738083"/>
    <n v="2898.9198793372639"/>
    <n v="4031.8702418516909"/>
    <n v="8086.8405177971445"/>
    <n v="5590.1906989857043"/>
    <n v="4341.9061261121933"/>
    <n v="3612.5829481248234"/>
    <n v="7147.9406384130789"/>
    <n v="13147.945289121122"/>
    <n v="5838.2924321573446"/>
    <n v="7271.625731576295"/>
    <n v="5.8402003929743804"/>
    <n v="643.4960202606236"/>
    <n v="405.5092516238156"/>
    <n v="657.82950701233415"/>
    <n v="938.26590211641837"/>
    <n v="1550.929629796671"/>
    <n v="1780.4846822614668"/>
    <n v="1.9352074779924808"/>
    <n v="2228.918761556854"/>
    <n v="521.10159092887852"/>
    <n v="342.49805100516119"/>
    <n v="582.52215622568838"/>
    <n v="850.33760771218135"/>
    <n v="1484.9896943685001"/>
    <n v="1560.7990862204224"/>
  </r>
  <r>
    <x v="110"/>
    <n v="-104.18146361989989"/>
    <n v="3936.5958896083066"/>
    <n v="4760.1313056586914"/>
    <n v="3936.5958896083066"/>
    <n v="4947.9855564890977"/>
    <n v="9794.1977871809813"/>
    <n v="6804.1861572719272"/>
    <n v="4890.4481655764357"/>
    <n v="4227.2764641341037"/>
    <n v="8908.5093845474366"/>
    <n v="17093.189781695764"/>
    <n v="7201.2146021169583"/>
    <n v="8766.849909910321"/>
    <n v="8.6355555689926966"/>
    <n v="806.22703009753138"/>
    <n v="499.36477086423764"/>
    <n v="844.53684907161892"/>
    <n v="1218.5621934169717"/>
    <n v="2054.0537597630223"/>
    <n v="2305.8302631524111"/>
    <n v="2.5538791867938513"/>
    <n v="3095.9475948595236"/>
    <n v="707.50827369595402"/>
    <n v="451.44019259139691"/>
    <n v="790.67691895536609"/>
    <n v="1151.8141774305618"/>
    <n v="2007.8104279608151"/>
    <n v="2110.2916158672442"/>
  </r>
  <r>
    <x v="111"/>
    <n v="182.16911834919119"/>
    <n v="2910.3458187786759"/>
    <n v="2910.3458187786759"/>
    <n v="4187.0479178842752"/>
    <n v="5773.6536286399842"/>
    <n v="11291.807261644874"/>
    <n v="8102.9671512778541"/>
    <n v="5765.350383626318"/>
    <n v="4572.700019897633"/>
    <n v="10662.881084476272"/>
    <n v="20804.210780839836"/>
    <n v="8433.0925013090673"/>
    <n v="9458.8423036544209"/>
    <n v="5.0346494236159867"/>
    <n v="952.89175344012301"/>
    <n v="562.80144241398921"/>
    <n v="1004.3860350220804"/>
    <n v="1443.8592239586578"/>
    <n v="2438.8376905707714"/>
    <n v="2711.6201916164114"/>
    <e v="#N/A"/>
    <n v="3923.3075764580358"/>
    <n v="851.81285192872929"/>
    <n v="511.31171042356743"/>
    <n v="948.91228270506633"/>
    <n v="1376.3255421555923"/>
    <n v="2390.565504671602"/>
    <n v="2516.3816387354796"/>
  </r>
  <r>
    <x v="112"/>
    <n v="-3.34337964741905"/>
    <n v="3949.9518922918223"/>
    <n v="6687.3728942847501"/>
    <n v="4174.9226019433418"/>
    <n v="4842.7770590214423"/>
    <n v="9812.5577342976103"/>
    <n v="6685.6683265150314"/>
    <n v="5383.413155436594"/>
    <n v="3949.9518922918223"/>
    <n v="8639.0876340875493"/>
    <n v="16310.555706705969"/>
    <n v="6903.2086465870261"/>
    <n v="8330.7070714213696"/>
    <n v="12.387242523686211"/>
    <n v="787.53867857367163"/>
    <n v="488.87631968984022"/>
    <n v="809.82927772106052"/>
    <n v="1154.6817211952914"/>
    <n v="1922.1576613803686"/>
    <n v="2168.8923370582829"/>
    <e v="#N/A"/>
    <n v="2903.0691325659682"/>
    <n v="654.82647343564429"/>
    <n v="409.49311144944625"/>
    <n v="730.49270656893748"/>
    <n v="1062.8951537758758"/>
    <n v="1850.8019903587069"/>
    <n v="1948.696533673992"/>
  </r>
  <r>
    <x v="113"/>
    <n v="-117.75010902802831"/>
    <n v="4924.9918624050315"/>
    <n v="5987.7996058608824"/>
    <n v="5080.6643491530958"/>
    <n v="6076.0699367932421"/>
    <n v="12012.245585730938"/>
    <n v="8336.5759975570109"/>
    <n v="6020.2943704365534"/>
    <n v="4924.9918624050315"/>
    <n v="10992.91408980577"/>
    <n v="21478.858690324276"/>
    <n v="8745.6729164209992"/>
    <n v="10242.896438899023"/>
    <n v="11.02541015377407"/>
    <n v="1006.6104397568201"/>
    <n v="608.52827216181322"/>
    <n v="1058.9972117382922"/>
    <n v="1523.6812394041883"/>
    <n v="2573.5084261254888"/>
    <n v="2868.7419244230036"/>
    <n v="3.233333839930447"/>
    <n v="4020.071463176916"/>
    <n v="892.8147127407882"/>
    <n v="550.79545647831696"/>
    <n v="996.55662407499517"/>
    <n v="1448.1895873538117"/>
    <n v="2519.3198942975578"/>
    <n v="2648.8258772487129"/>
  </r>
  <r>
    <x v="114"/>
    <n v="4708.26864756751"/>
    <n v="3702.5423434492063"/>
    <n v="5264.1319274828693"/>
    <n v="3702.5423434492063"/>
    <n v="4640.836772948247"/>
    <n v="9437.2218737440944"/>
    <n v="6329.5425526787458"/>
    <n v="5116.433240671764"/>
    <n v="4004.5808252173938"/>
    <n v="8144.1957762013863"/>
    <n v="15203.748640384087"/>
    <n v="6578.481806124898"/>
    <n v="8193.0180668287394"/>
    <n v="9.6166741631608463"/>
    <n v="751.66770670540666"/>
    <n v="474.08774447069129"/>
    <n v="767.88801282745237"/>
    <n v="1093.8266515001885"/>
    <n v="1811.9271713524195"/>
    <n v="2065.7211270085354"/>
    <n v="2.2333817287570121"/>
    <n v="2637.1643167268981"/>
    <n v="610.15518836247873"/>
    <n v="395.64004654780592"/>
    <n v="682.10632580800961"/>
    <n v="994.75746918537027"/>
    <n v="1735.7265523798962"/>
    <n v="1824.0544797763334"/>
  </r>
  <r>
    <x v="115"/>
    <n v="10054.913915654201"/>
    <n v="3967.0019528622229"/>
    <n v="5852.1094432694272"/>
    <n v="4062.933427603095"/>
    <n v="4593.1596713594954"/>
    <n v="9261.7644323608565"/>
    <n v="6215.6716449723581"/>
    <n v="5139.090944216844"/>
    <n v="3967.0019528622229"/>
    <n v="7984.9128278366916"/>
    <n v="14812.589056091369"/>
    <n v="6479.3347807571245"/>
    <n v="8094.4785985853196"/>
    <n v="10.761267341643535"/>
    <n v="743.19874787056256"/>
    <n v="464.40345440908726"/>
    <n v="750.09811595707106"/>
    <n v="1067.9495374631704"/>
    <n v="1762.0071112858252"/>
    <n v="2026.5464252973229"/>
    <n v="2.1553144379412053"/>
    <n v="2549.6528662965229"/>
    <n v="591.42267452207125"/>
    <n v="384.34994063897659"/>
    <n v="661.1450946405987"/>
    <n v="964.38405742814462"/>
    <n v="1682.9878045107582"/>
    <n v="1768.9033480391358"/>
  </r>
  <r>
    <x v="116"/>
    <n v="3011.8714982246656"/>
    <n v="2121.936550588699"/>
    <n v="2406.8357410826843"/>
    <n v="2121.936550588699"/>
    <n v="3394.6028659426024"/>
    <n v="7359.9774288711487"/>
    <n v="4858.0949813550196"/>
    <n v="3379.3134455840964"/>
    <n v="3876.841102697424"/>
    <n v="6271.7329264746204"/>
    <n v="11630.020568979862"/>
    <n v="5140.1044606411187"/>
    <n v="6302.3438987218315"/>
    <n v="4.0544857528042435"/>
    <n v="530.29721006624607"/>
    <n v="367.09564568741354"/>
    <n v="555.17552268628742"/>
    <n v="806.55215544201678"/>
    <n v="1361.2700620026824"/>
    <n v="1521.070920653191"/>
    <n v="1.7265839080718117"/>
    <n v="1936.2342490847179"/>
    <n v="458.80928914037861"/>
    <n v="333.84821867717005"/>
    <n v="516.62232723699003"/>
    <n v="756.75958071870264"/>
    <n v="1328.3368535823472"/>
    <n v="1376.3232641803463"/>
  </r>
  <r>
    <x v="117"/>
    <n v="87.13495018610547"/>
    <n v="4215.6917831316096"/>
    <n v="7718.782420183994"/>
    <n v="4215.6917831316096"/>
    <n v="4900.8777841337196"/>
    <n v="11128.481544799777"/>
    <n v="6594.2516688581836"/>
    <n v="5407.3930848256459"/>
    <n v="5344.9020233230331"/>
    <n v="8558.4168331387282"/>
    <n v="16182.727896406865"/>
    <n v="6837.8681987446089"/>
    <n v="8645.2184137544937"/>
    <n v="14.405737357629015"/>
    <n v="797.85920211335235"/>
    <n v="558.42907220719155"/>
    <n v="821.62908903341179"/>
    <n v="1176.0122260185713"/>
    <n v="1964.4841999008054"/>
    <n v="2194.1019027713814"/>
    <n v="2.4823039667001878"/>
    <n v="2751.9347967838657"/>
    <n v="650.22723686906488"/>
    <n v="472.89902637583043"/>
    <n v="733.83331553568701"/>
    <n v="1074.5929644425432"/>
    <n v="1885.7968193151182"/>
    <n v="1949.1572959475534"/>
  </r>
  <r>
    <x v="118"/>
    <n v="15561.224279893202"/>
    <n v="3707.5751377538613"/>
    <n v="5147.5545892902819"/>
    <n v="3707.5751377538613"/>
    <n v="4715.0232053445934"/>
    <n v="9474.7574833931176"/>
    <n v="6438.4469183747997"/>
    <n v="4965.399783059097"/>
    <n v="4172.4039840949854"/>
    <n v="8299.5720982919756"/>
    <n v="15541.655541000588"/>
    <n v="6729.9898224874978"/>
    <n v="8315.6583431166"/>
    <n v="9.3897375499769087"/>
    <n v="764.84555982844176"/>
    <n v="478.04680784240401"/>
    <n v="785.58858421334457"/>
    <n v="1119.954473425051"/>
    <n v="1857.4799439648323"/>
    <n v="2122.936251260217"/>
    <n v="2.3803963149323337"/>
    <n v="2706.9178052524071"/>
    <n v="626.23622637297069"/>
    <n v="408.31381903813821"/>
    <n v="700.4814273311672"/>
    <n v="1021.683083908907"/>
    <n v="1783.1355123788258"/>
    <n v="1871.9651599335"/>
  </r>
  <r>
    <x v="119"/>
    <n v="2054.6750954068084"/>
    <n v="4222.69873301389"/>
    <n v="13073.601544309229"/>
    <n v="4513.7035578872174"/>
    <n v="5071.8467765630839"/>
    <n v="10084.3808098257"/>
    <n v="7012.4814968052906"/>
    <n v="5243.8686324284899"/>
    <n v="4222.69873301389"/>
    <n v="9149.0900707196943"/>
    <n v="17515.926925832493"/>
    <n v="7335.1117051330202"/>
    <n v="8709.6203479470278"/>
    <n v="25.149756467029565"/>
    <n v="828.22869418962114"/>
    <n v="506.62133373693683"/>
    <n v="861.24145018187107"/>
    <n v="1236.490323133198"/>
    <n v="2075.4385347052544"/>
    <n v="2332.8412362127456"/>
    <n v="2.6114592037591651"/>
    <n v="3183.1133164721587"/>
    <n v="714.33015309309849"/>
    <n v="446.87668718138298"/>
    <n v="797.28552843119701"/>
    <n v="1159.7383920404618"/>
    <n v="2019.239101839313"/>
    <n v="2123.5526242640376"/>
  </r>
  <r>
    <x v="120"/>
    <n v="38.171520098345383"/>
    <n v="4282.6995815154096"/>
    <n v="6794.1610536423605"/>
    <n v="4282.6995815154096"/>
    <s v=""/>
    <s v=""/>
    <s v=""/>
    <s v=""/>
    <s v=""/>
    <s v=""/>
    <s v=""/>
    <s v=""/>
    <s v=""/>
    <n v="12.595122919554639"/>
    <s v=""/>
    <s v=""/>
    <s v=""/>
    <s v=""/>
    <s v=""/>
    <s v=""/>
    <n v="2.1840800077075251"/>
    <n v="2758.5116354775059"/>
    <n v="632.68908379728509"/>
    <n v="402.75615205006329"/>
    <n v="706.48442747327101"/>
    <n v="1029.3442684901324"/>
    <n v="1794.311681463344"/>
    <n v="1888.5632545517171"/>
  </r>
  <r>
    <x v="121"/>
    <n v="5097.8057367261117"/>
    <n v="2334.6194836746981"/>
    <n v="2585.8361950434887"/>
    <n v="2334.6194836746981"/>
    <n v="3589.5754496980876"/>
    <n v="7760.2679801719023"/>
    <n v="5190.8861440439277"/>
    <n v="3411.3089312104757"/>
    <n v="4100.4532770073283"/>
    <n v="6740.4423974426154"/>
    <n v="12704.523204992909"/>
    <n v="5481.4568645053505"/>
    <n v="6509.359834096369"/>
    <n v="4.4029390406391755"/>
    <n v="564.93049797018091"/>
    <n v="386.3059127342583"/>
    <n v="599.08914386115543"/>
    <n v="872.43080859576139"/>
    <n v="1482.6178930372862"/>
    <n v="1640.6068596034909"/>
    <n v="3.0286219538749752"/>
    <n v="2179.2694671710628"/>
    <n v="505.01631035145499"/>
    <n v="361.12501432256676"/>
    <n v="568.31294940489067"/>
    <n v="831.08929055094404"/>
    <n v="1456.9960308999507"/>
    <n v="1508.8487772204116"/>
  </r>
  <r>
    <x v="122"/>
    <n v="-180.30290370638198"/>
    <n v="2078.7938405591708"/>
    <n v="2156.3868846922869"/>
    <n v="2078.7938405591708"/>
    <s v=""/>
    <s v=""/>
    <s v=""/>
    <s v=""/>
    <s v=""/>
    <s v=""/>
    <s v=""/>
    <s v=""/>
    <s v=""/>
    <n v="3.5669466124686453"/>
    <s v=""/>
    <s v=""/>
    <s v=""/>
    <s v=""/>
    <s v=""/>
    <s v=""/>
    <n v="2.0368424945740737"/>
    <n v="1998.8579570663799"/>
    <n v="466.69262678302073"/>
    <n v="335.60961934572231"/>
    <n v="525.09920965786478"/>
    <n v="768.34071801802497"/>
    <n v="1347.5715866770258"/>
    <n v="1396.2943218589153"/>
  </r>
  <r>
    <x v="123"/>
    <n v="-359.90071977346543"/>
    <n v="3346.2185422377852"/>
    <n v="3346.2185422377852"/>
    <n v="3658.7380601717678"/>
    <n v="4907.5642804498966"/>
    <n v="9689.6251127354426"/>
    <n v="6855.8805860089315"/>
    <n v="5019.4080765061999"/>
    <n v="4075.3639048746231"/>
    <n v="8945.6231756086545"/>
    <n v="17127.177991861841"/>
    <n v="7169.2292855160777"/>
    <n v="8396.4693776510048"/>
    <n v="5.8831460626253476"/>
    <n v="799.04693501162069"/>
    <n v="485.03148594974999"/>
    <n v="833.81871798229486"/>
    <n v="1198.5754520811447"/>
    <n v="2014.7693183006184"/>
    <n v="2260.5488994055931"/>
    <n v="2.5493895428191569"/>
    <n v="3122.4662691004228"/>
    <n v="696.16725394808418"/>
    <n v="432.14412812499609"/>
    <n v="776.50579766126248"/>
    <n v="1128.9052509858586"/>
    <n v="1964.6849302104147"/>
    <n v="2067.079001520965"/>
  </r>
  <r>
    <x v="124"/>
    <n v="320.82670185031793"/>
    <n v="4867.2340005560563"/>
    <n v="5267.103246489628"/>
    <n v="4867.2340005560563"/>
    <s v=""/>
    <s v=""/>
    <s v=""/>
    <s v=""/>
    <s v=""/>
    <s v=""/>
    <s v=""/>
    <s v=""/>
    <s v=""/>
    <n v="9.6224583154029286"/>
    <s v=""/>
    <s v=""/>
    <s v=""/>
    <s v=""/>
    <s v=""/>
    <s v=""/>
    <n v="3.1709666382179869"/>
    <n v="3819.8460619501079"/>
    <n v="853.3060378818459"/>
    <n v="532.27329436759351"/>
    <n v="952.99344139546838"/>
    <n v="1385.7164300514148"/>
    <n v="2412.0760317724616"/>
    <n v="2534.2865865389354"/>
  </r>
  <r>
    <x v="125"/>
    <n v="486.5131455475821"/>
    <n v="4431.0483364451311"/>
    <n v="6304.6163096861519"/>
    <n v="4431.0483364451311"/>
    <n v="5359.9135942931489"/>
    <n v="10847.396333041555"/>
    <n v="7251.5373126454497"/>
    <n v="5887.6117680107382"/>
    <n v="4463.5845576009933"/>
    <n v="9369.4608014099904"/>
    <n v="17707.727174613032"/>
    <n v="7505.7216432234918"/>
    <n v="9155.9212941555361"/>
    <n v="11.642145025927601"/>
    <n v="879.39845786535636"/>
    <n v="543.82393588212528"/>
    <n v="898.25302642201825"/>
    <n v="1275.5454585822881"/>
    <n v="2113.5400289445538"/>
    <n v="2407.1264156062416"/>
    <e v="#N/A"/>
    <n v="3143.7670675541126"/>
    <n v="714.0974802312769"/>
    <n v="452.75112297173672"/>
    <n v="797.74934759099358"/>
    <n v="1161.5548775161183"/>
    <n v="2024.0071795366625"/>
    <n v="2127.6070779217189"/>
  </r>
  <r>
    <x v="126"/>
    <n v="935.26631645117095"/>
    <n v="3742.3640660100268"/>
    <n v="5141.7880081880057"/>
    <n v="3810.0425028351365"/>
    <n v="4563.057129330894"/>
    <n v="9313.3736907615803"/>
    <n v="6210.5394208714351"/>
    <n v="5493.2186324435334"/>
    <n v="3742.3640660100268"/>
    <n v="7911.7477116670789"/>
    <n v="14531.228544388818"/>
    <n v="6350.088128058238"/>
    <n v="7858.191465098047"/>
    <n v="9.3785119686993639"/>
    <n v="737.85158579969254"/>
    <n v="459.63299025947163"/>
    <n v="737.10787201637504"/>
    <n v="1040.5529702003639"/>
    <n v="1701.6155499333711"/>
    <n v="1959.5089109088367"/>
    <n v="1.9420936951891805"/>
    <n v="2480.6039005892771"/>
    <n v="567.62165837376847"/>
    <n v="359.8669174562171"/>
    <n v="633.26080009967598"/>
    <n v="922.49034364003842"/>
    <n v="1607.7605776826017"/>
    <n v="1693.7800372857548"/>
  </r>
  <r>
    <x v="127"/>
    <n v="-319.75353061425517"/>
    <n v="4260.0459542804792"/>
    <n v="5102.8322462153501"/>
    <n v="4260.0459542804792"/>
    <n v="5312.9055339757751"/>
    <n v="10564.460724752817"/>
    <n v="7277.2773015800658"/>
    <n v="5442.5753909015284"/>
    <n v="4381.0382617610157"/>
    <n v="9522.7130324034788"/>
    <n v="18317.806268775104"/>
    <n v="7640.0819293813747"/>
    <n v="9195.7303351901974"/>
    <n v="9.3026782876157412"/>
    <n v="871.04834188792813"/>
    <n v="534.89304208420094"/>
    <n v="907.43863670544351"/>
    <n v="1304.1731609949179"/>
    <n v="2192.649886257208"/>
    <n v="2461.664795719727"/>
    <n v="2.6710347030375554"/>
    <n v="3342.8882499264741"/>
    <n v="754.86604636419611"/>
    <n v="473.54052504285852"/>
    <n v="842.88486296785629"/>
    <n v="1226.5408691619193"/>
    <n v="2135.9930177919973"/>
    <n v="2246.6695573451921"/>
  </r>
  <r>
    <x v="128"/>
    <n v="486.20781237922711"/>
    <n v="3989.070077961027"/>
    <n v="11711.669249094281"/>
    <n v="4328.0144885171048"/>
    <n v="4912.530253039914"/>
    <n v="9717.0967601303946"/>
    <n v="6867.7787199623936"/>
    <n v="5123.0444557877627"/>
    <n v="3989.070077961027"/>
    <n v="8956.1717501329895"/>
    <n v="17143.92540512095"/>
    <n v="7160.5629124422712"/>
    <n v="8375.1126428278894"/>
    <n v="22.417147527994754"/>
    <n v="799.92904856379482"/>
    <n v="485.07528764755585"/>
    <n v="833.29665911792711"/>
    <n v="1197.0570700870478"/>
    <n v="2011.5814657903634"/>
    <n v="2254.1813287553032"/>
    <n v="2.4689026784832291"/>
    <n v="3130.287362517171"/>
    <n v="695.66802489632505"/>
    <n v="428.08643217035626"/>
    <n v="775.47377880259876"/>
    <n v="1126.9657441439408"/>
    <n v="1960.4539948339554"/>
    <n v="2064.4534208368786"/>
  </r>
  <r>
    <x v="129"/>
    <n v="1332.4156705126391"/>
    <n v="2569.1500392811322"/>
    <n v="2569.1500392811322"/>
    <n v="2844.0577527098444"/>
    <n v="4103.7989892912019"/>
    <n v="8067.0130029182574"/>
    <n v="5820.9134945741853"/>
    <n v="4115.4560975859049"/>
    <n v="3554.4028674158285"/>
    <n v="7559.492189625259"/>
    <n v="14284.592108516405"/>
    <n v="6132.6455530442554"/>
    <n v="7301.0720282002021"/>
    <n v="4.3704567440412463"/>
    <n v="656.2728372400104"/>
    <n v="404.53307460671999"/>
    <n v="686.57122203863514"/>
    <n v="991.83906726140731"/>
    <n v="1670.4405413673553"/>
    <n v="1876.8168049080873"/>
    <n v="2.1281263021604739"/>
    <n v="2545.7848710655826"/>
    <n v="577.12773153483886"/>
    <n v="365.81292150589519"/>
    <n v="643.95152482479216"/>
    <n v="937.58609663642869"/>
    <n v="1633.7971583863291"/>
    <n v="1719.0208351593224"/>
  </r>
  <r>
    <x v="130"/>
    <n v="1200.5676557772649"/>
    <n v="2574.906795689657"/>
    <n v="2574.906795689657"/>
    <n v="2928.1859826171817"/>
    <n v="4190.7284448960318"/>
    <n v="8153.7300441826092"/>
    <n v="5904.4046065351786"/>
    <n v="4335.4782731798387"/>
    <n v="3515.6235112338986"/>
    <n v="7632.9743078495403"/>
    <n v="14321.981785562695"/>
    <n v="6192.9790294235445"/>
    <n v="7370.5132245588247"/>
    <n v="4.381663199965959"/>
    <n v="671.71425369613155"/>
    <n v="407.14828460727074"/>
    <n v="695.0222289489044"/>
    <n v="998.53032439499725"/>
    <n v="1669.3575916603243"/>
    <n v="1893.6785871028319"/>
    <n v="1.9791905884116219"/>
    <n v="2538.7160809964398"/>
    <n v="573.91294077234443"/>
    <n v="359.01765074042055"/>
    <n v="639.73053253824639"/>
    <n v="930.99737157910761"/>
    <n v="1621.2954368811052"/>
    <n v="1708.7364236620228"/>
  </r>
  <r>
    <x v="131"/>
    <n v="3611.0515885492096"/>
    <n v="5184.0162507494024"/>
    <n v="5184.0162507494024"/>
    <n v="5200.8278514332815"/>
    <s v=""/>
    <s v=""/>
    <s v=""/>
    <s v=""/>
    <s v=""/>
    <s v=""/>
    <s v=""/>
    <s v=""/>
    <s v=""/>
    <n v="9.4607160616746331"/>
    <s v=""/>
    <s v=""/>
    <s v=""/>
    <s v=""/>
    <s v=""/>
    <s v=""/>
    <n v="3.425353628125491"/>
    <n v="4244.9800783480978"/>
    <n v="942.01882569630288"/>
    <n v="580.95103970725859"/>
    <n v="1051.6639290781993"/>
    <n v="1528.1712879724651"/>
    <n v="2658.3492967036964"/>
    <n v="2794.3041186290652"/>
  </r>
  <r>
    <x v="132"/>
    <n v="-3390.0803276816655"/>
    <n v="4658.7712637805107"/>
    <n v="6283.0398157535528"/>
    <n v="4658.7712637805107"/>
    <s v=""/>
    <s v=""/>
    <s v=""/>
    <s v=""/>
    <s v=""/>
    <s v=""/>
    <s v=""/>
    <s v=""/>
    <s v=""/>
    <n v="11.600142896411155"/>
    <s v=""/>
    <s v=""/>
    <s v=""/>
    <s v=""/>
    <s v=""/>
    <s v=""/>
    <n v="2.8508788816878914"/>
    <n v="3440.5285513503013"/>
    <n v="779.62066440144145"/>
    <n v="493.49980555139268"/>
    <n v="871.2014407904453"/>
    <n v="1268.253867349116"/>
    <n v="2209.6262860450979"/>
    <n v="2321.6600026719329"/>
  </r>
  <r>
    <x v="133"/>
    <n v="2483.2431355315548"/>
    <n v="2685.3131950091288"/>
    <n v="2685.3131950091288"/>
    <n v="3841.636367931409"/>
    <n v="5320.8407495612973"/>
    <n v="10322.529187868564"/>
    <n v="7579.1913876075496"/>
    <n v="5518.7584687543149"/>
    <n v="4139.5911879941514"/>
    <n v="9893.4140080670386"/>
    <n v="19078.986870195975"/>
    <n v="7811.8037997635201"/>
    <n v="8514.8105935024414"/>
    <n v="4.5965870841775063"/>
    <n v="872.45788676167217"/>
    <n v="504.98479517895623"/>
    <n v="911.17323380658684"/>
    <n v="1303.3263275789845"/>
    <n v="2187.6750708287927"/>
    <n v="2447.9194350255752"/>
    <n v="2.7833470870824488"/>
    <n v="3570.2109995589944"/>
    <n v="763.20254969893676"/>
    <n v="448.42015951023598"/>
    <n v="848.61976110460353"/>
    <n v="1229.1838630092179"/>
    <n v="2132.5255228739575"/>
    <n v="2247.960367150652"/>
  </r>
  <r>
    <x v="134"/>
    <n v="-67.761269605083157"/>
    <n v="3010.1082574856705"/>
    <n v="4361.5553252908703"/>
    <n v="3010.1082574856705"/>
    <n v="4126.8145725982195"/>
    <n v="9321.7863760548662"/>
    <n v="5654.7323858826912"/>
    <n v="4635.9720036548988"/>
    <n v="4547.1237517132222"/>
    <n v="7281.6472619567276"/>
    <n v="13514.581283556427"/>
    <n v="5863.4451974823678"/>
    <n v="7453.3943206696167"/>
    <n v="7.859663062923353"/>
    <n v="660.36113164323069"/>
    <n v="465.26065172322399"/>
    <n v="678.02609672360597"/>
    <n v="971.70632646741569"/>
    <n v="1617.981399984712"/>
    <n v="1814.0207794628911"/>
    <n v="1.8830017960403234"/>
    <n v="2236.1171027122"/>
    <n v="534.04612997783374"/>
    <n v="391.61875315879274"/>
    <n v="602.37162301302351"/>
    <n v="882.83749915253236"/>
    <n v="1550.2951973398854"/>
    <n v="1604.0510662460683"/>
  </r>
  <r>
    <x v="135"/>
    <n v="10197.484842156417"/>
    <n v="2097.857876975318"/>
    <n v="2463.6501135415615"/>
    <n v="2097.857876975318"/>
    <n v="3354.5819469471908"/>
    <n v="7229.5686887969478"/>
    <n v="4884.4577871266383"/>
    <n v="3162.452969904683"/>
    <n v="3859.337106464975"/>
    <n v="6326.9752269745213"/>
    <n v="11853.639051347787"/>
    <n v="5175.2858430377237"/>
    <n v="6196.2150445548323"/>
    <n v="4.1650841029285912"/>
    <n v="523.18823103416639"/>
    <n v="360.1455522070205"/>
    <n v="555.25645831392001"/>
    <n v="810.4213926336663"/>
    <n v="1378.9671022638672"/>
    <n v="1526.8344833763911"/>
    <n v="2.7628086208715721"/>
    <n v="2011.3708504546501"/>
    <n v="469.91852778254321"/>
    <n v="338.12287552837392"/>
    <n v="528.7798590309161"/>
    <n v="773.76146587622679"/>
    <n v="1357.1253205858341"/>
    <n v="1406.1018798283344"/>
  </r>
  <r>
    <x v="136"/>
    <n v="82276.395038700779"/>
    <n v="3081.0878134280015"/>
    <n v="9273.5619969547915"/>
    <n v="3081.0878134280015"/>
    <n v="4011.443807992709"/>
    <n v="8625.2472542399119"/>
    <n v="5521.8249577057986"/>
    <n v="4361.1074891835742"/>
    <n v="4448.9697915971774"/>
    <n v="7050.2417899415068"/>
    <n v="12870.165870919713"/>
    <n v="5749.5854856410033"/>
    <n v="7055.1225582225834"/>
    <n v="17.525279044568816"/>
    <n v="639.86764056198865"/>
    <n v="426.41530019777218"/>
    <n v="645.91850749605703"/>
    <n v="919.60016878659337"/>
    <n v="1511.9181752636275"/>
    <n v="1743.5862501960523"/>
    <n v="2.1163376190799337"/>
    <n v="2102.6391344186136"/>
    <n v="495.95483791708091"/>
    <n v="360.31474133940452"/>
    <n v="558.72715444252231"/>
    <n v="818.17704122022371"/>
    <n v="1435.8736178971076"/>
    <n v="1486.4558519300344"/>
  </r>
  <r>
    <x v="137"/>
    <n v="2472.0726285670262"/>
    <n v="4686.0080445159438"/>
    <n v="16123.65395184215"/>
    <n v="4686.0080445159438"/>
    <n v="4897.5407807749807"/>
    <n v="10991.299393845507"/>
    <n v="6654.3489351620274"/>
    <n v="5290.4840467551567"/>
    <n v="5348.4154751337219"/>
    <n v="8667.7955431250084"/>
    <n v="16474.282594825843"/>
    <n v="6920.2904902909268"/>
    <n v="8493.4652187847532"/>
    <n v="31.269444283106861"/>
    <n v="797.2664449377869"/>
    <n v="548.78229032787669"/>
    <n v="822.8040551202912"/>
    <n v="1181.0529158090715"/>
    <n v="1979.2530043677225"/>
    <n v="2207.7249809583454"/>
    <n v="2.5471678745161643"/>
    <n v="2843.2082079783986"/>
    <n v="660.47381259356371"/>
    <n v="473.89942848593211"/>
    <n v="744.70578696144423"/>
    <n v="1089.1569690218812"/>
    <n v="1909.5847223477535"/>
    <n v="1973.889406496791"/>
  </r>
  <r>
    <x v="138"/>
    <n v="1176.4739771184331"/>
    <n v="5291.8201383060514"/>
    <n v="5296.6141070956528"/>
    <n v="5291.8201383060514"/>
    <s v=""/>
    <s v=""/>
    <s v=""/>
    <s v=""/>
    <s v=""/>
    <s v=""/>
    <s v=""/>
    <s v=""/>
    <s v=""/>
    <n v="9.679905970855577"/>
    <s v=""/>
    <s v=""/>
    <s v=""/>
    <s v=""/>
    <s v=""/>
    <s v=""/>
    <n v="3.4720505479887454"/>
    <n v="4305.0772476365373"/>
    <n v="951.74738831156401"/>
    <n v="584.47547731429597"/>
    <n v="1062.2728350300022"/>
    <n v="1543.1036232230238"/>
    <n v="2683.6514119261242"/>
    <n v="2821.1401331001298"/>
  </r>
  <r>
    <x v="139"/>
    <n v="6407.9814053650261"/>
    <n v="4871.0886685345231"/>
    <n v="16701.299458824233"/>
    <n v="4871.0886685345231"/>
    <n v="5478.6068806912735"/>
    <n v="12212.796928927797"/>
    <n v="7393.6560086304089"/>
    <n v="5542.7515825240353"/>
    <n v="6076.8103909956026"/>
    <n v="9707.9106302374475"/>
    <n v="18724.934072108277"/>
    <n v="7750.7947823408276"/>
    <n v="9459.0616592298866"/>
    <n v="32.428444096473797"/>
    <n v="900.48213373870738"/>
    <n v="615.97554489529296"/>
    <n v="940.27363047019753"/>
    <n v="1352.8915064707528"/>
    <n v="2278.7669588368872"/>
    <n v="2534.3557576656121"/>
    <n v="3.1671436406508158"/>
    <n v="3295.0669071437933"/>
    <n v="764.10274132095276"/>
    <n v="548.71641477259175"/>
    <n v="862.24430089040447"/>
    <n v="1260.913081767779"/>
    <n v="2210.6393413281517"/>
    <n v="2282.6688089408481"/>
  </r>
  <r>
    <x v="140"/>
    <n v="32.843523169904074"/>
    <n v="4533.806787646613"/>
    <n v="6633.0073758294593"/>
    <n v="5055.1960249276244"/>
    <n v="5740.4393445540718"/>
    <n v="11689.409296260143"/>
    <n v="7780.5333679638006"/>
    <n v="6641.2851089143796"/>
    <n v="4533.806787646613"/>
    <n v="10024.335369982284"/>
    <n v="18967.409411028188"/>
    <n v="7935.2283336223409"/>
    <n v="9398.4639541711367"/>
    <n v="12.281411263309941"/>
    <n v="946.99184771433602"/>
    <n v="576.59535339704735"/>
    <n v="957.82487964815095"/>
    <n v="1351.5619627586364"/>
    <n v="2230.1579638081294"/>
    <n v="2539.4534058916502"/>
    <n v="2.6981416436924386"/>
    <n v="3400.6963414231982"/>
    <n v="753.63392368045118"/>
    <n v="462.80695628735464"/>
    <n v="840.33657801393372"/>
    <n v="1220.948848912388"/>
    <n v="2123.5998215768736"/>
    <n v="2235.2146029967871"/>
  </r>
  <r>
    <x v="141"/>
    <n v="41.210993615049809"/>
    <n v="3006.1303291166355"/>
    <n v="3048.6613213890137"/>
    <n v="3006.1303291166355"/>
    <s v=""/>
    <s v=""/>
    <s v=""/>
    <s v=""/>
    <s v=""/>
    <s v=""/>
    <s v=""/>
    <s v=""/>
    <s v=""/>
    <n v="5.3039028840215492"/>
    <s v=""/>
    <s v=""/>
    <s v=""/>
    <s v=""/>
    <s v=""/>
    <s v=""/>
    <e v="#N/A"/>
    <n v="2468.2083961009066"/>
    <n v="574.18610159525292"/>
    <n v="372.25483450672539"/>
    <n v="641.60549540451211"/>
    <n v="935.97642898426341"/>
    <n v="1633.3305056952543"/>
    <n v="1718.3175977964738"/>
  </r>
  <r>
    <x v="142"/>
    <n v="2045.9706756882761"/>
    <n v="4031.8902960447631"/>
    <n v="4989.2772619722118"/>
    <n v="4031.8902960447631"/>
    <n v="5051.2401539220809"/>
    <n v="10256.363060657553"/>
    <n v="6803.5149410210197"/>
    <n v="5278.6870299068887"/>
    <n v="4413.1675101496467"/>
    <n v="8830.1926264016056"/>
    <n v="16725.04278893624"/>
    <n v="7149.5207662258035"/>
    <n v="9036.8067941868394"/>
    <n v="9.0816251744307337"/>
    <n v="824.56830727312706"/>
    <n v="523.68426112395036"/>
    <n v="851.84765320214785"/>
    <n v="1219.0475228123462"/>
    <n v="2033.8675926361279"/>
    <n v="2306.027752011601"/>
    <n v="2.5240993133787448"/>
    <n v="2945.0630265458371"/>
    <n v="687.81582662727806"/>
    <n v="450.97763652296953"/>
    <n v="770.03033362661427"/>
    <n v="1123.7974549841695"/>
    <n v="1962.0808753260876"/>
    <n v="2059.5003651369502"/>
  </r>
  <r>
    <x v="143"/>
    <n v="4136.0023684282914"/>
    <n v="4757.8874952692768"/>
    <n v="7134.8104610620185"/>
    <n v="4757.8874952692768"/>
    <s v=""/>
    <s v=""/>
    <s v=""/>
    <s v=""/>
    <s v=""/>
    <s v=""/>
    <s v=""/>
    <s v=""/>
    <s v=""/>
    <n v="13.25825199765403"/>
    <s v=""/>
    <s v=""/>
    <s v=""/>
    <s v=""/>
    <s v=""/>
    <s v=""/>
    <n v="2.7094750090977135"/>
    <n v="3270.563437775565"/>
    <n v="747.93156955617428"/>
    <n v="477.89468742777143"/>
    <n v="836.1531965771884"/>
    <n v="1218.1263460663247"/>
    <n v="2123.5227081338217"/>
    <n v="2231.0627833416388"/>
  </r>
  <r>
    <x v="144"/>
    <n v="1641.8763616821593"/>
    <n v="42327.672027481916"/>
    <n v="68656.493310346385"/>
    <n v="42327.672027481916"/>
    <s v=""/>
    <s v=""/>
    <s v=""/>
    <s v=""/>
    <s v=""/>
    <s v=""/>
    <s v=""/>
    <s v=""/>
    <s v=""/>
    <n v="136.67241249840427"/>
    <s v=""/>
    <s v=""/>
    <s v=""/>
    <s v=""/>
    <s v=""/>
    <s v=""/>
    <n v="25.919764808350187"/>
    <n v="28657.961491609862"/>
    <n v="6462.411878244081"/>
    <n v="4130.8730034028104"/>
    <n v="7256.3296701216532"/>
    <n v="10560.519700087696"/>
    <n v="18400.94019022632"/>
    <n v="19218.11188683692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missingCaption=" " updatedVersion="4" minRefreshableVersion="3" itemPrintTitles="1" createdVersion="4" indent="0" outline="1" outlineData="1" multipleFieldFilters="0">
  <location ref="A5:AC151" firstHeaderRow="0" firstDataRow="1" firstDataCol="1"/>
  <pivotFields count="29">
    <pivotField axis="axisRow" showAll="0" sortType="ascending">
      <items count="14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68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69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 defaultSubtotal="0"/>
    <pivotField dataField="1" showAll="0" defaultSubtota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 defaultSubtotal="0"/>
    <pivotField dataField="1" showAll="0" defaultSubtotal="0"/>
    <pivotField dataField="1" showAl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167" showAll="0" defaultSubtotal="0"/>
    <pivotField dataField="1" numFmtId="167" showAll="0" defaultSubtotal="0"/>
    <pivotField dataField="1" showAll="0" defaultSubtotal="0"/>
  </pivotFields>
  <rowFields count="1">
    <field x="0"/>
  </rowFields>
  <rowItems count="14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 t="grand">
      <x/>
    </i>
  </rowItems>
  <colFields count="1">
    <field x="-2"/>
  </colFields>
  <colItems count="2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</colItems>
  <dataFields count="28">
    <dataField name="Export Potential (TWh)" fld="1" baseField="0" baseItem="0" numFmtId="3"/>
    <dataField name="Lowest H2 cost (€/t)" fld="2" baseField="0" baseItem="0" numFmtId="3"/>
    <dataField name="H2 from HV DC (€/t)" fld="3" baseField="4" baseItem="0" numFmtId="3"/>
    <dataField name="H2 from pipeline (€/t)" fld="4" baseField="0" baseItem="0" numFmtId="3"/>
    <dataField name="H2 from NH3 (€/t)" fld="5" baseField="0" baseItem="0" numFmtId="3"/>
    <dataField name="H2 from FA (€/t)" fld="6" baseField="0" baseItem="0" numFmtId="3"/>
    <dataField name="H2 from MeOH (€/t)" fld="7" baseField="0" baseItem="0" numFmtId="3"/>
    <dataField name="H2 from DBT (€/t)" fld="8" baseField="0" baseItem="0" numFmtId="3"/>
    <dataField name="H2 from NaBH4 (€/t)" fld="9" baseField="0" baseItem="0" numFmtId="3"/>
    <dataField name="H2 from DME (€/t)" fld="10" baseField="0" baseItem="0" numFmtId="3"/>
    <dataField name="H2 from OME (€/t)" fld="11" baseField="0" baseItem="0" numFmtId="3"/>
    <dataField name="H2 from LNG (€/t)" fld="12" baseField="0" baseItem="0" numFmtId="3"/>
    <dataField name="H2 from LH2 (€/t)" fld="13" baseField="0" baseItem="0" numFmtId="3"/>
    <dataField name="Electricity from HV DC (€ct/kWh)" fld="14" baseField="0" baseItem="0" numFmtId="2"/>
    <dataField name="NH3 (€/t)" fld="15" baseField="0" baseItem="0" numFmtId="3"/>
    <dataField name="FA (€/t)" fld="16" baseField="0" baseItem="0" numFmtId="3"/>
    <dataField name="MeOH (€/t)" fld="17" baseField="0" baseItem="0" numFmtId="3"/>
    <dataField name="DME (€/t)" fld="18" baseField="0" baseItem="0" numFmtId="3"/>
    <dataField name="OME (€/t)" fld="19" baseField="0" baseItem="0" numFmtId="3"/>
    <dataField name="LNG (€/t)" fld="20" baseField="0" baseItem="0" numFmtId="3"/>
    <dataField name="Production cost H2 (€/t)" fld="22" baseField="0" baseItem="0" numFmtId="3"/>
    <dataField name="Production cost electricity (€ct/kWh)" fld="21" baseField="0" baseItem="0" numFmtId="170"/>
    <dataField name="Production cost NH3 (€/t)" fld="23" baseField="0" baseItem="0" numFmtId="3"/>
    <dataField name="Production cost FA (€/t)" fld="24" baseField="0" baseItem="0" numFmtId="3"/>
    <dataField name="Production cost MeOH (€/t)" fld="25" baseField="0" baseItem="0" numFmtId="3"/>
    <dataField name="Production cost DME (€/t)" fld="26" baseField="0" baseItem="0" numFmtId="3"/>
    <dataField name="Production cost OME (€/t)" fld="27" baseField="0" baseItem="0" numFmtId="3"/>
    <dataField name="Production cost LNG (€/t)" fld="28" baseField="0" baseItem="0" numFmtId="3"/>
  </dataFields>
  <formats count="48">
    <format dxfId="8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6">
      <pivotArea dataOnly="0" labelOnly="1" outline="0" fieldPosition="0">
        <references count="1">
          <reference field="4294967294" count="15">
            <x v="1"/>
            <x v="2"/>
            <x v="3"/>
            <x v="4"/>
            <x v="5"/>
            <x v="6"/>
            <x v="7"/>
            <x v="8"/>
            <x v="11"/>
            <x v="12"/>
            <x v="13"/>
            <x v="14"/>
            <x v="15"/>
            <x v="16"/>
            <x v="19"/>
          </reference>
        </references>
      </pivotArea>
    </format>
    <format dxfId="85">
      <pivotArea dataOnly="0" labelOnly="1" outline="0" fieldPosition="0">
        <references count="1">
          <reference field="4294967294" count="4">
            <x v="14"/>
            <x v="15"/>
            <x v="16"/>
            <x v="19"/>
          </reference>
        </references>
      </pivotArea>
    </format>
    <format dxfId="84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83">
      <pivotArea field="0" type="button" dataOnly="0" labelOnly="1" outline="0" axis="axisRow" fieldPosition="0"/>
    </format>
    <format dxfId="82">
      <pivotArea outline="0" fieldPosition="0">
        <references count="1">
          <reference field="4294967294" count="1">
            <x v="21"/>
          </reference>
        </references>
      </pivotArea>
    </format>
    <format dxfId="81">
      <pivotArea outline="0" fieldPosition="0">
        <references count="1">
          <reference field="4294967294" count="1">
            <x v="20"/>
          </reference>
        </references>
      </pivotArea>
    </format>
    <format dxfId="80">
      <pivotArea outline="0" fieldPosition="0">
        <references count="1">
          <reference field="4294967294" count="1">
            <x v="22"/>
          </reference>
        </references>
      </pivotArea>
    </format>
    <format dxfId="79">
      <pivotArea outline="0" fieldPosition="0">
        <references count="1">
          <reference field="4294967294" count="1">
            <x v="23"/>
          </reference>
        </references>
      </pivotArea>
    </format>
    <format dxfId="78">
      <pivotArea outline="0" fieldPosition="0">
        <references count="1">
          <reference field="4294967294" count="1">
            <x v="24"/>
          </reference>
        </references>
      </pivotArea>
    </format>
    <format dxfId="77">
      <pivotArea outline="0" fieldPosition="0">
        <references count="1">
          <reference field="4294967294" count="1">
            <x v="27"/>
          </reference>
        </references>
      </pivotArea>
    </format>
    <format dxfId="76">
      <pivotArea dataOnly="0" labelOnly="1" outline="0" fieldPosition="0">
        <references count="1">
          <reference field="4294967294" count="6">
            <x v="20"/>
            <x v="21"/>
            <x v="22"/>
            <x v="23"/>
            <x v="24"/>
            <x v="27"/>
          </reference>
        </references>
      </pivotArea>
    </format>
    <format dxfId="75">
      <pivotArea outline="0" fieldPosition="0">
        <references count="1">
          <reference field="4294967294" count="1">
            <x v="9"/>
          </reference>
        </references>
      </pivotArea>
    </format>
    <format dxfId="74">
      <pivotArea outline="0" fieldPosition="0">
        <references count="1">
          <reference field="4294967294" count="1">
            <x v="10"/>
          </reference>
        </references>
      </pivotArea>
    </format>
    <format dxfId="73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72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71">
      <pivotArea outline="0" fieldPosition="0">
        <references count="1">
          <reference field="4294967294" count="1">
            <x v="17"/>
          </reference>
        </references>
      </pivotArea>
    </format>
    <format dxfId="70">
      <pivotArea outline="0" fieldPosition="0">
        <references count="1">
          <reference field="4294967294" count="1">
            <x v="18"/>
          </reference>
        </references>
      </pivotArea>
    </format>
    <format dxfId="69">
      <pivotArea outline="0" fieldPosition="0">
        <references count="1">
          <reference field="4294967294" count="1">
            <x v="25"/>
          </reference>
        </references>
      </pivotArea>
    </format>
    <format dxfId="68">
      <pivotArea outline="0" fieldPosition="0">
        <references count="1">
          <reference field="4294967294" count="1">
            <x v="26"/>
          </reference>
        </references>
      </pivotArea>
    </format>
    <format dxfId="67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66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65">
      <pivotArea dataOnly="0" labelOnly="1" outline="0" fieldPosition="0">
        <references count="1">
          <reference field="4294967294" count="1">
            <x v="25"/>
          </reference>
        </references>
      </pivotArea>
    </format>
    <format dxfId="64">
      <pivotArea dataOnly="0" labelOnly="1" outline="0" fieldPosition="0">
        <references count="1">
          <reference field="4294967294" count="1">
            <x v="26"/>
          </reference>
        </references>
      </pivotArea>
    </format>
    <format dxfId="63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62">
      <pivotArea dataOnly="0" labelOnly="1" outline="0" fieldPosition="0">
        <references count="1">
          <reference field="4294967294" count="6">
            <x v="22"/>
            <x v="23"/>
            <x v="24"/>
            <x v="25"/>
            <x v="26"/>
            <x v="27"/>
          </reference>
        </references>
      </pivotArea>
    </format>
    <format dxfId="6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8">
      <pivotArea type="all" dataOnly="0" outline="0" fieldPosition="0"/>
    </format>
    <format dxfId="57">
      <pivotArea outline="0" collapsedLevelsAreSubtotals="1" fieldPosition="0"/>
    </format>
    <format dxfId="56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5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4">
      <pivotArea dataOnly="0" labelOnly="1" fieldPosition="0">
        <references count="1">
          <reference field="0" count="45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53">
      <pivotArea dataOnly="0" labelOnly="1" grandRow="1" outline="0" fieldPosition="0"/>
    </format>
    <format dxfId="52">
      <pivotArea dataOnly="0" labelOnly="1" outline="0" fieldPosition="0">
        <references count="1">
          <reference field="4294967294" count="2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51">
      <pivotArea field="0" type="button" dataOnly="0" labelOnly="1" outline="0" axis="axisRow" fieldPosition="0"/>
    </format>
    <format dxfId="5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9">
      <pivotArea dataOnly="0" labelOnly="1" outline="0" fieldPosition="0">
        <references count="1">
          <reference field="4294967294" count="27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48">
      <pivotArea field="0" type="button" dataOnly="0" labelOnly="1" outline="0" axis="axisRow" fieldPosition="0"/>
    </format>
    <format dxfId="47">
      <pivotArea field="0" type="button" dataOnly="0" labelOnly="1" outline="0" axis="axisRow" fieldPosition="0"/>
    </format>
    <format dxfId="46">
      <pivotArea dataOnly="0" labelOnly="1" outline="0" fieldPosition="0">
        <references count="1">
          <reference field="4294967294" count="2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45">
      <pivotArea dataOnly="0" labelOnly="1" outline="0" fieldPosition="0">
        <references count="1">
          <reference field="4294967294" count="6">
            <x v="22"/>
            <x v="23"/>
            <x v="24"/>
            <x v="25"/>
            <x v="26"/>
            <x v="27"/>
          </reference>
        </references>
      </pivotArea>
    </format>
    <format dxfId="44">
      <pivotArea dataOnly="0" labelOnly="1" outline="0" fieldPosition="0">
        <references count="1">
          <reference field="4294967294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43">
      <pivotArea dataOnly="0" labelOnly="1" outline="0" fieldPosition="0">
        <references count="1">
          <reference field="4294967294" count="6">
            <x v="14"/>
            <x v="15"/>
            <x v="16"/>
            <x v="17"/>
            <x v="18"/>
            <x v="19"/>
          </reference>
        </references>
      </pivotArea>
    </format>
    <format dxfId="42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41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40">
      <pivotArea dataOnly="0" labelOnly="1" outline="0" fieldPosition="0">
        <references count="1">
          <reference field="4294967294" count="1">
            <x v="20"/>
          </reference>
        </references>
      </pivotArea>
    </format>
  </formats>
  <conditionalFormats count="19">
    <conditionalFormat priority="108">
      <pivotAreas count="1">
        <pivotArea type="data" collapsedLevelsAreSubtotals="1" fieldPosition="0">
          <references count="2">
            <reference field="4294967294" count="1" selected="0">
              <x v="21"/>
            </reference>
            <reference field="0" count="145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  <x v="29"/>
              <x v="30"/>
              <x v="31"/>
              <x v="32"/>
              <x v="33"/>
              <x v="34"/>
              <x v="35"/>
              <x v="36"/>
              <x v="37"/>
              <x v="38"/>
              <x v="39"/>
              <x v="40"/>
              <x v="41"/>
              <x v="42"/>
              <x v="43"/>
              <x v="44"/>
              <x v="45"/>
              <x v="46"/>
              <x v="47"/>
              <x v="48"/>
              <x v="49"/>
              <x v="50"/>
              <x v="51"/>
              <x v="52"/>
              <x v="53"/>
              <x v="54"/>
              <x v="55"/>
              <x v="56"/>
              <x v="57"/>
              <x v="58"/>
              <x v="59"/>
              <x v="60"/>
              <x v="61"/>
              <x v="62"/>
              <x v="63"/>
              <x v="64"/>
              <x v="65"/>
              <x v="66"/>
              <x v="67"/>
              <x v="68"/>
              <x v="69"/>
              <x v="70"/>
              <x v="71"/>
              <x v="72"/>
              <x v="73"/>
              <x v="74"/>
              <x v="75"/>
              <x v="76"/>
              <x v="77"/>
              <x v="78"/>
              <x v="79"/>
              <x v="80"/>
              <x v="81"/>
              <x v="82"/>
              <x v="83"/>
              <x v="84"/>
              <x v="85"/>
              <x v="86"/>
              <x v="87"/>
              <x v="88"/>
              <x v="89"/>
              <x v="90"/>
              <x v="91"/>
              <x v="92"/>
              <x v="93"/>
              <x v="94"/>
              <x v="95"/>
              <x v="96"/>
              <x v="97"/>
              <x v="98"/>
              <x v="99"/>
              <x v="100"/>
              <x v="101"/>
              <x v="102"/>
              <x v="103"/>
              <x v="104"/>
              <x v="105"/>
              <x v="106"/>
              <x v="107"/>
              <x v="108"/>
              <x v="109"/>
              <x v="110"/>
              <x v="111"/>
              <x v="112"/>
              <x v="113"/>
              <x v="114"/>
              <x v="115"/>
              <x v="116"/>
              <x v="117"/>
              <x v="118"/>
              <x v="119"/>
              <x v="120"/>
              <x v="121"/>
              <x v="122"/>
              <x v="123"/>
              <x v="124"/>
              <x v="125"/>
              <x v="126"/>
              <x v="127"/>
              <x v="128"/>
              <x v="129"/>
              <x v="130"/>
              <x v="131"/>
              <x v="132"/>
              <x v="133"/>
              <x v="134"/>
              <x v="135"/>
              <x v="136"/>
              <x v="137"/>
              <x v="138"/>
              <x v="139"/>
              <x v="140"/>
              <x v="141"/>
              <x v="142"/>
              <x v="143"/>
              <x v="144"/>
            </reference>
          </references>
        </pivotArea>
      </pivotAreas>
    </conditionalFormat>
    <conditionalFormat priority="107">
      <pivotAreas count="1">
        <pivotArea type="data" collapsedLevelsAreSubtotals="1" fieldPosition="0">
          <references count="2">
            <reference field="4294967294" count="1" selected="0">
              <x v="20"/>
            </reference>
            <reference field="0" count="145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  <x v="29"/>
              <x v="30"/>
              <x v="31"/>
              <x v="32"/>
              <x v="33"/>
              <x v="34"/>
              <x v="35"/>
              <x v="36"/>
              <x v="37"/>
              <x v="38"/>
              <x v="39"/>
              <x v="40"/>
              <x v="41"/>
              <x v="42"/>
              <x v="43"/>
              <x v="44"/>
              <x v="45"/>
              <x v="46"/>
              <x v="47"/>
              <x v="48"/>
              <x v="49"/>
              <x v="50"/>
              <x v="51"/>
              <x v="52"/>
              <x v="53"/>
              <x v="54"/>
              <x v="55"/>
              <x v="56"/>
              <x v="57"/>
              <x v="58"/>
              <x v="59"/>
              <x v="60"/>
              <x v="61"/>
              <x v="62"/>
              <x v="63"/>
              <x v="64"/>
              <x v="65"/>
              <x v="66"/>
              <x v="67"/>
              <x v="68"/>
              <x v="69"/>
              <x v="70"/>
              <x v="71"/>
              <x v="72"/>
              <x v="73"/>
              <x v="74"/>
              <x v="75"/>
              <x v="76"/>
              <x v="77"/>
              <x v="78"/>
              <x v="79"/>
              <x v="80"/>
              <x v="81"/>
              <x v="82"/>
              <x v="83"/>
              <x v="84"/>
              <x v="85"/>
              <x v="86"/>
              <x v="87"/>
              <x v="88"/>
              <x v="89"/>
              <x v="90"/>
              <x v="91"/>
              <x v="92"/>
              <x v="93"/>
              <x v="94"/>
              <x v="95"/>
              <x v="96"/>
              <x v="97"/>
              <x v="98"/>
              <x v="99"/>
              <x v="100"/>
              <x v="101"/>
              <x v="102"/>
              <x v="103"/>
              <x v="104"/>
              <x v="105"/>
              <x v="106"/>
              <x v="107"/>
              <x v="108"/>
              <x v="109"/>
              <x v="110"/>
              <x v="111"/>
              <x v="112"/>
              <x v="113"/>
              <x v="114"/>
              <x v="115"/>
              <x v="116"/>
              <x v="117"/>
              <x v="118"/>
              <x v="119"/>
              <x v="120"/>
              <x v="121"/>
              <x v="122"/>
              <x v="123"/>
              <x v="124"/>
              <x v="125"/>
              <x v="126"/>
              <x v="127"/>
              <x v="128"/>
              <x v="129"/>
              <x v="130"/>
              <x v="131"/>
              <x v="132"/>
              <x v="133"/>
              <x v="134"/>
              <x v="135"/>
              <x v="136"/>
              <x v="137"/>
              <x v="138"/>
              <x v="139"/>
              <x v="140"/>
              <x v="141"/>
              <x v="142"/>
              <x v="143"/>
              <x v="144"/>
            </reference>
          </references>
        </pivotArea>
      </pivotAreas>
    </conditionalFormat>
    <conditionalFormat priority="1">
      <pivotAreas count="1">
        <pivotArea type="data" collapsedLevelsAreSubtotals="1" fieldPosition="0">
          <references count="2">
            <reference field="4294967294" count="1" selected="0">
              <x v="26"/>
            </reference>
            <reference field="0" count="145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  <x v="29"/>
              <x v="30"/>
              <x v="31"/>
              <x v="32"/>
              <x v="33"/>
              <x v="34"/>
              <x v="35"/>
              <x v="36"/>
              <x v="37"/>
              <x v="38"/>
              <x v="39"/>
              <x v="40"/>
              <x v="41"/>
              <x v="42"/>
              <x v="43"/>
              <x v="44"/>
              <x v="45"/>
              <x v="46"/>
              <x v="47"/>
              <x v="48"/>
              <x v="49"/>
              <x v="50"/>
              <x v="51"/>
              <x v="52"/>
              <x v="53"/>
              <x v="54"/>
              <x v="55"/>
              <x v="56"/>
              <x v="57"/>
              <x v="58"/>
              <x v="59"/>
              <x v="60"/>
              <x v="61"/>
              <x v="62"/>
              <x v="63"/>
              <x v="64"/>
              <x v="65"/>
              <x v="66"/>
              <x v="67"/>
              <x v="68"/>
              <x v="69"/>
              <x v="70"/>
              <x v="71"/>
              <x v="72"/>
              <x v="73"/>
              <x v="74"/>
              <x v="75"/>
              <x v="76"/>
              <x v="77"/>
              <x v="78"/>
              <x v="79"/>
              <x v="80"/>
              <x v="81"/>
              <x v="82"/>
              <x v="83"/>
              <x v="84"/>
              <x v="85"/>
              <x v="86"/>
              <x v="87"/>
              <x v="88"/>
              <x v="89"/>
              <x v="90"/>
              <x v="91"/>
              <x v="92"/>
              <x v="93"/>
              <x v="94"/>
              <x v="95"/>
              <x v="96"/>
              <x v="97"/>
              <x v="98"/>
              <x v="99"/>
              <x v="100"/>
              <x v="101"/>
              <x v="102"/>
              <x v="103"/>
              <x v="104"/>
              <x v="105"/>
              <x v="106"/>
              <x v="107"/>
              <x v="108"/>
              <x v="109"/>
              <x v="110"/>
              <x v="111"/>
              <x v="112"/>
              <x v="113"/>
              <x v="114"/>
              <x v="115"/>
              <x v="116"/>
              <x v="117"/>
              <x v="118"/>
              <x v="119"/>
              <x v="120"/>
              <x v="121"/>
              <x v="122"/>
              <x v="123"/>
              <x v="124"/>
              <x v="125"/>
              <x v="126"/>
              <x v="127"/>
              <x v="128"/>
              <x v="129"/>
              <x v="130"/>
              <x v="131"/>
              <x v="132"/>
              <x v="133"/>
              <x v="134"/>
              <x v="135"/>
              <x v="136"/>
              <x v="137"/>
              <x v="138"/>
              <x v="139"/>
              <x v="140"/>
              <x v="141"/>
              <x v="142"/>
              <x v="143"/>
              <x v="144"/>
            </reference>
          </references>
        </pivotArea>
      </pivotAreas>
    </conditionalFormat>
    <conditionalFormat priority="2">
      <pivotAreas count="1">
        <pivotArea type="data" collapsedLevelsAreSubtotals="1" fieldPosition="0">
          <references count="2">
            <reference field="4294967294" count="1" selected="0">
              <x v="25"/>
            </reference>
            <reference field="0" count="145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  <x v="29"/>
              <x v="30"/>
              <x v="31"/>
              <x v="32"/>
              <x v="33"/>
              <x v="34"/>
              <x v="35"/>
              <x v="36"/>
              <x v="37"/>
              <x v="38"/>
              <x v="39"/>
              <x v="40"/>
              <x v="41"/>
              <x v="42"/>
              <x v="43"/>
              <x v="44"/>
              <x v="45"/>
              <x v="46"/>
              <x v="47"/>
              <x v="48"/>
              <x v="49"/>
              <x v="50"/>
              <x v="51"/>
              <x v="52"/>
              <x v="53"/>
              <x v="54"/>
              <x v="55"/>
              <x v="56"/>
              <x v="57"/>
              <x v="58"/>
              <x v="59"/>
              <x v="60"/>
              <x v="61"/>
              <x v="62"/>
              <x v="63"/>
              <x v="64"/>
              <x v="65"/>
              <x v="66"/>
              <x v="67"/>
              <x v="68"/>
              <x v="69"/>
              <x v="70"/>
              <x v="71"/>
              <x v="72"/>
              <x v="73"/>
              <x v="74"/>
              <x v="75"/>
              <x v="76"/>
              <x v="77"/>
              <x v="78"/>
              <x v="79"/>
              <x v="80"/>
              <x v="81"/>
              <x v="82"/>
              <x v="83"/>
              <x v="84"/>
              <x v="85"/>
              <x v="86"/>
              <x v="87"/>
              <x v="88"/>
              <x v="89"/>
              <x v="90"/>
              <x v="91"/>
              <x v="92"/>
              <x v="93"/>
              <x v="94"/>
              <x v="95"/>
              <x v="96"/>
              <x v="97"/>
              <x v="98"/>
              <x v="99"/>
              <x v="100"/>
              <x v="101"/>
              <x v="102"/>
              <x v="103"/>
              <x v="104"/>
              <x v="105"/>
              <x v="106"/>
              <x v="107"/>
              <x v="108"/>
              <x v="109"/>
              <x v="110"/>
              <x v="111"/>
              <x v="112"/>
              <x v="113"/>
              <x v="114"/>
              <x v="115"/>
              <x v="116"/>
              <x v="117"/>
              <x v="118"/>
              <x v="119"/>
              <x v="120"/>
              <x v="121"/>
              <x v="122"/>
              <x v="123"/>
              <x v="124"/>
              <x v="125"/>
              <x v="126"/>
              <x v="127"/>
              <x v="128"/>
              <x v="129"/>
              <x v="130"/>
              <x v="131"/>
              <x v="132"/>
              <x v="133"/>
              <x v="134"/>
              <x v="135"/>
              <x v="136"/>
              <x v="137"/>
              <x v="138"/>
              <x v="139"/>
              <x v="140"/>
              <x v="141"/>
              <x v="142"/>
              <x v="143"/>
              <x v="144"/>
            </reference>
          </references>
        </pivotArea>
      </pivotAreas>
    </conditionalFormat>
    <conditionalFormat priority="3">
      <pivotAreas count="1">
        <pivotArea type="data" collapsedLevelsAreSubtotals="1" fieldPosition="0">
          <references count="2">
            <reference field="4294967294" count="1" selected="0">
              <x v="18"/>
            </reference>
            <reference field="0" count="145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  <x v="29"/>
              <x v="30"/>
              <x v="31"/>
              <x v="32"/>
              <x v="33"/>
              <x v="34"/>
              <x v="35"/>
              <x v="36"/>
              <x v="37"/>
              <x v="38"/>
              <x v="39"/>
              <x v="40"/>
              <x v="41"/>
              <x v="42"/>
              <x v="43"/>
              <x v="44"/>
              <x v="45"/>
              <x v="46"/>
              <x v="47"/>
              <x v="48"/>
              <x v="49"/>
              <x v="50"/>
              <x v="51"/>
              <x v="52"/>
              <x v="53"/>
              <x v="54"/>
              <x v="55"/>
              <x v="56"/>
              <x v="57"/>
              <x v="58"/>
              <x v="59"/>
              <x v="60"/>
              <x v="61"/>
              <x v="62"/>
              <x v="63"/>
              <x v="64"/>
              <x v="65"/>
              <x v="66"/>
              <x v="67"/>
              <x v="68"/>
              <x v="69"/>
              <x v="70"/>
              <x v="71"/>
              <x v="72"/>
              <x v="73"/>
              <x v="74"/>
              <x v="75"/>
              <x v="76"/>
              <x v="77"/>
              <x v="78"/>
              <x v="79"/>
              <x v="80"/>
              <x v="81"/>
              <x v="82"/>
              <x v="83"/>
              <x v="84"/>
              <x v="85"/>
              <x v="86"/>
              <x v="87"/>
              <x v="88"/>
              <x v="89"/>
              <x v="90"/>
              <x v="91"/>
              <x v="92"/>
              <x v="93"/>
              <x v="94"/>
              <x v="95"/>
              <x v="96"/>
              <x v="97"/>
              <x v="98"/>
              <x v="99"/>
              <x v="100"/>
              <x v="101"/>
              <x v="102"/>
              <x v="103"/>
              <x v="104"/>
              <x v="105"/>
              <x v="106"/>
              <x v="107"/>
              <x v="108"/>
              <x v="109"/>
              <x v="110"/>
              <x v="111"/>
              <x v="112"/>
              <x v="113"/>
              <x v="114"/>
              <x v="115"/>
              <x v="116"/>
              <x v="117"/>
              <x v="118"/>
              <x v="119"/>
              <x v="120"/>
              <x v="121"/>
              <x v="122"/>
              <x v="123"/>
              <x v="124"/>
              <x v="125"/>
              <x v="126"/>
              <x v="127"/>
              <x v="128"/>
              <x v="129"/>
              <x v="130"/>
              <x v="131"/>
              <x v="132"/>
              <x v="133"/>
              <x v="134"/>
              <x v="135"/>
              <x v="136"/>
              <x v="137"/>
              <x v="138"/>
              <x v="139"/>
              <x v="140"/>
              <x v="141"/>
              <x v="142"/>
              <x v="143"/>
              <x v="144"/>
            </reference>
          </references>
        </pivotArea>
      </pivotAreas>
    </conditionalFormat>
    <conditionalFormat priority="4">
      <pivotAreas count="1">
        <pivotArea type="data" collapsedLevelsAreSubtotals="1" fieldPosition="0">
          <references count="2">
            <reference field="4294967294" count="1" selected="0">
              <x v="17"/>
            </reference>
            <reference field="0" count="145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  <x v="29"/>
              <x v="30"/>
              <x v="31"/>
              <x v="32"/>
              <x v="33"/>
              <x v="34"/>
              <x v="35"/>
              <x v="36"/>
              <x v="37"/>
              <x v="38"/>
              <x v="39"/>
              <x v="40"/>
              <x v="41"/>
              <x v="42"/>
              <x v="43"/>
              <x v="44"/>
              <x v="45"/>
              <x v="46"/>
              <x v="47"/>
              <x v="48"/>
              <x v="49"/>
              <x v="50"/>
              <x v="51"/>
              <x v="52"/>
              <x v="53"/>
              <x v="54"/>
              <x v="55"/>
              <x v="56"/>
              <x v="57"/>
              <x v="58"/>
              <x v="59"/>
              <x v="60"/>
              <x v="61"/>
              <x v="62"/>
              <x v="63"/>
              <x v="64"/>
              <x v="65"/>
              <x v="66"/>
              <x v="67"/>
              <x v="68"/>
              <x v="69"/>
              <x v="70"/>
              <x v="71"/>
              <x v="72"/>
              <x v="73"/>
              <x v="74"/>
              <x v="75"/>
              <x v="76"/>
              <x v="77"/>
              <x v="78"/>
              <x v="79"/>
              <x v="80"/>
              <x v="81"/>
              <x v="82"/>
              <x v="83"/>
              <x v="84"/>
              <x v="85"/>
              <x v="86"/>
              <x v="87"/>
              <x v="88"/>
              <x v="89"/>
              <x v="90"/>
              <x v="91"/>
              <x v="92"/>
              <x v="93"/>
              <x v="94"/>
              <x v="95"/>
              <x v="96"/>
              <x v="97"/>
              <x v="98"/>
              <x v="99"/>
              <x v="100"/>
              <x v="101"/>
              <x v="102"/>
              <x v="103"/>
              <x v="104"/>
              <x v="105"/>
              <x v="106"/>
              <x v="107"/>
              <x v="108"/>
              <x v="109"/>
              <x v="110"/>
              <x v="111"/>
              <x v="112"/>
              <x v="113"/>
              <x v="114"/>
              <x v="115"/>
              <x v="116"/>
              <x v="117"/>
              <x v="118"/>
              <x v="119"/>
              <x v="120"/>
              <x v="121"/>
              <x v="122"/>
              <x v="123"/>
              <x v="124"/>
              <x v="125"/>
              <x v="126"/>
              <x v="127"/>
              <x v="128"/>
              <x v="129"/>
              <x v="130"/>
              <x v="131"/>
              <x v="132"/>
              <x v="133"/>
              <x v="134"/>
              <x v="135"/>
              <x v="136"/>
              <x v="137"/>
              <x v="138"/>
              <x v="139"/>
              <x v="140"/>
              <x v="141"/>
              <x v="142"/>
              <x v="143"/>
              <x v="144"/>
            </reference>
          </references>
        </pivotArea>
      </pivotAreas>
    </conditionalFormat>
    <conditionalFormat priority="105">
      <pivotAreas count="1">
        <pivotArea type="data" collapsedLevelsAreSubtotals="1" fieldPosition="0">
          <references count="2">
            <reference field="4294967294" count="1" selected="0">
              <x v="13"/>
            </reference>
            <reference field="0" count="145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  <x v="29"/>
              <x v="30"/>
              <x v="31"/>
              <x v="32"/>
              <x v="33"/>
              <x v="34"/>
              <x v="35"/>
              <x v="36"/>
              <x v="37"/>
              <x v="38"/>
              <x v="39"/>
              <x v="40"/>
              <x v="41"/>
              <x v="42"/>
              <x v="43"/>
              <x v="44"/>
              <x v="45"/>
              <x v="46"/>
              <x v="47"/>
              <x v="48"/>
              <x v="49"/>
              <x v="50"/>
              <x v="51"/>
              <x v="52"/>
              <x v="53"/>
              <x v="54"/>
              <x v="55"/>
              <x v="56"/>
              <x v="57"/>
              <x v="58"/>
              <x v="59"/>
              <x v="60"/>
              <x v="61"/>
              <x v="62"/>
              <x v="63"/>
              <x v="64"/>
              <x v="65"/>
              <x v="66"/>
              <x v="67"/>
              <x v="68"/>
              <x v="69"/>
              <x v="70"/>
              <x v="71"/>
              <x v="72"/>
              <x v="73"/>
              <x v="74"/>
              <x v="75"/>
              <x v="76"/>
              <x v="77"/>
              <x v="78"/>
              <x v="79"/>
              <x v="80"/>
              <x v="81"/>
              <x v="82"/>
              <x v="83"/>
              <x v="84"/>
              <x v="85"/>
              <x v="86"/>
              <x v="87"/>
              <x v="88"/>
              <x v="89"/>
              <x v="90"/>
              <x v="91"/>
              <x v="92"/>
              <x v="93"/>
              <x v="94"/>
              <x v="95"/>
              <x v="96"/>
              <x v="97"/>
              <x v="98"/>
              <x v="99"/>
              <x v="100"/>
              <x v="101"/>
              <x v="102"/>
              <x v="103"/>
              <x v="104"/>
              <x v="105"/>
              <x v="106"/>
              <x v="107"/>
              <x v="108"/>
              <x v="109"/>
              <x v="110"/>
              <x v="111"/>
              <x v="112"/>
              <x v="113"/>
              <x v="114"/>
              <x v="115"/>
              <x v="116"/>
              <x v="117"/>
              <x v="118"/>
              <x v="119"/>
              <x v="120"/>
              <x v="121"/>
              <x v="122"/>
              <x v="123"/>
              <x v="124"/>
              <x v="125"/>
              <x v="126"/>
              <x v="127"/>
              <x v="128"/>
              <x v="129"/>
              <x v="130"/>
              <x v="131"/>
              <x v="132"/>
              <x v="133"/>
              <x v="134"/>
              <x v="135"/>
              <x v="136"/>
              <x v="137"/>
              <x v="138"/>
              <x v="139"/>
              <x v="140"/>
              <x v="141"/>
              <x v="142"/>
              <x v="143"/>
              <x v="144"/>
            </reference>
          </references>
        </pivotArea>
      </pivotAreas>
    </conditionalFormat>
    <conditionalFormat priority="104">
      <pivotAreas count="1">
        <pivotArea type="data" collapsedLevelsAreSubtotals="1" fieldPosition="0">
          <references count="2">
            <reference field="4294967294" count="1" selected="0">
              <x v="16"/>
            </reference>
            <reference field="0" count="145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  <x v="29"/>
              <x v="30"/>
              <x v="31"/>
              <x v="32"/>
              <x v="33"/>
              <x v="34"/>
              <x v="35"/>
              <x v="36"/>
              <x v="37"/>
              <x v="38"/>
              <x v="39"/>
              <x v="40"/>
              <x v="41"/>
              <x v="42"/>
              <x v="43"/>
              <x v="44"/>
              <x v="45"/>
              <x v="46"/>
              <x v="47"/>
              <x v="48"/>
              <x v="49"/>
              <x v="50"/>
              <x v="51"/>
              <x v="52"/>
              <x v="53"/>
              <x v="54"/>
              <x v="55"/>
              <x v="56"/>
              <x v="57"/>
              <x v="58"/>
              <x v="59"/>
              <x v="60"/>
              <x v="61"/>
              <x v="62"/>
              <x v="63"/>
              <x v="64"/>
              <x v="65"/>
              <x v="66"/>
              <x v="67"/>
              <x v="68"/>
              <x v="69"/>
              <x v="70"/>
              <x v="71"/>
              <x v="72"/>
              <x v="73"/>
              <x v="74"/>
              <x v="75"/>
              <x v="76"/>
              <x v="77"/>
              <x v="78"/>
              <x v="79"/>
              <x v="80"/>
              <x v="81"/>
              <x v="82"/>
              <x v="83"/>
              <x v="84"/>
              <x v="85"/>
              <x v="86"/>
              <x v="87"/>
              <x v="88"/>
              <x v="89"/>
              <x v="90"/>
              <x v="91"/>
              <x v="92"/>
              <x v="93"/>
              <x v="94"/>
              <x v="95"/>
              <x v="96"/>
              <x v="97"/>
              <x v="98"/>
              <x v="99"/>
              <x v="100"/>
              <x v="101"/>
              <x v="102"/>
              <x v="103"/>
              <x v="104"/>
              <x v="105"/>
              <x v="106"/>
              <x v="107"/>
              <x v="108"/>
              <x v="109"/>
              <x v="110"/>
              <x v="111"/>
              <x v="112"/>
              <x v="113"/>
              <x v="114"/>
              <x v="115"/>
              <x v="116"/>
              <x v="117"/>
              <x v="118"/>
              <x v="119"/>
              <x v="120"/>
              <x v="121"/>
              <x v="122"/>
              <x v="123"/>
              <x v="124"/>
              <x v="125"/>
              <x v="126"/>
              <x v="127"/>
              <x v="128"/>
              <x v="129"/>
              <x v="130"/>
              <x v="131"/>
              <x v="132"/>
              <x v="133"/>
              <x v="134"/>
              <x v="135"/>
              <x v="136"/>
              <x v="137"/>
              <x v="138"/>
              <x v="139"/>
              <x v="140"/>
              <x v="141"/>
              <x v="142"/>
              <x v="143"/>
              <x v="144"/>
            </reference>
          </references>
        </pivotArea>
      </pivotAreas>
    </conditionalFormat>
    <conditionalFormat priority="103">
      <pivotAreas count="1">
        <pivotArea type="data" collapsedLevelsAreSubtotals="1" fieldPosition="0">
          <references count="2">
            <reference field="4294967294" count="1" selected="0">
              <x v="15"/>
            </reference>
            <reference field="0" count="145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  <x v="29"/>
              <x v="30"/>
              <x v="31"/>
              <x v="32"/>
              <x v="33"/>
              <x v="34"/>
              <x v="35"/>
              <x v="36"/>
              <x v="37"/>
              <x v="38"/>
              <x v="39"/>
              <x v="40"/>
              <x v="41"/>
              <x v="42"/>
              <x v="43"/>
              <x v="44"/>
              <x v="45"/>
              <x v="46"/>
              <x v="47"/>
              <x v="48"/>
              <x v="49"/>
              <x v="50"/>
              <x v="51"/>
              <x v="52"/>
              <x v="53"/>
              <x v="54"/>
              <x v="55"/>
              <x v="56"/>
              <x v="57"/>
              <x v="58"/>
              <x v="59"/>
              <x v="60"/>
              <x v="61"/>
              <x v="62"/>
              <x v="63"/>
              <x v="64"/>
              <x v="65"/>
              <x v="66"/>
              <x v="67"/>
              <x v="68"/>
              <x v="69"/>
              <x v="70"/>
              <x v="71"/>
              <x v="72"/>
              <x v="73"/>
              <x v="74"/>
              <x v="75"/>
              <x v="76"/>
              <x v="77"/>
              <x v="78"/>
              <x v="79"/>
              <x v="80"/>
              <x v="81"/>
              <x v="82"/>
              <x v="83"/>
              <x v="84"/>
              <x v="85"/>
              <x v="86"/>
              <x v="87"/>
              <x v="88"/>
              <x v="89"/>
              <x v="90"/>
              <x v="91"/>
              <x v="92"/>
              <x v="93"/>
              <x v="94"/>
              <x v="95"/>
              <x v="96"/>
              <x v="97"/>
              <x v="98"/>
              <x v="99"/>
              <x v="100"/>
              <x v="101"/>
              <x v="102"/>
              <x v="103"/>
              <x v="104"/>
              <x v="105"/>
              <x v="106"/>
              <x v="107"/>
              <x v="108"/>
              <x v="109"/>
              <x v="110"/>
              <x v="111"/>
              <x v="112"/>
              <x v="113"/>
              <x v="114"/>
              <x v="115"/>
              <x v="116"/>
              <x v="117"/>
              <x v="118"/>
              <x v="119"/>
              <x v="120"/>
              <x v="121"/>
              <x v="122"/>
              <x v="123"/>
              <x v="124"/>
              <x v="125"/>
              <x v="126"/>
              <x v="127"/>
              <x v="128"/>
              <x v="129"/>
              <x v="130"/>
              <x v="131"/>
              <x v="132"/>
              <x v="133"/>
              <x v="134"/>
              <x v="135"/>
              <x v="136"/>
              <x v="137"/>
              <x v="138"/>
              <x v="139"/>
              <x v="140"/>
              <x v="141"/>
              <x v="142"/>
              <x v="143"/>
              <x v="144"/>
            </reference>
          </references>
        </pivotArea>
      </pivotAreas>
    </conditionalFormat>
    <conditionalFormat priority="102">
      <pivotAreas count="1">
        <pivotArea type="data" collapsedLevelsAreSubtotals="1" fieldPosition="0">
          <references count="2">
            <reference field="4294967294" count="1" selected="0">
              <x v="14"/>
            </reference>
            <reference field="0" count="145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  <x v="29"/>
              <x v="30"/>
              <x v="31"/>
              <x v="32"/>
              <x v="33"/>
              <x v="34"/>
              <x v="35"/>
              <x v="36"/>
              <x v="37"/>
              <x v="38"/>
              <x v="39"/>
              <x v="40"/>
              <x v="41"/>
              <x v="42"/>
              <x v="43"/>
              <x v="44"/>
              <x v="45"/>
              <x v="46"/>
              <x v="47"/>
              <x v="48"/>
              <x v="49"/>
              <x v="50"/>
              <x v="51"/>
              <x v="52"/>
              <x v="53"/>
              <x v="54"/>
              <x v="55"/>
              <x v="56"/>
              <x v="57"/>
              <x v="58"/>
              <x v="59"/>
              <x v="60"/>
              <x v="61"/>
              <x v="62"/>
              <x v="63"/>
              <x v="64"/>
              <x v="65"/>
              <x v="66"/>
              <x v="67"/>
              <x v="68"/>
              <x v="69"/>
              <x v="70"/>
              <x v="71"/>
              <x v="72"/>
              <x v="73"/>
              <x v="74"/>
              <x v="75"/>
              <x v="76"/>
              <x v="77"/>
              <x v="78"/>
              <x v="79"/>
              <x v="80"/>
              <x v="81"/>
              <x v="82"/>
              <x v="83"/>
              <x v="84"/>
              <x v="85"/>
              <x v="86"/>
              <x v="87"/>
              <x v="88"/>
              <x v="89"/>
              <x v="90"/>
              <x v="91"/>
              <x v="92"/>
              <x v="93"/>
              <x v="94"/>
              <x v="95"/>
              <x v="96"/>
              <x v="97"/>
              <x v="98"/>
              <x v="99"/>
              <x v="100"/>
              <x v="101"/>
              <x v="102"/>
              <x v="103"/>
              <x v="104"/>
              <x v="105"/>
              <x v="106"/>
              <x v="107"/>
              <x v="108"/>
              <x v="109"/>
              <x v="110"/>
              <x v="111"/>
              <x v="112"/>
              <x v="113"/>
              <x v="114"/>
              <x v="115"/>
              <x v="116"/>
              <x v="117"/>
              <x v="118"/>
              <x v="119"/>
              <x v="120"/>
              <x v="121"/>
              <x v="122"/>
              <x v="123"/>
              <x v="124"/>
              <x v="125"/>
              <x v="126"/>
              <x v="127"/>
              <x v="128"/>
              <x v="129"/>
              <x v="130"/>
              <x v="131"/>
              <x v="132"/>
              <x v="133"/>
              <x v="134"/>
              <x v="135"/>
              <x v="136"/>
              <x v="137"/>
              <x v="138"/>
              <x v="139"/>
              <x v="140"/>
              <x v="141"/>
              <x v="142"/>
              <x v="143"/>
              <x v="144"/>
            </reference>
          </references>
        </pivotArea>
      </pivotAreas>
    </conditionalFormat>
    <conditionalFormat priority="101">
      <pivotAreas count="1">
        <pivotArea type="data" collapsedLevelsAreSubtotals="1" fieldPosition="0">
          <references count="2">
            <reference field="4294967294" count="1" selected="0">
              <x v="19"/>
            </reference>
            <reference field="0" count="145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  <x v="29"/>
              <x v="30"/>
              <x v="31"/>
              <x v="32"/>
              <x v="33"/>
              <x v="34"/>
              <x v="35"/>
              <x v="36"/>
              <x v="37"/>
              <x v="38"/>
              <x v="39"/>
              <x v="40"/>
              <x v="41"/>
              <x v="42"/>
              <x v="43"/>
              <x v="44"/>
              <x v="45"/>
              <x v="46"/>
              <x v="47"/>
              <x v="48"/>
              <x v="49"/>
              <x v="50"/>
              <x v="51"/>
              <x v="52"/>
              <x v="53"/>
              <x v="54"/>
              <x v="55"/>
              <x v="56"/>
              <x v="57"/>
              <x v="58"/>
              <x v="59"/>
              <x v="60"/>
              <x v="61"/>
              <x v="62"/>
              <x v="63"/>
              <x v="64"/>
              <x v="65"/>
              <x v="66"/>
              <x v="67"/>
              <x v="68"/>
              <x v="69"/>
              <x v="70"/>
              <x v="71"/>
              <x v="72"/>
              <x v="73"/>
              <x v="74"/>
              <x v="75"/>
              <x v="76"/>
              <x v="77"/>
              <x v="78"/>
              <x v="79"/>
              <x v="80"/>
              <x v="81"/>
              <x v="82"/>
              <x v="83"/>
              <x v="84"/>
              <x v="85"/>
              <x v="86"/>
              <x v="87"/>
              <x v="88"/>
              <x v="89"/>
              <x v="90"/>
              <x v="91"/>
              <x v="92"/>
              <x v="93"/>
              <x v="94"/>
              <x v="95"/>
              <x v="96"/>
              <x v="97"/>
              <x v="98"/>
              <x v="99"/>
              <x v="100"/>
              <x v="101"/>
              <x v="102"/>
              <x v="103"/>
              <x v="104"/>
              <x v="105"/>
              <x v="106"/>
              <x v="107"/>
              <x v="108"/>
              <x v="109"/>
              <x v="110"/>
              <x v="111"/>
              <x v="112"/>
              <x v="113"/>
              <x v="114"/>
              <x v="115"/>
              <x v="116"/>
              <x v="117"/>
              <x v="118"/>
              <x v="119"/>
              <x v="120"/>
              <x v="121"/>
              <x v="122"/>
              <x v="123"/>
              <x v="124"/>
              <x v="125"/>
              <x v="126"/>
              <x v="127"/>
              <x v="128"/>
              <x v="129"/>
              <x v="130"/>
              <x v="131"/>
              <x v="132"/>
              <x v="133"/>
              <x v="134"/>
              <x v="135"/>
              <x v="136"/>
              <x v="137"/>
              <x v="138"/>
              <x v="139"/>
              <x v="140"/>
              <x v="141"/>
              <x v="142"/>
              <x v="143"/>
              <x v="144"/>
            </reference>
          </references>
        </pivotArea>
      </pivotAreas>
    </conditionalFormat>
    <conditionalFormat priority="99">
      <pivotAreas count="1">
        <pivotArea type="data" collapsedLevelsAreSubtotals="1" fieldPosition="0">
          <references count="2">
            <reference field="4294967294" count="1" selected="0">
              <x v="22"/>
            </reference>
            <reference field="0" count="145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  <x v="29"/>
              <x v="30"/>
              <x v="31"/>
              <x v="32"/>
              <x v="33"/>
              <x v="34"/>
              <x v="35"/>
              <x v="36"/>
              <x v="37"/>
              <x v="38"/>
              <x v="39"/>
              <x v="40"/>
              <x v="41"/>
              <x v="42"/>
              <x v="43"/>
              <x v="44"/>
              <x v="45"/>
              <x v="46"/>
              <x v="47"/>
              <x v="48"/>
              <x v="49"/>
              <x v="50"/>
              <x v="51"/>
              <x v="52"/>
              <x v="53"/>
              <x v="54"/>
              <x v="55"/>
              <x v="56"/>
              <x v="57"/>
              <x v="58"/>
              <x v="59"/>
              <x v="60"/>
              <x v="61"/>
              <x v="62"/>
              <x v="63"/>
              <x v="64"/>
              <x v="65"/>
              <x v="66"/>
              <x v="67"/>
              <x v="68"/>
              <x v="69"/>
              <x v="70"/>
              <x v="71"/>
              <x v="72"/>
              <x v="73"/>
              <x v="74"/>
              <x v="75"/>
              <x v="76"/>
              <x v="77"/>
              <x v="78"/>
              <x v="79"/>
              <x v="80"/>
              <x v="81"/>
              <x v="82"/>
              <x v="83"/>
              <x v="84"/>
              <x v="85"/>
              <x v="86"/>
              <x v="87"/>
              <x v="88"/>
              <x v="89"/>
              <x v="90"/>
              <x v="91"/>
              <x v="92"/>
              <x v="93"/>
              <x v="94"/>
              <x v="95"/>
              <x v="96"/>
              <x v="97"/>
              <x v="98"/>
              <x v="99"/>
              <x v="100"/>
              <x v="101"/>
              <x v="102"/>
              <x v="103"/>
              <x v="104"/>
              <x v="105"/>
              <x v="106"/>
              <x v="107"/>
              <x v="108"/>
              <x v="109"/>
              <x v="110"/>
              <x v="111"/>
              <x v="112"/>
              <x v="113"/>
              <x v="114"/>
              <x v="115"/>
              <x v="116"/>
              <x v="117"/>
              <x v="118"/>
              <x v="119"/>
              <x v="120"/>
              <x v="121"/>
              <x v="122"/>
              <x v="123"/>
              <x v="124"/>
              <x v="125"/>
              <x v="126"/>
              <x v="127"/>
              <x v="128"/>
              <x v="129"/>
              <x v="130"/>
              <x v="131"/>
              <x v="132"/>
              <x v="133"/>
              <x v="134"/>
              <x v="135"/>
              <x v="136"/>
              <x v="137"/>
              <x v="138"/>
              <x v="139"/>
              <x v="140"/>
              <x v="141"/>
              <x v="142"/>
              <x v="143"/>
              <x v="144"/>
            </reference>
          </references>
        </pivotArea>
      </pivotAreas>
    </conditionalFormat>
    <conditionalFormat priority="97">
      <pivotAreas count="1">
        <pivotArea type="data" collapsedLevelsAreSubtotals="1" fieldPosition="0">
          <references count="2">
            <reference field="4294967294" count="1" selected="0">
              <x v="23"/>
            </reference>
            <reference field="0" count="145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  <x v="29"/>
              <x v="30"/>
              <x v="31"/>
              <x v="32"/>
              <x v="33"/>
              <x v="34"/>
              <x v="35"/>
              <x v="36"/>
              <x v="37"/>
              <x v="38"/>
              <x v="39"/>
              <x v="40"/>
              <x v="41"/>
              <x v="42"/>
              <x v="43"/>
              <x v="44"/>
              <x v="45"/>
              <x v="46"/>
              <x v="47"/>
              <x v="48"/>
              <x v="49"/>
              <x v="50"/>
              <x v="51"/>
              <x v="52"/>
              <x v="53"/>
              <x v="54"/>
              <x v="55"/>
              <x v="56"/>
              <x v="57"/>
              <x v="58"/>
              <x v="59"/>
              <x v="60"/>
              <x v="61"/>
              <x v="62"/>
              <x v="63"/>
              <x v="64"/>
              <x v="65"/>
              <x v="66"/>
              <x v="67"/>
              <x v="68"/>
              <x v="69"/>
              <x v="70"/>
              <x v="71"/>
              <x v="72"/>
              <x v="73"/>
              <x v="74"/>
              <x v="75"/>
              <x v="76"/>
              <x v="77"/>
              <x v="78"/>
              <x v="79"/>
              <x v="80"/>
              <x v="81"/>
              <x v="82"/>
              <x v="83"/>
              <x v="84"/>
              <x v="85"/>
              <x v="86"/>
              <x v="87"/>
              <x v="88"/>
              <x v="89"/>
              <x v="90"/>
              <x v="91"/>
              <x v="92"/>
              <x v="93"/>
              <x v="94"/>
              <x v="95"/>
              <x v="96"/>
              <x v="97"/>
              <x v="98"/>
              <x v="99"/>
              <x v="100"/>
              <x v="101"/>
              <x v="102"/>
              <x v="103"/>
              <x v="104"/>
              <x v="105"/>
              <x v="106"/>
              <x v="107"/>
              <x v="108"/>
              <x v="109"/>
              <x v="110"/>
              <x v="111"/>
              <x v="112"/>
              <x v="113"/>
              <x v="114"/>
              <x v="115"/>
              <x v="116"/>
              <x v="117"/>
              <x v="118"/>
              <x v="119"/>
              <x v="120"/>
              <x v="121"/>
              <x v="122"/>
              <x v="123"/>
              <x v="124"/>
              <x v="125"/>
              <x v="126"/>
              <x v="127"/>
              <x v="128"/>
              <x v="129"/>
              <x v="130"/>
              <x v="131"/>
              <x v="132"/>
              <x v="133"/>
              <x v="134"/>
              <x v="135"/>
              <x v="136"/>
              <x v="137"/>
              <x v="138"/>
              <x v="139"/>
              <x v="140"/>
              <x v="141"/>
              <x v="142"/>
              <x v="143"/>
              <x v="144"/>
            </reference>
          </references>
        </pivotArea>
      </pivotAreas>
    </conditionalFormat>
    <conditionalFormat priority="96">
      <pivotAreas count="1">
        <pivotArea type="data" collapsedLevelsAreSubtotals="1" fieldPosition="0">
          <references count="2">
            <reference field="4294967294" count="1" selected="0">
              <x v="24"/>
            </reference>
            <reference field="0" count="145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  <x v="29"/>
              <x v="30"/>
              <x v="31"/>
              <x v="32"/>
              <x v="33"/>
              <x v="34"/>
              <x v="35"/>
              <x v="36"/>
              <x v="37"/>
              <x v="38"/>
              <x v="39"/>
              <x v="40"/>
              <x v="41"/>
              <x v="42"/>
              <x v="43"/>
              <x v="44"/>
              <x v="45"/>
              <x v="46"/>
              <x v="47"/>
              <x v="48"/>
              <x v="49"/>
              <x v="50"/>
              <x v="51"/>
              <x v="52"/>
              <x v="53"/>
              <x v="54"/>
              <x v="55"/>
              <x v="56"/>
              <x v="57"/>
              <x v="58"/>
              <x v="59"/>
              <x v="60"/>
              <x v="61"/>
              <x v="62"/>
              <x v="63"/>
              <x v="64"/>
              <x v="65"/>
              <x v="66"/>
              <x v="67"/>
              <x v="68"/>
              <x v="69"/>
              <x v="70"/>
              <x v="71"/>
              <x v="72"/>
              <x v="73"/>
              <x v="74"/>
              <x v="75"/>
              <x v="76"/>
              <x v="77"/>
              <x v="78"/>
              <x v="79"/>
              <x v="80"/>
              <x v="81"/>
              <x v="82"/>
              <x v="83"/>
              <x v="84"/>
              <x v="85"/>
              <x v="86"/>
              <x v="87"/>
              <x v="88"/>
              <x v="89"/>
              <x v="90"/>
              <x v="91"/>
              <x v="92"/>
              <x v="93"/>
              <x v="94"/>
              <x v="95"/>
              <x v="96"/>
              <x v="97"/>
              <x v="98"/>
              <x v="99"/>
              <x v="100"/>
              <x v="101"/>
              <x v="102"/>
              <x v="103"/>
              <x v="104"/>
              <x v="105"/>
              <x v="106"/>
              <x v="107"/>
              <x v="108"/>
              <x v="109"/>
              <x v="110"/>
              <x v="111"/>
              <x v="112"/>
              <x v="113"/>
              <x v="114"/>
              <x v="115"/>
              <x v="116"/>
              <x v="117"/>
              <x v="118"/>
              <x v="119"/>
              <x v="120"/>
              <x v="121"/>
              <x v="122"/>
              <x v="123"/>
              <x v="124"/>
              <x v="125"/>
              <x v="126"/>
              <x v="127"/>
              <x v="128"/>
              <x v="129"/>
              <x v="130"/>
              <x v="131"/>
              <x v="132"/>
              <x v="133"/>
              <x v="134"/>
              <x v="135"/>
              <x v="136"/>
              <x v="137"/>
              <x v="138"/>
              <x v="139"/>
              <x v="140"/>
              <x v="141"/>
              <x v="142"/>
              <x v="143"/>
              <x v="144"/>
            </reference>
          </references>
        </pivotArea>
      </pivotAreas>
    </conditionalFormat>
    <conditionalFormat priority="95">
      <pivotAreas count="1">
        <pivotArea type="data" collapsedLevelsAreSubtotals="1" fieldPosition="0">
          <references count="2">
            <reference field="4294967294" count="1" selected="0">
              <x v="27"/>
            </reference>
            <reference field="0" count="145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  <x v="29"/>
              <x v="30"/>
              <x v="31"/>
              <x v="32"/>
              <x v="33"/>
              <x v="34"/>
              <x v="35"/>
              <x v="36"/>
              <x v="37"/>
              <x v="38"/>
              <x v="39"/>
              <x v="40"/>
              <x v="41"/>
              <x v="42"/>
              <x v="43"/>
              <x v="44"/>
              <x v="45"/>
              <x v="46"/>
              <x v="47"/>
              <x v="48"/>
              <x v="49"/>
              <x v="50"/>
              <x v="51"/>
              <x v="52"/>
              <x v="53"/>
              <x v="54"/>
              <x v="55"/>
              <x v="56"/>
              <x v="57"/>
              <x v="58"/>
              <x v="59"/>
              <x v="60"/>
              <x v="61"/>
              <x v="62"/>
              <x v="63"/>
              <x v="64"/>
              <x v="65"/>
              <x v="66"/>
              <x v="67"/>
              <x v="68"/>
              <x v="69"/>
              <x v="70"/>
              <x v="71"/>
              <x v="72"/>
              <x v="73"/>
              <x v="74"/>
              <x v="75"/>
              <x v="76"/>
              <x v="77"/>
              <x v="78"/>
              <x v="79"/>
              <x v="80"/>
              <x v="81"/>
              <x v="82"/>
              <x v="83"/>
              <x v="84"/>
              <x v="85"/>
              <x v="86"/>
              <x v="87"/>
              <x v="88"/>
              <x v="89"/>
              <x v="90"/>
              <x v="91"/>
              <x v="92"/>
              <x v="93"/>
              <x v="94"/>
              <x v="95"/>
              <x v="96"/>
              <x v="97"/>
              <x v="98"/>
              <x v="99"/>
              <x v="100"/>
              <x v="101"/>
              <x v="102"/>
              <x v="103"/>
              <x v="104"/>
              <x v="105"/>
              <x v="106"/>
              <x v="107"/>
              <x v="108"/>
              <x v="109"/>
              <x v="110"/>
              <x v="111"/>
              <x v="112"/>
              <x v="113"/>
              <x v="114"/>
              <x v="115"/>
              <x v="116"/>
              <x v="117"/>
              <x v="118"/>
              <x v="119"/>
              <x v="120"/>
              <x v="121"/>
              <x v="122"/>
              <x v="123"/>
              <x v="124"/>
              <x v="125"/>
              <x v="126"/>
              <x v="127"/>
              <x v="128"/>
              <x v="129"/>
              <x v="130"/>
              <x v="131"/>
              <x v="132"/>
              <x v="133"/>
              <x v="134"/>
              <x v="135"/>
              <x v="136"/>
              <x v="137"/>
              <x v="138"/>
              <x v="139"/>
              <x v="140"/>
              <x v="141"/>
              <x v="142"/>
              <x v="143"/>
              <x v="144"/>
            </reference>
          </references>
        </pivotArea>
      </pivotAreas>
    </conditionalFormat>
    <conditionalFormat priority="11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0" count="145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  <x v="29"/>
              <x v="30"/>
              <x v="31"/>
              <x v="32"/>
              <x v="33"/>
              <x v="34"/>
              <x v="35"/>
              <x v="36"/>
              <x v="37"/>
              <x v="38"/>
              <x v="39"/>
              <x v="40"/>
              <x v="41"/>
              <x v="42"/>
              <x v="43"/>
              <x v="44"/>
              <x v="45"/>
              <x v="46"/>
              <x v="47"/>
              <x v="48"/>
              <x v="49"/>
              <x v="50"/>
              <x v="51"/>
              <x v="52"/>
              <x v="53"/>
              <x v="54"/>
              <x v="55"/>
              <x v="56"/>
              <x v="57"/>
              <x v="58"/>
              <x v="59"/>
              <x v="60"/>
              <x v="61"/>
              <x v="62"/>
              <x v="63"/>
              <x v="64"/>
              <x v="65"/>
              <x v="66"/>
              <x v="67"/>
              <x v="68"/>
              <x v="69"/>
              <x v="70"/>
              <x v="71"/>
              <x v="72"/>
              <x v="73"/>
              <x v="74"/>
              <x v="75"/>
              <x v="76"/>
              <x v="77"/>
              <x v="78"/>
              <x v="79"/>
              <x v="80"/>
              <x v="81"/>
              <x v="82"/>
              <x v="83"/>
              <x v="84"/>
              <x v="85"/>
              <x v="86"/>
              <x v="87"/>
              <x v="88"/>
              <x v="89"/>
              <x v="90"/>
              <x v="91"/>
              <x v="92"/>
              <x v="93"/>
              <x v="94"/>
              <x v="95"/>
              <x v="96"/>
              <x v="97"/>
              <x v="98"/>
              <x v="99"/>
              <x v="100"/>
              <x v="101"/>
              <x v="102"/>
              <x v="103"/>
              <x v="104"/>
              <x v="105"/>
              <x v="106"/>
              <x v="107"/>
              <x v="108"/>
              <x v="109"/>
              <x v="110"/>
              <x v="111"/>
              <x v="112"/>
              <x v="113"/>
              <x v="114"/>
              <x v="115"/>
              <x v="116"/>
              <x v="117"/>
              <x v="118"/>
              <x v="119"/>
              <x v="120"/>
              <x v="121"/>
              <x v="122"/>
              <x v="123"/>
              <x v="124"/>
              <x v="125"/>
              <x v="126"/>
              <x v="127"/>
              <x v="128"/>
              <x v="129"/>
              <x v="130"/>
              <x v="131"/>
              <x v="132"/>
              <x v="133"/>
              <x v="134"/>
              <x v="135"/>
              <x v="136"/>
              <x v="137"/>
              <x v="138"/>
              <x v="139"/>
              <x v="140"/>
              <x v="141"/>
              <x v="142"/>
              <x v="143"/>
              <x v="144"/>
            </reference>
          </references>
        </pivotArea>
      </pivotAreas>
    </conditionalFormat>
    <conditionalFormat priority="12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0" count="145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  <x v="29"/>
              <x v="30"/>
              <x v="31"/>
              <x v="32"/>
              <x v="33"/>
              <x v="34"/>
              <x v="35"/>
              <x v="36"/>
              <x v="37"/>
              <x v="38"/>
              <x v="39"/>
              <x v="40"/>
              <x v="41"/>
              <x v="42"/>
              <x v="43"/>
              <x v="44"/>
              <x v="45"/>
              <x v="46"/>
              <x v="47"/>
              <x v="48"/>
              <x v="49"/>
              <x v="50"/>
              <x v="51"/>
              <x v="52"/>
              <x v="53"/>
              <x v="54"/>
              <x v="55"/>
              <x v="56"/>
              <x v="57"/>
              <x v="58"/>
              <x v="59"/>
              <x v="60"/>
              <x v="61"/>
              <x v="62"/>
              <x v="63"/>
              <x v="64"/>
              <x v="65"/>
              <x v="66"/>
              <x v="67"/>
              <x v="68"/>
              <x v="69"/>
              <x v="70"/>
              <x v="71"/>
              <x v="72"/>
              <x v="73"/>
              <x v="74"/>
              <x v="75"/>
              <x v="76"/>
              <x v="77"/>
              <x v="78"/>
              <x v="79"/>
              <x v="80"/>
              <x v="81"/>
              <x v="82"/>
              <x v="83"/>
              <x v="84"/>
              <x v="85"/>
              <x v="86"/>
              <x v="87"/>
              <x v="88"/>
              <x v="89"/>
              <x v="90"/>
              <x v="91"/>
              <x v="92"/>
              <x v="93"/>
              <x v="94"/>
              <x v="95"/>
              <x v="96"/>
              <x v="97"/>
              <x v="98"/>
              <x v="99"/>
              <x v="100"/>
              <x v="101"/>
              <x v="102"/>
              <x v="103"/>
              <x v="104"/>
              <x v="105"/>
              <x v="106"/>
              <x v="107"/>
              <x v="108"/>
              <x v="109"/>
              <x v="110"/>
              <x v="111"/>
              <x v="112"/>
              <x v="113"/>
              <x v="114"/>
              <x v="115"/>
              <x v="116"/>
              <x v="117"/>
              <x v="118"/>
              <x v="119"/>
              <x v="120"/>
              <x v="121"/>
              <x v="122"/>
              <x v="123"/>
              <x v="124"/>
              <x v="125"/>
              <x v="126"/>
              <x v="127"/>
              <x v="128"/>
              <x v="129"/>
              <x v="130"/>
              <x v="131"/>
              <x v="132"/>
              <x v="133"/>
              <x v="134"/>
              <x v="135"/>
              <x v="136"/>
              <x v="137"/>
              <x v="138"/>
              <x v="139"/>
              <x v="140"/>
              <x v="141"/>
              <x v="142"/>
              <x v="143"/>
              <x v="144"/>
            </reference>
          </references>
        </pivotArea>
      </pivotAreas>
    </conditionalFormat>
    <conditionalFormat priority="13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0" count="145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  <x v="29"/>
              <x v="30"/>
              <x v="31"/>
              <x v="32"/>
              <x v="33"/>
              <x v="34"/>
              <x v="35"/>
              <x v="36"/>
              <x v="37"/>
              <x v="38"/>
              <x v="39"/>
              <x v="40"/>
              <x v="41"/>
              <x v="42"/>
              <x v="43"/>
              <x v="44"/>
              <x v="45"/>
              <x v="46"/>
              <x v="47"/>
              <x v="48"/>
              <x v="49"/>
              <x v="50"/>
              <x v="51"/>
              <x v="52"/>
              <x v="53"/>
              <x v="54"/>
              <x v="55"/>
              <x v="56"/>
              <x v="57"/>
              <x v="58"/>
              <x v="59"/>
              <x v="60"/>
              <x v="61"/>
              <x v="62"/>
              <x v="63"/>
              <x v="64"/>
              <x v="65"/>
              <x v="66"/>
              <x v="67"/>
              <x v="68"/>
              <x v="69"/>
              <x v="70"/>
              <x v="71"/>
              <x v="72"/>
              <x v="73"/>
              <x v="74"/>
              <x v="75"/>
              <x v="76"/>
              <x v="77"/>
              <x v="78"/>
              <x v="79"/>
              <x v="80"/>
              <x v="81"/>
              <x v="82"/>
              <x v="83"/>
              <x v="84"/>
              <x v="85"/>
              <x v="86"/>
              <x v="87"/>
              <x v="88"/>
              <x v="89"/>
              <x v="90"/>
              <x v="91"/>
              <x v="92"/>
              <x v="93"/>
              <x v="94"/>
              <x v="95"/>
              <x v="96"/>
              <x v="97"/>
              <x v="98"/>
              <x v="99"/>
              <x v="100"/>
              <x v="101"/>
              <x v="102"/>
              <x v="103"/>
              <x v="104"/>
              <x v="105"/>
              <x v="106"/>
              <x v="107"/>
              <x v="108"/>
              <x v="109"/>
              <x v="110"/>
              <x v="111"/>
              <x v="112"/>
              <x v="113"/>
              <x v="114"/>
              <x v="115"/>
              <x v="116"/>
              <x v="117"/>
              <x v="118"/>
              <x v="119"/>
              <x v="120"/>
              <x v="121"/>
              <x v="122"/>
              <x v="123"/>
              <x v="124"/>
              <x v="125"/>
              <x v="126"/>
              <x v="127"/>
              <x v="128"/>
              <x v="129"/>
              <x v="130"/>
              <x v="131"/>
              <x v="132"/>
              <x v="133"/>
              <x v="134"/>
              <x v="135"/>
              <x v="136"/>
              <x v="137"/>
              <x v="138"/>
              <x v="139"/>
              <x v="140"/>
              <x v="141"/>
              <x v="142"/>
              <x v="143"/>
              <x v="144"/>
            </reference>
          </references>
        </pivotArea>
      </pivotAreas>
    </conditionalFormat>
    <conditionalFormat priority="19">
      <pivotAreas count="2">
        <pivotArea type="data" collapsedLevelsAreSubtotals="1" fieldPosition="0">
          <references count="2">
            <reference field="4294967294" count="8" selected="0">
              <x v="1"/>
              <x v="2"/>
              <x v="3"/>
              <x v="4"/>
              <x v="5"/>
              <x v="6"/>
              <x v="7"/>
              <x v="8"/>
            </reference>
            <reference field="0" count="145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  <x v="29"/>
              <x v="30"/>
              <x v="31"/>
              <x v="32"/>
              <x v="33"/>
              <x v="34"/>
              <x v="35"/>
              <x v="36"/>
              <x v="37"/>
              <x v="38"/>
              <x v="39"/>
              <x v="40"/>
              <x v="41"/>
              <x v="42"/>
              <x v="43"/>
              <x v="44"/>
              <x v="45"/>
              <x v="46"/>
              <x v="47"/>
              <x v="48"/>
              <x v="49"/>
              <x v="50"/>
              <x v="51"/>
              <x v="52"/>
              <x v="53"/>
              <x v="54"/>
              <x v="55"/>
              <x v="56"/>
              <x v="57"/>
              <x v="58"/>
              <x v="59"/>
              <x v="60"/>
              <x v="61"/>
              <x v="62"/>
              <x v="63"/>
              <x v="64"/>
              <x v="65"/>
              <x v="66"/>
              <x v="67"/>
              <x v="68"/>
              <x v="69"/>
              <x v="70"/>
              <x v="71"/>
              <x v="72"/>
              <x v="73"/>
              <x v="74"/>
              <x v="75"/>
              <x v="76"/>
              <x v="77"/>
              <x v="78"/>
              <x v="79"/>
              <x v="80"/>
              <x v="81"/>
              <x v="82"/>
              <x v="83"/>
              <x v="84"/>
              <x v="85"/>
              <x v="86"/>
              <x v="87"/>
              <x v="88"/>
              <x v="89"/>
              <x v="90"/>
              <x v="91"/>
              <x v="92"/>
              <x v="93"/>
              <x v="94"/>
              <x v="95"/>
              <x v="96"/>
              <x v="97"/>
              <x v="98"/>
              <x v="99"/>
              <x v="100"/>
              <x v="101"/>
              <x v="102"/>
              <x v="103"/>
              <x v="104"/>
              <x v="105"/>
              <x v="106"/>
              <x v="107"/>
              <x v="108"/>
              <x v="109"/>
              <x v="110"/>
              <x v="111"/>
              <x v="112"/>
              <x v="113"/>
              <x v="114"/>
              <x v="115"/>
              <x v="116"/>
              <x v="117"/>
              <x v="118"/>
              <x v="119"/>
              <x v="120"/>
              <x v="121"/>
              <x v="122"/>
              <x v="123"/>
              <x v="124"/>
              <x v="125"/>
              <x v="126"/>
              <x v="127"/>
              <x v="128"/>
              <x v="129"/>
              <x v="130"/>
              <x v="131"/>
              <x v="132"/>
              <x v="133"/>
              <x v="134"/>
              <x v="135"/>
              <x v="136"/>
              <x v="137"/>
              <x v="138"/>
              <x v="139"/>
              <x v="140"/>
              <x v="141"/>
              <x v="142"/>
              <x v="143"/>
              <x v="144"/>
            </reference>
          </references>
        </pivotArea>
        <pivotArea type="data" collapsedLevelsAreSubtotals="1" fieldPosition="0">
          <references count="2">
            <reference field="4294967294" count="2" selected="0">
              <x v="11"/>
              <x v="12"/>
            </reference>
            <reference field="0" count="145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  <x v="29"/>
              <x v="30"/>
              <x v="31"/>
              <x v="32"/>
              <x v="33"/>
              <x v="34"/>
              <x v="35"/>
              <x v="36"/>
              <x v="37"/>
              <x v="38"/>
              <x v="39"/>
              <x v="40"/>
              <x v="41"/>
              <x v="42"/>
              <x v="43"/>
              <x v="44"/>
              <x v="45"/>
              <x v="46"/>
              <x v="47"/>
              <x v="48"/>
              <x v="49"/>
              <x v="50"/>
              <x v="51"/>
              <x v="52"/>
              <x v="53"/>
              <x v="54"/>
              <x v="55"/>
              <x v="56"/>
              <x v="57"/>
              <x v="58"/>
              <x v="59"/>
              <x v="60"/>
              <x v="61"/>
              <x v="62"/>
              <x v="63"/>
              <x v="64"/>
              <x v="65"/>
              <x v="66"/>
              <x v="67"/>
              <x v="68"/>
              <x v="69"/>
              <x v="70"/>
              <x v="71"/>
              <x v="72"/>
              <x v="73"/>
              <x v="74"/>
              <x v="75"/>
              <x v="76"/>
              <x v="77"/>
              <x v="78"/>
              <x v="79"/>
              <x v="80"/>
              <x v="81"/>
              <x v="82"/>
              <x v="83"/>
              <x v="84"/>
              <x v="85"/>
              <x v="86"/>
              <x v="87"/>
              <x v="88"/>
              <x v="89"/>
              <x v="90"/>
              <x v="91"/>
              <x v="92"/>
              <x v="93"/>
              <x v="94"/>
              <x v="95"/>
              <x v="96"/>
              <x v="97"/>
              <x v="98"/>
              <x v="99"/>
              <x v="100"/>
              <x v="101"/>
              <x v="102"/>
              <x v="103"/>
              <x v="104"/>
              <x v="105"/>
              <x v="106"/>
              <x v="107"/>
              <x v="108"/>
              <x v="109"/>
              <x v="110"/>
              <x v="111"/>
              <x v="112"/>
              <x v="113"/>
              <x v="114"/>
              <x v="115"/>
              <x v="116"/>
              <x v="117"/>
              <x v="118"/>
              <x v="119"/>
              <x v="120"/>
              <x v="121"/>
              <x v="122"/>
              <x v="123"/>
              <x v="124"/>
              <x v="125"/>
              <x v="126"/>
              <x v="127"/>
              <x v="128"/>
              <x v="129"/>
              <x v="130"/>
              <x v="131"/>
              <x v="132"/>
              <x v="133"/>
              <x v="134"/>
              <x v="135"/>
              <x v="136"/>
              <x v="137"/>
              <x v="138"/>
              <x v="139"/>
              <x v="140"/>
              <x v="141"/>
              <x v="142"/>
              <x v="143"/>
              <x v="144"/>
            </reference>
          </references>
        </pivotArea>
      </pivotAreas>
    </conditionalFormat>
  </conditional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4"/>
  <sheetViews>
    <sheetView tabSelected="1" zoomScaleNormal="100" workbookViewId="0"/>
  </sheetViews>
  <sheetFormatPr defaultColWidth="11" defaultRowHeight="12.75" x14ac:dyDescent="0.2"/>
  <cols>
    <col min="1" max="1" width="11" style="2" customWidth="1"/>
    <col min="2" max="2" width="11" style="2"/>
    <col min="3" max="3" width="8.125" style="2" customWidth="1"/>
    <col min="4" max="4" width="17.125" style="2" customWidth="1"/>
    <col min="5" max="16384" width="11" style="2"/>
  </cols>
  <sheetData>
    <row r="1" spans="1:32" s="210" customFormat="1" ht="23.25" x14ac:dyDescent="0.35">
      <c r="A1" s="207" t="s">
        <v>1623</v>
      </c>
      <c r="B1" s="209"/>
    </row>
    <row r="2" spans="1:32" x14ac:dyDescent="0.2">
      <c r="A2" s="3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1:32" x14ac:dyDescent="0.2">
      <c r="A4" s="8" t="s">
        <v>1516</v>
      </c>
      <c r="B4" s="9">
        <v>1.1000000000000001</v>
      </c>
      <c r="C4" s="10" t="s">
        <v>1517</v>
      </c>
      <c r="D4" s="11">
        <v>43628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</row>
    <row r="5" spans="1:32" x14ac:dyDescent="0.2">
      <c r="A5" s="12"/>
      <c r="B5" s="12"/>
      <c r="C5" s="12"/>
      <c r="D5" s="12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x14ac:dyDescent="0.2">
      <c r="A6" s="10" t="s">
        <v>1557</v>
      </c>
      <c r="B6" s="12"/>
      <c r="C6" s="12"/>
      <c r="D6" s="12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x14ac:dyDescent="0.2">
      <c r="A7" s="10" t="s">
        <v>1558</v>
      </c>
      <c r="B7" s="12"/>
      <c r="C7" s="12"/>
      <c r="D7" s="12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x14ac:dyDescent="0.2">
      <c r="A8" s="12"/>
      <c r="B8" s="12"/>
      <c r="C8" s="12"/>
      <c r="D8" s="12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x14ac:dyDescent="0.2">
      <c r="A9" s="13" t="s">
        <v>1518</v>
      </c>
      <c r="B9" s="12"/>
      <c r="C9" s="12"/>
      <c r="D9" s="12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x14ac:dyDescent="0.2">
      <c r="A10" s="13" t="s">
        <v>1519</v>
      </c>
      <c r="B10" s="12"/>
      <c r="C10" s="12"/>
      <c r="D10" s="12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x14ac:dyDescent="0.2">
      <c r="A11" s="12"/>
      <c r="B11" s="12"/>
      <c r="C11" s="12"/>
      <c r="D11" s="12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x14ac:dyDescent="0.2">
      <c r="A12" s="12"/>
      <c r="B12" s="12"/>
      <c r="C12" s="12"/>
      <c r="D12" s="12"/>
      <c r="E12" s="1"/>
      <c r="F12" s="1"/>
      <c r="G12" s="4"/>
      <c r="H12" s="4"/>
      <c r="I12" s="4"/>
      <c r="J12" s="4"/>
      <c r="K12" s="4"/>
      <c r="L12" s="4"/>
      <c r="M12" s="4"/>
      <c r="N12" s="4"/>
      <c r="O12" s="4"/>
      <c r="P12" s="4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x14ac:dyDescent="0.2">
      <c r="A13" s="12" t="s">
        <v>1530</v>
      </c>
      <c r="B13" s="12"/>
      <c r="C13" s="12"/>
      <c r="D13" s="12"/>
      <c r="E13" s="1"/>
      <c r="F13" s="1"/>
      <c r="G13" s="4"/>
      <c r="H13" s="4"/>
      <c r="I13" s="4"/>
      <c r="J13" s="4"/>
      <c r="K13" s="4"/>
      <c r="L13" s="4"/>
      <c r="M13" s="4"/>
      <c r="N13" s="4"/>
      <c r="O13" s="4"/>
      <c r="P13" s="4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x14ac:dyDescent="0.2">
      <c r="A14" s="12" t="s">
        <v>1531</v>
      </c>
      <c r="B14" s="12"/>
      <c r="C14" s="12"/>
      <c r="D14" s="12"/>
      <c r="E14" s="1"/>
      <c r="F14" s="1"/>
      <c r="G14" s="4"/>
      <c r="H14" s="4"/>
      <c r="I14" s="4"/>
      <c r="J14" s="4"/>
      <c r="K14" s="4"/>
      <c r="L14" s="4"/>
      <c r="M14" s="4"/>
      <c r="N14" s="4"/>
      <c r="O14" s="4"/>
      <c r="P14" s="4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x14ac:dyDescent="0.2">
      <c r="A15" s="12" t="s">
        <v>1532</v>
      </c>
      <c r="B15" s="12"/>
      <c r="C15" s="12"/>
      <c r="D15" s="12"/>
      <c r="E15" s="1"/>
      <c r="F15" s="1"/>
      <c r="G15" s="4"/>
      <c r="H15" s="4"/>
      <c r="I15" s="4"/>
      <c r="J15" s="4"/>
      <c r="K15" s="4"/>
      <c r="L15" s="4"/>
      <c r="M15" s="4"/>
      <c r="N15" s="4"/>
      <c r="O15" s="4"/>
      <c r="P15" s="4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x14ac:dyDescent="0.2">
      <c r="A16" s="12"/>
      <c r="B16" s="12"/>
      <c r="C16" s="12"/>
      <c r="D16" s="12"/>
      <c r="E16" s="1"/>
      <c r="F16" s="1"/>
      <c r="G16" s="4"/>
      <c r="H16" s="4"/>
      <c r="I16" s="4"/>
      <c r="J16" s="4"/>
      <c r="K16" s="4"/>
      <c r="L16" s="4"/>
      <c r="M16" s="4"/>
      <c r="N16" s="4"/>
      <c r="O16" s="4"/>
      <c r="P16" s="4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x14ac:dyDescent="0.2">
      <c r="A17" s="12" t="s">
        <v>1535</v>
      </c>
      <c r="B17" s="12"/>
      <c r="C17" s="12"/>
      <c r="D17" s="12"/>
      <c r="E17" s="1"/>
      <c r="F17" s="1"/>
      <c r="G17" s="4"/>
      <c r="H17" s="4"/>
      <c r="I17" s="4"/>
      <c r="J17" s="4"/>
      <c r="K17" s="4"/>
      <c r="L17" s="4"/>
      <c r="M17" s="4"/>
      <c r="N17" s="4"/>
      <c r="O17" s="4"/>
      <c r="P17" s="4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x14ac:dyDescent="0.2">
      <c r="A18" s="12" t="s">
        <v>1536</v>
      </c>
      <c r="B18" s="12"/>
      <c r="C18" s="12"/>
      <c r="D18" s="12"/>
      <c r="E18" s="1"/>
      <c r="F18" s="1"/>
      <c r="G18" s="4"/>
      <c r="H18" s="4"/>
      <c r="I18" s="4"/>
      <c r="J18" s="4"/>
      <c r="K18" s="4"/>
      <c r="L18" s="4"/>
      <c r="M18" s="4"/>
      <c r="N18" s="4"/>
      <c r="O18" s="4"/>
      <c r="P18" s="4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x14ac:dyDescent="0.2">
      <c r="A19" s="12" t="s">
        <v>1537</v>
      </c>
      <c r="B19" s="12"/>
      <c r="C19" s="12"/>
      <c r="D19" s="12"/>
      <c r="E19" s="1"/>
      <c r="F19" s="1"/>
      <c r="G19" s="4"/>
      <c r="H19" s="4"/>
      <c r="I19" s="4"/>
      <c r="J19" s="4"/>
      <c r="K19" s="4"/>
      <c r="L19" s="4"/>
      <c r="M19" s="4"/>
      <c r="N19" s="4"/>
      <c r="O19" s="4"/>
      <c r="P19" s="4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x14ac:dyDescent="0.2">
      <c r="A20" s="12" t="s">
        <v>1538</v>
      </c>
      <c r="B20" s="12"/>
      <c r="C20" s="12"/>
      <c r="D20" s="12"/>
      <c r="E20" s="1"/>
      <c r="F20" s="1"/>
      <c r="G20" s="4"/>
      <c r="H20" s="4"/>
      <c r="I20" s="4"/>
      <c r="J20" s="4"/>
      <c r="K20" s="4"/>
      <c r="L20" s="4"/>
      <c r="M20" s="4"/>
      <c r="N20" s="4"/>
      <c r="O20" s="4"/>
      <c r="P20" s="4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x14ac:dyDescent="0.2">
      <c r="A21" s="12" t="s">
        <v>1539</v>
      </c>
      <c r="B21" s="12"/>
      <c r="C21" s="12"/>
      <c r="D21" s="12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x14ac:dyDescent="0.2">
      <c r="A22" s="12" t="s">
        <v>1533</v>
      </c>
      <c r="B22" s="12"/>
      <c r="C22" s="12"/>
      <c r="D22" s="12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x14ac:dyDescent="0.2">
      <c r="A23" s="12" t="s">
        <v>1534</v>
      </c>
      <c r="B23" s="12"/>
      <c r="C23" s="12"/>
      <c r="D23" s="12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x14ac:dyDescent="0.2">
      <c r="A24" s="12" t="s">
        <v>1580</v>
      </c>
      <c r="B24" s="12"/>
      <c r="C24" s="12"/>
      <c r="D24" s="12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x14ac:dyDescent="0.2">
      <c r="A25" s="12"/>
      <c r="B25" s="12"/>
      <c r="C25" s="12"/>
      <c r="D25" s="12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x14ac:dyDescent="0.2">
      <c r="A26" s="12" t="s">
        <v>1540</v>
      </c>
      <c r="B26" s="12"/>
      <c r="C26" s="12"/>
      <c r="D26" s="12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x14ac:dyDescent="0.2">
      <c r="A27" s="12"/>
      <c r="B27" s="12"/>
      <c r="C27" s="12"/>
      <c r="D27" s="12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x14ac:dyDescent="0.2">
      <c r="A28" s="12" t="s">
        <v>1553</v>
      </c>
      <c r="B28" s="12"/>
      <c r="C28" s="12"/>
      <c r="D28" s="12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x14ac:dyDescent="0.2">
      <c r="A29" s="12" t="s">
        <v>1552</v>
      </c>
      <c r="B29" s="12"/>
      <c r="C29" s="12"/>
      <c r="D29" s="12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x14ac:dyDescent="0.2">
      <c r="A30" s="12" t="s">
        <v>1554</v>
      </c>
      <c r="B30" s="12"/>
      <c r="C30" s="12"/>
      <c r="D30" s="12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x14ac:dyDescent="0.2">
      <c r="A31" s="14" t="s">
        <v>1555</v>
      </c>
      <c r="B31" s="12"/>
      <c r="C31" s="12"/>
      <c r="D31" s="12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x14ac:dyDescent="0.2">
      <c r="A32" s="14" t="s">
        <v>1556</v>
      </c>
      <c r="B32" s="12"/>
      <c r="C32" s="12"/>
      <c r="D32" s="12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x14ac:dyDescent="0.2">
      <c r="A33" s="14"/>
      <c r="B33" s="12"/>
      <c r="C33" s="12"/>
      <c r="D33" s="12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x14ac:dyDescent="0.2">
      <c r="A34" s="14" t="s">
        <v>1573</v>
      </c>
      <c r="B34" s="12"/>
      <c r="C34" s="12"/>
      <c r="D34" s="12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x14ac:dyDescent="0.2">
      <c r="A35" s="14" t="s">
        <v>1574</v>
      </c>
      <c r="B35" s="14"/>
      <c r="C35" s="14"/>
      <c r="D35" s="14"/>
      <c r="E35" s="4"/>
      <c r="F35" s="4"/>
      <c r="G35" s="4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x14ac:dyDescent="0.2">
      <c r="A36" s="14"/>
      <c r="B36" s="14"/>
      <c r="C36" s="14"/>
      <c r="D36" s="14"/>
      <c r="E36" s="4"/>
      <c r="F36" s="4"/>
      <c r="G36" s="4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x14ac:dyDescent="0.2">
      <c r="A37" s="14" t="s">
        <v>1573</v>
      </c>
      <c r="B37" s="14"/>
      <c r="C37" s="14"/>
      <c r="D37" s="14"/>
      <c r="E37" s="4"/>
      <c r="F37" s="4"/>
      <c r="G37" s="4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x14ac:dyDescent="0.2">
      <c r="A38" s="14" t="s">
        <v>1574</v>
      </c>
      <c r="B38" s="14"/>
      <c r="C38" s="14"/>
      <c r="D38" s="14"/>
      <c r="E38" s="4"/>
      <c r="F38" s="4"/>
      <c r="G38" s="4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x14ac:dyDescent="0.2">
      <c r="A39" s="14"/>
      <c r="B39" s="14"/>
      <c r="C39" s="14"/>
      <c r="D39" s="14"/>
      <c r="E39" s="4"/>
      <c r="F39" s="4"/>
      <c r="G39" s="4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x14ac:dyDescent="0.2">
      <c r="A40" s="14"/>
      <c r="B40" s="14"/>
      <c r="C40" s="14"/>
      <c r="D40" s="14"/>
      <c r="E40" s="4"/>
      <c r="F40" s="4"/>
      <c r="G40" s="4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x14ac:dyDescent="0.2">
      <c r="A41" s="4"/>
      <c r="B41" s="4"/>
      <c r="C41" s="4"/>
      <c r="D41" s="4"/>
      <c r="E41" s="4"/>
      <c r="F41" s="4"/>
      <c r="G41" s="4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x14ac:dyDescent="0.2">
      <c r="A42" s="4"/>
      <c r="B42" s="4"/>
      <c r="C42" s="4"/>
      <c r="D42" s="4"/>
      <c r="E42" s="4"/>
      <c r="F42" s="4"/>
      <c r="G42" s="4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x14ac:dyDescent="0.2">
      <c r="A43" s="4"/>
      <c r="B43" s="4"/>
      <c r="C43" s="4"/>
      <c r="D43" s="4"/>
      <c r="E43" s="4"/>
      <c r="F43" s="4"/>
      <c r="G43" s="4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x14ac:dyDescent="0.2">
      <c r="A44" s="4"/>
      <c r="B44" s="4"/>
      <c r="C44" s="4"/>
      <c r="D44" s="4"/>
      <c r="E44" s="4"/>
      <c r="F44" s="4"/>
      <c r="G44" s="4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x14ac:dyDescent="0.2">
      <c r="A45" s="4"/>
      <c r="B45" s="4"/>
      <c r="C45" s="4"/>
      <c r="D45" s="4"/>
      <c r="E45" s="4"/>
      <c r="F45" s="4"/>
      <c r="G45" s="4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x14ac:dyDescent="0.2">
      <c r="A46" s="4"/>
      <c r="B46" s="4"/>
      <c r="C46" s="4"/>
      <c r="D46" s="4"/>
      <c r="E46" s="4"/>
      <c r="F46" s="4"/>
      <c r="G46" s="4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x14ac:dyDescent="0.2">
      <c r="A47" s="4"/>
      <c r="B47" s="4"/>
      <c r="C47" s="4"/>
      <c r="D47" s="4"/>
      <c r="E47" s="4"/>
      <c r="F47" s="4"/>
      <c r="G47" s="4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x14ac:dyDescent="0.2">
      <c r="A48" s="4"/>
      <c r="B48" s="4"/>
      <c r="C48" s="4"/>
      <c r="D48" s="4"/>
      <c r="E48" s="4"/>
      <c r="F48" s="4"/>
      <c r="G48" s="4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</row>
    <row r="100" spans="1:32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</row>
    <row r="101" spans="1:32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</row>
    <row r="102" spans="1:32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</row>
    <row r="103" spans="1:32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</row>
    <row r="104" spans="1:32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89"/>
  <sheetViews>
    <sheetView zoomScaleNormal="100" workbookViewId="0">
      <pane xSplit="4" ySplit="6" topLeftCell="E7" activePane="bottomRight" state="frozen"/>
      <selection activeCell="A5" sqref="A4:A5"/>
      <selection pane="topRight" activeCell="A5" sqref="A4:A5"/>
      <selection pane="bottomLeft" activeCell="A5" sqref="A4:A5"/>
      <selection pane="bottomRight" activeCell="A2" sqref="A2:XFD2"/>
    </sheetView>
  </sheetViews>
  <sheetFormatPr defaultColWidth="11" defaultRowHeight="12.75" x14ac:dyDescent="0.2"/>
  <cols>
    <col min="1" max="3" width="11" style="26"/>
    <col min="4" max="5" width="6.5" style="26" customWidth="1"/>
    <col min="6" max="6" width="12.625" style="26" bestFit="1" customWidth="1"/>
    <col min="7" max="7" width="11" style="26"/>
    <col min="8" max="8" width="11.625" style="26" bestFit="1" customWidth="1"/>
    <col min="9" max="9" width="11" style="26"/>
    <col min="10" max="10" width="11.625" style="26" bestFit="1" customWidth="1"/>
    <col min="11" max="11" width="11" style="26"/>
    <col min="12" max="12" width="11.5" style="26" bestFit="1" customWidth="1"/>
    <col min="13" max="16384" width="11" style="26"/>
  </cols>
  <sheetData>
    <row r="1" spans="1:47" s="211" customFormat="1" ht="23.25" x14ac:dyDescent="0.35">
      <c r="A1" s="207" t="s">
        <v>1615</v>
      </c>
    </row>
    <row r="2" spans="1:47" s="237" customFormat="1" ht="12.75" customHeight="1" x14ac:dyDescent="0.35">
      <c r="A2" s="7"/>
    </row>
    <row r="3" spans="1:47" x14ac:dyDescent="0.2">
      <c r="A3" s="40"/>
      <c r="B3" s="25"/>
      <c r="C3" s="25"/>
      <c r="D3" s="25"/>
      <c r="E3" s="25"/>
      <c r="F3" s="40" t="s">
        <v>690</v>
      </c>
      <c r="G3" s="25"/>
      <c r="H3" s="40" t="s">
        <v>853</v>
      </c>
      <c r="I3" s="25"/>
      <c r="J3" s="40" t="s">
        <v>4</v>
      </c>
      <c r="K3" s="25"/>
      <c r="L3" s="40" t="s">
        <v>1036</v>
      </c>
      <c r="M3" s="25"/>
      <c r="N3" s="40" t="s">
        <v>6</v>
      </c>
      <c r="O3" s="40"/>
      <c r="P3" s="40" t="s">
        <v>964</v>
      </c>
      <c r="Q3" s="40"/>
      <c r="R3" s="40" t="s">
        <v>1411</v>
      </c>
      <c r="S3" s="25"/>
      <c r="T3" s="40" t="s">
        <v>806</v>
      </c>
      <c r="U3" s="25"/>
      <c r="V3" s="40" t="s">
        <v>3</v>
      </c>
      <c r="W3" s="12"/>
      <c r="X3" s="8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</row>
    <row r="4" spans="1:47" ht="15.95" customHeight="1" x14ac:dyDescent="0.2">
      <c r="A4" s="40"/>
      <c r="B4" s="25"/>
      <c r="C4" s="25"/>
      <c r="D4" s="25"/>
      <c r="E4" s="25"/>
      <c r="F4" s="40"/>
      <c r="G4" s="25"/>
      <c r="H4" s="40"/>
      <c r="I4" s="25"/>
      <c r="J4" s="40"/>
      <c r="K4" s="25"/>
      <c r="L4" s="40"/>
      <c r="M4" s="25"/>
      <c r="N4" s="40"/>
      <c r="O4" s="40"/>
      <c r="P4" s="40"/>
      <c r="Q4" s="40"/>
      <c r="R4" s="40"/>
      <c r="S4" s="25"/>
      <c r="T4" s="40"/>
      <c r="U4" s="25"/>
      <c r="V4" s="40"/>
      <c r="W4" s="12"/>
      <c r="X4" s="8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</row>
    <row r="5" spans="1:47" x14ac:dyDescent="0.2">
      <c r="A5" s="79" t="s">
        <v>1194</v>
      </c>
      <c r="B5" s="25"/>
      <c r="C5" s="25"/>
      <c r="D5" s="25"/>
      <c r="E5" s="25"/>
      <c r="F5" s="25" t="s">
        <v>1062</v>
      </c>
      <c r="G5" s="25"/>
      <c r="H5" s="25" t="s">
        <v>1233</v>
      </c>
      <c r="I5" s="25"/>
      <c r="J5" s="25" t="s">
        <v>1106</v>
      </c>
      <c r="K5" s="25"/>
      <c r="L5" s="25" t="s">
        <v>1077</v>
      </c>
      <c r="M5" s="25"/>
      <c r="N5" s="25" t="s">
        <v>1078</v>
      </c>
      <c r="O5" s="25"/>
      <c r="P5" s="25" t="s">
        <v>1415</v>
      </c>
      <c r="Q5" s="25"/>
      <c r="R5" s="25" t="s">
        <v>1443</v>
      </c>
      <c r="S5" s="25"/>
      <c r="T5" s="25" t="s">
        <v>1105</v>
      </c>
      <c r="U5" s="25"/>
      <c r="V5" s="25" t="s">
        <v>1076</v>
      </c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</row>
    <row r="6" spans="1:47" x14ac:dyDescent="0.2">
      <c r="A6" s="25"/>
      <c r="B6" s="25"/>
      <c r="C6" s="25"/>
      <c r="D6" s="25"/>
      <c r="E6" s="25"/>
      <c r="F6" s="25"/>
      <c r="G6" s="25"/>
      <c r="H6" s="25" t="s">
        <v>1301</v>
      </c>
      <c r="I6" s="25"/>
      <c r="J6" s="25" t="s">
        <v>1301</v>
      </c>
      <c r="K6" s="25"/>
      <c r="L6" s="25"/>
      <c r="M6" s="25"/>
      <c r="N6" s="25"/>
      <c r="O6" s="25"/>
      <c r="P6" s="25" t="s">
        <v>1301</v>
      </c>
      <c r="Q6" s="25"/>
      <c r="R6" s="25" t="s">
        <v>1301</v>
      </c>
      <c r="S6" s="25"/>
      <c r="T6" s="25" t="s">
        <v>1301</v>
      </c>
      <c r="U6" s="25"/>
      <c r="V6" s="25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</row>
    <row r="7" spans="1:47" x14ac:dyDescent="0.2">
      <c r="A7" s="25"/>
      <c r="B7" s="25"/>
      <c r="C7" s="25"/>
      <c r="D7" s="25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</row>
    <row r="8" spans="1:47" x14ac:dyDescent="0.2">
      <c r="A8" s="40" t="s">
        <v>1024</v>
      </c>
      <c r="B8" s="25"/>
      <c r="C8" s="44" t="s">
        <v>980</v>
      </c>
      <c r="D8" s="44"/>
      <c r="E8" s="56"/>
      <c r="F8" s="12">
        <f>Input!$B$3*1000</f>
        <v>13600000</v>
      </c>
      <c r="G8" s="12"/>
      <c r="H8" s="12">
        <f>Input!$B$3*1000</f>
        <v>13600000</v>
      </c>
      <c r="I8" s="12"/>
      <c r="J8" s="12">
        <f>Input!$B$3*1000</f>
        <v>13600000</v>
      </c>
      <c r="K8" s="12"/>
      <c r="L8" s="12">
        <f>Input!$B$3*1000</f>
        <v>13600000</v>
      </c>
      <c r="M8" s="12"/>
      <c r="N8" s="12">
        <f>Input!$B$3*1000</f>
        <v>13600000</v>
      </c>
      <c r="O8" s="12"/>
      <c r="P8" s="12">
        <f>Input!$B$3*1000</f>
        <v>13600000</v>
      </c>
      <c r="Q8" s="12"/>
      <c r="R8" s="12">
        <f>Input!$B$3*1000</f>
        <v>13600000</v>
      </c>
      <c r="S8" s="12"/>
      <c r="T8" s="12">
        <f>Input!$B$3*1000</f>
        <v>13600000</v>
      </c>
      <c r="U8" s="12"/>
      <c r="V8" s="12">
        <f>Input!$B$3*1000</f>
        <v>13600000</v>
      </c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</row>
    <row r="9" spans="1:47" x14ac:dyDescent="0.2">
      <c r="A9" s="40"/>
      <c r="B9" s="25"/>
      <c r="C9" s="44"/>
      <c r="D9" s="44"/>
      <c r="E9" s="56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</row>
    <row r="10" spans="1:47" x14ac:dyDescent="0.2">
      <c r="A10" s="40" t="s">
        <v>1013</v>
      </c>
      <c r="B10" s="25"/>
      <c r="C10" s="44" t="s">
        <v>955</v>
      </c>
      <c r="D10" s="44"/>
      <c r="E10" s="56"/>
      <c r="F10" s="12"/>
      <c r="G10" s="12"/>
      <c r="H10" s="32" t="s">
        <v>1111</v>
      </c>
      <c r="I10" s="12"/>
      <c r="J10" s="12"/>
      <c r="K10" s="12"/>
      <c r="L10" s="12">
        <v>1</v>
      </c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</row>
    <row r="11" spans="1:47" x14ac:dyDescent="0.2">
      <c r="A11" s="40" t="s">
        <v>1198</v>
      </c>
      <c r="B11" s="25"/>
      <c r="C11" s="44" t="s">
        <v>1203</v>
      </c>
      <c r="D11" s="44"/>
      <c r="E11" s="56"/>
      <c r="F11" s="12">
        <v>600</v>
      </c>
      <c r="G11" s="12"/>
      <c r="H11" s="32" t="s">
        <v>1082</v>
      </c>
      <c r="I11" s="12"/>
      <c r="J11" s="12">
        <v>400</v>
      </c>
      <c r="K11" s="12"/>
      <c r="L11" s="12">
        <v>300</v>
      </c>
      <c r="M11" s="12"/>
      <c r="N11" s="12"/>
      <c r="O11" s="12"/>
      <c r="P11" s="12">
        <v>400</v>
      </c>
      <c r="Q11" s="12"/>
      <c r="R11" s="12">
        <v>400</v>
      </c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</row>
    <row r="12" spans="1:47" x14ac:dyDescent="0.2">
      <c r="A12" s="40"/>
      <c r="B12" s="25"/>
      <c r="C12" s="44"/>
      <c r="D12" s="44"/>
      <c r="E12" s="56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</row>
    <row r="13" spans="1:47" x14ac:dyDescent="0.2">
      <c r="A13" s="40" t="s">
        <v>952</v>
      </c>
      <c r="B13" s="25"/>
      <c r="C13" s="44" t="s">
        <v>954</v>
      </c>
      <c r="D13" s="44"/>
      <c r="E13" s="56"/>
      <c r="F13" s="27">
        <f>200*24*Carrier_properties!E7</f>
        <v>852.63157894736844</v>
      </c>
      <c r="G13" s="12"/>
      <c r="H13" s="15">
        <v>300</v>
      </c>
      <c r="I13" s="12"/>
      <c r="J13" s="15">
        <v>3000</v>
      </c>
      <c r="K13" s="12"/>
      <c r="L13" s="15">
        <v>1000</v>
      </c>
      <c r="M13" s="12"/>
      <c r="N13" s="15">
        <v>1000</v>
      </c>
      <c r="O13" s="46"/>
      <c r="P13" s="15">
        <v>3000</v>
      </c>
      <c r="Q13" s="46"/>
      <c r="R13" s="15">
        <v>3000</v>
      </c>
      <c r="S13" s="12"/>
      <c r="T13" s="15">
        <v>3000</v>
      </c>
      <c r="U13" s="12"/>
      <c r="V13" s="15">
        <v>3000</v>
      </c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</row>
    <row r="14" spans="1:47" x14ac:dyDescent="0.2">
      <c r="A14" s="40" t="s">
        <v>951</v>
      </c>
      <c r="B14" s="25"/>
      <c r="C14" s="44" t="s">
        <v>953</v>
      </c>
      <c r="D14" s="44"/>
      <c r="E14" s="56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</row>
    <row r="15" spans="1:47" x14ac:dyDescent="0.2">
      <c r="A15" s="40"/>
      <c r="B15" s="25"/>
      <c r="C15" s="44"/>
      <c r="D15" s="44"/>
      <c r="E15" s="56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</row>
    <row r="16" spans="1:47" x14ac:dyDescent="0.2">
      <c r="A16" s="40" t="s">
        <v>816</v>
      </c>
      <c r="B16" s="25"/>
      <c r="C16" s="44" t="s">
        <v>947</v>
      </c>
      <c r="D16" s="44"/>
      <c r="E16" s="56"/>
      <c r="F16" s="15">
        <v>20</v>
      </c>
      <c r="G16" s="12"/>
      <c r="H16" s="15">
        <v>20</v>
      </c>
      <c r="I16" s="12"/>
      <c r="J16" s="15">
        <v>25</v>
      </c>
      <c r="K16" s="12"/>
      <c r="L16" s="15">
        <v>20</v>
      </c>
      <c r="M16" s="12"/>
      <c r="N16" s="15">
        <v>20</v>
      </c>
      <c r="O16" s="46"/>
      <c r="P16" s="15">
        <v>25</v>
      </c>
      <c r="Q16" s="46"/>
      <c r="R16" s="15">
        <v>25</v>
      </c>
      <c r="S16" s="12"/>
      <c r="T16" s="15">
        <v>25</v>
      </c>
      <c r="U16" s="12"/>
      <c r="V16" s="15">
        <v>10</v>
      </c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</row>
    <row r="17" spans="1:47" x14ac:dyDescent="0.2">
      <c r="A17" s="40" t="s">
        <v>10</v>
      </c>
      <c r="B17" s="25"/>
      <c r="C17" s="44"/>
      <c r="D17" s="44"/>
      <c r="E17" s="56"/>
      <c r="F17" s="15">
        <v>8000</v>
      </c>
      <c r="G17" s="12"/>
      <c r="H17" s="15">
        <v>8000</v>
      </c>
      <c r="I17" s="12"/>
      <c r="J17" s="15">
        <v>8000</v>
      </c>
      <c r="K17" s="12"/>
      <c r="L17" s="15">
        <v>8000</v>
      </c>
      <c r="M17" s="12"/>
      <c r="N17" s="15">
        <v>8000</v>
      </c>
      <c r="O17" s="46"/>
      <c r="P17" s="15">
        <v>8000</v>
      </c>
      <c r="Q17" s="46"/>
      <c r="R17" s="15">
        <v>8000</v>
      </c>
      <c r="S17" s="12"/>
      <c r="T17" s="15">
        <v>8000</v>
      </c>
      <c r="U17" s="12"/>
      <c r="V17" s="15">
        <v>8000</v>
      </c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</row>
    <row r="18" spans="1:47" x14ac:dyDescent="0.2">
      <c r="A18" s="40"/>
      <c r="B18" s="25"/>
      <c r="C18" s="44"/>
      <c r="D18" s="44"/>
      <c r="E18" s="56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</row>
    <row r="19" spans="1:47" x14ac:dyDescent="0.2">
      <c r="A19" s="40" t="s">
        <v>805</v>
      </c>
      <c r="B19" s="25"/>
      <c r="C19" s="44" t="s">
        <v>1008</v>
      </c>
      <c r="D19" s="44"/>
      <c r="E19" s="56"/>
      <c r="F19" s="108">
        <f>246*(F13/(200*24*Carrier_properties!E7))^1</f>
        <v>246</v>
      </c>
      <c r="G19" s="12"/>
      <c r="H19" s="60">
        <f>L19*(H13/L13)^0.7</f>
        <v>26.597044516956398</v>
      </c>
      <c r="I19" s="12"/>
      <c r="J19" s="27">
        <f>525.6/(0.0005*365*J17/8760)*J37</f>
        <v>3153.6000000000004</v>
      </c>
      <c r="K19" s="12"/>
      <c r="L19" s="27">
        <f>30*(L13/300)^0.6</f>
        <v>61.780085056741186</v>
      </c>
      <c r="M19" s="12"/>
      <c r="N19" s="60">
        <f>N13/24*h2_e_density_lhv/3600*1000*1150/30/1000</f>
        <v>14.789094650205762</v>
      </c>
      <c r="O19" s="70"/>
      <c r="P19" s="27">
        <f>525.6/(0.0005*365*P17/8760)*P37</f>
        <v>3153.6000000000004</v>
      </c>
      <c r="Q19" s="70"/>
      <c r="R19" s="27">
        <f>525.6/(0.0005*365*R17/8760)*R37</f>
        <v>3153.6000000000004</v>
      </c>
      <c r="S19" s="12"/>
      <c r="T19" s="27">
        <f>525.6/(0.0005*365*T17/8760)*T37</f>
        <v>3153.6000000000004</v>
      </c>
      <c r="U19" s="12"/>
      <c r="V19" s="15">
        <f>6/1000*(V13/1)^1</f>
        <v>18</v>
      </c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</row>
    <row r="20" spans="1:47" x14ac:dyDescent="0.2">
      <c r="A20" s="40" t="s">
        <v>805</v>
      </c>
      <c r="B20" s="25"/>
      <c r="C20" s="44" t="s">
        <v>946</v>
      </c>
      <c r="D20" s="44"/>
      <c r="E20" s="56"/>
      <c r="F20" s="47">
        <f>F19/(F37*F16)</f>
        <v>43.277777777777779</v>
      </c>
      <c r="G20" s="12"/>
      <c r="H20" s="47">
        <f>H19/(H37*H16)</f>
        <v>13.298522258478199</v>
      </c>
      <c r="I20" s="12"/>
      <c r="J20" s="47">
        <f>J19/(J37*J16)</f>
        <v>126.14400000000002</v>
      </c>
      <c r="K20" s="12"/>
      <c r="L20" s="47">
        <f>L19/(L37*L16)</f>
        <v>9.2670127585111786</v>
      </c>
      <c r="M20" s="12"/>
      <c r="N20" s="47">
        <f>N19/(N37*N16)</f>
        <v>2.2183641975308643</v>
      </c>
      <c r="O20" s="47"/>
      <c r="P20" s="47">
        <f>P19/(P37*P16)</f>
        <v>126.14400000000002</v>
      </c>
      <c r="Q20" s="47"/>
      <c r="R20" s="47">
        <f>R19/(R37*R16)</f>
        <v>126.14400000000002</v>
      </c>
      <c r="S20" s="12"/>
      <c r="T20" s="47">
        <f>T19/(T37*T16)</f>
        <v>126.14400000000002</v>
      </c>
      <c r="U20" s="12"/>
      <c r="V20" s="47">
        <f>V19/(V37*V16)</f>
        <v>1.8</v>
      </c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</row>
    <row r="21" spans="1:47" x14ac:dyDescent="0.2">
      <c r="A21" s="40" t="s">
        <v>13</v>
      </c>
      <c r="B21" s="25"/>
      <c r="C21" s="44"/>
      <c r="D21" s="44"/>
      <c r="E21" s="56"/>
      <c r="F21" s="18">
        <f>wacc_nl</f>
        <v>7.1839951463439675E-2</v>
      </c>
      <c r="G21" s="12"/>
      <c r="H21" s="18">
        <f>wacc_nl</f>
        <v>7.1839951463439675E-2</v>
      </c>
      <c r="I21" s="12"/>
      <c r="J21" s="18">
        <f>wacc_nl</f>
        <v>7.1839951463439675E-2</v>
      </c>
      <c r="K21" s="12"/>
      <c r="L21" s="18">
        <f>wacc_nl</f>
        <v>7.1839951463439675E-2</v>
      </c>
      <c r="M21" s="12"/>
      <c r="N21" s="18">
        <f>wacc_nl</f>
        <v>7.1839951463439675E-2</v>
      </c>
      <c r="O21" s="17"/>
      <c r="P21" s="18">
        <f>wacc_nl</f>
        <v>7.1839951463439675E-2</v>
      </c>
      <c r="Q21" s="17"/>
      <c r="R21" s="18">
        <f>wacc_nl</f>
        <v>7.1839951463439675E-2</v>
      </c>
      <c r="S21" s="12"/>
      <c r="T21" s="18">
        <f>wacc_nl</f>
        <v>7.1839951463439675E-2</v>
      </c>
      <c r="U21" s="12"/>
      <c r="V21" s="18">
        <f>wacc_nl</f>
        <v>7.1839951463439675E-2</v>
      </c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</row>
    <row r="22" spans="1:47" x14ac:dyDescent="0.2">
      <c r="A22" s="40" t="s">
        <v>817</v>
      </c>
      <c r="B22" s="25"/>
      <c r="C22" s="44" t="s">
        <v>999</v>
      </c>
      <c r="D22" s="44"/>
      <c r="E22" s="56"/>
      <c r="F22" s="24">
        <f>F21*F19</f>
        <v>17.672628060006161</v>
      </c>
      <c r="G22" s="12"/>
      <c r="H22" s="24">
        <f>H21*H19</f>
        <v>1.9107303871690919</v>
      </c>
      <c r="I22" s="12"/>
      <c r="J22" s="24">
        <f>J21*J19</f>
        <v>226.55447093510338</v>
      </c>
      <c r="K22" s="12"/>
      <c r="L22" s="24">
        <f>L21*L19</f>
        <v>4.4382783118834617</v>
      </c>
      <c r="M22" s="12"/>
      <c r="N22" s="24">
        <f>N21*N19</f>
        <v>1.0624478418589973</v>
      </c>
      <c r="O22" s="24"/>
      <c r="P22" s="24">
        <f>P21*P19</f>
        <v>226.55447093510338</v>
      </c>
      <c r="Q22" s="24"/>
      <c r="R22" s="24">
        <f>R21*R19</f>
        <v>226.55447093510338</v>
      </c>
      <c r="S22" s="12"/>
      <c r="T22" s="24">
        <f>T21*T19</f>
        <v>226.55447093510338</v>
      </c>
      <c r="U22" s="12"/>
      <c r="V22" s="24">
        <f>V21*V19</f>
        <v>1.2931191263419142</v>
      </c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</row>
    <row r="23" spans="1:47" x14ac:dyDescent="0.2">
      <c r="A23" s="40" t="s">
        <v>1132</v>
      </c>
      <c r="B23" s="25"/>
      <c r="C23" s="44" t="s">
        <v>999</v>
      </c>
      <c r="D23" s="44"/>
      <c r="E23" s="56"/>
      <c r="F23" s="24">
        <f>F19/F16+F22</f>
        <v>29.972628060006162</v>
      </c>
      <c r="G23" s="12"/>
      <c r="H23" s="24">
        <f>H19/H16+H22</f>
        <v>3.2405826130169118</v>
      </c>
      <c r="I23" s="12"/>
      <c r="J23" s="24">
        <f>J19/J16+J22</f>
        <v>352.69847093510339</v>
      </c>
      <c r="K23" s="12"/>
      <c r="L23" s="24">
        <f>L19/L16+L22</f>
        <v>7.5272825647205206</v>
      </c>
      <c r="M23" s="12"/>
      <c r="N23" s="24">
        <f>N19/N16+N22</f>
        <v>1.8019025743692854</v>
      </c>
      <c r="O23" s="24"/>
      <c r="P23" s="24">
        <f>P19/P16+P22</f>
        <v>352.69847093510339</v>
      </c>
      <c r="Q23" s="24"/>
      <c r="R23" s="24">
        <f>R19/R16+R22</f>
        <v>352.69847093510339</v>
      </c>
      <c r="S23" s="12"/>
      <c r="T23" s="24">
        <f>T19/T16+T22</f>
        <v>352.69847093510339</v>
      </c>
      <c r="U23" s="12"/>
      <c r="V23" s="24">
        <f>V19/V16+V22</f>
        <v>3.0931191263419144</v>
      </c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</row>
    <row r="24" spans="1:47" x14ac:dyDescent="0.2">
      <c r="A24" s="40"/>
      <c r="B24" s="25"/>
      <c r="C24" s="44"/>
      <c r="D24" s="44"/>
      <c r="E24" s="56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</row>
    <row r="25" spans="1:47" x14ac:dyDescent="0.2">
      <c r="A25" s="40" t="s">
        <v>938</v>
      </c>
      <c r="B25" s="25"/>
      <c r="C25" s="44" t="s">
        <v>943</v>
      </c>
      <c r="D25" s="44"/>
      <c r="E25" s="56"/>
      <c r="F25" s="109">
        <f>0.15/0.85*Carrier_properties!W10</f>
        <v>5.882352941176471</v>
      </c>
      <c r="G25" s="12"/>
      <c r="H25" s="38">
        <f>1000/Carrier_properties!G9*147/3.6/0.85/1000</f>
        <v>1.0439676566036709</v>
      </c>
      <c r="I25" s="12"/>
      <c r="J25" s="38">
        <f>27.1/(500/(24*J17/8760))+12/0.85</f>
        <v>15.30559226430298</v>
      </c>
      <c r="K25" s="12"/>
      <c r="L25" s="38">
        <f>(0.37+9)</f>
        <v>9.3699999999999992</v>
      </c>
      <c r="M25" s="12"/>
      <c r="N25" s="20">
        <v>0</v>
      </c>
      <c r="O25" s="46"/>
      <c r="P25" s="38">
        <f>27.1/(500/(24*P17/8760))+12/0.85</f>
        <v>15.30559226430298</v>
      </c>
      <c r="Q25" s="46"/>
      <c r="R25" s="38">
        <f>27.1/(500/(24*R17/8760))+12/0.85</f>
        <v>15.30559226430298</v>
      </c>
      <c r="S25" s="12"/>
      <c r="T25" s="38">
        <f>27.1/(500/(24*T17/8760))+12/0.85</f>
        <v>15.30559226430298</v>
      </c>
      <c r="U25" s="12"/>
      <c r="V25" s="15">
        <v>0.6</v>
      </c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</row>
    <row r="26" spans="1:47" x14ac:dyDescent="0.2">
      <c r="A26" s="40" t="s">
        <v>939</v>
      </c>
      <c r="B26" s="25"/>
      <c r="C26" s="44" t="s">
        <v>944</v>
      </c>
      <c r="D26" s="44"/>
      <c r="E26" s="56"/>
      <c r="F26" s="16">
        <f>F25*F37*1000</f>
        <v>1671.826625386997</v>
      </c>
      <c r="G26" s="12"/>
      <c r="H26" s="24">
        <f>H25*H37*1000</f>
        <v>104.39676566036709</v>
      </c>
      <c r="I26" s="12"/>
      <c r="J26" s="24">
        <f>J25*J37*1000</f>
        <v>15305.592264302981</v>
      </c>
      <c r="K26" s="12"/>
      <c r="L26" s="16">
        <f>L25*L37*1000</f>
        <v>3123.333333333333</v>
      </c>
      <c r="M26" s="12"/>
      <c r="N26" s="16">
        <f>N25*N37*1000</f>
        <v>0</v>
      </c>
      <c r="O26" s="16"/>
      <c r="P26" s="24">
        <f>P25*P37*1000</f>
        <v>15305.592264302981</v>
      </c>
      <c r="Q26" s="16"/>
      <c r="R26" s="24">
        <f>R25*R37*1000</f>
        <v>15305.592264302981</v>
      </c>
      <c r="S26" s="12"/>
      <c r="T26" s="16">
        <f>T25*T37*1000</f>
        <v>15305.592264302981</v>
      </c>
      <c r="U26" s="12"/>
      <c r="V26" s="12">
        <f>V25*V37*1000</f>
        <v>600</v>
      </c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</row>
    <row r="27" spans="1:47" x14ac:dyDescent="0.2">
      <c r="A27" s="40" t="s">
        <v>928</v>
      </c>
      <c r="B27" s="25"/>
      <c r="C27" s="44" t="s">
        <v>1000</v>
      </c>
      <c r="D27" s="44"/>
      <c r="E27" s="56"/>
      <c r="F27" s="24">
        <f>min_offshore_price_nl/100</f>
        <v>4.7226011236875837E-2</v>
      </c>
      <c r="G27" s="12"/>
      <c r="H27" s="24">
        <f>min_offshore_price_nl/100</f>
        <v>4.7226011236875837E-2</v>
      </c>
      <c r="I27" s="12"/>
      <c r="J27" s="24">
        <f>min_offshore_price_nl/100</f>
        <v>4.7226011236875837E-2</v>
      </c>
      <c r="K27" s="12"/>
      <c r="L27" s="24">
        <f>min_offshore_price_nl/100</f>
        <v>4.7226011236875837E-2</v>
      </c>
      <c r="M27" s="12"/>
      <c r="N27" s="24">
        <f>min_offshore_price_nl/100</f>
        <v>4.7226011236875837E-2</v>
      </c>
      <c r="O27" s="24"/>
      <c r="P27" s="24">
        <f>min_offshore_price_nl/100</f>
        <v>4.7226011236875837E-2</v>
      </c>
      <c r="Q27" s="24"/>
      <c r="R27" s="24">
        <f>min_offshore_price_nl/100</f>
        <v>4.7226011236875837E-2</v>
      </c>
      <c r="S27" s="12"/>
      <c r="T27" s="24">
        <f>min_offshore_price_nl/100</f>
        <v>4.7226011236875837E-2</v>
      </c>
      <c r="U27" s="12"/>
      <c r="V27" s="24">
        <f>min_offshore_price_nl/100</f>
        <v>4.7226011236875837E-2</v>
      </c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</row>
    <row r="28" spans="1:47" x14ac:dyDescent="0.2">
      <c r="A28" s="40"/>
      <c r="B28" s="25"/>
      <c r="C28" s="44" t="s">
        <v>999</v>
      </c>
      <c r="D28" s="44"/>
      <c r="E28" s="56"/>
      <c r="F28" s="24">
        <f>F27*F26</f>
        <v>78.953702996634533</v>
      </c>
      <c r="G28" s="12"/>
      <c r="H28" s="24">
        <f>H27*H26</f>
        <v>4.9302428281699902</v>
      </c>
      <c r="I28" s="12"/>
      <c r="J28" s="24">
        <f>J27*J26</f>
        <v>722.82207226101241</v>
      </c>
      <c r="K28" s="12"/>
      <c r="L28" s="24">
        <f>L27*L26</f>
        <v>147.50257509650885</v>
      </c>
      <c r="M28" s="12"/>
      <c r="N28" s="24">
        <f>N27*N26</f>
        <v>0</v>
      </c>
      <c r="O28" s="24"/>
      <c r="P28" s="24">
        <f>P27*P26</f>
        <v>722.82207226101241</v>
      </c>
      <c r="Q28" s="24"/>
      <c r="R28" s="24">
        <f>R27*R26</f>
        <v>722.82207226101241</v>
      </c>
      <c r="S28" s="12"/>
      <c r="T28" s="24">
        <f>T27*T26</f>
        <v>722.82207226101241</v>
      </c>
      <c r="U28" s="12"/>
      <c r="V28" s="24">
        <f>V27*V26</f>
        <v>28.335606742125503</v>
      </c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</row>
    <row r="29" spans="1:47" x14ac:dyDescent="0.2">
      <c r="A29" s="40"/>
      <c r="B29" s="25"/>
      <c r="C29" s="44"/>
      <c r="D29" s="44"/>
      <c r="E29" s="56"/>
      <c r="F29" s="56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</row>
    <row r="30" spans="1:47" x14ac:dyDescent="0.2">
      <c r="A30" s="40" t="s">
        <v>907</v>
      </c>
      <c r="B30" s="25"/>
      <c r="C30" s="44" t="s">
        <v>1202</v>
      </c>
      <c r="D30" s="44"/>
      <c r="E30" s="56"/>
      <c r="F30" s="110">
        <v>0.03</v>
      </c>
      <c r="G30" s="32"/>
      <c r="H30" s="110">
        <v>0.03</v>
      </c>
      <c r="I30" s="32"/>
      <c r="J30" s="110">
        <v>0.03</v>
      </c>
      <c r="K30" s="32"/>
      <c r="L30" s="110">
        <v>0.03</v>
      </c>
      <c r="M30" s="32"/>
      <c r="N30" s="110">
        <v>0.03</v>
      </c>
      <c r="O30" s="111"/>
      <c r="P30" s="110">
        <v>0.03</v>
      </c>
      <c r="Q30" s="111"/>
      <c r="R30" s="110">
        <v>0.03</v>
      </c>
      <c r="S30" s="32"/>
      <c r="T30" s="110">
        <v>0.03</v>
      </c>
      <c r="U30" s="32"/>
      <c r="V30" s="110">
        <v>0.03</v>
      </c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</row>
    <row r="31" spans="1:47" x14ac:dyDescent="0.2">
      <c r="A31" s="40"/>
      <c r="B31" s="25"/>
      <c r="C31" s="44" t="s">
        <v>999</v>
      </c>
      <c r="D31" s="44"/>
      <c r="E31" s="56"/>
      <c r="F31" s="24">
        <f>F30*F19</f>
        <v>7.38</v>
      </c>
      <c r="G31" s="12"/>
      <c r="H31" s="24">
        <f>H30*H19</f>
        <v>0.79791133550869187</v>
      </c>
      <c r="I31" s="12"/>
      <c r="J31" s="24">
        <f>J30*J19</f>
        <v>94.608000000000004</v>
      </c>
      <c r="K31" s="12"/>
      <c r="L31" s="24">
        <f>L30*L19</f>
        <v>1.8534025517022354</v>
      </c>
      <c r="M31" s="12"/>
      <c r="N31" s="24">
        <f>N30*N19</f>
        <v>0.44367283950617281</v>
      </c>
      <c r="O31" s="24"/>
      <c r="P31" s="24">
        <f>P30*P19</f>
        <v>94.608000000000004</v>
      </c>
      <c r="Q31" s="24"/>
      <c r="R31" s="24">
        <f>R30*R19</f>
        <v>94.608000000000004</v>
      </c>
      <c r="S31" s="12"/>
      <c r="T31" s="24">
        <f>T30*T19</f>
        <v>94.608000000000004</v>
      </c>
      <c r="U31" s="12"/>
      <c r="V31" s="24">
        <f>V30*V19</f>
        <v>0.54</v>
      </c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</row>
    <row r="32" spans="1:47" x14ac:dyDescent="0.2">
      <c r="A32" s="40"/>
      <c r="B32" s="25"/>
      <c r="C32" s="44" t="s">
        <v>946</v>
      </c>
      <c r="D32" s="44"/>
      <c r="E32" s="56"/>
      <c r="F32" s="24">
        <f>F31/F37</f>
        <v>25.966666666666665</v>
      </c>
      <c r="G32" s="12"/>
      <c r="H32" s="24">
        <f>H31/H37</f>
        <v>7.979113355086918</v>
      </c>
      <c r="I32" s="12"/>
      <c r="J32" s="24">
        <f>J31/J37</f>
        <v>94.608000000000004</v>
      </c>
      <c r="K32" s="12"/>
      <c r="L32" s="24">
        <f>L31/L37</f>
        <v>5.5602076551067068</v>
      </c>
      <c r="M32" s="12"/>
      <c r="N32" s="24">
        <f>N31/N37</f>
        <v>1.3310185185185186</v>
      </c>
      <c r="O32" s="24"/>
      <c r="P32" s="24">
        <f>P31/P37</f>
        <v>94.608000000000004</v>
      </c>
      <c r="Q32" s="24"/>
      <c r="R32" s="24">
        <f>R31/R37</f>
        <v>94.608000000000004</v>
      </c>
      <c r="S32" s="12"/>
      <c r="T32" s="24">
        <f>T31/T37</f>
        <v>94.608000000000004</v>
      </c>
      <c r="U32" s="12"/>
      <c r="V32" s="24">
        <f>V31/V37</f>
        <v>0.54</v>
      </c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</row>
    <row r="33" spans="1:47" x14ac:dyDescent="0.2">
      <c r="A33" s="40"/>
      <c r="B33" s="25"/>
      <c r="C33" s="44"/>
      <c r="D33" s="44"/>
      <c r="E33" s="56"/>
      <c r="F33" s="56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</row>
    <row r="34" spans="1:47" x14ac:dyDescent="0.2">
      <c r="A34" s="40" t="s">
        <v>846</v>
      </c>
      <c r="B34" s="25"/>
      <c r="C34" s="44" t="s">
        <v>908</v>
      </c>
      <c r="D34" s="44"/>
      <c r="E34" s="56"/>
      <c r="F34" s="56"/>
      <c r="G34" s="12"/>
      <c r="H34" s="112">
        <v>0</v>
      </c>
      <c r="I34" s="12"/>
      <c r="J34" s="112">
        <v>0</v>
      </c>
      <c r="K34" s="12"/>
      <c r="L34" s="112">
        <v>0</v>
      </c>
      <c r="M34" s="12"/>
      <c r="N34" s="18">
        <v>0.02</v>
      </c>
      <c r="O34" s="19"/>
      <c r="P34" s="112">
        <v>0</v>
      </c>
      <c r="Q34" s="19"/>
      <c r="R34" s="112">
        <v>0</v>
      </c>
      <c r="S34" s="12"/>
      <c r="T34" s="112">
        <v>0</v>
      </c>
      <c r="U34" s="12"/>
      <c r="V34" s="112">
        <v>0</v>
      </c>
      <c r="W34" s="12"/>
      <c r="X34" s="12" t="s">
        <v>1204</v>
      </c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</row>
    <row r="35" spans="1:47" x14ac:dyDescent="0.2">
      <c r="A35" s="40"/>
      <c r="B35" s="25"/>
      <c r="C35" s="44"/>
      <c r="D35" s="44"/>
      <c r="E35" s="56"/>
      <c r="F35" s="56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</row>
    <row r="36" spans="1:47" x14ac:dyDescent="0.2">
      <c r="A36" s="40" t="s">
        <v>940</v>
      </c>
      <c r="B36" s="25"/>
      <c r="C36" s="44" t="s">
        <v>999</v>
      </c>
      <c r="D36" s="44"/>
      <c r="E36" s="56"/>
      <c r="F36" s="24">
        <f>F31+F28+F23</f>
        <v>116.30633105664069</v>
      </c>
      <c r="G36" s="12"/>
      <c r="H36" s="24">
        <f>H31+H28+H23</f>
        <v>8.968736776695593</v>
      </c>
      <c r="I36" s="12"/>
      <c r="J36" s="24">
        <f>J31+J28+J23</f>
        <v>1170.1285431961157</v>
      </c>
      <c r="K36" s="12"/>
      <c r="L36" s="24">
        <f>L31+L28+L23</f>
        <v>156.88326021293159</v>
      </c>
      <c r="M36" s="12"/>
      <c r="N36" s="24">
        <f>N31+N28+N23</f>
        <v>2.245575413875458</v>
      </c>
      <c r="O36" s="24"/>
      <c r="P36" s="24">
        <f>P31+P28+P23</f>
        <v>1170.1285431961157</v>
      </c>
      <c r="Q36" s="24"/>
      <c r="R36" s="24">
        <f>R31+R28+R23</f>
        <v>1170.1285431961157</v>
      </c>
      <c r="S36" s="12"/>
      <c r="T36" s="24">
        <f>T31+T28+T23</f>
        <v>1170.1285431961157</v>
      </c>
      <c r="U36" s="12"/>
      <c r="V36" s="24">
        <f>V31+V28+V23</f>
        <v>31.968725868467416</v>
      </c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</row>
    <row r="37" spans="1:47" x14ac:dyDescent="0.2">
      <c r="A37" s="40" t="s">
        <v>941</v>
      </c>
      <c r="B37" s="25"/>
      <c r="C37" s="44" t="s">
        <v>945</v>
      </c>
      <c r="D37" s="44"/>
      <c r="E37" s="56"/>
      <c r="F37" s="24">
        <f>F13/24*F17/1000000</f>
        <v>0.28421052631578947</v>
      </c>
      <c r="G37" s="12"/>
      <c r="H37" s="24">
        <f>H13/24*H17/1000000</f>
        <v>0.1</v>
      </c>
      <c r="I37" s="12"/>
      <c r="J37" s="24">
        <f>J13/24*J17/1000000</f>
        <v>1</v>
      </c>
      <c r="K37" s="12"/>
      <c r="L37" s="24">
        <f>L13/24*L17/1000000</f>
        <v>0.33333333333333331</v>
      </c>
      <c r="M37" s="12"/>
      <c r="N37" s="24">
        <f>N13/24*N17/1000000</f>
        <v>0.33333333333333331</v>
      </c>
      <c r="O37" s="24"/>
      <c r="P37" s="24">
        <f>P13/24*P17/1000000</f>
        <v>1</v>
      </c>
      <c r="Q37" s="24"/>
      <c r="R37" s="24">
        <f>R13/24*R17/1000000</f>
        <v>1</v>
      </c>
      <c r="S37" s="12"/>
      <c r="T37" s="24">
        <f>T13/24*T17/1000000</f>
        <v>1</v>
      </c>
      <c r="U37" s="12"/>
      <c r="V37" s="24">
        <f>V13/24*V17/1000000</f>
        <v>1</v>
      </c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</row>
    <row r="38" spans="1:47" x14ac:dyDescent="0.2">
      <c r="A38" s="40" t="s">
        <v>942</v>
      </c>
      <c r="B38" s="25"/>
      <c r="C38" s="113" t="s">
        <v>946</v>
      </c>
      <c r="D38" s="113"/>
      <c r="E38" s="101"/>
      <c r="F38" s="24">
        <f>F36/F37/(1-F34)</f>
        <v>409.22597964373574</v>
      </c>
      <c r="G38" s="12"/>
      <c r="H38" s="24">
        <f>H36/H37/(1-H34)</f>
        <v>89.68736776695593</v>
      </c>
      <c r="I38" s="12"/>
      <c r="J38" s="24">
        <f>J36/J37/(1-J34)</f>
        <v>1170.1285431961157</v>
      </c>
      <c r="K38" s="12"/>
      <c r="L38" s="24">
        <f>L36/L37/(1-L34)</f>
        <v>470.64978063879477</v>
      </c>
      <c r="M38" s="12"/>
      <c r="N38" s="24">
        <f>N36/N37/(1-N34)</f>
        <v>6.8742104506391577</v>
      </c>
      <c r="O38" s="24"/>
      <c r="P38" s="24">
        <f>P36/P37/(1-P34)</f>
        <v>1170.1285431961157</v>
      </c>
      <c r="Q38" s="24"/>
      <c r="R38" s="24">
        <f>R36/R37/(1-R34)</f>
        <v>1170.1285431961157</v>
      </c>
      <c r="S38" s="12"/>
      <c r="T38" s="24">
        <f>T36/T37/(1-T34)</f>
        <v>1170.1285431961157</v>
      </c>
      <c r="U38" s="12"/>
      <c r="V38" s="24">
        <f>V36/V37/(1-V34)</f>
        <v>31.968725868467416</v>
      </c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</row>
    <row r="39" spans="1:47" x14ac:dyDescent="0.2">
      <c r="A39" s="40"/>
      <c r="B39" s="25"/>
      <c r="C39" s="44"/>
      <c r="D39" s="44"/>
      <c r="E39" s="56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</row>
    <row r="40" spans="1:47" x14ac:dyDescent="0.2">
      <c r="A40" s="40" t="s">
        <v>1127</v>
      </c>
      <c r="B40" s="25"/>
      <c r="C40" s="44"/>
      <c r="D40" s="44"/>
      <c r="E40" s="56"/>
      <c r="F40" s="12" t="s">
        <v>1063</v>
      </c>
      <c r="G40" s="12"/>
      <c r="H40" s="12" t="s">
        <v>1299</v>
      </c>
      <c r="I40" s="12"/>
      <c r="J40" s="12" t="s">
        <v>1299</v>
      </c>
      <c r="K40" s="12"/>
      <c r="L40" s="12" t="s">
        <v>1064</v>
      </c>
      <c r="M40" s="12"/>
      <c r="N40" s="12" t="s">
        <v>1064</v>
      </c>
      <c r="O40" s="12"/>
      <c r="P40" s="12" t="s">
        <v>1299</v>
      </c>
      <c r="Q40" s="12"/>
      <c r="R40" s="12"/>
      <c r="S40" s="12"/>
      <c r="T40" s="12" t="s">
        <v>1299</v>
      </c>
      <c r="U40" s="12"/>
      <c r="V40" s="12" t="s">
        <v>1075</v>
      </c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</row>
    <row r="41" spans="1:47" x14ac:dyDescent="0.2">
      <c r="A41" s="25"/>
      <c r="B41" s="25"/>
      <c r="C41" s="44"/>
      <c r="D41" s="44"/>
      <c r="E41" s="56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</row>
    <row r="42" spans="1:47" x14ac:dyDescent="0.2">
      <c r="A42" s="12"/>
      <c r="B42" s="12"/>
      <c r="C42" s="56"/>
      <c r="D42" s="56"/>
      <c r="E42" s="56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</row>
    <row r="43" spans="1:47" x14ac:dyDescent="0.2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</row>
    <row r="44" spans="1:47" x14ac:dyDescent="0.2">
      <c r="A44" s="8"/>
      <c r="B44" s="12"/>
      <c r="C44" s="12"/>
      <c r="D44" s="12"/>
      <c r="E44" s="12"/>
      <c r="F44" s="58"/>
      <c r="G44" s="12"/>
      <c r="H44" s="28"/>
      <c r="I44" s="12"/>
      <c r="J44" s="28"/>
      <c r="K44" s="12"/>
      <c r="L44" s="12"/>
      <c r="M44" s="12"/>
      <c r="N44" s="28"/>
      <c r="O44" s="28"/>
      <c r="P44" s="28"/>
      <c r="Q44" s="28"/>
      <c r="R44" s="28"/>
      <c r="S44" s="12"/>
      <c r="T44" s="28"/>
      <c r="U44" s="12"/>
      <c r="V44" s="28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</row>
    <row r="45" spans="1:47" x14ac:dyDescent="0.2">
      <c r="A45" s="12"/>
      <c r="B45" s="12"/>
      <c r="C45" s="12"/>
      <c r="D45" s="12"/>
      <c r="E45" s="12"/>
      <c r="F45" s="58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</row>
    <row r="46" spans="1:47" x14ac:dyDescent="0.2">
      <c r="A46" s="12"/>
      <c r="B46" s="12"/>
      <c r="C46" s="12"/>
      <c r="D46" s="12"/>
      <c r="E46" s="12"/>
      <c r="F46" s="58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</row>
    <row r="47" spans="1:47" x14ac:dyDescent="0.2">
      <c r="A47" s="12"/>
      <c r="B47" s="12"/>
      <c r="C47" s="12"/>
      <c r="D47" s="12"/>
      <c r="E47" s="12"/>
      <c r="F47" s="58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</row>
    <row r="48" spans="1:47" x14ac:dyDescent="0.2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</row>
    <row r="49" spans="1:47" x14ac:dyDescent="0.2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</row>
    <row r="50" spans="1:47" x14ac:dyDescent="0.2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</row>
    <row r="51" spans="1:47" x14ac:dyDescent="0.2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</row>
    <row r="52" spans="1:47" x14ac:dyDescent="0.2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</row>
    <row r="53" spans="1:47" x14ac:dyDescent="0.2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</row>
    <row r="54" spans="1:47" x14ac:dyDescent="0.2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</row>
    <row r="55" spans="1:47" x14ac:dyDescent="0.2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</row>
    <row r="56" spans="1:47" x14ac:dyDescent="0.2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</row>
    <row r="57" spans="1:47" x14ac:dyDescent="0.2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</row>
    <row r="58" spans="1:47" x14ac:dyDescent="0.2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</row>
    <row r="59" spans="1:47" x14ac:dyDescent="0.2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</row>
    <row r="60" spans="1:47" x14ac:dyDescent="0.2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</row>
    <row r="61" spans="1:47" x14ac:dyDescent="0.2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</row>
    <row r="62" spans="1:47" x14ac:dyDescent="0.2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</row>
    <row r="63" spans="1:47" x14ac:dyDescent="0.2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</row>
    <row r="64" spans="1:47" x14ac:dyDescent="0.2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</row>
    <row r="65" spans="1:47" x14ac:dyDescent="0.2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</row>
    <row r="66" spans="1:47" x14ac:dyDescent="0.2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</row>
    <row r="67" spans="1:47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</row>
    <row r="68" spans="1:47" x14ac:dyDescent="0.2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</row>
    <row r="69" spans="1:47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</row>
    <row r="70" spans="1:47" x14ac:dyDescent="0.2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</row>
    <row r="71" spans="1:47" x14ac:dyDescent="0.2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</row>
    <row r="72" spans="1:47" x14ac:dyDescent="0.2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</row>
    <row r="73" spans="1:47" x14ac:dyDescent="0.2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</row>
    <row r="74" spans="1:47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</row>
    <row r="75" spans="1:47" x14ac:dyDescent="0.2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</row>
    <row r="76" spans="1:47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</row>
    <row r="77" spans="1:47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</row>
    <row r="78" spans="1:47" x14ac:dyDescent="0.2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</row>
    <row r="79" spans="1:47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</row>
    <row r="80" spans="1:47" x14ac:dyDescent="0.2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</row>
    <row r="81" spans="1:47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</row>
    <row r="82" spans="1:47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</row>
    <row r="83" spans="1:47" x14ac:dyDescent="0.2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</row>
    <row r="84" spans="1:47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</row>
    <row r="85" spans="1:47" x14ac:dyDescent="0.2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</row>
    <row r="86" spans="1:47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</row>
    <row r="87" spans="1:47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</row>
    <row r="88" spans="1:47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</row>
    <row r="89" spans="1:47" x14ac:dyDescent="0.2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</row>
  </sheetData>
  <pageMargins left="0.7" right="0.7" top="0.75" bottom="0.75" header="0.3" footer="0.3"/>
  <pageSetup paperSize="9" orientation="portrait" horizontalDpi="0" verticalDpi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F262"/>
  <sheetViews>
    <sheetView zoomScaleNormal="100" workbookViewId="0">
      <pane xSplit="1" ySplit="8" topLeftCell="B9" activePane="bottomRight" state="frozen"/>
      <selection activeCell="A5" sqref="A4:A5"/>
      <selection pane="topRight" activeCell="A5" sqref="A4:A5"/>
      <selection pane="bottomLeft" activeCell="A5" sqref="A4:A5"/>
      <selection pane="bottomRight" activeCell="A2" sqref="A2:XFD2"/>
    </sheetView>
  </sheetViews>
  <sheetFormatPr defaultColWidth="11" defaultRowHeight="12.75" x14ac:dyDescent="0.2"/>
  <cols>
    <col min="1" max="1" width="30" style="26" customWidth="1"/>
    <col min="2" max="4" width="11.125" style="26" bestFit="1" customWidth="1"/>
    <col min="5" max="5" width="11" style="26"/>
    <col min="6" max="6" width="11.125" style="26" bestFit="1" customWidth="1"/>
    <col min="7" max="7" width="11.125" style="26" customWidth="1"/>
    <col min="8" max="17" width="11.125" style="26" bestFit="1" customWidth="1"/>
    <col min="18" max="18" width="11.25" style="26" bestFit="1" customWidth="1"/>
    <col min="19" max="19" width="11.75" style="26" bestFit="1" customWidth="1"/>
    <col min="20" max="22" width="11.125" style="26" bestFit="1" customWidth="1"/>
    <col min="23" max="23" width="2.875" style="26" customWidth="1"/>
    <col min="24" max="27" width="11.125" style="26" bestFit="1" customWidth="1"/>
    <col min="28" max="28" width="11.125" style="26" customWidth="1"/>
    <col min="29" max="30" width="11.125" style="26" bestFit="1" customWidth="1"/>
    <col min="31" max="31" width="2.875" style="157" customWidth="1"/>
    <col min="32" max="38" width="11.125" style="26" bestFit="1" customWidth="1"/>
    <col min="39" max="39" width="2.875" style="26" customWidth="1"/>
    <col min="40" max="41" width="11.125" style="26" bestFit="1" customWidth="1"/>
    <col min="42" max="42" width="15.375" style="26" customWidth="1"/>
    <col min="43" max="43" width="12.625" style="26" customWidth="1"/>
    <col min="44" max="44" width="11.125" style="26" bestFit="1" customWidth="1"/>
    <col min="45" max="45" width="17" style="26" bestFit="1" customWidth="1"/>
    <col min="46" max="46" width="11" style="26"/>
    <col min="47" max="48" width="11.125" style="26" bestFit="1" customWidth="1"/>
    <col min="49" max="49" width="11.625" style="26" bestFit="1" customWidth="1"/>
    <col min="50" max="50" width="11.125" style="26" bestFit="1" customWidth="1"/>
    <col min="51" max="51" width="13.125" style="26" bestFit="1" customWidth="1"/>
    <col min="52" max="53" width="11.125" style="26" bestFit="1" customWidth="1"/>
    <col min="54" max="55" width="11" style="26"/>
    <col min="56" max="59" width="11.125" style="26" bestFit="1" customWidth="1"/>
    <col min="60" max="61" width="11" style="26"/>
    <col min="62" max="65" width="11.125" style="26" bestFit="1" customWidth="1"/>
    <col min="66" max="66" width="12.125" style="26" bestFit="1" customWidth="1"/>
    <col min="67" max="67" width="11" style="26"/>
    <col min="68" max="71" width="11.125" style="26" bestFit="1" customWidth="1"/>
    <col min="72" max="72" width="12.375" style="26" bestFit="1" customWidth="1"/>
    <col min="73" max="73" width="15.125" style="26" bestFit="1" customWidth="1"/>
    <col min="74" max="75" width="11.125" style="26" bestFit="1" customWidth="1"/>
    <col min="76" max="76" width="11.625" style="26" bestFit="1" customWidth="1"/>
    <col min="77" max="79" width="11.125" style="26" bestFit="1" customWidth="1"/>
    <col min="80" max="81" width="11.25" style="26" bestFit="1" customWidth="1"/>
    <col min="82" max="83" width="11.5" style="26" customWidth="1"/>
    <col min="84" max="84" width="13.625" style="26" bestFit="1" customWidth="1"/>
    <col min="85" max="96" width="11.125" style="26" bestFit="1" customWidth="1"/>
    <col min="97" max="97" width="12" style="26" customWidth="1"/>
    <col min="98" max="107" width="11.125" style="26" bestFit="1" customWidth="1"/>
    <col min="108" max="108" width="13.625" style="26" bestFit="1" customWidth="1"/>
    <col min="109" max="118" width="11.125" style="26" bestFit="1" customWidth="1"/>
    <col min="119" max="119" width="12.375" style="26" bestFit="1" customWidth="1"/>
    <col min="120" max="128" width="11.125" style="26" bestFit="1" customWidth="1"/>
    <col min="129" max="129" width="11.25" style="26" bestFit="1" customWidth="1"/>
    <col min="130" max="131" width="11.125" style="26" bestFit="1" customWidth="1"/>
    <col min="132" max="132" width="12.375" style="26" customWidth="1"/>
    <col min="133" max="140" width="11.125" style="26" bestFit="1" customWidth="1"/>
    <col min="141" max="141" width="13.125" style="26" bestFit="1" customWidth="1"/>
    <col min="142" max="142" width="13" style="26" customWidth="1"/>
    <col min="143" max="144" width="11.125" style="26" bestFit="1" customWidth="1"/>
    <col min="145" max="145" width="12.125" style="26" customWidth="1"/>
    <col min="146" max="157" width="11.125" style="26" bestFit="1" customWidth="1"/>
    <col min="158" max="158" width="12.375" style="26" bestFit="1" customWidth="1"/>
    <col min="159" max="159" width="11.75" style="26" bestFit="1" customWidth="1"/>
    <col min="160" max="168" width="11.125" style="26" bestFit="1" customWidth="1"/>
    <col min="169" max="169" width="12.375" style="26" bestFit="1" customWidth="1"/>
    <col min="170" max="170" width="11.75" style="26" bestFit="1" customWidth="1"/>
    <col min="171" max="176" width="11.125" style="26" bestFit="1" customWidth="1"/>
    <col min="177" max="177" width="11" style="26"/>
    <col min="178" max="188" width="11.125" style="26" bestFit="1" customWidth="1"/>
    <col min="189" max="16384" width="11" style="26"/>
  </cols>
  <sheetData>
    <row r="1" spans="1:214" s="212" customFormat="1" ht="23.25" x14ac:dyDescent="0.35">
      <c r="A1" s="207" t="s">
        <v>1571</v>
      </c>
      <c r="B1" s="216"/>
      <c r="E1" s="217"/>
      <c r="N1" s="216"/>
      <c r="O1" s="216"/>
      <c r="S1" s="217"/>
      <c r="AE1" s="218"/>
      <c r="AN1" s="213"/>
      <c r="AP1" s="217"/>
      <c r="AW1" s="213"/>
      <c r="AY1" s="217"/>
      <c r="BS1" s="213"/>
      <c r="CC1" s="219"/>
      <c r="CD1" s="219"/>
      <c r="DI1" s="220"/>
      <c r="DJ1" s="220"/>
      <c r="DK1" s="220"/>
      <c r="FV1" s="213"/>
      <c r="FW1" s="213"/>
      <c r="FX1" s="213"/>
      <c r="FY1" s="217"/>
      <c r="FZ1" s="217"/>
    </row>
    <row r="2" spans="1:214" s="5" customFormat="1" ht="12.75" customHeight="1" x14ac:dyDescent="0.2"/>
    <row r="3" spans="1:214" s="237" customFormat="1" ht="23.25" x14ac:dyDescent="0.35">
      <c r="A3" s="240"/>
      <c r="B3" s="191" t="s">
        <v>1577</v>
      </c>
      <c r="C3" s="25"/>
      <c r="D3" s="25"/>
      <c r="E3" s="79" t="s">
        <v>1290</v>
      </c>
      <c r="F3" s="25"/>
      <c r="G3" s="25"/>
      <c r="H3" s="25"/>
      <c r="I3" s="25"/>
      <c r="J3" s="25"/>
      <c r="K3" s="25"/>
      <c r="L3" s="25"/>
      <c r="M3" s="25"/>
      <c r="N3" s="191" t="s">
        <v>1579</v>
      </c>
      <c r="O3" s="191"/>
      <c r="P3" s="25"/>
      <c r="Q3" s="25"/>
      <c r="R3" s="25"/>
      <c r="S3" s="79" t="s">
        <v>1287</v>
      </c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192"/>
      <c r="AF3" s="25"/>
      <c r="AG3" s="25"/>
      <c r="AH3" s="25"/>
      <c r="AI3" s="25"/>
      <c r="AJ3" s="25"/>
      <c r="AK3" s="25"/>
      <c r="AL3" s="25"/>
      <c r="AM3" s="25"/>
      <c r="AN3" s="40" t="s">
        <v>1578</v>
      </c>
      <c r="AO3" s="25"/>
      <c r="AP3" s="79" t="s">
        <v>1289</v>
      </c>
      <c r="AQ3" s="25"/>
      <c r="AR3" s="25"/>
      <c r="AS3" s="25"/>
      <c r="AT3" s="25"/>
      <c r="AU3" s="25"/>
      <c r="AV3" s="25"/>
      <c r="AW3" s="40" t="s">
        <v>1232</v>
      </c>
      <c r="AX3" s="25"/>
      <c r="AY3" s="79" t="s">
        <v>1584</v>
      </c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40"/>
      <c r="BT3" s="25"/>
      <c r="BU3" s="25"/>
      <c r="BV3" s="25"/>
      <c r="BW3" s="25"/>
      <c r="BX3" s="25"/>
      <c r="BY3" s="25"/>
      <c r="BZ3" s="25"/>
      <c r="CA3" s="25"/>
      <c r="CB3" s="25"/>
      <c r="CC3" s="241"/>
      <c r="CD3" s="241">
        <f>co2_st_nl_cost*Storage!$I$12*co2_density/FA_density/1000000+(co2_st_opex_lev+co2_st_invest_lev+co2_st_e_demand*1000*$AU12/100)*Storage!$I$12/1000000+co2_st_invest_lev*Storage!$I$12*co2_st_lifetime*M12/1000000+Carriers!$P$20/Carriers!$P$23*((CF12+FA_st_ab_losses)/365.25*short_st_duration_hrs/24)*(co2_short_st_invest*(1/co2_short_st_lifetime+$M12+co2_short_st_opex)+co2_short_st_e_demand*1000*$AU12/100)/1000000</f>
        <v>7095.5709044645955</v>
      </c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42"/>
      <c r="DJ3" s="242"/>
      <c r="DK3" s="242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/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40" t="s">
        <v>1448</v>
      </c>
      <c r="FW3" s="40"/>
      <c r="FX3" s="40"/>
      <c r="FY3" s="79" t="s">
        <v>1589</v>
      </c>
      <c r="FZ3" s="243"/>
    </row>
    <row r="4" spans="1:214" x14ac:dyDescent="0.2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01" t="s">
        <v>302</v>
      </c>
      <c r="O4" s="202"/>
      <c r="P4" s="25"/>
      <c r="Q4" s="25"/>
      <c r="R4" s="25"/>
      <c r="S4" s="25"/>
      <c r="T4" s="25"/>
      <c r="U4" s="25"/>
      <c r="V4" s="25"/>
      <c r="W4" s="196"/>
      <c r="X4" s="40" t="s">
        <v>303</v>
      </c>
      <c r="Y4" s="25"/>
      <c r="Z4" s="25"/>
      <c r="AA4" s="25"/>
      <c r="AB4" s="25"/>
      <c r="AC4" s="25"/>
      <c r="AD4" s="25"/>
      <c r="AE4" s="196"/>
      <c r="AF4" s="40" t="s">
        <v>1</v>
      </c>
      <c r="AG4" s="25"/>
      <c r="AH4" s="25"/>
      <c r="AI4" s="25"/>
      <c r="AJ4" s="25"/>
      <c r="AK4" s="25"/>
      <c r="AL4" s="25"/>
      <c r="AM4" s="196"/>
      <c r="AN4" s="40" t="s">
        <v>301</v>
      </c>
      <c r="AO4" s="25"/>
      <c r="AP4" s="25"/>
      <c r="AQ4" s="25"/>
      <c r="AR4" s="25"/>
      <c r="AS4" s="25"/>
      <c r="AT4" s="25"/>
      <c r="AU4" s="25"/>
      <c r="AV4" s="25"/>
      <c r="AW4" s="114" t="s">
        <v>1250</v>
      </c>
      <c r="AX4" s="12"/>
      <c r="AY4" s="258" t="s">
        <v>1071</v>
      </c>
      <c r="AZ4" s="261">
        <f>min_offshore_price_nl</f>
        <v>4.7226011236875838</v>
      </c>
      <c r="BA4" s="262">
        <f>nl_hydrogen_price</f>
        <v>3015.0423355485573</v>
      </c>
      <c r="BB4" s="12"/>
      <c r="BC4" s="12"/>
      <c r="BD4" s="114" t="s">
        <v>1249</v>
      </c>
      <c r="BE4" s="12"/>
      <c r="BF4" s="258" t="s">
        <v>1071</v>
      </c>
      <c r="BG4" s="261">
        <f>nl_hydrogen_price</f>
        <v>3015.0423355485573</v>
      </c>
      <c r="BH4" s="12"/>
      <c r="BI4" s="12"/>
      <c r="BJ4" s="8" t="s">
        <v>1362</v>
      </c>
      <c r="BK4" s="12"/>
      <c r="BM4" s="12"/>
      <c r="BN4" s="118"/>
      <c r="BO4" s="12"/>
      <c r="BP4" s="114" t="s">
        <v>957</v>
      </c>
      <c r="BQ4" s="8" t="s">
        <v>948</v>
      </c>
      <c r="BR4" s="114" t="s">
        <v>690</v>
      </c>
      <c r="BS4" s="12"/>
      <c r="BT4" s="33"/>
      <c r="BU4" s="33"/>
      <c r="BV4" s="12"/>
      <c r="BW4" s="12"/>
      <c r="BX4" s="258" t="s">
        <v>1071</v>
      </c>
      <c r="BY4" s="259">
        <f>nl_nh3_price</f>
        <v>708.98809963293684</v>
      </c>
      <c r="BZ4" s="259" t="s">
        <v>913</v>
      </c>
      <c r="CA4" s="260">
        <f>nl_hydrogen_price</f>
        <v>3015.0423355485573</v>
      </c>
      <c r="CB4" s="114" t="s">
        <v>863</v>
      </c>
      <c r="CC4" s="115"/>
      <c r="CD4" s="12" t="s">
        <v>1302</v>
      </c>
      <c r="CE4" s="12"/>
      <c r="CF4" s="12"/>
      <c r="CG4" s="12"/>
      <c r="CH4" s="12"/>
      <c r="CI4" s="12"/>
      <c r="CJ4" s="258" t="s">
        <v>1071</v>
      </c>
      <c r="CK4" s="259">
        <f>nl_fa_price</f>
        <v>482.58939325608668</v>
      </c>
      <c r="CL4" s="259"/>
      <c r="CM4" s="259"/>
      <c r="CN4" s="260">
        <f>nl_hydrogen_price</f>
        <v>3015.0423355485573</v>
      </c>
      <c r="CO4" s="114" t="s">
        <v>689</v>
      </c>
      <c r="CP4" s="115"/>
      <c r="CQ4" s="12"/>
      <c r="CR4" s="12"/>
      <c r="CS4" s="12"/>
      <c r="CT4" s="12"/>
      <c r="CU4" s="258"/>
      <c r="CV4" s="258"/>
      <c r="CW4" s="258" t="s">
        <v>1071</v>
      </c>
      <c r="CX4" s="259">
        <f>nl_meoh_price</f>
        <v>766.21871722134017</v>
      </c>
      <c r="CY4" s="259"/>
      <c r="CZ4" s="259"/>
      <c r="DA4" s="260">
        <f>nl_hydrogen_price</f>
        <v>3015.0423355485573</v>
      </c>
      <c r="DB4" s="114" t="s">
        <v>1284</v>
      </c>
      <c r="DC4" s="12"/>
      <c r="DD4" s="12" t="s">
        <v>1285</v>
      </c>
      <c r="DE4" s="12"/>
      <c r="DF4" s="33"/>
      <c r="DG4" s="33"/>
      <c r="DH4" s="33"/>
      <c r="DI4" s="33"/>
      <c r="DJ4" s="258" t="s">
        <v>1071</v>
      </c>
      <c r="DK4" s="258"/>
      <c r="DL4" s="260">
        <f>nl_hydrogen_price</f>
        <v>3015.0423355485573</v>
      </c>
      <c r="DM4" s="114" t="s">
        <v>1283</v>
      </c>
      <c r="DN4" s="10"/>
      <c r="DO4" s="14" t="s">
        <v>1302</v>
      </c>
      <c r="DP4" s="12"/>
      <c r="DQ4" s="12"/>
      <c r="DR4" s="12"/>
      <c r="DS4" s="12"/>
      <c r="DT4" s="12"/>
      <c r="DU4" s="116" t="s">
        <v>1071</v>
      </c>
      <c r="DV4" s="116"/>
      <c r="DW4" s="117">
        <f>nl_hydrogen_price</f>
        <v>3015.0423355485573</v>
      </c>
      <c r="DX4" s="114" t="s">
        <v>1419</v>
      </c>
      <c r="DY4" s="115"/>
      <c r="DZ4" s="12"/>
      <c r="EA4" s="12"/>
      <c r="EB4" s="12"/>
      <c r="EC4" s="12"/>
      <c r="ED4" s="12"/>
      <c r="EE4" s="12"/>
      <c r="EF4" s="258" t="s">
        <v>1071</v>
      </c>
      <c r="EG4" s="259">
        <f>nl_dme_price</f>
        <v>1116.4631816782523</v>
      </c>
      <c r="EH4" s="259"/>
      <c r="EI4" s="259"/>
      <c r="EJ4" s="260">
        <f>nl_hydrogen_price</f>
        <v>3015.0423355485573</v>
      </c>
      <c r="EK4" s="114" t="s">
        <v>1422</v>
      </c>
      <c r="EL4" s="115"/>
      <c r="EM4" s="12"/>
      <c r="EN4" s="12"/>
      <c r="EO4" s="12"/>
      <c r="EP4" s="12"/>
      <c r="EQ4" s="12"/>
      <c r="ER4" s="12"/>
      <c r="ES4" s="258" t="s">
        <v>1071</v>
      </c>
      <c r="ET4" s="259">
        <f>nl_ome_price</f>
        <v>1914.8360394941569</v>
      </c>
      <c r="EU4" s="259"/>
      <c r="EV4" s="259"/>
      <c r="EW4" s="260">
        <f>nl_hydrogen_price</f>
        <v>3015.0423355485573</v>
      </c>
      <c r="EX4" s="114" t="s">
        <v>1281</v>
      </c>
      <c r="EY4" s="115"/>
      <c r="EZ4" s="12"/>
      <c r="FA4" s="12"/>
      <c r="FB4" s="12"/>
      <c r="FC4" s="12"/>
      <c r="FD4" s="12"/>
      <c r="FE4" s="12"/>
      <c r="FF4" s="258" t="s">
        <v>1071</v>
      </c>
      <c r="FG4" s="259">
        <f>nl_lng_price</f>
        <v>2067.3433860663758</v>
      </c>
      <c r="FH4" s="259"/>
      <c r="FI4" s="259"/>
      <c r="FJ4" s="260">
        <f>nl_hydrogen_price</f>
        <v>3015.0423355485573</v>
      </c>
      <c r="FK4" s="114" t="s">
        <v>1282</v>
      </c>
      <c r="FL4" s="12"/>
      <c r="FM4" s="12"/>
      <c r="FN4" s="12"/>
      <c r="FO4" s="12"/>
      <c r="FP4" s="12"/>
      <c r="FQ4" s="12"/>
      <c r="FR4" s="258" t="s">
        <v>1071</v>
      </c>
      <c r="FS4" s="258"/>
      <c r="FT4" s="260">
        <f>nl_hydrogen_price</f>
        <v>3015.0423355485573</v>
      </c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</row>
    <row r="5" spans="1:214" x14ac:dyDescent="0.2">
      <c r="A5" s="12"/>
      <c r="B5" s="119" t="s">
        <v>1363</v>
      </c>
      <c r="C5" s="12"/>
      <c r="D5" s="12"/>
      <c r="E5" s="12"/>
      <c r="F5" s="10" t="s">
        <v>1364</v>
      </c>
      <c r="G5" s="12" t="s">
        <v>1566</v>
      </c>
      <c r="H5" s="27">
        <f>444/eurusd_rate</f>
        <v>382.75862068965517</v>
      </c>
      <c r="I5" s="12" t="s">
        <v>913</v>
      </c>
      <c r="J5" s="12"/>
      <c r="K5" s="10" t="s">
        <v>1365</v>
      </c>
      <c r="L5" s="10" t="s">
        <v>1292</v>
      </c>
      <c r="M5" s="12"/>
      <c r="N5" s="114" t="s">
        <v>10</v>
      </c>
      <c r="O5" s="120" t="s">
        <v>1297</v>
      </c>
      <c r="P5" s="12"/>
      <c r="Q5" s="12"/>
      <c r="R5" s="12"/>
      <c r="S5" s="8" t="s">
        <v>1029</v>
      </c>
      <c r="T5" s="24"/>
      <c r="U5" s="12"/>
      <c r="V5" s="8" t="s">
        <v>14</v>
      </c>
      <c r="W5" s="121"/>
      <c r="X5" s="8" t="s">
        <v>10</v>
      </c>
      <c r="Y5" s="12" t="s">
        <v>1230</v>
      </c>
      <c r="Z5" s="8"/>
      <c r="AA5" s="8" t="s">
        <v>1029</v>
      </c>
      <c r="AB5" s="8"/>
      <c r="AC5" s="8"/>
      <c r="AD5" s="8" t="s">
        <v>14</v>
      </c>
      <c r="AE5" s="121"/>
      <c r="AF5" s="8" t="s">
        <v>10</v>
      </c>
      <c r="AG5" s="10" t="s">
        <v>1231</v>
      </c>
      <c r="AH5" s="8"/>
      <c r="AI5" s="8" t="s">
        <v>1029</v>
      </c>
      <c r="AJ5" s="8"/>
      <c r="AK5" s="8"/>
      <c r="AL5" s="8" t="s">
        <v>14</v>
      </c>
      <c r="AM5" s="121"/>
      <c r="AN5" s="12"/>
      <c r="AO5" s="12"/>
      <c r="AP5" s="12" t="s">
        <v>1210</v>
      </c>
      <c r="AQ5" s="263">
        <v>50</v>
      </c>
      <c r="AR5" s="12" t="s">
        <v>1471</v>
      </c>
      <c r="AS5" s="12"/>
      <c r="AT5" s="12"/>
      <c r="AU5" s="12"/>
      <c r="AV5" s="12"/>
      <c r="AW5" s="122" t="s">
        <v>1251</v>
      </c>
      <c r="AX5" s="12"/>
      <c r="AY5" s="14" t="s">
        <v>1206</v>
      </c>
      <c r="AZ5" s="123" t="s">
        <v>1040</v>
      </c>
      <c r="BA5" s="123" t="s">
        <v>913</v>
      </c>
      <c r="BB5" s="12"/>
      <c r="BC5" s="12"/>
      <c r="BD5" s="122" t="s">
        <v>1275</v>
      </c>
      <c r="BE5" s="12"/>
      <c r="BF5" s="12" t="s">
        <v>1206</v>
      </c>
      <c r="BG5" s="123" t="s">
        <v>913</v>
      </c>
      <c r="BH5" s="12"/>
      <c r="BI5" s="12"/>
      <c r="BJ5" s="12"/>
      <c r="BK5" s="12"/>
      <c r="BL5" s="12"/>
      <c r="BM5" s="12"/>
      <c r="BN5" s="12"/>
      <c r="BO5" s="12"/>
      <c r="BP5" s="122" t="s">
        <v>1286</v>
      </c>
      <c r="BQ5" s="12"/>
      <c r="BR5" s="122" t="s">
        <v>1587</v>
      </c>
      <c r="BS5" s="12"/>
      <c r="BT5" s="12"/>
      <c r="BU5" s="12"/>
      <c r="BV5" s="12"/>
      <c r="BW5" s="124" t="s">
        <v>1585</v>
      </c>
      <c r="BX5" s="125">
        <f>h2_demand_e_lhv/(BX9+BW9+BZ9)</f>
        <v>0.5398316493940124</v>
      </c>
      <c r="BZ5" s="126" t="s">
        <v>1586</v>
      </c>
      <c r="CA5" s="127">
        <f>H2_retrieval!F38</f>
        <v>409.22597964373574</v>
      </c>
      <c r="CB5" s="122" t="s">
        <v>1276</v>
      </c>
      <c r="CC5" s="46"/>
      <c r="CD5" s="12"/>
      <c r="CE5" s="12"/>
      <c r="CF5" s="12"/>
      <c r="CG5" s="12"/>
      <c r="CH5" s="12"/>
      <c r="CI5" s="12"/>
      <c r="CJ5" s="124" t="s">
        <v>1585</v>
      </c>
      <c r="CK5" s="125">
        <f>h2_demand_e_lhv/(CI9+CJ9+CM9)</f>
        <v>0.22751324160298303</v>
      </c>
      <c r="CL5" s="12"/>
      <c r="CM5" s="124" t="s">
        <v>1586</v>
      </c>
      <c r="CN5" s="128">
        <f>H2_retrieval!H38</f>
        <v>89.68736776695593</v>
      </c>
      <c r="CO5" s="122" t="s">
        <v>1277</v>
      </c>
      <c r="CP5" s="46"/>
      <c r="CQ5" s="12"/>
      <c r="CR5" s="12"/>
      <c r="CS5" s="12"/>
      <c r="CT5" s="12"/>
      <c r="CU5" s="12"/>
      <c r="CV5" s="12"/>
      <c r="CW5" s="124" t="s">
        <v>1585</v>
      </c>
      <c r="CX5" s="125">
        <f>h2_demand_e_lhv/(CV9+CW9+CZ9)</f>
        <v>0.33061262374999262</v>
      </c>
      <c r="CY5" s="123"/>
      <c r="CZ5" s="123" t="s">
        <v>1586</v>
      </c>
      <c r="DA5" s="129">
        <f>H2_retrieval!J38</f>
        <v>1170.1285431961157</v>
      </c>
      <c r="DB5" s="130" t="s">
        <v>1278</v>
      </c>
      <c r="DC5" s="12"/>
      <c r="DD5" s="12"/>
      <c r="DE5" s="12"/>
      <c r="DF5" s="12"/>
      <c r="DG5" s="12"/>
      <c r="DH5" s="124" t="s">
        <v>1585</v>
      </c>
      <c r="DI5" s="127">
        <f>h2_demand_e_lhv/(DG9+DH9+DK9)</f>
        <v>0.49777352948106551</v>
      </c>
      <c r="DJ5" s="12"/>
      <c r="DK5" s="123" t="s">
        <v>1586</v>
      </c>
      <c r="DL5" s="30">
        <f>H2_retrieval!L38</f>
        <v>470.64978063879477</v>
      </c>
      <c r="DM5" s="130" t="s">
        <v>1279</v>
      </c>
      <c r="DN5" s="12"/>
      <c r="DO5" s="12"/>
      <c r="DP5" s="12"/>
      <c r="DQ5" s="12"/>
      <c r="DR5" s="12"/>
      <c r="DS5" s="124" t="s">
        <v>1585</v>
      </c>
      <c r="DT5" s="127">
        <f>h2_demand_e_lhv/(DR9+DS9+DV9)</f>
        <v>0.45242800880192841</v>
      </c>
      <c r="DU5" s="12"/>
      <c r="DV5" s="123" t="s">
        <v>1586</v>
      </c>
      <c r="DW5" s="30">
        <f>H2_retrieval!N38</f>
        <v>6.8742104506391577</v>
      </c>
      <c r="DX5" s="130" t="s">
        <v>1420</v>
      </c>
      <c r="DY5" s="131"/>
      <c r="DZ5" s="12"/>
      <c r="EA5" s="12"/>
      <c r="EB5" s="12"/>
      <c r="EC5" s="12"/>
      <c r="ED5" s="12"/>
      <c r="EE5" s="12"/>
      <c r="EF5" s="124" t="s">
        <v>1585</v>
      </c>
      <c r="EG5" s="127">
        <f>h2_demand_e_lhv/(EE9+EF9+EI9)</f>
        <v>0.25133443034688241</v>
      </c>
      <c r="EH5" s="123"/>
      <c r="EI5" s="123" t="s">
        <v>1586</v>
      </c>
      <c r="EJ5" s="132">
        <f>H2_retrieval!P38</f>
        <v>1170.1285431961157</v>
      </c>
      <c r="EK5" s="130" t="s">
        <v>1421</v>
      </c>
      <c r="EL5" s="131"/>
      <c r="EM5" s="12"/>
      <c r="EN5" s="12"/>
      <c r="EO5" s="12"/>
      <c r="EP5" s="12"/>
      <c r="EQ5" s="12"/>
      <c r="ER5" s="12"/>
      <c r="ES5" s="124" t="s">
        <v>1585</v>
      </c>
      <c r="ET5" s="127">
        <f>h2_demand_e_lhv/(ER9+ES9+EV9)</f>
        <v>0.12568874737246186</v>
      </c>
      <c r="EU5" s="123"/>
      <c r="EV5" s="123" t="s">
        <v>1586</v>
      </c>
      <c r="EW5" s="132">
        <f>H2_retrieval!R38</f>
        <v>1170.1285431961157</v>
      </c>
      <c r="EX5" s="130" t="s">
        <v>1280</v>
      </c>
      <c r="EY5" s="131"/>
      <c r="EZ5" s="12"/>
      <c r="FA5" s="12"/>
      <c r="FB5" s="12"/>
      <c r="FC5" s="12"/>
      <c r="FD5" s="12"/>
      <c r="FE5" s="12"/>
      <c r="FF5" s="124" t="s">
        <v>1585</v>
      </c>
      <c r="FG5" s="127">
        <f>h2_demand_e_lhv/(FE9+FF9+FI9)</f>
        <v>0.34108852494857506</v>
      </c>
      <c r="FH5" s="123"/>
      <c r="FI5" s="123" t="s">
        <v>1586</v>
      </c>
      <c r="FJ5" s="132">
        <f>H2_retrieval!T38</f>
        <v>1170.1285431961157</v>
      </c>
      <c r="FK5" s="130" t="s">
        <v>1588</v>
      </c>
      <c r="FL5" s="12"/>
      <c r="FM5" s="12"/>
      <c r="FN5" s="12"/>
      <c r="FO5" s="12"/>
      <c r="FP5" s="124" t="s">
        <v>1585</v>
      </c>
      <c r="FQ5" s="127">
        <f>h2_demand_e_lhv/(FP9+FQ9+FS9)</f>
        <v>0.56587145111366532</v>
      </c>
      <c r="FR5" s="123"/>
      <c r="FS5" s="123" t="s">
        <v>1586</v>
      </c>
      <c r="FT5" s="127">
        <f>H2_retrieval!V38</f>
        <v>31.968725868467416</v>
      </c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</row>
    <row r="6" spans="1:214" s="139" customFormat="1" ht="38.25" x14ac:dyDescent="0.2">
      <c r="A6" s="250" t="s">
        <v>9</v>
      </c>
      <c r="B6" s="133" t="s">
        <v>1212</v>
      </c>
      <c r="C6" s="133" t="s">
        <v>1213</v>
      </c>
      <c r="D6" s="133" t="s">
        <v>1214</v>
      </c>
      <c r="E6" s="133" t="s">
        <v>694</v>
      </c>
      <c r="F6" s="133" t="s">
        <v>11</v>
      </c>
      <c r="G6" s="133" t="s">
        <v>691</v>
      </c>
      <c r="H6" s="133" t="s">
        <v>1354</v>
      </c>
      <c r="I6" s="133" t="s">
        <v>1355</v>
      </c>
      <c r="J6" s="133" t="s">
        <v>1357</v>
      </c>
      <c r="K6" s="133" t="s">
        <v>1358</v>
      </c>
      <c r="L6" s="133" t="s">
        <v>1427</v>
      </c>
      <c r="M6" s="133" t="s">
        <v>1428</v>
      </c>
      <c r="N6" s="134" t="s">
        <v>1237</v>
      </c>
      <c r="O6" s="135" t="s">
        <v>1293</v>
      </c>
      <c r="P6" s="135" t="s">
        <v>1294</v>
      </c>
      <c r="Q6" s="133" t="s">
        <v>1295</v>
      </c>
      <c r="R6" s="133" t="s">
        <v>1296</v>
      </c>
      <c r="S6" s="133" t="s">
        <v>146</v>
      </c>
      <c r="T6" s="133" t="s">
        <v>147</v>
      </c>
      <c r="U6" s="133" t="s">
        <v>148</v>
      </c>
      <c r="V6" s="133" t="s">
        <v>14</v>
      </c>
      <c r="W6" s="136"/>
      <c r="X6" s="133" t="s">
        <v>143</v>
      </c>
      <c r="Y6" s="133" t="s">
        <v>145</v>
      </c>
      <c r="Z6" s="133" t="s">
        <v>144</v>
      </c>
      <c r="AA6" s="133" t="s">
        <v>146</v>
      </c>
      <c r="AB6" s="133" t="s">
        <v>147</v>
      </c>
      <c r="AC6" s="133" t="s">
        <v>148</v>
      </c>
      <c r="AD6" s="133" t="s">
        <v>14</v>
      </c>
      <c r="AE6" s="136"/>
      <c r="AF6" s="133" t="s">
        <v>143</v>
      </c>
      <c r="AG6" s="133" t="s">
        <v>145</v>
      </c>
      <c r="AH6" s="133" t="s">
        <v>144</v>
      </c>
      <c r="AI6" s="133" t="s">
        <v>146</v>
      </c>
      <c r="AJ6" s="133" t="s">
        <v>147</v>
      </c>
      <c r="AK6" s="133" t="s">
        <v>148</v>
      </c>
      <c r="AL6" s="133" t="s">
        <v>14</v>
      </c>
      <c r="AM6" s="136"/>
      <c r="AN6" s="133" t="s">
        <v>1383</v>
      </c>
      <c r="AO6" s="133" t="s">
        <v>1384</v>
      </c>
      <c r="AP6" s="133" t="s">
        <v>1506</v>
      </c>
      <c r="AQ6" s="133" t="s">
        <v>1385</v>
      </c>
      <c r="AR6" s="133" t="s">
        <v>1386</v>
      </c>
      <c r="AS6" s="133" t="s">
        <v>1209</v>
      </c>
      <c r="AT6" s="133"/>
      <c r="AU6" s="133" t="s">
        <v>1474</v>
      </c>
      <c r="AV6" s="133" t="s">
        <v>1475</v>
      </c>
      <c r="AW6" s="134" t="s">
        <v>904</v>
      </c>
      <c r="AX6" s="133" t="s">
        <v>846</v>
      </c>
      <c r="AY6" s="133" t="s">
        <v>1059</v>
      </c>
      <c r="AZ6" s="133" t="s">
        <v>1029</v>
      </c>
      <c r="BA6" s="133" t="s">
        <v>1065</v>
      </c>
      <c r="BB6" s="133"/>
      <c r="BC6" s="133"/>
      <c r="BD6" s="134" t="s">
        <v>1029</v>
      </c>
      <c r="BE6" s="133" t="s">
        <v>1207</v>
      </c>
      <c r="BF6" s="133" t="s">
        <v>1208</v>
      </c>
      <c r="BG6" s="133" t="s">
        <v>583</v>
      </c>
      <c r="BH6" s="133"/>
      <c r="BI6" s="133"/>
      <c r="BJ6" s="133" t="s">
        <v>904</v>
      </c>
      <c r="BK6" s="133" t="s">
        <v>846</v>
      </c>
      <c r="BL6" s="133" t="s">
        <v>1488</v>
      </c>
      <c r="BM6" s="133" t="s">
        <v>1361</v>
      </c>
      <c r="BN6" s="133" t="s">
        <v>1360</v>
      </c>
      <c r="BO6" s="133"/>
      <c r="BP6" s="134" t="s">
        <v>904</v>
      </c>
      <c r="BQ6" s="133" t="s">
        <v>904</v>
      </c>
      <c r="BR6" s="134" t="s">
        <v>904</v>
      </c>
      <c r="BS6" s="133" t="s">
        <v>1207</v>
      </c>
      <c r="BT6" s="133" t="s">
        <v>1211</v>
      </c>
      <c r="BU6" s="133" t="s">
        <v>1208</v>
      </c>
      <c r="BV6" s="133" t="s">
        <v>833</v>
      </c>
      <c r="BW6" s="133" t="s">
        <v>1316</v>
      </c>
      <c r="BX6" s="133" t="s">
        <v>1317</v>
      </c>
      <c r="BY6" s="133" t="s">
        <v>1215</v>
      </c>
      <c r="BZ6" s="133" t="s">
        <v>1319</v>
      </c>
      <c r="CA6" s="133" t="s">
        <v>1065</v>
      </c>
      <c r="CB6" s="134" t="s">
        <v>1490</v>
      </c>
      <c r="CC6" s="135" t="s">
        <v>1489</v>
      </c>
      <c r="CD6" s="133" t="s">
        <v>1491</v>
      </c>
      <c r="CE6" s="133" t="s">
        <v>1492</v>
      </c>
      <c r="CF6" s="133" t="s">
        <v>1211</v>
      </c>
      <c r="CG6" s="133" t="s">
        <v>1208</v>
      </c>
      <c r="CH6" s="133" t="s">
        <v>1493</v>
      </c>
      <c r="CI6" s="133" t="s">
        <v>1316</v>
      </c>
      <c r="CJ6" s="133" t="s">
        <v>1321</v>
      </c>
      <c r="CK6" s="133" t="s">
        <v>1215</v>
      </c>
      <c r="CL6" s="133" t="s">
        <v>1216</v>
      </c>
      <c r="CM6" s="133" t="s">
        <v>1319</v>
      </c>
      <c r="CN6" s="133" t="s">
        <v>1065</v>
      </c>
      <c r="CO6" s="134" t="s">
        <v>1490</v>
      </c>
      <c r="CP6" s="135" t="s">
        <v>1489</v>
      </c>
      <c r="CQ6" s="133" t="s">
        <v>1491</v>
      </c>
      <c r="CR6" s="133" t="s">
        <v>1492</v>
      </c>
      <c r="CS6" s="133" t="s">
        <v>1211</v>
      </c>
      <c r="CT6" s="133" t="s">
        <v>1208</v>
      </c>
      <c r="CU6" s="133" t="s">
        <v>833</v>
      </c>
      <c r="CV6" s="133" t="s">
        <v>1316</v>
      </c>
      <c r="CW6" s="133" t="s">
        <v>1321</v>
      </c>
      <c r="CX6" s="133" t="s">
        <v>1215</v>
      </c>
      <c r="CY6" s="133" t="s">
        <v>1216</v>
      </c>
      <c r="CZ6" s="133" t="s">
        <v>1319</v>
      </c>
      <c r="DA6" s="133" t="s">
        <v>1065</v>
      </c>
      <c r="DB6" s="134" t="s">
        <v>904</v>
      </c>
      <c r="DC6" s="133" t="s">
        <v>1401</v>
      </c>
      <c r="DD6" s="133" t="s">
        <v>1211</v>
      </c>
      <c r="DE6" s="133" t="s">
        <v>1208</v>
      </c>
      <c r="DF6" s="133" t="s">
        <v>833</v>
      </c>
      <c r="DG6" s="133" t="s">
        <v>1316</v>
      </c>
      <c r="DH6" s="133" t="s">
        <v>1321</v>
      </c>
      <c r="DI6" s="133" t="s">
        <v>1215</v>
      </c>
      <c r="DJ6" s="133" t="s">
        <v>1216</v>
      </c>
      <c r="DK6" s="133" t="s">
        <v>1319</v>
      </c>
      <c r="DL6" s="133" t="s">
        <v>1065</v>
      </c>
      <c r="DM6" s="134" t="s">
        <v>904</v>
      </c>
      <c r="DN6" s="133" t="s">
        <v>1401</v>
      </c>
      <c r="DO6" s="133" t="s">
        <v>1211</v>
      </c>
      <c r="DP6" s="133" t="s">
        <v>1208</v>
      </c>
      <c r="DQ6" s="133" t="s">
        <v>833</v>
      </c>
      <c r="DR6" s="133" t="s">
        <v>1316</v>
      </c>
      <c r="DS6" s="133" t="s">
        <v>1321</v>
      </c>
      <c r="DT6" s="133" t="s">
        <v>1215</v>
      </c>
      <c r="DU6" s="133" t="s">
        <v>1216</v>
      </c>
      <c r="DV6" s="133" t="s">
        <v>1319</v>
      </c>
      <c r="DW6" s="133" t="s">
        <v>1065</v>
      </c>
      <c r="DX6" s="134" t="s">
        <v>1490</v>
      </c>
      <c r="DY6" s="135" t="s">
        <v>1489</v>
      </c>
      <c r="DZ6" s="133" t="s">
        <v>1491</v>
      </c>
      <c r="EA6" s="133" t="s">
        <v>1494</v>
      </c>
      <c r="EB6" s="133" t="s">
        <v>1211</v>
      </c>
      <c r="EC6" s="133" t="s">
        <v>1208</v>
      </c>
      <c r="ED6" s="133" t="s">
        <v>833</v>
      </c>
      <c r="EE6" s="133" t="s">
        <v>1316</v>
      </c>
      <c r="EF6" s="133" t="s">
        <v>1321</v>
      </c>
      <c r="EG6" s="133" t="s">
        <v>1215</v>
      </c>
      <c r="EH6" s="133" t="s">
        <v>1216</v>
      </c>
      <c r="EI6" s="133" t="s">
        <v>1319</v>
      </c>
      <c r="EJ6" s="133" t="s">
        <v>1065</v>
      </c>
      <c r="EK6" s="134" t="s">
        <v>1490</v>
      </c>
      <c r="EL6" s="135" t="s">
        <v>1489</v>
      </c>
      <c r="EM6" s="133" t="s">
        <v>1491</v>
      </c>
      <c r="EN6" s="133" t="s">
        <v>1492</v>
      </c>
      <c r="EO6" s="133" t="s">
        <v>1211</v>
      </c>
      <c r="EP6" s="133" t="s">
        <v>1208</v>
      </c>
      <c r="EQ6" s="133" t="s">
        <v>833</v>
      </c>
      <c r="ER6" s="133" t="s">
        <v>1316</v>
      </c>
      <c r="ES6" s="133" t="s">
        <v>1321</v>
      </c>
      <c r="ET6" s="133" t="s">
        <v>1215</v>
      </c>
      <c r="EU6" s="133" t="s">
        <v>1216</v>
      </c>
      <c r="EV6" s="133" t="s">
        <v>1319</v>
      </c>
      <c r="EW6" s="133" t="s">
        <v>1065</v>
      </c>
      <c r="EX6" s="134" t="s">
        <v>1490</v>
      </c>
      <c r="EY6" s="135" t="s">
        <v>1489</v>
      </c>
      <c r="EZ6" s="133" t="s">
        <v>1491</v>
      </c>
      <c r="FA6" s="133" t="s">
        <v>1492</v>
      </c>
      <c r="FB6" s="133" t="s">
        <v>1211</v>
      </c>
      <c r="FC6" s="133" t="s">
        <v>1208</v>
      </c>
      <c r="FD6" s="133" t="s">
        <v>833</v>
      </c>
      <c r="FE6" s="133" t="s">
        <v>1316</v>
      </c>
      <c r="FF6" s="133" t="s">
        <v>1321</v>
      </c>
      <c r="FG6" s="133" t="s">
        <v>1215</v>
      </c>
      <c r="FH6" s="133" t="s">
        <v>1216</v>
      </c>
      <c r="FI6" s="133" t="s">
        <v>1319</v>
      </c>
      <c r="FJ6" s="133" t="s">
        <v>1065</v>
      </c>
      <c r="FK6" s="134" t="s">
        <v>904</v>
      </c>
      <c r="FL6" s="133" t="s">
        <v>1207</v>
      </c>
      <c r="FM6" s="133" t="s">
        <v>1211</v>
      </c>
      <c r="FN6" s="133" t="s">
        <v>1208</v>
      </c>
      <c r="FO6" s="133" t="s">
        <v>833</v>
      </c>
      <c r="FP6" s="133" t="s">
        <v>1316</v>
      </c>
      <c r="FQ6" s="133" t="s">
        <v>1321</v>
      </c>
      <c r="FR6" s="133" t="s">
        <v>1215</v>
      </c>
      <c r="FS6" s="133" t="s">
        <v>1319</v>
      </c>
      <c r="FT6" s="133" t="s">
        <v>1065</v>
      </c>
      <c r="FU6" s="133"/>
      <c r="FV6" s="133" t="s">
        <v>1335</v>
      </c>
      <c r="FW6" s="133" t="s">
        <v>1336</v>
      </c>
      <c r="FX6" s="133" t="s">
        <v>1337</v>
      </c>
      <c r="FY6" s="133" t="s">
        <v>1343</v>
      </c>
      <c r="FZ6" s="137" t="s">
        <v>1065</v>
      </c>
      <c r="GA6" s="137" t="s">
        <v>1338</v>
      </c>
      <c r="GB6" s="137" t="s">
        <v>1340</v>
      </c>
      <c r="GC6" s="137" t="s">
        <v>1339</v>
      </c>
      <c r="GD6" s="137" t="s">
        <v>1495</v>
      </c>
      <c r="GE6" s="137" t="s">
        <v>1496</v>
      </c>
      <c r="GF6" s="137" t="s">
        <v>1341</v>
      </c>
      <c r="GG6" s="138"/>
      <c r="GH6" s="138"/>
      <c r="GI6" s="138"/>
      <c r="GJ6" s="138"/>
      <c r="GK6" s="138"/>
      <c r="GL6" s="138"/>
      <c r="GM6" s="138"/>
      <c r="GN6" s="138"/>
      <c r="GO6" s="138"/>
      <c r="GP6" s="138"/>
      <c r="GQ6" s="138"/>
      <c r="GR6" s="138"/>
      <c r="GS6" s="138"/>
      <c r="GT6" s="138"/>
      <c r="GU6" s="138"/>
      <c r="GV6" s="138"/>
      <c r="GW6" s="138"/>
      <c r="GX6" s="138"/>
      <c r="GY6" s="138"/>
      <c r="GZ6" s="138"/>
      <c r="HA6" s="138"/>
      <c r="HB6" s="138"/>
      <c r="HC6" s="138"/>
      <c r="HD6" s="138"/>
      <c r="HE6" s="138"/>
      <c r="HF6" s="138"/>
    </row>
    <row r="7" spans="1:214" x14ac:dyDescent="0.2">
      <c r="A7" s="25"/>
      <c r="B7" s="140" t="s">
        <v>1205</v>
      </c>
      <c r="C7" s="140"/>
      <c r="D7" s="140"/>
      <c r="E7" s="140"/>
      <c r="F7" s="140" t="s">
        <v>1038</v>
      </c>
      <c r="G7" s="140"/>
      <c r="H7" s="141" t="s">
        <v>913</v>
      </c>
      <c r="I7" s="141" t="s">
        <v>1356</v>
      </c>
      <c r="J7" s="141" t="s">
        <v>1205</v>
      </c>
      <c r="K7" s="141" t="s">
        <v>1205</v>
      </c>
      <c r="L7" s="140"/>
      <c r="M7" s="140"/>
      <c r="N7" s="142"/>
      <c r="O7" s="143" t="s">
        <v>819</v>
      </c>
      <c r="P7" s="140" t="s">
        <v>1235</v>
      </c>
      <c r="Q7" s="140" t="s">
        <v>1235</v>
      </c>
      <c r="R7" s="140" t="s">
        <v>1235</v>
      </c>
      <c r="S7" s="140" t="s">
        <v>1031</v>
      </c>
      <c r="T7" s="140" t="s">
        <v>1031</v>
      </c>
      <c r="U7" s="140" t="s">
        <v>1031</v>
      </c>
      <c r="V7" s="140" t="s">
        <v>678</v>
      </c>
      <c r="W7" s="144"/>
      <c r="X7" s="140" t="s">
        <v>1479</v>
      </c>
      <c r="Y7" s="140" t="s">
        <v>1479</v>
      </c>
      <c r="Z7" s="140" t="s">
        <v>1479</v>
      </c>
      <c r="AA7" s="140" t="s">
        <v>1031</v>
      </c>
      <c r="AB7" s="140" t="s">
        <v>1031</v>
      </c>
      <c r="AC7" s="140" t="s">
        <v>1031</v>
      </c>
      <c r="AD7" s="140" t="s">
        <v>678</v>
      </c>
      <c r="AE7" s="144"/>
      <c r="AF7" s="140" t="s">
        <v>1479</v>
      </c>
      <c r="AG7" s="140" t="s">
        <v>1479</v>
      </c>
      <c r="AH7" s="140" t="s">
        <v>1479</v>
      </c>
      <c r="AI7" s="140" t="s">
        <v>1031</v>
      </c>
      <c r="AJ7" s="140" t="s">
        <v>1031</v>
      </c>
      <c r="AK7" s="140" t="s">
        <v>1031</v>
      </c>
      <c r="AL7" s="140" t="s">
        <v>678</v>
      </c>
      <c r="AM7" s="144"/>
      <c r="AN7" s="140" t="s">
        <v>1121</v>
      </c>
      <c r="AO7" s="140" t="s">
        <v>1121</v>
      </c>
      <c r="AP7" s="140" t="s">
        <v>1122</v>
      </c>
      <c r="AQ7" s="140" t="s">
        <v>1122</v>
      </c>
      <c r="AR7" s="140" t="s">
        <v>678</v>
      </c>
      <c r="AS7" s="140" t="s">
        <v>678</v>
      </c>
      <c r="AT7" s="140"/>
      <c r="AU7" s="140" t="s">
        <v>1040</v>
      </c>
      <c r="AV7" s="140" t="s">
        <v>1479</v>
      </c>
      <c r="AW7" s="142" t="s">
        <v>922</v>
      </c>
      <c r="AX7" s="140"/>
      <c r="AY7" s="140" t="s">
        <v>922</v>
      </c>
      <c r="AZ7" s="140" t="s">
        <v>1040</v>
      </c>
      <c r="BA7" s="140" t="s">
        <v>913</v>
      </c>
      <c r="BB7" s="140"/>
      <c r="BC7" s="140"/>
      <c r="BD7" s="142" t="s">
        <v>913</v>
      </c>
      <c r="BE7" s="145" t="s">
        <v>922</v>
      </c>
      <c r="BF7" s="145" t="s">
        <v>922</v>
      </c>
      <c r="BG7" s="140" t="s">
        <v>913</v>
      </c>
      <c r="BH7" s="140"/>
      <c r="BI7" s="140"/>
      <c r="BJ7" s="140"/>
      <c r="BK7" s="140"/>
      <c r="BL7" s="140" t="s">
        <v>922</v>
      </c>
      <c r="BM7" s="140" t="s">
        <v>1040</v>
      </c>
      <c r="BN7" s="140" t="s">
        <v>922</v>
      </c>
      <c r="BO7" s="140"/>
      <c r="BP7" s="142" t="s">
        <v>913</v>
      </c>
      <c r="BQ7" s="140" t="s">
        <v>913</v>
      </c>
      <c r="BR7" s="142" t="s">
        <v>922</v>
      </c>
      <c r="BS7" s="140" t="s">
        <v>922</v>
      </c>
      <c r="BT7" s="140" t="s">
        <v>801</v>
      </c>
      <c r="BU7" s="140" t="s">
        <v>922</v>
      </c>
      <c r="BV7" s="140" t="s">
        <v>922</v>
      </c>
      <c r="BW7" s="140" t="s">
        <v>678</v>
      </c>
      <c r="BX7" s="140" t="s">
        <v>678</v>
      </c>
      <c r="BY7" s="140" t="s">
        <v>913</v>
      </c>
      <c r="BZ7" s="140" t="s">
        <v>678</v>
      </c>
      <c r="CA7" s="140" t="s">
        <v>913</v>
      </c>
      <c r="CB7" s="142" t="s">
        <v>922</v>
      </c>
      <c r="CC7" s="140" t="s">
        <v>922</v>
      </c>
      <c r="CD7" s="140" t="s">
        <v>922</v>
      </c>
      <c r="CE7" s="140" t="s">
        <v>922</v>
      </c>
      <c r="CF7" s="140" t="s">
        <v>801</v>
      </c>
      <c r="CG7" s="140" t="s">
        <v>922</v>
      </c>
      <c r="CH7" s="140" t="s">
        <v>922</v>
      </c>
      <c r="CI7" s="140" t="s">
        <v>678</v>
      </c>
      <c r="CJ7" s="140" t="s">
        <v>678</v>
      </c>
      <c r="CK7" s="140" t="s">
        <v>913</v>
      </c>
      <c r="CL7" s="140" t="s">
        <v>922</v>
      </c>
      <c r="CM7" s="140" t="s">
        <v>678</v>
      </c>
      <c r="CN7" s="140" t="s">
        <v>913</v>
      </c>
      <c r="CO7" s="142" t="s">
        <v>922</v>
      </c>
      <c r="CP7" s="143" t="s">
        <v>922</v>
      </c>
      <c r="CQ7" s="140" t="s">
        <v>922</v>
      </c>
      <c r="CR7" s="140"/>
      <c r="CS7" s="140" t="s">
        <v>801</v>
      </c>
      <c r="CT7" s="140" t="s">
        <v>922</v>
      </c>
      <c r="CU7" s="140" t="s">
        <v>922</v>
      </c>
      <c r="CV7" s="140" t="s">
        <v>678</v>
      </c>
      <c r="CW7" s="140" t="s">
        <v>678</v>
      </c>
      <c r="CX7" s="140" t="s">
        <v>913</v>
      </c>
      <c r="CY7" s="140" t="s">
        <v>922</v>
      </c>
      <c r="CZ7" s="140" t="s">
        <v>678</v>
      </c>
      <c r="DA7" s="146" t="s">
        <v>913</v>
      </c>
      <c r="DB7" s="142" t="s">
        <v>922</v>
      </c>
      <c r="DC7" s="140" t="s">
        <v>922</v>
      </c>
      <c r="DD7" s="140" t="s">
        <v>801</v>
      </c>
      <c r="DE7" s="140" t="s">
        <v>922</v>
      </c>
      <c r="DF7" s="140" t="s">
        <v>922</v>
      </c>
      <c r="DG7" s="140" t="s">
        <v>678</v>
      </c>
      <c r="DH7" s="140" t="s">
        <v>678</v>
      </c>
      <c r="DI7" s="140" t="s">
        <v>913</v>
      </c>
      <c r="DJ7" s="140" t="s">
        <v>922</v>
      </c>
      <c r="DK7" s="140" t="s">
        <v>678</v>
      </c>
      <c r="DL7" s="140" t="s">
        <v>913</v>
      </c>
      <c r="DM7" s="142" t="s">
        <v>922</v>
      </c>
      <c r="DN7" s="140" t="s">
        <v>922</v>
      </c>
      <c r="DO7" s="140" t="s">
        <v>801</v>
      </c>
      <c r="DP7" s="140" t="s">
        <v>922</v>
      </c>
      <c r="DQ7" s="140" t="s">
        <v>922</v>
      </c>
      <c r="DR7" s="140" t="s">
        <v>678</v>
      </c>
      <c r="DS7" s="140" t="s">
        <v>678</v>
      </c>
      <c r="DT7" s="140" t="s">
        <v>913</v>
      </c>
      <c r="DU7" s="140" t="s">
        <v>922</v>
      </c>
      <c r="DV7" s="140" t="s">
        <v>678</v>
      </c>
      <c r="DW7" s="140" t="s">
        <v>913</v>
      </c>
      <c r="DX7" s="142" t="s">
        <v>922</v>
      </c>
      <c r="DY7" s="143" t="s">
        <v>922</v>
      </c>
      <c r="DZ7" s="140" t="s">
        <v>922</v>
      </c>
      <c r="EA7" s="140" t="s">
        <v>922</v>
      </c>
      <c r="EB7" s="140" t="s">
        <v>801</v>
      </c>
      <c r="EC7" s="140" t="s">
        <v>922</v>
      </c>
      <c r="ED7" s="140" t="s">
        <v>922</v>
      </c>
      <c r="EE7" s="140" t="s">
        <v>678</v>
      </c>
      <c r="EF7" s="140" t="s">
        <v>678</v>
      </c>
      <c r="EG7" s="140" t="s">
        <v>913</v>
      </c>
      <c r="EH7" s="140" t="s">
        <v>922</v>
      </c>
      <c r="EI7" s="140" t="s">
        <v>678</v>
      </c>
      <c r="EJ7" s="140" t="s">
        <v>913</v>
      </c>
      <c r="EK7" s="142" t="s">
        <v>922</v>
      </c>
      <c r="EL7" s="143" t="s">
        <v>922</v>
      </c>
      <c r="EM7" s="140" t="s">
        <v>922</v>
      </c>
      <c r="EN7" s="140" t="s">
        <v>922</v>
      </c>
      <c r="EO7" s="140" t="s">
        <v>801</v>
      </c>
      <c r="EP7" s="140" t="s">
        <v>922</v>
      </c>
      <c r="EQ7" s="140" t="s">
        <v>922</v>
      </c>
      <c r="ER7" s="140" t="s">
        <v>678</v>
      </c>
      <c r="ES7" s="140" t="s">
        <v>678</v>
      </c>
      <c r="ET7" s="140" t="s">
        <v>913</v>
      </c>
      <c r="EU7" s="140" t="s">
        <v>922</v>
      </c>
      <c r="EV7" s="140" t="s">
        <v>678</v>
      </c>
      <c r="EW7" s="140" t="s">
        <v>913</v>
      </c>
      <c r="EX7" s="142" t="s">
        <v>922</v>
      </c>
      <c r="EY7" s="143" t="s">
        <v>922</v>
      </c>
      <c r="EZ7" s="140" t="s">
        <v>922</v>
      </c>
      <c r="FA7" s="140" t="s">
        <v>922</v>
      </c>
      <c r="FB7" s="140" t="s">
        <v>801</v>
      </c>
      <c r="FC7" s="140" t="s">
        <v>922</v>
      </c>
      <c r="FD7" s="140" t="s">
        <v>922</v>
      </c>
      <c r="FE7" s="140" t="s">
        <v>678</v>
      </c>
      <c r="FF7" s="140" t="s">
        <v>678</v>
      </c>
      <c r="FG7" s="140" t="s">
        <v>913</v>
      </c>
      <c r="FH7" s="140" t="s">
        <v>922</v>
      </c>
      <c r="FI7" s="140" t="s">
        <v>678</v>
      </c>
      <c r="FJ7" s="140" t="s">
        <v>913</v>
      </c>
      <c r="FK7" s="142" t="s">
        <v>922</v>
      </c>
      <c r="FL7" s="140" t="s">
        <v>922</v>
      </c>
      <c r="FM7" s="140" t="s">
        <v>801</v>
      </c>
      <c r="FN7" s="140" t="s">
        <v>922</v>
      </c>
      <c r="FO7" s="140" t="s">
        <v>922</v>
      </c>
      <c r="FP7" s="140" t="s">
        <v>678</v>
      </c>
      <c r="FQ7" s="140" t="s">
        <v>678</v>
      </c>
      <c r="FR7" s="140" t="s">
        <v>913</v>
      </c>
      <c r="FS7" s="140" t="s">
        <v>678</v>
      </c>
      <c r="FT7" s="140" t="s">
        <v>913</v>
      </c>
      <c r="FU7" s="140"/>
      <c r="FV7" s="140" t="s">
        <v>1040</v>
      </c>
      <c r="FW7" s="140" t="s">
        <v>1040</v>
      </c>
      <c r="FX7" s="140" t="s">
        <v>1040</v>
      </c>
      <c r="FY7" s="140" t="s">
        <v>1040</v>
      </c>
      <c r="FZ7" s="147" t="s">
        <v>913</v>
      </c>
      <c r="GA7" s="147" t="s">
        <v>913</v>
      </c>
      <c r="GB7" s="147" t="s">
        <v>913</v>
      </c>
      <c r="GC7" s="147" t="s">
        <v>913</v>
      </c>
      <c r="GD7" s="147" t="s">
        <v>913</v>
      </c>
      <c r="GE7" s="147" t="s">
        <v>913</v>
      </c>
      <c r="GF7" s="147" t="s">
        <v>913</v>
      </c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</row>
    <row r="8" spans="1:214" x14ac:dyDescent="0.2">
      <c r="A8" s="25"/>
      <c r="B8" s="25"/>
      <c r="C8" s="25"/>
      <c r="D8" s="25"/>
      <c r="E8" s="25"/>
      <c r="F8" s="25"/>
      <c r="G8" s="25"/>
      <c r="H8" s="193"/>
      <c r="I8" s="193"/>
      <c r="J8" s="193"/>
      <c r="K8" s="193"/>
      <c r="L8" s="25"/>
      <c r="M8" s="25"/>
      <c r="N8" s="194"/>
      <c r="O8" s="192"/>
      <c r="P8" s="192"/>
      <c r="Q8" s="195"/>
      <c r="R8" s="25"/>
      <c r="S8" s="25"/>
      <c r="T8" s="25"/>
      <c r="U8" s="25"/>
      <c r="V8" s="25"/>
      <c r="W8" s="196"/>
      <c r="X8" s="25"/>
      <c r="Y8" s="25"/>
      <c r="Z8" s="25"/>
      <c r="AA8" s="25"/>
      <c r="AB8" s="25"/>
      <c r="AC8" s="25"/>
      <c r="AD8" s="25"/>
      <c r="AE8" s="196"/>
      <c r="AF8" s="25"/>
      <c r="AG8" s="25"/>
      <c r="AH8" s="25"/>
      <c r="AI8" s="25"/>
      <c r="AJ8" s="25"/>
      <c r="AK8" s="25"/>
      <c r="AL8" s="25"/>
      <c r="AM8" s="196"/>
      <c r="AN8" s="25"/>
      <c r="AO8" s="25"/>
      <c r="AP8" s="25"/>
      <c r="AQ8" s="25"/>
      <c r="AR8" s="25"/>
      <c r="AS8" s="25"/>
      <c r="AT8" s="25"/>
      <c r="AU8" s="25"/>
      <c r="AV8" s="25"/>
      <c r="AW8" s="194"/>
      <c r="AX8" s="25"/>
      <c r="AY8" s="25"/>
      <c r="AZ8" s="25"/>
      <c r="BA8" s="25"/>
      <c r="BB8" s="25"/>
      <c r="BC8" s="25"/>
      <c r="BD8" s="194"/>
      <c r="BE8" s="25"/>
      <c r="BF8" s="74"/>
      <c r="BG8" s="25"/>
      <c r="BH8" s="25"/>
      <c r="BI8" s="25"/>
      <c r="BJ8" s="25"/>
      <c r="BK8" s="25"/>
      <c r="BL8" s="25"/>
      <c r="BM8" s="25"/>
      <c r="BN8" s="25"/>
      <c r="BO8" s="25"/>
      <c r="BP8" s="194"/>
      <c r="BQ8" s="25"/>
      <c r="BR8" s="197"/>
      <c r="BS8" s="40"/>
      <c r="BT8" s="198"/>
      <c r="BU8" s="40"/>
      <c r="BV8" s="40"/>
      <c r="BW8" s="79" t="s">
        <v>1575</v>
      </c>
      <c r="BX8" s="40"/>
      <c r="BY8" s="25"/>
      <c r="BZ8" s="79" t="s">
        <v>1320</v>
      </c>
      <c r="CA8" s="25"/>
      <c r="CB8" s="199"/>
      <c r="CC8" s="200"/>
      <c r="CD8" s="40"/>
      <c r="CE8" s="40"/>
      <c r="CF8" s="40"/>
      <c r="CG8" s="40"/>
      <c r="CH8" s="40"/>
      <c r="CI8" s="79" t="s">
        <v>1575</v>
      </c>
      <c r="CJ8" s="40"/>
      <c r="CK8" s="25"/>
      <c r="CL8" s="25"/>
      <c r="CM8" s="79" t="s">
        <v>1322</v>
      </c>
      <c r="CN8" s="25"/>
      <c r="CO8" s="201"/>
      <c r="CP8" s="202"/>
      <c r="CQ8" s="40"/>
      <c r="CR8" s="40"/>
      <c r="CS8" s="40"/>
      <c r="CT8" s="40"/>
      <c r="CU8" s="40"/>
      <c r="CV8" s="79" t="s">
        <v>1575</v>
      </c>
      <c r="CW8" s="40"/>
      <c r="CX8" s="25"/>
      <c r="CY8" s="25"/>
      <c r="CZ8" s="79" t="s">
        <v>1322</v>
      </c>
      <c r="DA8" s="203"/>
      <c r="DB8" s="201"/>
      <c r="DC8" s="40"/>
      <c r="DD8" s="40"/>
      <c r="DE8" s="40"/>
      <c r="DF8" s="40"/>
      <c r="DG8" s="79" t="s">
        <v>1575</v>
      </c>
      <c r="DH8" s="40"/>
      <c r="DI8" s="25"/>
      <c r="DJ8" s="40"/>
      <c r="DK8" s="79" t="s">
        <v>1323</v>
      </c>
      <c r="DL8" s="25"/>
      <c r="DM8" s="201"/>
      <c r="DN8" s="40"/>
      <c r="DO8" s="40"/>
      <c r="DP8" s="40"/>
      <c r="DQ8" s="40"/>
      <c r="DR8" s="79" t="s">
        <v>1575</v>
      </c>
      <c r="DS8" s="40"/>
      <c r="DT8" s="25"/>
      <c r="DU8" s="40"/>
      <c r="DV8" s="40"/>
      <c r="DW8" s="25"/>
      <c r="DX8" s="201"/>
      <c r="DY8" s="202"/>
      <c r="DZ8" s="40"/>
      <c r="EA8" s="40"/>
      <c r="EB8" s="40"/>
      <c r="EC8" s="40"/>
      <c r="ED8" s="40"/>
      <c r="EE8" s="79" t="s">
        <v>1575</v>
      </c>
      <c r="EF8" s="40"/>
      <c r="EG8" s="25"/>
      <c r="EH8" s="25"/>
      <c r="EI8" s="25"/>
      <c r="EJ8" s="25"/>
      <c r="EK8" s="201"/>
      <c r="EL8" s="202"/>
      <c r="EM8" s="40"/>
      <c r="EN8" s="40"/>
      <c r="EO8" s="40"/>
      <c r="EP8" s="40"/>
      <c r="EQ8" s="40"/>
      <c r="ER8" s="79" t="s">
        <v>1575</v>
      </c>
      <c r="ES8" s="40"/>
      <c r="ET8" s="25"/>
      <c r="EU8" s="25"/>
      <c r="EV8" s="25"/>
      <c r="EW8" s="25"/>
      <c r="EX8" s="201"/>
      <c r="EY8" s="202"/>
      <c r="EZ8" s="40"/>
      <c r="FA8" s="40"/>
      <c r="FB8" s="40"/>
      <c r="FC8" s="40"/>
      <c r="FD8" s="40"/>
      <c r="FE8" s="79" t="s">
        <v>1575</v>
      </c>
      <c r="FF8" s="40"/>
      <c r="FG8" s="25"/>
      <c r="FH8" s="25"/>
      <c r="FI8" s="25"/>
      <c r="FJ8" s="25"/>
      <c r="FK8" s="201"/>
      <c r="FL8" s="40"/>
      <c r="FM8" s="40"/>
      <c r="FN8" s="40"/>
      <c r="FO8" s="40"/>
      <c r="FP8" s="79" t="s">
        <v>1575</v>
      </c>
      <c r="FQ8" s="25"/>
      <c r="FR8" s="25"/>
      <c r="FS8" s="25"/>
      <c r="FT8" s="25"/>
      <c r="FU8" s="25"/>
      <c r="FV8" s="25"/>
      <c r="FW8" s="193"/>
      <c r="FX8" s="193"/>
      <c r="FY8" s="193"/>
      <c r="FZ8" s="193"/>
      <c r="GA8" s="25"/>
      <c r="GB8" s="25"/>
      <c r="GC8" s="194"/>
      <c r="GD8" s="192"/>
      <c r="GE8" s="192"/>
      <c r="GF8" s="195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</row>
    <row r="9" spans="1:214" x14ac:dyDescent="0.2">
      <c r="A9" s="40" t="s">
        <v>30</v>
      </c>
      <c r="B9" s="12">
        <v>5274</v>
      </c>
      <c r="C9" s="12">
        <v>1</v>
      </c>
      <c r="D9" s="12">
        <f t="shared" ref="D9:D40" si="0">1-C9</f>
        <v>0</v>
      </c>
      <c r="E9" s="12"/>
      <c r="F9" s="12"/>
      <c r="G9" s="12"/>
      <c r="H9" s="16">
        <f t="shared" ref="H9:H40" si="1">bunker_price_gen</f>
        <v>382.75862068965517</v>
      </c>
      <c r="I9" s="16">
        <v>652860</v>
      </c>
      <c r="J9" s="16">
        <f>SQRT(I9/PI())</f>
        <v>455.86378699557787</v>
      </c>
      <c r="K9" s="16" t="str">
        <f>IF(E9="","",1.2*J9)</f>
        <v/>
      </c>
      <c r="L9" s="103">
        <v>0.153</v>
      </c>
      <c r="M9" s="103">
        <f t="shared" ref="M9:M40" si="2">IF(wacc="dataset",L9,IF(wacc="dataset rv",wacc_average+SQRT(wacc_rv_factor)*(L9-wacc_average),uniform_wacc))</f>
        <v>0.14962169739395992</v>
      </c>
      <c r="N9" s="122">
        <f>IF(Q9&gt;2500,0.75,IF(Q9&gt;2300,0.8,IF(Q9&gt;2100,0.85,0.9)))</f>
        <v>0.8</v>
      </c>
      <c r="O9" s="46">
        <f t="shared" ref="O9:O40" si="3">solar_lifetime</f>
        <v>40</v>
      </c>
      <c r="P9" s="70">
        <f t="array" ref="P9">SUMPRODUCT(IF(Solar_data!A$4:A$777=A9,Solar_data!C$4:C$777),IF(Solar_data!A$4:A$777=A9,Solar_data!I$4:I$777))/SUMIF(Solar_data!A$4:A$777,A9,Solar_data!I$4:I$777)</f>
        <v>2055.5042759298894</v>
      </c>
      <c r="Q9" s="16">
        <f t="array" ref="Q9">MAX(IF(Solar_data!$A$777:'Solar_data'!$A$4=Country_details!$A9,Solar_data!$C$4:'Solar_data'!$C$777))</f>
        <v>2463.75</v>
      </c>
      <c r="R9" s="16">
        <f t="array" ref="R9">MIN(IF(Solar_data!$A$777:'Solar_data'!$A$4=Country_details!$A9,Solar_data!$C$4:'Solar_data'!$C$777))</f>
        <v>1733.75</v>
      </c>
      <c r="S9" s="24">
        <f t="shared" ref="S9:S40" si="4">(solar_invest*($M9+1/$O9)+solar_opex)/(P9*$N9)*100</f>
        <v>2.8367088617348855</v>
      </c>
      <c r="T9" s="24">
        <f t="shared" ref="T9:T40" si="5">(solar_invest*($M9+1/$O9)+solar_opex)/(Q9*$N9)*100</f>
        <v>2.3666634986765165</v>
      </c>
      <c r="U9" s="24">
        <f t="shared" ref="U9:U40" si="6">(solar_invest*($M9+1/$O9)+solar_opex)/(R9*$N9)*100</f>
        <v>3.3631533928561024</v>
      </c>
      <c r="V9" s="16">
        <f t="array" ref="V9">SUM(IF(Solar_data!$A$777:'Solar_data'!$A$4=Country_details!$A9,Solar_data!$I$4:'Solar_data'!$I$777))</f>
        <v>4758.6187487705984</v>
      </c>
      <c r="W9" s="148"/>
      <c r="X9" s="16">
        <f>IFERROR(INDEX(Onshore_wind_data!$J$5:'Onshore_wind_data'!$J$221,MATCH(A9,Onshore_wind_data!$B$5:'Onshore_wind_data'!$B$221,0)),"")</f>
        <v>3157.7152056914911</v>
      </c>
      <c r="Y9" s="16">
        <f>IFERROR(INDEX(Onshore_wind_data!$K$5:'Onshore_wind_data'!$K$221,MATCH(A9,Onshore_wind_data!$B$5:'Onshore_wind_data'!$B$221,0)),"")</f>
        <v>3971</v>
      </c>
      <c r="Z9" s="16">
        <f>IFERROR(INDEX(Onshore_wind_data!$L$5:'Onshore_wind_data'!$L$221,MATCH(A9,Onshore_wind_data!$B$5:'Onshore_wind_data'!$B$221,0)),"")</f>
        <v>2847.5</v>
      </c>
      <c r="AA9" s="24">
        <f t="shared" ref="AA9:AA40" si="7">IFERROR(IF(X9="","",(onshore_invest*($M9+1/onshore_lifetime)+onshore_opex)/X9*100),"")</f>
        <v>5.1713119022123983</v>
      </c>
      <c r="AB9" s="24">
        <f t="shared" ref="AB9:AB40" si="8">IFERROR(IF(Y9="","",(onshore_invest*($M9+1/onshore_lifetime)+onshore_opex)/Y9*100),"")</f>
        <v>4.11219597758486</v>
      </c>
      <c r="AC9" s="24">
        <f t="shared" ref="AC9:AC40" si="9">IFERROR(IF(Z9="","",(onshore_invest*($M9+1/onshore_lifetime)+onshore_opex)/Z9*100),"")</f>
        <v>5.7346901587320387</v>
      </c>
      <c r="AD9" s="16">
        <f>IFERROR(INDEX(Onshore_wind_data!$I$5:'Onshore_wind_data'!$I$221,MATCH(A9,Onshore_wind_data!$B$5:'Onshore_wind_data'!$B$221,0)),"")</f>
        <v>1193.9177403694621</v>
      </c>
      <c r="AE9" s="148"/>
      <c r="AF9" s="16" t="str">
        <f>INDEX(Offshore_wind_data!$AA$7:$AA$192,MATCH(Country_details!A9,Offshore_wind_data!$A$7:$A$192,0))</f>
        <v/>
      </c>
      <c r="AG9" s="16" t="str">
        <f>INDEX(Offshore_wind_data!$Y$7:$Y$192,MATCH(Country_details!A9,Offshore_wind_data!$A$7:$A$192,0))</f>
        <v/>
      </c>
      <c r="AH9" s="16" t="str">
        <f>INDEX(Offshore_wind_data!$Z$7:$Z$192,MATCH(Country_details!A9,Offshore_wind_data!$A$7:$A$192,0))</f>
        <v/>
      </c>
      <c r="AI9" s="24" t="str">
        <f t="shared" ref="AI9:AI40" si="10">IF(AF9="","",(offshore_invest*($M9+1/offshore_lifetime)+offshore_opex)/AF9*100)</f>
        <v/>
      </c>
      <c r="AJ9" s="24" t="str">
        <f t="shared" ref="AJ9:AJ40" si="11">IF(AG9="","",(offshore_invest*($M9+1/offshore_lifetime)+offshore_opex)/AG9*100)</f>
        <v/>
      </c>
      <c r="AK9" s="24" t="str">
        <f t="shared" ref="AK9:AK40" si="12">IF(AH9="","",(offshore_invest*($M9+1/offshore_lifetime)+offshore_opex)/AH9*100)</f>
        <v/>
      </c>
      <c r="AL9" s="16">
        <f>INDEX(Offshore_wind_data!$W$7:$W$191,MATCH(A9,Offshore_wind_data!$A$7:$A$191,0))</f>
        <v>0</v>
      </c>
      <c r="AM9" s="148"/>
      <c r="AN9" s="12">
        <v>35.5</v>
      </c>
      <c r="AO9" s="12">
        <v>61.9</v>
      </c>
      <c r="AP9" s="34">
        <f>0.09*11.63</f>
        <v>1.0467</v>
      </c>
      <c r="AQ9" s="15">
        <f t="shared" ref="AQ9:AQ40" si="13">Fut_demand_pc</f>
        <v>50</v>
      </c>
      <c r="AR9" s="12">
        <f>AQ9*AO9</f>
        <v>3095</v>
      </c>
      <c r="AS9" s="16">
        <f>IFERROR(V9+AD9+AL9-AR9,V9-AR9)</f>
        <v>2857.5364891400604</v>
      </c>
      <c r="AT9" s="12"/>
      <c r="AU9" s="24">
        <f t="shared" ref="AU9:AU40" si="14">IF($X9="",IF(OR(electricity_choice="min solar", electricity_choice="min hybrid"),$T9,IF(OR(electricity_choice="weighted solar",electricity_choice="weighted hybrid"),$S9,IF(OR(electricity_choice="max solar",electricity_choice="max hybrid"),$U9))),IF(electricity_choice="min solar",$T9,IF(electricity_choice="weighted solar",$S9,IF(electricity_choice="max solar",$U9,IF(electricity_choice="min hybrid",($T9*$Q9+$Y9*$AB9)/($Q9+$Y9),IF(electricity_choice="weighted hybrid",($S9*$P9+$X9*$AA9)/($P9+$X9),IF(electricity_choice="max hybrid",($U9*$R9+$Z9*$AC9)/($R9+$Z9))))))))</f>
        <v>4.2508084495536282</v>
      </c>
      <c r="AV9" s="16">
        <f t="shared" ref="AV9:AV40" si="15">IF($X9="",IF(OR(electricity_choice="min solar", electricity_choice="min hybrid"),$Q9,IF(OR(electricity_choice="weighted solar",electricity_choice="weighted hybrid"),$P9,IF(OR(electricity_choice="max solar",electricity_choice="max hybrid"),$R9))),IF(electricity_choice="min solar",$Q9,IF(electricity_choice="weighted solar",$P9,IF(electricity_choice="max solar",$R9,IF(electricity_choice="min hybrid",($Q9+$Y9),IF(electricity_choice="weighted hybrid",($P9+$X9),IF(electricity_choice="max hybrid",($R9+$Z9))))))))</f>
        <v>5213.2194816213805</v>
      </c>
      <c r="AW9" s="149">
        <f>HV_DC_Grid!$E$3/(1-AX9)*AU9/100*1000</f>
        <v>4781.7896358518692</v>
      </c>
      <c r="AX9" s="31">
        <f>(1-(1-HV_DC_Grid!$E$25)^(B9*C9*HV_DC_Grid!$E$8/1000))+(1-(1-HV_DC_Grid!$E$26)^(B9*D9*HV_DC_Grid!$E$8/1000))+HV_DC_Grid!$E$35*HV_DC_Grid!$E$28</f>
        <v>0.11104235584040843</v>
      </c>
      <c r="AY9" s="28">
        <f>B9*nl_e_demand/IF(hv_dc_flh="electricity FLH",$AV9,hv_dc_custom)*1000*hv_dc_capacity_multiplier*hv_dc_length_multiplier*1000*(C9*hv_dc_overhead_invest*(hv_dc_overhead_opex+M9+1/hv_dc_lifetime)+D9*hv_dc_sea_invest*(hv_dc_sea_opex+M9+1/hv_dc_lifetime))/1000000+HV_DC_Grid!$E$10*1000*hv_dc_station_invest*hv_dc_station_number*(hv_dc_station_opex+M9+1/hv_dc_lifetime)/1000000</f>
        <v>5628.5099943743862</v>
      </c>
      <c r="AZ9" s="24">
        <f>(AW9+AY9)/(HV_DC_Grid!$E$3*1000)*100</f>
        <v>10.410299630226255</v>
      </c>
      <c r="BA9" s="28">
        <f>MIN(((Carriers!$F$26+Carriers!$F$27)*(alk_el_opex+wacc_nl+1/alk_el_lifetime)+IF(hv_dc_flh="electricity FLH",$AV9,hv_dc_custom)*AZ9/100)/(IF(hv_dc_flh="electricity FLH",$AV9,hv_dc_custom)/alk_el_e_demand)*1000,((Carriers!$H$26+Carriers!$H$27)*(pem_el_opex+wacc_nl+1/pem_el_lifetime)+IF(hv_dc_flh="electricity FLH",$AV9,hv_dc_custom)*AZ9/100)/(IF(hv_dc_flh="electricity FLH",$AV9,hv_dc_custom)/pem_el_e_demand)*1000)</f>
        <v>5671.81732991437</v>
      </c>
      <c r="BB9" s="12"/>
      <c r="BC9" s="12"/>
      <c r="BD9" s="149">
        <f>MIN(((Carriers!$F$26+Carriers!$F$27)*(alk_el_opex+M9+1/alk_el_lifetime)+$AV9*$AU9/100)/($AV9/alk_el_e_demand)*1000,((Carriers!$H$26+Carriers!$H$27)*(pem_el_opex+M9+1/pem_el_lifetime)+$AV9*$AU9/100)/($AV9/pem_el_e_demand)*1000)</f>
        <v>2918.0856827912239</v>
      </c>
      <c r="BE9" s="28">
        <f>Storage!$AC$50</f>
        <v>8.1664117557772418</v>
      </c>
      <c r="BF9" s="28">
        <f>((Pipeline!$D$22*Pipeline!$D$24*B9*(pipeline_opex+M9+1/pipeline_lifetime))*(Pipeline!$D$39/Pipeline!$D$3)+(Pipeline!$D$57*(pipeline_comp_opex+M9+1/pipeline_comp_lifetime)+Pipeline!$D$47*1000*Pipeline!$D$45*$AU9/100/1000000))*(Pipeline!$D$75/Pipeline!$D$45)</f>
        <v>13445.162452602217</v>
      </c>
      <c r="BG9" s="28">
        <f>BD9+(BE9+BF9)/Storage!$AC$12*1000000</f>
        <v>3907.3010404646056</v>
      </c>
      <c r="BH9" s="28"/>
      <c r="BI9" s="28"/>
      <c r="BJ9" s="28" t="str">
        <f>IF($E9="","No Port",BK9*HV_DC_Grid!$E$3*$AU9/100*1000)</f>
        <v>No Port</v>
      </c>
      <c r="BK9" s="31" t="str">
        <f>IFERROR((1-(1-HV_DC_Grid!$E$25)^(K9*HV_DC_Grid!$E$8/1000))+HV_DC_Grid!$E$35*HV_DC_Grid!$E$28,"")</f>
        <v/>
      </c>
      <c r="BL9" s="28" t="str">
        <f>IFERROR(K9*nl_e_demand/IF(hv_dc_flh="electricity FLH",$AV9,hv_dc_custom)*1000*hv_dc_capacity_multiplier*hv_dc_length_multiplier*1000*(hv_dc_overhead_invest*(hv_dc_overhead_opex+M9+1/hv_dc_lifetime))/1000000+HV_DC_Grid!$E$10*1000*hv_dc_station_invest*hv_dc_station_number*(hv_dc_station_opex+M9+1/hv_dc_lifetime)/1000000,"")</f>
        <v/>
      </c>
      <c r="BM9" s="29" t="str">
        <f>IFERROR((BJ9+BL9)/(HV_DC_Grid!$E$3*1000)*100,"")</f>
        <v/>
      </c>
      <c r="BN9" s="28" t="str">
        <f>IFERROR(((Pipeline!$D$22*Pipeline!$D$24*K9*(pipeline_opex+M9+1/pipeline_lifetime))*(Pipeline!$D$39/Pipeline!$D$3)+(Pipeline!$D$57*(pipeline_comp_opex+M9+1/pipeline_comp_lifetime)+Pipeline!$D$47*1000*Pipeline!$D$45*S9/100/1000000))*(Pipeline!$D$75/Pipeline!$D$45),"")</f>
        <v/>
      </c>
      <c r="BO9" s="28"/>
      <c r="BP9" s="150">
        <f t="shared" ref="BP9:BP40" si="16">DAC_invest*(M9+1/DAC_lifetime)/DAC_prod+DAC_opex+DAC_e_demand*1000*$AU9/100</f>
        <v>134.69029516952492</v>
      </c>
      <c r="BQ9" s="34">
        <f t="shared" ref="BQ9:BQ40" si="17">n2_invest*(M9+1/n2_lifetime)/n2_prod+n2_opex+n2_e_demand*1000*$AU9/100</f>
        <v>39.466102038931361</v>
      </c>
      <c r="BR9" s="151">
        <f>(nh3_invest*(M9+1/nh3_lifetime)/nh3_prod+nh3_opex+nh3_e_demand*1000*$AU9/100+Carriers!$N$18/Carriers!$N$23*BD9+Carriers!$N$19/Carriers!$N$23*BQ9)*(BT9+nh3_st_ab_losses)/1000000</f>
        <v>53000.561952748991</v>
      </c>
      <c r="BS9" s="63">
        <f>nh3_st_nl_cost*nh3_st_nl_demand/1000000+(nh3_st_invest*(M9+1/nh3_st_lifetime+nh3_st_opex)/(Storage!$G$63/1000000)+nh3_st_e_demand*1000*$AU9/100)*(BT9+nh3_st_ab_losses)/1000000+Carriers!$N$18/Carriers!$N$23*((BT9+nh3_st_ab_losses)/365.25*short_st_duration_hrs/24)*(h2_short_st_invest*(1/gh2_short_st_lifetime+$M9+h2_short_st_opex)+h2_short_st_e_demand*1000*$AU9/100)/1000000+Carriers!$N$19/Carriers!$N$23*((BT9+nh3_st_ab_losses)/365.25*short_st_duration_hrs/24)*(n2_short_st_invest*(1/n2_short_st_lifetime+$M9+n2_short_st_opex)+n2_short_st_e_demand*1000*$AU9/100)/1000000</f>
        <v>3671.8073455158988</v>
      </c>
      <c r="BT9" s="63">
        <f>Storage!$G$57/((1-Shipping!$H$37)^($F9/24/Shipping!$H$44+0.5*Shipping!$H$59))</f>
        <v>76857210.785724297</v>
      </c>
      <c r="BU9" s="63" t="str">
        <f>IF($E9="","No Port",((F9/24/Shipping!$H$44+F9/24/Shipping!$H$50+Shipping!$H$59+Shipping!$H$64)*(Shipping!$H$22+wacc_nl*Shipping!$H$19/365.25*1000000+Shipping!$H$35)+(F9/24/Shipping!$H$44*Shipping!$H$45+Shipping!$H$64*Shipping!$H$65)*IF(bunker_choice="HFO",H9,IF(bunker_choice="hydrogen",BD9*hfo_e_density_lhv/h2_e_density_lhv,(BR9+BS9)*1000000/BT9*hfo_e_density_lhv/nh3_e_density_lhv))+(F9/24/Shipping!$H$50*Shipping!$H$51+Shipping!$H$59*Shipping!$H$60)*IF(bunker_choice="HFO",bunker_price_ROT,IF(bunker_choice="hydrogen",BD9*hfo_e_density_lhv/h2_e_density_lhv,(BR9+BS9)*1000000/BT9*hfo_e_density_lhv/nh3_e_density_lhv))+Shipping!$H$73+IF(G9="Panama",Shipping!$H$55,0)+IF(G9="Suez",Shipping!$H$56,0))/Shipping!$H$31*BT9/1000000+IF(inland_transport_to_port="hv dc grid",$BM9/100*1000*BW9,IF(inland_transport_to_port="pipeline",$BN9,0)))</f>
        <v>No Port</v>
      </c>
      <c r="BV9" s="63" t="str">
        <f t="shared" ref="BV9:BV41" si="18">IFERROR(BR9+BS9+BU9,"")</f>
        <v/>
      </c>
      <c r="BW9" s="33">
        <f>((Carriers!$N$18/Carriers!$N$23*alk_el_e_demand)+(Carriers!$N$19/Carriers!$N$23*n2_e_demand)+nh3_e_demand)*(BT9+nh3_st_ab_losses)/1000000+nh3_st_e_demand*BT9/1000000</f>
        <v>759.00171168026975</v>
      </c>
      <c r="BX9" s="33">
        <f t="shared" ref="BX9:BX40" si="19">nh3_st_e_demand*nh3_st_nl_demand/1000000</f>
        <v>0.76626754477640768</v>
      </c>
      <c r="BY9" s="63" t="str">
        <f>IFERROR(BV9*1000000/Storage!$G$12,"")</f>
        <v/>
      </c>
      <c r="BZ9" s="63">
        <f>H2_retrieval!$F$25*h2_demand_kt/1000</f>
        <v>80</v>
      </c>
      <c r="CA9" s="63" t="str">
        <f>IFERROR(BY9*(1+H2_retrieval!$F$34)/Carrier_properties!$E$7+H2_retrieval!$F$38,"")</f>
        <v/>
      </c>
      <c r="CB9" s="149">
        <f>(FA_invest*(M9+1/FA_lifetime)/FA_prod+FA_opex+FA_e_demand*1000*$AU9/100+Carriers!$P$18/Carriers!$P$23*BD9+Carriers!$P$20/Carriers!$P$23*co2_liq_cost)*(CF9+FA_st_ab_losses)/1000000</f>
        <v>123152.54033482767</v>
      </c>
      <c r="CC9" s="86">
        <f>(FA_invest*(M9+1/FA_lifetime)/FA_prod+FA_opex+FA_e_demand*1000*$AU9/100+Carriers!$P$18/Carriers!$P$23*BD9+Carriers!$P$20/Carriers!$P$23*BP9)*(CF9+FA_st_ab_losses)/1000000</f>
        <v>155990.44019176334</v>
      </c>
      <c r="CD9" s="63">
        <f>FA_st_nl_cost*FA_st_nl_demand/1000000+(FA_st_invest*(M9+1/FA_st_lifetime+FA_st_opex)/(Storage!$I$63/1000000)+FA_st_e_demand*1000*$AU9/100)*(CF9+FA_st_ab_losses)/1000000+co2_st_nl_cost*Storage!$I$12*co2_density/FA_density/1000000+(co2_st_opex_lev+co2_st_invest_lev+co2_st_e_demand*1000*$AU9/100)*Storage!$I$12/1000000+co2_st_invest_lev*Storage!$I$12*co2_st_lifetime*M9/1000000+Carriers!$P$18/Carriers!$P$23*((CF9+FA_st_ab_losses)/365.25*short_st_duration_hrs/24)*(h2_short_st_invest*(1/gh2_short_st_lifetime+$M9+h2_short_st_opex)+h2_short_st_e_demand*1000*$AU9/100)/1000000+Carriers!$P$20/Carriers!$P$23*((CF9+FA_st_ab_losses)/365.25*short_st_duration_hrs/24)*(co2_short_st_invest*(1/co2_short_st_lifetime+$M9+co2_short_st_opex)+co2_short_st_e_demand*1000*$AU9/100)/1000000</f>
        <v>13067.37025757089</v>
      </c>
      <c r="CE9" s="63">
        <f>FA_st_nl_cost*FA_st_nl_demand/1000000+(FA_st_invest*(M9+1/FA_st_lifetime+FA_st_opex)/(Storage!$I$63/1000000)+FA_st_e_demand*1000*$AU9/100)*(CF9+FA_st_ab_losses)/1000000+Carriers!$P$18/Carriers!$P$23*((CF9+FA_st_ab_losses)/365.25*short_st_duration_hrs/24)*(h2_short_st_invest*(1/gh2_short_st_lifetime+$M9+h2_short_st_opex)+h2_short_st_e_demand*1000*$AU9/100)/1000000+Carriers!$P$20/Carriers!$P$23*((CF9+FA_st_ab_losses)/365.25*short_st_duration_hrs/24)*(co2_short_st_invest*(1/co2_short_st_lifetime+$M9+co2_short_st_opex)+co2_short_st_e_demand*1000*$AU9/100)/1000000</f>
        <v>5535.9464572001743</v>
      </c>
      <c r="CF9" s="63">
        <f>Storage!$I$57/((1-Shipping!$J$37)^($F9/24/Shipping!$J$44+0.5*Shipping!$J$59))</f>
        <v>310425396.82539684</v>
      </c>
      <c r="CG9" s="28" t="str">
        <f>IF($E9="","No Port",((F9/24/Shipping!$J$44+F9/24/Shipping!$J$50+Shipping!$J$59+Shipping!$J$64)*(Shipping!$J$22+wacc_nl*Shipping!$J$19/365.25*1000000+Shipping!$J$35)+(F9/24/Shipping!$J$44*Shipping!$J$45+Shipping!$J$64*Shipping!$J$65)*IF(bunker_choice="HFO",$H9,IF(bunker_choice="hydrogen",$BD9*hfo_e_density_lhv/h2_e_density_lhv,(CB9+CD9)*1000000/CF9*hfo_e_density_lhv/FA_e_density_lhv))+(F9/24/Shipping!$J$50*Shipping!$J$51+Shipping!$J$59*Shipping!$J$60)*IF(bunker_choice="HFO",bunker_price_ROT,IF(bunker_choice="hydrogen",$BD9*hfo_e_density_lhv/h2_e_density_lhv,(CB9+CD9)*1000000/CF9*hfo_e_density_lhv/FA_e_density_lhv))+Shipping!$J$73+IF(G9="Panama",Shipping!$J$55,0)+IF(G9="Suez",Shipping!$J$56,0))/Shipping!$J$31*CF9/1000000+IF(inland_transport_to_port="hv dc grid",$BM9/100*1000*CI9,IF(inland_transport_to_port="pipeline",$BN9,0)))</f>
        <v>No Port</v>
      </c>
      <c r="CH9" s="28" t="str">
        <f>IFERROR(CC9+CE9+CG9,"")</f>
        <v/>
      </c>
      <c r="CI9" s="29">
        <f>((Carriers!$P$18/Carriers!$P$23*alk_el_e_demand)+FA_e_demand)*(CF9+FA_st_ab_losses)/1000000+FA_st_e_demand*CF9/1000000</f>
        <v>1897.8881241622576</v>
      </c>
      <c r="CJ9" s="29">
        <f t="shared" ref="CJ9:CJ40" si="20">FA_st_e_demand*FA_st_nl_demand/1000000</f>
        <v>0.46563809523809524</v>
      </c>
      <c r="CK9" s="28" t="str">
        <f>IFERROR(CH9*1000000/Storage!$I$12,"")</f>
        <v/>
      </c>
      <c r="CL9" s="28" t="str">
        <f>IF($E9="","No Port",((F9/24/Shipping!$J$44+F9/24/Shipping!$J$50+Shipping!$J$59+Shipping!$J$64)*Carriers!$P$39*wacc_nl))</f>
        <v>No Port</v>
      </c>
      <c r="CM9" s="29">
        <f>H2_retrieval!$H$25*h2_demand_kt/1000+(co2_liq_e_demand+co2_st_e_demand*2)*Storage!$I$12*co2_density/FA_density/1000000</f>
        <v>94.204253879484654</v>
      </c>
      <c r="CN9" s="28" t="str">
        <f>IFERROR((((CB9+CD9+CG9)*(1+H2_retrieval!$H$34)+CL9)*1000000/H2_retrieval!$H$8)+h2_regen_fa,"")</f>
        <v/>
      </c>
      <c r="CO9" s="149">
        <f>(meoh_invest*(M9+1/meoh_lifetime)/meoh_prod+meoh_opex+meoh_e_demand*1000*$AU9/100+Carriers!$R$18/Carriers!$R$23*BD9+Carriers!$R$20/Carriers!$R$23*co2_liq_cost)*(CS9+meoh_st_ab_losses)/1000000</f>
        <v>64847.802944347844</v>
      </c>
      <c r="CP9" s="86">
        <f>(meoh_invest*(M9+1/meoh_lifetime)/meoh_prod+meoh_opex+meoh_e_demand*1000*$AU9/100+Carriers!$R$18/Carriers!$R$23*BD9+Carriers!$R$20/Carriers!$R$23*BP9)*(CS9+meoh_st_ab_losses)/1000000</f>
        <v>84124.663926642213</v>
      </c>
      <c r="CQ9" s="63">
        <f>meoh_st_nl_cost*meoh_st_nl_demand/1000000+(meoh_st_invest*(M9+1/meoh_st_lifetime+meoh_st_opex)/(Storage!$K$63/1000000)+meoh_st_e_demand*1000*$AU9/100)*(CS9+meoh_st_ab_losses)/1000000+co2_st_nl_cost*Storage!$K$12*co2_density/meoh_density/1000000+(co2_st_opex_lev+co2_st_invest_lev+co2_st_e_demand*1000*IFERROR(MIN(S9,AA9,AI9),S9)/100)*Storage!$K$12/1000000+co2_st_invest_lev*Storage!$K$12*co2_st_lifetime*M9/1000000+Carriers!$R$18/Carriers!$R$23*((CS9+meoh_st_ab_losses)/365.25*short_st_duration_hrs/24)*(h2_short_st_invest*(1/gh2_short_st_lifetime+$M9+h2_short_st_opex)+h2_short_st_e_demand*1000*$AU9/100)/1000000+Carriers!$R$20/Carriers!$R$23*((CF9+meoh_st_ab_losses)/365.25*short_st_duration_hrs/24)*(co2_short_st_invest*(1/co2_short_st_lifetime+$M9+co2_short_st_opex)+co2_short_st_e_demand*1000*$AU9/100)/1000000</f>
        <v>5277.0455117264937</v>
      </c>
      <c r="CR9" s="63">
        <f>meoh_st_nl_cost*meoh_st_nl_demand/1000000+(meoh_st_invest*(M9+1/meoh_st_lifetime+meoh_st_opex)/(Storage!$K$63/1000000)+meoh_st_e_demand*1000*$AU9/100)*(CS9+meoh_st_ab_losses)/1000000+Carriers!$R$18/Carriers!$R$23*((CS9+meoh_st_ab_losses)/365.25*short_st_duration_hrs/24)*(h2_short_st_invest*(1/gh2_short_st_lifetime+$M9+h2_short_st_opex)+h2_short_st_e_demand*1000*$AU9/100)/1000000+Carriers!$R$20/Carriers!$R$23*((CF9+meoh_st_ab_losses)/365.25*short_st_duration_hrs/24)*(co2_short_st_invest*(1/co2_short_st_lifetime+$M9+co2_short_st_opex)+co2_short_st_e_demand*1000*$AU9/100)/1000000</f>
        <v>2209.5001508762989</v>
      </c>
      <c r="CS9" s="63">
        <f>Storage!$K$57/((1-Shipping!$L$37)^($F9/24/Shipping!$L$44+0.5*Shipping!$L$59))</f>
        <v>108044444.44444443</v>
      </c>
      <c r="CT9" s="28" t="str">
        <f>IF($E9="","No Port",IF(AND(ship_choice="VLCC",G9="Panama"),"Ship cannot pass through Panama",IF(ship_choice="VLCC",((F9/24/Shipping!$AD$44+F9/24/Shipping!$AD$50+Shipping!$AD$59+Shipping!$AD$64)*(Shipping!$AD$22+wacc_nl*Shipping!$AD$19/365.25*1000000+Shipping!$AD$35)+(F9/24/Shipping!$AD$44*Shipping!$AD$45+Shipping!$AD$64*Shipping!$AD$65)*IF(bunker_choice="HFO",$H9,IF(bunker_choice="hydrogen",$BD9*hfo_e_density_lhv/h2_e_density_lhv,(CO9+CQ9)*1000000/CS9*hfo_e_density_lhv/meoh_e_density_lhv))+(F9/24/Shipping!$AD$50*Shipping!$AD$51+Shipping!$AD$59*Shipping!$AD$60)*IF(bunker_choice="HFO",bunker_price_ROT,IF(bunker_choice="hydrogen",$BD9*hfo_e_density_lhv/h2_e_density_lhv,(CO9+CQ9)*1000000/CS9*hfo_e_density_lhv/meoh_e_density_lhv))+Shipping!$AD$73+IF(G9="Panama",Shipping!$AD$55,0)+IF(G9="Suez",Shipping!$AD$56,0))/Shipping!$AD$31*CS9/1000000+IF(inland_transport_to_port="hv dc grid",$BM9/100*1000*CV9,IF(inland_transport_to_port="pipeline",$BN9,0)),((F9/24/Shipping!$L$44+F9/24/Shipping!$L$50+Shipping!$L$59+Shipping!$L$64)*(Shipping!$L$22+wacc_nl*Shipping!$L$19/365.25*1000000+Shipping!$L$35)+(F9/24/Shipping!$L$44*Shipping!$L$45+Shipping!$L$64*Shipping!$L$65)*IF(bunker_choice="HFO",$H9,IF(bunker_choice="hydrogen",$BD9*hfo_e_density_lhv/h2_e_density_lhv,(CO9+CQ9)*1000000/CS9*hfo_e_density_lhv/meoh_e_density_lhv))+(F9/24/Shipping!$L$50*Shipping!$L$51+Shipping!$L$59*Shipping!$L$60)*IF(bunker_choice="HFO",bunker_price_ROT,IF(bunker_choice="hydrogen",$BD9*hfo_e_density_lhv/h2_e_density_lhv,(CO9+CQ9)*1000000/CS9*hfo_e_density_lhv/meoh_e_density_lhv))+Shipping!$L$73+IF(G9="Panama",Shipping!$L$55,0)+IF(G9="Suez",Shipping!$L$56,0))/Shipping!$L$31*CS9/1000000+IF(inland_transport_to_port="hv dc grid",$BM9/100*1000*CV9,IF(inland_transport_to_port="pipeline",$BN9,0)))))</f>
        <v>No Port</v>
      </c>
      <c r="CU9" s="28" t="str">
        <f>IFERROR(CP9+CR9+CT9,"")</f>
        <v/>
      </c>
      <c r="CV9" s="29">
        <f>((Carriers!$R$18/Carriers!$R$23*alk_el_e_demand)+meoh_e_demand)*(CS9+meoh_st_ab_losses)/1000000+meoh_st_e_demand*CS9/1000000</f>
        <v>1119.9789871111109</v>
      </c>
      <c r="CW9" s="29">
        <f t="shared" ref="CW9:CW40" si="21">meoh_st_e_demand*meoh_st_nl_demand/1000000</f>
        <v>0.16206666666666666</v>
      </c>
      <c r="CX9" s="28" t="str">
        <f>IFERROR(CU9*1000000/Storage!$K$12,"")</f>
        <v/>
      </c>
      <c r="CY9" s="28" t="str">
        <f>IF($E9="","No Port",((F9/24/Shipping!$L$44+F9/24/Shipping!$L$50+Shipping!$L$59+Shipping!$L$64)*Carriers!$R$39*wacc_nl))</f>
        <v>No Port</v>
      </c>
      <c r="CZ9" s="29">
        <f>H2_retrieval!$J$25*h2_demand_kt/1000+(co2_liq_e_demand+co2_st_e_demand*2)*Storage!$K$12*co2_density/meoh_density/1000000</f>
        <v>251.05079059698966</v>
      </c>
      <c r="DA9" s="28" t="str">
        <f>IFERROR((((CO9+CQ9+CT9)*(1+H2_retrieval!$J$34)+CY9)*1000000/H2_retrieval!$J$8)+h2_regen_meoh,"")</f>
        <v/>
      </c>
      <c r="DB9" s="149">
        <f>(DBT_invest*(M9+1/DBT_lifetime)/DBT_prod+DBT_opex+DBT_e_demand*1000*$AU9/100+Carriers!$T$18/Carriers!$T$23*BD9)*(DD9+DBT_st_ab_losses)/1000000</f>
        <v>43299.336094220365</v>
      </c>
      <c r="DC9" s="28">
        <f>2*(DBT_st_nl_cost*DBT_st_nl_demand/1000000+(DBT_st_invest*(M9+1/DBT_st_lifetime+DBT_st_opex)/(Storage!$M$63/1000000)+DBT_st_e_demand*1000*$AU9/100)*(DD9+DBT_st_ab_losses)/1000000)+Carriers!$T$18/Carriers!$T$23*((DD9+DBT_st_ab_losses)/365.25*short_st_duration_hrs/24)*(h2_short_st_invest*(1/gh2_short_st_lifetime+$M9+h2_short_st_opex)+h2_short_st_e_demand*1000*$AU9/100)/1000000</f>
        <v>4498.6287835174026</v>
      </c>
      <c r="DD9" s="63">
        <f>Storage!$M$57/((1-Shipping!$N$37)^($F9/24/Shipping!$N$44+0.5*Shipping!$N$59))</f>
        <v>219354838.70967743</v>
      </c>
      <c r="DE9" s="28" t="str">
        <f>IF($E9="","No Port",IF(AND(ship_choice="VLCC",G9="Panama"),"Ship cannot pass through Panama",IF(ship_choice="VLCC",((F9/24/Shipping!$AD$44+F9/24/Shipping!$AD$50+Shipping!$AD$59+Shipping!$AD$64)*(Shipping!$AD$22+wacc_nl*Shipping!$AD$19/365.25*1000000+Shipping!$AD$35)+(F9/24/Shipping!$AD$44*Shipping!$AD$45+Shipping!$AD$64*Shipping!$AD$65)*IF(bunker_choice="HFO",$H9,IF(bunker_choice="hydrogen",$BD9*hfo_e_density_lhv/h2_e_density_lhv,(DB9+DC9)*1000000/DD9*hfo_e_density_lhv/DBT_e_density_lhv))+(F9/24/Shipping!$AD$50*Shipping!$AD$51+Shipping!$AD$59*Shipping!$AD$60)*IF(bunker_choice="HFO",bunker_price_ROT,IF(bunker_choice="hydrogen",$BD9*hfo_e_density_lhv/h2_e_density_lhv,(DB9+DC9)*1000000/DD9*hfo_e_density_lhv/DBT_e_density_lhv))+Shipping!$AD$73+IF(G9="Panama",Shipping!$AD$55,0)+IF(G9="Suez",Shipping!$AD$56,0))/Shipping!$AD$31*DD9/1000000+IF(inland_transport_to_port="hv dc grid",$BM9/100*1000*DG9,IF(inland_transport_to_port="pipeline",$BN9,0)),((F9/24/Shipping!$N$44+F9/24/Shipping!$N$50+Shipping!$N$59+Shipping!$N$64)*(Shipping!$N$22+wacc_nl*Shipping!$N$19/365.25*1000000+Shipping!$N$35)+(F9/24/Shipping!$N$44*Shipping!$N$45+Shipping!$N$64*Shipping!$N$65)*IF(bunker_choice="HFO",$H9,IF(bunker_choice="hydrogen",$BD9*hfo_e_density_lhv/h2_e_density_lhv,(DB9+DC9)*1000000/DD9*hfo_e_density_lhv/DBT_e_density_lhv))+(F9/24/Shipping!$N$50*Shipping!$N$51+Shipping!$N$59*Shipping!$N$60)*IF(bunker_choice="HFO",bunker_price_ROT,IF(bunker_choice="hydrogen",$BD9*hfo_e_density_lhv/h2_e_density_lhv,(DB9+DC9)*1000000/DD9*hfo_e_density_lhv/DBT_e_density_lhv))+Shipping!$N$73+IF(G9="Panama",Shipping!$N$55,0)+IF(G9="Suez",Shipping!$N$56,0))/Shipping!$N$31*Shipping!$N$86/1000000+IF(inland_transport_to_port="hv dc grid",$BM9/100*1000*DG9,IF(inland_transport_to_port="pipeline",$BN9,0)))))</f>
        <v>No Port</v>
      </c>
      <c r="DF9" s="28" t="str">
        <f t="shared" ref="DF9:DF15" si="22">IFERROR(DB9+DC9+DE9,"")</f>
        <v/>
      </c>
      <c r="DG9" s="29">
        <f>((Carriers!$T$18/Carriers!$T$23*alk_el_e_demand)+DBT_e_demand)*(DD9+DBT_st_ab_losses)/1000000+DBT_st_e_demand*DD9/1000000</f>
        <v>703.88335483870969</v>
      </c>
      <c r="DH9" s="29">
        <f t="shared" ref="DH9:DH40" si="23">DBT_st_e_demand*DBT_st_nl_demand/1000000</f>
        <v>0.21935483870967742</v>
      </c>
      <c r="DI9" s="28" t="str">
        <f>IFERROR(DF9*1000000/Storage!$M$12,"")</f>
        <v/>
      </c>
      <c r="DJ9" s="28" t="str">
        <f>IF($E9="","No Port",((F9/24/Shipping!$N$44+F9/24/Shipping!$N$50+Shipping!$N$59+Shipping!$N$64)*Carriers!$T$39*wacc_nl))</f>
        <v>No Port</v>
      </c>
      <c r="DK9" s="152">
        <f>H2_retrieval!$L$25*h2_demand_kt/1000+(co2_liq_e_demand+co2_st_e_demand*2)*Storage!$M$12*co2_density/DBT_density/1000000</f>
        <v>206.61934861671787</v>
      </c>
      <c r="DL9" s="28" t="str">
        <f>IFERROR(((DF9*(1+H2_retrieval!$L$34)+DJ9)*1000000/H2_retrieval!$L$8)+h2_regen_lohc,"")</f>
        <v/>
      </c>
      <c r="DM9" s="149">
        <f t="shared" ref="DM9:DM40" si="24">(nabh4_invest*(M9+1/nabh4_lifetime)/nabh4_prod+nabh4_opex+nabh4_e_demand*1000*$AU9/100)*(DO9+nabh4_st_ab_losses)/1000000</f>
        <v>68977.141072288214</v>
      </c>
      <c r="DN9" s="16">
        <f>2*(nabh4_st_nl_cost*nabh4_st_nl_demand/1000000+(nabh4_st_invest*(M9+1/nabh4_st_lifetime+nabh4_st_opex)/(Storage!$O$63/1000000)+nabh4_st_e_demand*1000*$AU9/100)*(DO9+nabh4_st_ab_losses)/1000000)+(h2_demand_kt*1000/365.25*short_st_duration_hrs/24)*(h2_short_st_invest*(1/gh2_short_st_lifetime+$M9+h2_short_st_opex)+h2_short_st_e_demand*1000*$AU9/100)/1000000</f>
        <v>1615.2587585989127</v>
      </c>
      <c r="DO9" s="63">
        <f>Storage!$O$57/((1-Shipping!$P$37)^($F9/24/Shipping!$P$44+0.5*Shipping!$P$59))</f>
        <v>63920000</v>
      </c>
      <c r="DP9" s="16" t="str">
        <f>IF($E9="","No Port",((F9/24/Shipping!$P$44+F9/24/Shipping!$P$50+Shipping!$P$59+Shipping!$P$64)*(Shipping!$P$22+wacc_nl*Shipping!$P$19/365.25*1000000+Shipping!$P$35)+(F9/24/Shipping!$P$44*Shipping!$P$45+Shipping!$P$64*Shipping!$P$65)*IF(bunker_choice="HFO",$H9,IF(bunker_choice="hydrogen",$BD9*hfo_e_density_lhv/h2_e_density_lhv,(DM9+DN9)*1000000/DO9*hfo_e_density_lhv/nabh4_e_density_lhv))+(F9/24/Shipping!$P$50*Shipping!$P$51+Shipping!$P$59*Shipping!$P$60)*IF(bunker_choice="HFO",bunker_price_ROT,IF(bunker_choice="hydrogen",$BD9*hfo_e_density_lhv/h2_e_density_lhv,(DM9+DN9)*1000000/DO9*hfo_e_density_lhv/nabh4_e_density_lhv))+Shipping!$P$73+IF(G9="Panama",Shipping!$P$55,0)+IF(G9="Suez",Shipping!$P$56,0))/Shipping!$P$31*(DO9+nabh4_st_ab_losses)/1000000+IF(inland_transport_to_port="hv dc grid",$BM9/100*1000*DR9,IF(inland_transport_to_port="pipeline",$BN9,0)))</f>
        <v>No Port</v>
      </c>
      <c r="DQ9" s="28" t="str">
        <f>IFERROR(DM9+DN9+DP9,"")</f>
        <v/>
      </c>
      <c r="DR9" s="29">
        <f>((Carriers!$V$18/Carriers!$V$23*alk_el_e_demand)+nabh4_e_demand)*(DO9+nabh4_st_ab_losses)/1000000+nabh4_st_e_demand*DO9/1000000</f>
        <v>980.02139682539689</v>
      </c>
      <c r="DS9" s="28">
        <f t="shared" ref="DS9:DS40" si="25">nabh4_st_e_demand*nabh4_st_nl_demand/1000000</f>
        <v>3.1960000000000002</v>
      </c>
      <c r="DT9" s="28" t="str">
        <f>IFERROR(DQ9*1000000/Storage!$O$12,"")</f>
        <v/>
      </c>
      <c r="DU9" s="28" t="str">
        <f>IF($E9="","No Port",((F9/24/Shipping!$P$44+F9/24/Shipping!$P$50+Shipping!$P$59+Shipping!$P$64)*Carriers!$V$39*wacc_nl))</f>
        <v>No Port</v>
      </c>
      <c r="DV9" s="152">
        <f>H2_retrieval!$N$25*h2_demand_kt/1000+(co2_liq_e_demand+co2_st_e_demand*2)*Storage!$O$12*co2_density/nabh4_density/1000000</f>
        <v>18.783638728971958</v>
      </c>
      <c r="DW9" s="28" t="str">
        <f>IFERROR(((DQ9*(1+H2_retrieval!$N$34)+DU9)*1000000/H2_retrieval!$N$8)+h2_regen_nabh4,"")</f>
        <v/>
      </c>
      <c r="DX9" s="149">
        <f>(Dme_invest*(M9+1/Dme_lifetime)/Dme_prod+Dme_opex+Dme_e_demand*1000*$AU9/100+Carriers!$X$21/Carriers!$X$23*(CO9*1000000/CS9))*(EB9+Dme_st_ab_losses)/1000000</f>
        <v>91913.131818463939</v>
      </c>
      <c r="DY9" s="86">
        <f>(Dme_invest*(M9+1/Dme_lifetime)/Dme_prod+Dme_opex+Dme_e_demand*1000*$AU9/100+Carriers!$X$21/Carriers!$X$23*(CP9*1000000/CS9))*(EB9+Dme_st_ab_losses)/1000000</f>
        <v>118065.35537675275</v>
      </c>
      <c r="DZ9" s="63">
        <f>Dme_st_nl_cost*Dme_st_nl_demand/1000000+(Dme_st_invest*(M9+1/Dme_st_lifetime+Dme_st_opex)/(Storage!$Q$63/1000000)+Dme_st_e_demand*1000*$AU9/100)*(EB9+Dme_st_ab_losses)/1000000+co2_st_nl_cost*Storage!$Q$12*co2_density/Dme_density/1000000+(co2_st_opex_lev+co2_st_invest_lev+co2_st_e_demand*1000*$AU9/100)*Storage!$Q$12/1000000+co2_st_invest_lev*Storage!$Q$12*co2_st_lifetime*M9/1000000+(h2_demand_kt*1000/365.25*short_st_duration_hrs/24)*(h2_short_st_invest*(1/gh2_short_st_lifetime+$M9+h2_short_st_opex)+h2_short_st_e_demand*1000*$AU9/100)/1000000</f>
        <v>6502.1379489034225</v>
      </c>
      <c r="EA9" s="63">
        <f>Dme_st_nl_cost*Dme_st_nl_demand/1000000+(Dme_st_invest*(M9+1/Dme_st_lifetime+Dme_st_opex)/(Storage!$Q$63/1000000)+Dme_st_e_demand*1000*$AU9/100)*(EB9+Dme_st_ab_losses)/1000000+(h2_demand_kt*1000/365.25*short_st_duration_hrs/24)*(h2_short_st_invest*(1/gh2_short_st_lifetime+$M9+h2_short_st_opex)+h2_short_st_e_demand*1000*$AU9/100)/1000000</f>
        <v>3288.9526991977696</v>
      </c>
      <c r="EB9" s="63">
        <f>Storage!$Q$57/((1-Shipping!$R$37)^($F9/24/Shipping!$R$44+0.5*Shipping!$R$59))</f>
        <v>103547089.94708996</v>
      </c>
      <c r="EC9" s="153" t="str">
        <f>IF($E9="","No Port",IF(AND(ship_choice="VLCC",G9="Panama"),"Ship cannot pass through Panama",IF(ship_choice="VLCC",((F9/24/Shipping!$AD$44+F9/24/Shipping!$AD$50+Shipping!$AD$59+Shipping!$AD$64)*(Shipping!$AD$22+wacc_nl*Shipping!$AD$19/365.25*1000000+Shipping!$AD$35)+(F9/24/Shipping!$AD$44*Shipping!$AD$45+Shipping!$AD$64*Shipping!$AD$65)*IF(bunker_choice="HFO",$H9,IF(bunker_choice="hydrogen",$BD9*hfo_e_density_lhv/h2_e_density_lhv,(DX9+DZ9)*1000000/EB9*hfo_e_density_lhv/Dme_e_density_lhv))+(F9/24/Shipping!$AD$50*Shipping!$AD$51+Shipping!$AD$59*Shipping!$AD$60)*IF(bunker_choice="HFO",bunker_price_ROT,IF(bunker_choice="hydrogen",$BD9*hfo_e_density_lhv/h2_e_density_lhv,(DX9+DZ9)*1000000/EB9*hfo_e_density_lhv/Dme_e_density_lhv))+Shipping!$AD$73+IF(G9="Panama",Shipping!$AD$55,0)+IF(G9="Suez",Shipping!$AD$56,0))/Shipping!$AD$31*(EB9+Dme_st_ab_losses)/1000000+IF(inland_transport_to_port="hv dc grid",$BM9/100*1000*EE9,IF(inland_transport_to_port="pipeline",$BN9,0)),((F9/24/Shipping!$R$44+F9/24/Shipping!$R$50+Shipping!$R$59+Shipping!$R$64)*(Shipping!$R$22+wacc_nl*Shipping!$R$19/365.25*1000000+Shipping!$R$35)+(F9/24/Shipping!$R$44*Shipping!$R$45+Shipping!$R$64*Shipping!$R$65)*IF(bunker_choice="HFO",$H9,IF(bunker_choice="hydrogen",$BD9*hfo_e_density_lhv/h2_e_density_lhv,(DX9+DZ9)*1000000/EB9*hfo_e_density_lhv/Dme_e_density_lhv))+(F9/24/Shipping!$R$50*Shipping!$R$51+Shipping!$R$59*Shipping!$R$60)*IF(bunker_choice="HFO",bunker_price_ROT,IF(bunker_choice="hydrogen",$BD9*hfo_e_density_lhv/h2_e_density_lhv,(DX9+DZ9)*1000000/EB9*hfo_e_density_lhv/Dme_e_density_lhv))+Shipping!$R$73+IF(G9="Panama",Shipping!$R$55,0)+IF(G9="Suez",Shipping!$R$56,0))/Shipping!$R$31*(EB9+Dme_st_ab_losses)/1000000+IF(inland_transport_to_port="hv dc grid",$BM9/100*1000*EE9,IF(inland_transport_to_port="pipeline",$BN9,0)))))</f>
        <v>No Port</v>
      </c>
      <c r="ED9" s="28" t="str">
        <f>IFERROR(DY9+EA9+EC9,"")</f>
        <v/>
      </c>
      <c r="EE9" s="29">
        <f>(Dme_e_demand)*(EB9+Dme_st_ab_losses)/1000000+Dme_st_e_demand*DZ9/1000000+$CV9*(Carriers!$X$21/Carriers!$X$23*EB9)/$CS9</f>
        <v>1550.2168251884352</v>
      </c>
      <c r="EF9" s="29">
        <f t="shared" ref="EF9:EF40" si="26">Dme_st_e_demand*Dme_st_nl_demand/1000000</f>
        <v>1.0354708994708997</v>
      </c>
      <c r="EG9" s="28" t="str">
        <f>IFERROR(ED9*1000000/Storage!$Q$12,"")</f>
        <v/>
      </c>
      <c r="EH9" s="28" t="str">
        <f>IF($E9="","No Port",((F9/24/Shipping!$R$44+F9/24/Shipping!$R$50+Shipping!$R$59+Shipping!$R$64)*Carriers!$X$39*wacc_nl))</f>
        <v>No Port</v>
      </c>
      <c r="EI9" s="100">
        <f>H2_retrieval!$P$25*h2_demand_kt/1000+(co2_liq_e_demand+co2_st_e_demand*2)*Storage!$Q$12*co2_density/Dme_density/1000000</f>
        <v>252.45335899349112</v>
      </c>
      <c r="EJ9" s="28" t="str">
        <f>IFERROR((((DX9+DZ9+EC9)*(1+H2_retrieval!$P$34)+EH9)*1000000/H2_retrieval!$P$8)+h2_regen_dme,"")</f>
        <v/>
      </c>
      <c r="EK9" s="149">
        <f>(ome_invest*(M9+1/ome_lifetime)/ome_prod+ome_opex+ome_e_demand*1000*$AU9/100+Carriers!$Z$21/Carriers!$Z$23*(CO9*1000000/CS9))*(EO9+ome_st_ab_losses)/1000000</f>
        <v>201807.71190195007</v>
      </c>
      <c r="EL9" s="86">
        <f>(ome_invest*(M9+1/ome_lifetime)/ome_prod+ome_opex+ome_e_demand*1000*$AU9/100+Carriers!$Z$21/Carriers!$Z$23*(CP9*1000000/CS9))*(EO9+ome_st_ab_losses)/1000000</f>
        <v>256706.32002196551</v>
      </c>
      <c r="EM9" s="63">
        <f>ome_st_nl_cost*ome_st_nl_demand/1000000+(ome_st_invest*(M9+1/ome_st_lifetime+ome_st_opex)/(Storage!$S$63/1000000)+ome_st_e_demand*1000*$AU9/100)*(EO9+ome_st_ab_losses)/1000000+co2_st_nl_cost*Storage!$S$12*co2_density/ome_density/1000000+(co2_st_opex_lev+co2_st_invest_lev+co2_st_e_demand*1000*$AU9/100)*Storage!$S$12/1000000+co2_st_invest_lev*Storage!$S$12*co2_st_lifetime*M9/1000000+(h2_demand_kt*1000/365.25*short_st_duration_hrs/24)*(h2_short_st_invest*(1/gh2_short_st_lifetime+$M9+h2_short_st_opex)+h2_short_st_e_demand*1000*$AU9/100)/1000000</f>
        <v>5622.8452794147179</v>
      </c>
      <c r="EN9" s="63">
        <f>ome_st_nl_cost*ome_st_nl_demand/1000000+(ome_st_invest*(M9+1/ome_st_lifetime+ome_st_opex)/(Storage!$S$63/1000000)+ome_st_e_demand*1000*$AU9/100)*(EO9+ome_st_ab_losses)/1000000+(h2_demand_kt*1000/365.25*short_st_duration_hrs/24)*(h2_short_st_invest*(1/gh2_short_st_lifetime+$M9+h2_short_st_opex)+h2_short_st_e_demand*1000*$AU9/100)/1000000</f>
        <v>1981.0584240458079</v>
      </c>
      <c r="EO9" s="63">
        <f>Storage!$S$57/((1-Shipping!$T$37)^($F9/24/Shipping!$T$44+0.5*Shipping!$T$59))</f>
        <v>128282539.68253967</v>
      </c>
      <c r="EP9" s="28" t="str">
        <f>IF($E9="","No Port",IF(AND(ship_choice="VLCC",G9="Panama"),"Ship cannot pass through Panama",IF(ship_choice="VLCC",((F9/24/Shipping!$AD$44+F9/24/Shipping!$AD$50+Shipping!$AD$59+Shipping!$AD$64)*(Shipping!$AD$22+wacc_nl*Shipping!$AD$19/365.25*1000000+Shipping!$AD$35)+(F9/24/Shipping!$AD$44*Shipping!$AD$45+Shipping!$AD$64*Shipping!$AD$65)*IF(bunker_choice="HFO",$H9,IF(bunker_choice="hydrogen",$BD9*hfo_e_density_lhv/h2_e_density_lhv,(EK9+EM9)*1000000/EO9*hfo_e_density_lhv/Dme_e_density_lhv))+(F9/24/Shipping!$AD$50*Shipping!$AD$51+Shipping!$AD$59*Shipping!$AD$60)*IF(bunker_choice="HFO",bunker_price_ROT,IF(bunker_choice="hydrogen",$BD9*hfo_e_density_lhv/h2_e_density_lhv,(EK9+EM9)*1000000/EO9*hfo_e_density_lhv/ome_e_density_lhv))+Shipping!$AD$73+IF(G9="Panama",Shipping!$AD$55,0)+IF(G9="Suez",Shipping!$AD$56,0))/Shipping!$AD$31*(EO9+ome_st_ab_losses)/1000000+IF(inland_transport_to_port="hv dc grid",$BM9/100*1000*ER9,IF(inland_transport_to_port="pipeline",$BN9,0)),((F9/24/Shipping!$T$44+F9/24/Shipping!$T$50+Shipping!$T$59+Shipping!$T$64)*(Shipping!$T$22+wacc_nl*Shipping!$T$19/365.25*1000000+Shipping!$T$35)+(F9/24/Shipping!$T$44*Shipping!$T$45+Shipping!$T$64*Shipping!$T$65)*IF(bunker_choice="HFO",$H9,IF(bunker_choice="hydrogen",$BD9*hfo_e_density_lhv/h2_e_density_lhv,(EK9+EM9)*1000000/EO9*hfo_e_density_lhv/Dme_e_density_lhv))+(F9/24/Shipping!$T$50*Shipping!$T$51+Shipping!$T$59*Shipping!$T$60)*IF(bunker_choice="HFO",bunker_price_ROT,IF(bunker_choice="hydrogen",$BD9*hfo_e_density_lhv/h2_e_density_lhv,(EK9+EM9)*1000000/EO9*hfo_e_density_lhv/ome_e_density_lhv))+Shipping!$T$73+IF(G9="Panama",Shipping!$T$55,0)+IF(G9="Suez",Shipping!$T$56,0))/Shipping!$T$31*(EO9+ome_st_ab_losses)/1000000+IF(inland_transport_to_port="hv dc grid",$BM9/100*1000*ER9,IF(inland_transport_to_port="pipeline",$BN9,0)))))</f>
        <v>No Port</v>
      </c>
      <c r="EQ9" s="28" t="str">
        <f>IFERROR(EL9+EN9+EP9,"")</f>
        <v/>
      </c>
      <c r="ER9" s="29">
        <f>(ome_e_demand)*(EO9+ome_st_ab_losses)/1000000+ome_st_e_demand*EM9/1000000+$CV9*(Carriers!$Z$21/Carriers!$Z$23*EO9)/$CS9</f>
        <v>3352.0814585750513</v>
      </c>
      <c r="ES9" s="29">
        <f t="shared" ref="ES9:ES40" si="27">ome_st_e_demand*ome_st_nl_demand/1000000</f>
        <v>0.1924238095238095</v>
      </c>
      <c r="ET9" s="28" t="str">
        <f>IFERROR(EQ9*1000000/Storage!$S$12,"")</f>
        <v/>
      </c>
      <c r="EU9" s="28" t="str">
        <f>IF($E9="","No Port",((F9/24/Shipping!$T$44+F9/24/Shipping!$T$50+Shipping!$T$59+Shipping!$T$64)*Carriers!$Z$39*wacc_nl))</f>
        <v>No Port</v>
      </c>
      <c r="EV9" s="100">
        <f>H2_retrieval!$R$25*h2_demand_kt/1000+(co2_liq_e_demand+co2_st_e_demand*2)*Storage!$S$12*co2_density/ome_density/1000000</f>
        <v>254.51942895252085</v>
      </c>
      <c r="EW9" s="28" t="str">
        <f>IFERROR((((EK9+EM9+EP9)*(1+H2_retrieval!$R$34)+EU9)*1000000/H2_retrieval!$R$8)+h2_regen_ome,"")</f>
        <v/>
      </c>
      <c r="EX9" s="149">
        <f>(sng_invest*(M9+1/sng_lifetime)/sng_prod+lng_invest*(M9+1/lng_lifetime)/lng_prod+sng_opex+lng_opex+(sng_e_demand+lng_e_demand)*1000*$AU9/100+Carriers!$AB$18/Carriers!$AB$23*BD9+Carriers!$AB$20/Carriers!$AB$23*co2_liq_cost)*(FB9+lng_st_ab_losses)/1000000</f>
        <v>69892.011404717996</v>
      </c>
      <c r="EY9" s="86">
        <f>(sng_invest*(M9+1/sng_lifetime)/sng_prod+lng_invest*(M9+1/lng_lifetime)/lng_prod+sng_opex+lng_opex+(sng_e_demand+lng_e_demand)*1000*$AU9/100+Carriers!$AB$18/Carriers!$AB$23*BD9+Carriers!$AB$20/Carriers!$AB$23*BP9)*(FB9+lng_st_ab_losses)/1000000</f>
        <v>84146.164300340766</v>
      </c>
      <c r="EZ9" s="63">
        <f>lng_st_nl_cost*lng_st_nl_demand/1000000+(lng_st_invest*(M9+1/lng_st_lifetime+lng_st_opex)/(Storage!$U$63/1000000)+lng_st_e_demand*1000*$AU9/100)*(FB9+lng_st_ab_losses)/1000000+co2_st_nl_cost*Storage!$U$12*co2_density/lng_density/1000000+(co2_st_opex_lev+co2_st_invest_lev+co2_st_e_demand*1000*$AU9/100)*Storage!$U$12/1000000+co2_st_invest_lev*Storage!$U$12*co2_st_lifetime*M9/1000000+Carriers!$AB$18/Carriers!$AB$23*((FB9+lng_st_ab_losses)/365.25*short_st_duration_hrs/24)*(h2_short_st_invest*(1/gh2_short_st_lifetime+$M9+h2_short_st_opex)+h2_short_st_e_demand*1000*$AU9/100)/1000000+Carriers!$AB$20/Carriers!$AB$23*((FB9+lng_st_ab_losses)/365.25*short_st_duration_hrs/24)*(co2_short_st_invest*(1/co2_short_st_lifetime+$M9+co2_short_st_opex)+co2_short_st_e_demand*1000*$AU9/100)/1000000</f>
        <v>6791.549034711169</v>
      </c>
      <c r="FA9" s="63">
        <f>lng_st_nl_cost*lng_st_nl_demand/1000000+(lng_st_invest*(M9+1/lng_st_lifetime+lng_st_opex)/(Storage!$U$63/1000000)+lng_st_e_demand*1000*$AU9/100)*(FB9+lng_st_ab_losses)/1000000+Carriers!$AB$18/Carriers!$AB$23*((FB9+lng_st_ab_losses)/365.25*short_st_duration_hrs/24)*(h2_short_st_invest*(1/gh2_short_st_lifetime+$M9+h2_short_st_opex)+h2_short_st_e_demand*1000*$AU9/100)/1000000+Carriers!$AB$20/Carriers!$AB$23*((FB9+lng_st_ab_losses)/365.25*short_st_duration_hrs/24)*(co2_short_st_invest*(1/co2_short_st_lifetime+$M9+co2_short_st_opex)+co2_short_st_e_demand*1000*$AU9/100)/1000000</f>
        <v>5094.4885690220335</v>
      </c>
      <c r="FB9" s="63">
        <f>Storage!$U$57/((1-Shipping!$V$37)^($F9/24/Shipping!$V$44+0.5*Shipping!$V$59))</f>
        <v>40707231.50721889</v>
      </c>
      <c r="FC9" s="28" t="str">
        <f>IF($E9="","No Port",IF(G9="Panama","Ship cannot pass through Panama",((F9/24/Shipping!$V$44+F9/24/Shipping!$V$50+Shipping!$V$59+Shipping!$V$64)*(Shipping!$V$22+wacc_nl*Shipping!$V$19/365.25*1000000+Shipping!$V$35)+(F9/24/Shipping!$V$44*Shipping!$V$45+Shipping!$V$64*Shipping!$V$65)*IF(bunker_choice="HFO",$H9,IF(bunker_choice="hydrogen",$BD9*hfo_e_density_lhv/h2_e_density_lhv,(EX9+EZ9)*1000000/FB9*hfo_e_density_lhv/lng_e_density_lhv))+(F9/24/Shipping!$V$50*Shipping!$V$51+Shipping!$V$59*Shipping!$V$60)*IF(bunker_choice="HFO",bunker_price_ROT,IF(bunker_choice="hydrogen",$BD9*hfo_e_density_lhv/h2_e_density_lhv,(EX9+EZ9)*1000000/FB9*hfo_e_density_lhv/lng_e_density_lhv))+Shipping!$V$73+IF(G9="Panama",Shipping!$V$55,0)+IF(G9="Suez",Shipping!$V$56,0))/Shipping!$V$31*(FB9+lng_st_ab_losses)/1000000)+IF(inland_transport_to_port="hv dc grid",$BM9/100*1000*FE9,IF(inland_transport_to_port="pipeline",$BN9,0)))</f>
        <v>No Port</v>
      </c>
      <c r="FD9" s="28" t="str">
        <f>IFERROR(EY9+FA9+FC9,"")</f>
        <v/>
      </c>
      <c r="FE9" s="29">
        <f>((Carriers!$AB$18/Carriers!$AB$23*alk_el_e_demand)+sng_e_demand+lng_e_demand)*(FB9+lng_st_ab_losses)/1000000+lng_st_e_demand*EZ9/1000000</f>
        <v>1091.7518948596301</v>
      </c>
      <c r="FF9" s="29">
        <f t="shared" ref="FF9:FF40" si="28">lng_st_e_demand*lng_st_nl_demand/1000000</f>
        <v>0.8126185861001558</v>
      </c>
      <c r="FG9" s="28" t="str">
        <f>IFERROR(FD9*1000000/Storage!$U$12,"")</f>
        <v/>
      </c>
      <c r="FH9" s="28" t="str">
        <f>IF($E9="","No Port",((F9/24/Shipping!$V$44+F9/24/Shipping!$V$50+Shipping!$V$59+Shipping!$V$64)*Carriers!$AB$39*wacc_nl))</f>
        <v>No Port</v>
      </c>
      <c r="FI9" s="100">
        <f>H2_retrieval!$T$25*h2_demand_kt/1000+(co2_liq_e_demand+co2_st_e_demand*2)*Storage!$U$12*co2_density/lng_density/1000000</f>
        <v>236.51371749646054</v>
      </c>
      <c r="FJ9" s="28" t="str">
        <f>IFERROR((((EX9+EZ9+FC9)*(1+H2_retrieval!$T$34)+FH9)*1000000/H2_retrieval!$T$8)+h2_regen_lng,"")</f>
        <v/>
      </c>
      <c r="FK9" s="149">
        <f>(lh2_invest*(M9+1/lh2_lifetime)/lh2_prod+lh2_opex+lh2_e_demand*1000*$AU9/100+Carriers!$AD$18/Carriers!$AD$23*BD9)*(FM9+lh2_st_ab_losses)/1000000</f>
        <v>55963.889107669493</v>
      </c>
      <c r="FL9" s="28">
        <f>lh2_st_nl_cost*lh2_st_nl_demand/1000000+(lh2_st_invest*(M9+1/lh2_st_lifetime+lh2_st_opex)/(Storage!$Y$63/1000000)+lh2_st_e_demand*1000*$AU9/100)*(FM9+lh2_st_ab_losses)/1000000+((FM9+lh2_st_ab_losses)/365.25*short_st_duration_hrs/24)*(h2_short_st_invest*(1/gh2_short_st_lifetime+$M9+h2_short_st_opex)+h2_short_st_e_demand*1000*$AU9/100)/1000000</f>
        <v>58429.685385202691</v>
      </c>
      <c r="FM9" s="63">
        <f>Storage!$Y$57/((1-Shipping!$Z$37)^($F9/24/Shipping!$Z$44+0.5*Shipping!$Z$59))</f>
        <v>13659984.090217989</v>
      </c>
      <c r="FN9" s="28" t="str">
        <f>IF($E9="","No Port",IF(G9="Panama","Ship cannot pass through Panama",((F9/24/Shipping!$Z$44+F9/24/Shipping!$Z$50+Shipping!$Z$59+Shipping!$Z$64)*(Shipping!$Z$22+wacc_nl*Shipping!$Z$19/365.25*1000000+Shipping!$Z$35)+(F9/24/Shipping!$Z$44*Shipping!$Z$45+Shipping!$Z$64*Shipping!$Z$65)*IF(bunker_choice="HFO",$H9,IF(bunker_choice="hydrogen",$BD9*hfo_e_density_lhv/h2_e_density_lhv,(FK9+FL9)*1000000/FM9*hfo_e_density_lhv/lh2_e_density_lhv))+(F9/24/Shipping!$Z$50*Shipping!$Z$51+Shipping!$Z$59*Shipping!$Z$60)*IF(bunker_choice="HFO",bunker_price_ROT,IF(bunker_choice="hydrogen",$BD9*hfo_e_density_lhv/h2_e_density_lhv,(FK9+FL9)*1000000/FM9*hfo_e_density_lhv/lh2_e_density_lhv))+Shipping!$Z$73+IF(G9="Panama",Shipping!$Z$55,0)+IF(G9="Suez",Shipping!$Z$56,0))/Shipping!$Z$31*(FM9+lh2_st_ab_losses)/1000000)+IF(inland_transport_to_port="hv dc grid",$BM9/100*1000*FP9,IF(inland_transport_to_port="pipeline",$BN9,0)))</f>
        <v>No Port</v>
      </c>
      <c r="FO9" s="28" t="str">
        <f>IFERROR(FK9+FL9+FN9,"")</f>
        <v/>
      </c>
      <c r="FP9" s="29">
        <f>((Carriers!$AD$18/Carriers!$AD$23*alk_el_e_demand)+lh2_e_demand)*(FM9+lh2_st_ab_losses)/1000000+lh2_st_e_demand*FM9/1000000</f>
        <v>791.60233245091877</v>
      </c>
      <c r="FQ9" s="100">
        <f t="shared" ref="FQ9:FQ40" si="29">lh2_st_e_demand*lh2_st_nl_demand/1000000</f>
        <v>1.361902463475859</v>
      </c>
      <c r="FR9" s="28" t="str">
        <f>IFERROR(FO9*1000000/Storage!$Y$12,"")</f>
        <v/>
      </c>
      <c r="FS9" s="100">
        <f>H2_retrieval!$V$25*h2_demand_kt/1000</f>
        <v>8.16</v>
      </c>
      <c r="FT9" s="28" t="str">
        <f>IFERROR(FR9*(1+H2_retrieval!$V$34)/Carrier_properties!$U$7+H2_retrieval!$V$38,"")</f>
        <v/>
      </c>
      <c r="FU9" s="12"/>
      <c r="FV9" s="24">
        <f t="shared" ref="FV9:FV40" si="30">S9</f>
        <v>2.8367088617348855</v>
      </c>
      <c r="FW9" s="24">
        <f>AA9</f>
        <v>5.1713119022123983</v>
      </c>
      <c r="FX9" s="24" t="str">
        <f>AI9</f>
        <v/>
      </c>
      <c r="FY9" s="24">
        <f>MIN(FV9:FX9)</f>
        <v>2.8367088617348855</v>
      </c>
      <c r="FZ9" s="28">
        <f>BD9</f>
        <v>2918.0856827912239</v>
      </c>
      <c r="GA9" s="28">
        <f>BR9*1000000/BT9</f>
        <v>689.5977802331787</v>
      </c>
      <c r="GB9" s="28">
        <f>CC9*1000000/CF9</f>
        <v>502.50540641010235</v>
      </c>
      <c r="GC9" s="28">
        <f>CP9*1000000/CS9</f>
        <v>778.61165707505143</v>
      </c>
      <c r="GD9" s="28">
        <f>DY9*1000000/EB9</f>
        <v>1140.2093041637506</v>
      </c>
      <c r="GE9" s="28">
        <f>EL9*1000000/EO9</f>
        <v>2001.1010123219862</v>
      </c>
      <c r="GF9" s="28">
        <f>EY9*1000000/FB9</f>
        <v>2067.1060444240366</v>
      </c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</row>
    <row r="10" spans="1:214" x14ac:dyDescent="0.2">
      <c r="A10" s="40" t="s">
        <v>31</v>
      </c>
      <c r="B10" s="12">
        <v>1661</v>
      </c>
      <c r="C10" s="12">
        <v>1</v>
      </c>
      <c r="D10" s="12">
        <f t="shared" si="0"/>
        <v>0</v>
      </c>
      <c r="E10" s="12" t="s">
        <v>695</v>
      </c>
      <c r="F10" s="12">
        <v>2641</v>
      </c>
      <c r="G10" s="12"/>
      <c r="H10" s="16">
        <f t="shared" si="1"/>
        <v>382.75862068965517</v>
      </c>
      <c r="I10" s="16">
        <v>27400</v>
      </c>
      <c r="J10" s="16">
        <f t="shared" ref="J10:J72" si="31">SQRT(I10/PI())</f>
        <v>93.389993475938653</v>
      </c>
      <c r="K10" s="27">
        <f t="shared" ref="K10:K72" si="32">IF(E10="","",1.2*J10)</f>
        <v>112.06799217112638</v>
      </c>
      <c r="L10" s="103">
        <v>0.13</v>
      </c>
      <c r="M10" s="103">
        <f t="shared" si="2"/>
        <v>0.13335824142666933</v>
      </c>
      <c r="N10" s="122">
        <f t="shared" ref="N10:N72" si="33">IF(Q10&gt;2500,0.75,IF(Q10&gt;2300,0.8,IF(Q10&gt;2100,0.85,0.9)))</f>
        <v>0.9</v>
      </c>
      <c r="O10" s="46">
        <f t="shared" si="3"/>
        <v>40</v>
      </c>
      <c r="P10" s="70">
        <f t="array" ref="P10">SUMPRODUCT(IF(Solar_data!A$4:A$777=A10,Solar_data!C$4:C$777),IF(Solar_data!A$4:A$777=A10,Solar_data!I$4:I$777))/SUMIF(Solar_data!A$4:A$777,A10,Solar_data!I$4:I$777)</f>
        <v>1733.1991813178652</v>
      </c>
      <c r="Q10" s="16">
        <f t="array" ref="Q10">MAX(IF(Solar_data!$A$777:'Solar_data'!$A$4=Country_details!$A10,Solar_data!$C$4:'Solar_data'!$C$777))</f>
        <v>1916.25</v>
      </c>
      <c r="R10" s="16">
        <f t="array" ref="R10">MIN(IF(Solar_data!$A$777:'Solar_data'!$A$4=Country_details!A10,Solar_data!$C$4:'Solar_data'!$C$777))</f>
        <v>1551.25</v>
      </c>
      <c r="S10" s="24">
        <f t="shared" si="4"/>
        <v>2.7339377089900689</v>
      </c>
      <c r="T10" s="24">
        <f t="shared" si="5"/>
        <v>2.4727768292214627</v>
      </c>
      <c r="U10" s="24">
        <f t="shared" si="6"/>
        <v>3.0546066713912188</v>
      </c>
      <c r="V10" s="16">
        <f t="array" ref="V10">SUM(IF(Solar_data!$A$777:'Solar_data'!$A$4=Country_details!$A10,Solar_data!$I$4:'Solar_data'!$I$777))</f>
        <v>202.08641568618808</v>
      </c>
      <c r="W10" s="148"/>
      <c r="X10" s="16" t="str">
        <f>IFERROR(INDEX(Onshore_wind_data!$J$5:'Onshore_wind_data'!$J$221,MATCH(A10,Onshore_wind_data!$B$5:'Onshore_wind_data'!$B$221,0)),"")</f>
        <v/>
      </c>
      <c r="Y10" s="16" t="str">
        <f>IFERROR(INDEX(Onshore_wind_data!$K$5:'Onshore_wind_data'!$K$221,MATCH(A10,Onshore_wind_data!$B$5:'Onshore_wind_data'!$B$221,0)),"")</f>
        <v/>
      </c>
      <c r="Z10" s="16" t="str">
        <f>IFERROR(INDEX(Onshore_wind_data!$L$5:'Onshore_wind_data'!$L$221,MATCH(A10,Onshore_wind_data!$B$5:'Onshore_wind_data'!$B$221,0)),"")</f>
        <v/>
      </c>
      <c r="AA10" s="24" t="str">
        <f t="shared" si="7"/>
        <v/>
      </c>
      <c r="AB10" s="24" t="str">
        <f t="shared" si="8"/>
        <v/>
      </c>
      <c r="AC10" s="24" t="str">
        <f t="shared" si="9"/>
        <v/>
      </c>
      <c r="AD10" s="16">
        <f>IFERROR(INDEX(Onshore_wind_data!$I$5:'Onshore_wind_data'!$I$221,MATCH(A10,Onshore_wind_data!$B$5:'Onshore_wind_data'!$B$221,0)),"")</f>
        <v>0</v>
      </c>
      <c r="AE10" s="148"/>
      <c r="AF10" s="16">
        <f>INDEX(Offshore_wind_data!$AA$7:$AA$192,MATCH(Country_details!A10,Offshore_wind_data!$A$7:$A$192,0))</f>
        <v>3339.2240860215052</v>
      </c>
      <c r="AG10" s="16">
        <f>INDEX(Offshore_wind_data!$Y$7:$Y$192,MATCH(Country_details!A10,Offshore_wind_data!$A$7:$A$192,0))</f>
        <v>3504</v>
      </c>
      <c r="AH10" s="16">
        <f>INDEX(Offshore_wind_data!$Z$7:$Z$192,MATCH(Country_details!A10,Offshore_wind_data!$A$7:$A$192,0))</f>
        <v>3153.6</v>
      </c>
      <c r="AI10" s="24">
        <f t="shared" si="10"/>
        <v>8.5259788101415701</v>
      </c>
      <c r="AJ10" s="24">
        <f t="shared" si="11"/>
        <v>8.1250438926180646</v>
      </c>
      <c r="AK10" s="24">
        <f t="shared" si="12"/>
        <v>9.0278265473534063</v>
      </c>
      <c r="AL10" s="16">
        <f>INDEX(Offshore_wind_data!$W$7:$W$191,MATCH(A10,Offshore_wind_data!$A$7:$A$191,0))</f>
        <v>93.16435199999998</v>
      </c>
      <c r="AM10" s="148"/>
      <c r="AN10" s="12">
        <v>2.9</v>
      </c>
      <c r="AO10" s="12">
        <v>2.7</v>
      </c>
      <c r="AP10" s="34">
        <f>0.8*11.63</f>
        <v>9.3040000000000003</v>
      </c>
      <c r="AQ10" s="15">
        <f t="shared" si="13"/>
        <v>50</v>
      </c>
      <c r="AR10" s="12">
        <f t="shared" ref="AR10:AR73" si="34">AQ10*AO10</f>
        <v>135</v>
      </c>
      <c r="AS10" s="16">
        <f t="shared" ref="AS10:AS72" si="35">IFERROR(V10+AD10+AL10-AR10,V10-AR10)</f>
        <v>160.25076768618806</v>
      </c>
      <c r="AT10" s="12"/>
      <c r="AU10" s="24">
        <f t="shared" si="14"/>
        <v>2.7339377089900689</v>
      </c>
      <c r="AV10" s="16">
        <f t="shared" si="15"/>
        <v>1733.1991813178652</v>
      </c>
      <c r="AW10" s="149">
        <f>HV_DC_Grid!$E$3/(1-AX10)*AU10/100*1000</f>
        <v>2864.6751701678627</v>
      </c>
      <c r="AX10" s="31">
        <f>(1-(1-HV_DC_Grid!$E$25)^(B10*C10*HV_DC_Grid!$E$8/1000))+(1-(1-HV_DC_Grid!$E$26)^(B10*D10*HV_DC_Grid!$E$8/1000))+HV_DC_Grid!$E$35*HV_DC_Grid!$E$28</f>
        <v>4.5637796054249544E-2</v>
      </c>
      <c r="AY10" s="28">
        <f>B10*nl_e_demand/IF(hv_dc_flh="electricity FLH",$AV10,hv_dc_custom)*1000*hv_dc_capacity_multiplier*hv_dc_length_multiplier*1000*(C10*hv_dc_overhead_invest*(hv_dc_overhead_opex+M10+1/hv_dc_lifetime)+D10*hv_dc_sea_invest*(hv_dc_sea_opex+M10+1/hv_dc_lifetime))/1000000+HV_DC_Grid!$E$10*1000*hv_dc_station_invest*hv_dc_station_number*(hv_dc_station_opex+M10+1/hv_dc_lifetime)/1000000</f>
        <v>1920.9810033376111</v>
      </c>
      <c r="AZ10" s="24">
        <f>(AW10+AY10)/(HV_DC_Grid!$E$3*1000)*100</f>
        <v>4.7856561735054735</v>
      </c>
      <c r="BA10" s="28">
        <f>MIN(((Carriers!$F$26+Carriers!$F$27)*(alk_el_opex+wacc_nl+1/alk_el_lifetime)+IF(hv_dc_flh="electricity FLH",$AV10,hv_dc_custom)*AZ10/100)/(IF(hv_dc_flh="electricity FLH",$AV10,hv_dc_custom)/alk_el_e_demand)*1000,((Carriers!$H$26+Carriers!$H$27)*(pem_el_opex+wacc_nl+1/pem_el_lifetime)+IF(hv_dc_flh="electricity FLH",$AV10,hv_dc_custom)*AZ10/100)/(IF(hv_dc_flh="electricity FLH",$AV10,hv_dc_custom)/pem_el_e_demand)*1000)</f>
        <v>2782.4379861969055</v>
      </c>
      <c r="BB10" s="12"/>
      <c r="BC10" s="12"/>
      <c r="BD10" s="149">
        <f>MIN(((Carriers!$F$26+Carriers!$F$27)*(alk_el_opex+M10+1/alk_el_lifetime)+$AV10*$AU10/100)/($AV10/alk_el_e_demand)*1000,((Carriers!$H$26+Carriers!$H$27)*(pem_el_opex+M10+1/pem_el_lifetime)+$AV10*$AU10/100)/($AV10/pem_el_e_demand)*1000)</f>
        <v>3444.8218156678972</v>
      </c>
      <c r="BE10" s="28">
        <f>Storage!$AC$50</f>
        <v>8.1664117557772418</v>
      </c>
      <c r="BF10" s="28">
        <f>((Pipeline!$D$22*Pipeline!$D$24*B10*(pipeline_opex+M10+1/pipeline_lifetime))*(Pipeline!$D$39/Pipeline!$D$3)+(Pipeline!$D$57*(pipeline_comp_opex+M10+1/pipeline_comp_lifetime)+Pipeline!$D$47*1000*Pipeline!$D$45*$AU10/100/1000000))*(Pipeline!$D$75/Pipeline!$D$45)</f>
        <v>3964.6172071041783</v>
      </c>
      <c r="BG10" s="28">
        <f>BD10+(BE10+BF10)/Storage!$AC$12*1000000</f>
        <v>3736.9382582311291</v>
      </c>
      <c r="BH10" s="28"/>
      <c r="BI10" s="28"/>
      <c r="BJ10" s="28">
        <f>IF($E10="","No Port",BK10*HV_DC_Grid!$E$3*$AU10/100*1000)</f>
        <v>44.198898746121259</v>
      </c>
      <c r="BK10" s="31">
        <f>IFERROR((1-(1-HV_DC_Grid!$E$25)^(K10*HV_DC_Grid!$E$8/1000))+HV_DC_Grid!$E$35*HV_DC_Grid!$E$28,"")</f>
        <v>1.6166754129320879E-2</v>
      </c>
      <c r="BL10" s="28">
        <f>IFERROR(K10*nl_e_demand/IF(hv_dc_flh="electricity FLH",$AV10,hv_dc_custom)*1000*hv_dc_capacity_multiplier*hv_dc_length_multiplier*1000*(hv_dc_overhead_invest*(hv_dc_overhead_opex+M10+1/hv_dc_lifetime))/1000000+HV_DC_Grid!$E$10*1000*hv_dc_station_invest*hv_dc_station_number*(hv_dc_station_opex+M10+1/hv_dc_lifetime)/1000000,"")</f>
        <v>544.08652740015157</v>
      </c>
      <c r="BM10" s="29">
        <f>IFERROR((BJ10+BL10)/(HV_DC_Grid!$E$3*1000)*100,"")</f>
        <v>0.58828542614627277</v>
      </c>
      <c r="BN10" s="28">
        <f>IFERROR(((Pipeline!$D$22*Pipeline!$D$24*K10*(pipeline_opex+M10+1/pipeline_lifetime))*(Pipeline!$D$39/Pipeline!$D$3)+(Pipeline!$D$57*(pipeline_comp_opex+M10+1/pipeline_comp_lifetime)+Pipeline!$D$47*1000*Pipeline!$D$45*S10/100/1000000))*(Pipeline!$D$75/Pipeline!$D$45),"")</f>
        <v>351.10265806319444</v>
      </c>
      <c r="BO10" s="28"/>
      <c r="BP10" s="150">
        <f t="shared" si="16"/>
        <v>118.21577811278004</v>
      </c>
      <c r="BQ10" s="34">
        <f t="shared" si="17"/>
        <v>35.272193806581747</v>
      </c>
      <c r="BR10" s="151">
        <f>(nh3_invest*(M10+1/nh3_lifetime)/nh3_prod+nh3_opex+nh3_e_demand*1000*$AU10/100+Carriers!$N$18/Carriers!$N$23*BD10+Carriers!$N$19/Carriers!$N$23*BQ10)*(BT10+nh3_st_ab_losses)/1000000</f>
        <v>59566.353985227164</v>
      </c>
      <c r="BS10" s="63">
        <f>nh3_st_nl_cost*nh3_st_nl_demand/1000000+(nh3_st_invest*(M10+1/nh3_st_lifetime+nh3_st_opex)/(Storage!$G$63/1000000)+nh3_st_e_demand*1000*$AU10/100)*(BT10+nh3_st_ab_losses)/1000000+Carriers!$N$18/Carriers!$N$23*((BT10+nh3_st_ab_losses)/365.25*short_st_duration_hrs/24)*(h2_short_st_invest*(1/gh2_short_st_lifetime+$M10+h2_short_st_opex)+h2_short_st_e_demand*1000*$AU10/100)/1000000+Carriers!$N$19/Carriers!$N$23*((BT10+nh3_st_ab_losses)/365.25*short_st_duration_hrs/24)*(n2_short_st_invest*(1/n2_short_st_lifetime+$M10+n2_short_st_opex)+n2_short_st_e_demand*1000*$AU10/100)/1000000</f>
        <v>3509.494021079814</v>
      </c>
      <c r="BT10" s="63">
        <f>Storage!$G$57/((1-Shipping!$H$37)^(F10/24/Shipping!$H$44+0.5*Shipping!$H$59))</f>
        <v>78150696.562614694</v>
      </c>
      <c r="BU10" s="63">
        <f>IF($E10="","No Port",((F10/24/Shipping!$H$44+F10/24/Shipping!$H$50+Shipping!$H$59+Shipping!$H$64)*(Shipping!$H$22+wacc_nl*Shipping!$H$19/365.25*1000000+Shipping!$H$35)+(F10/24/Shipping!$H$44*Shipping!$H$45+Shipping!$H$64*Shipping!$H$65)*IF(bunker_choice="HFO",H10,IF(bunker_choice="hydrogen",BD10*hfo_e_density_lhv/h2_e_density_lhv,(BR10+BS10)*1000000/BT10*hfo_e_density_lhv/nh3_e_density_lhv))+(F10/24/Shipping!$H$50*Shipping!$H$51+Shipping!$H$59*Shipping!$H$60)*IF(bunker_choice="HFO",bunker_price_ROT,IF(bunker_choice="hydrogen",BD10*hfo_e_density_lhv/h2_e_density_lhv,(BR10+BS10)*1000000/BT10*hfo_e_density_lhv/nh3_e_density_lhv))+Shipping!$H$73+IF(G10="Panama",Shipping!$H$55,0)+IF(G10="Suez",Shipping!$H$56,0))/Shipping!$H$31*BT10/1000000+IF(inland_transport_to_port="hv dc grid",$BM10/100*1000*BW10,IF(inland_transport_to_port="pipeline",$BN10,0)))</f>
        <v>2420.5784231310863</v>
      </c>
      <c r="BV10" s="63">
        <f t="shared" si="18"/>
        <v>65496.42642943807</v>
      </c>
      <c r="BW10" s="33">
        <f>((Carriers!$N$18/Carriers!$N$23*alk_el_e_demand)+(Carriers!$N$19/Carriers!$N$23*n2_e_demand)+nh3_e_demand)*(BT10+nh3_st_ab_losses)/1000000+nh3_st_e_demand*BT10/1000000</f>
        <v>771.76491957496103</v>
      </c>
      <c r="BX10" s="33">
        <f t="shared" si="19"/>
        <v>0.76626754477640768</v>
      </c>
      <c r="BY10" s="63">
        <f>IFERROR(BV10*1000000/Storage!$G$12,"")</f>
        <v>855.45835603464968</v>
      </c>
      <c r="BZ10" s="63">
        <f>H2_retrieval!$F$25*h2_demand_kt/1000</f>
        <v>80</v>
      </c>
      <c r="CA10" s="63">
        <f>IFERROR(BY10*(1+H2_retrieval!$F$34)/Carrier_properties!$E$7+H2_retrieval!$F$38,"")</f>
        <v>5225.1396876906529</v>
      </c>
      <c r="CB10" s="149">
        <f>(FA_invest*(M10+1/FA_lifetime)/FA_prod+FA_opex+FA_e_demand*1000*$AU10/100+Carriers!$P$18/Carriers!$P$23*BD10+Carriers!$P$20/Carriers!$P$23*co2_liq_cost)*(CF10+FA_st_ab_losses)/1000000</f>
        <v>116450.40983144412</v>
      </c>
      <c r="CC10" s="86">
        <f>(FA_invest*(M10+1/FA_lifetime)/FA_prod+FA_opex+FA_e_demand*1000*$AU10/100+Carriers!$P$18/Carriers!$P$23*BD10+Carriers!$P$20/Carriers!$P$23*BP10)*(CF10+FA_st_ab_losses)/1000000</f>
        <v>145043.26538219981</v>
      </c>
      <c r="CD10" s="63">
        <f>FA_st_nl_cost*FA_st_nl_demand/1000000+(FA_st_invest*(M10+1/FA_st_lifetime+FA_st_opex)/(Storage!$I$63/1000000)+FA_st_e_demand*1000*$AU10/100)*(CF10+FA_st_ab_losses)/1000000+co2_st_nl_cost*Storage!$I$12*co2_density/FA_density/1000000+(co2_st_opex_lev+co2_st_invest_lev+co2_st_e_demand*1000*$AU10/100)*Storage!$I$12/1000000+co2_st_invest_lev*Storage!$I$12*co2_st_lifetime*M10/1000000+Carriers!$P$18/Carriers!$P$23*((CF10+FA_st_ab_losses)/365.25*short_st_duration_hrs/24)*(h2_short_st_invest*(1/gh2_short_st_lifetime+$M10+h2_short_st_opex)+h2_short_st_e_demand*1000*$AU10/100)/1000000+Carriers!$P$20/Carriers!$P$23*((CF10+FA_st_ab_losses)/365.25*short_st_duration_hrs/24)*(co2_short_st_invest*(1/co2_short_st_lifetime+$M10+co2_short_st_opex)+co2_short_st_e_demand*1000*$AU10/100)/1000000</f>
        <v>12065.142296243966</v>
      </c>
      <c r="CE10" s="63">
        <f>FA_st_nl_cost*FA_st_nl_demand/1000000+(FA_st_invest*(M10+1/FA_st_lifetime+FA_st_opex)/(Storage!$I$63/1000000)+FA_st_e_demand*1000*$AU10/100)*(CF10+FA_st_ab_losses)/1000000+Carriers!$P$18/Carriers!$P$23*((CF10+FA_st_ab_losses)/365.25*short_st_duration_hrs/24)*(h2_short_st_invest*(1/gh2_short_st_lifetime+$M10+h2_short_st_opex)+h2_short_st_e_demand*1000*$AU10/100)/1000000+Carriers!$P$20/Carriers!$P$23*((CF10+FA_st_ab_losses)/365.25*short_st_duration_hrs/24)*(co2_short_st_invest*(1/co2_short_st_lifetime+$M10+co2_short_st_opex)+co2_short_st_e_demand*1000*$AU10/100)/1000000</f>
        <v>5241.3421858096362</v>
      </c>
      <c r="CF10" s="63">
        <f>Storage!$I$57/((1-Shipping!$J$37)^($F10/24/Shipping!$J$44+0.5*Shipping!$J$59))</f>
        <v>310425396.82539684</v>
      </c>
      <c r="CG10" s="28">
        <f>IF($E10="","No Port",((F10/24/Shipping!$J$44+F10/24/Shipping!$J$50+Shipping!$J$59+Shipping!$J$64)*(Shipping!$J$22+wacc_nl*Shipping!$J$19/365.25*1000000+Shipping!$J$35)+(F10/24/Shipping!$J$44*Shipping!$J$45+Shipping!$J$64*Shipping!$J$65)*IF(bunker_choice="HFO",$H10,IF(bunker_choice="hydrogen",$BD10*hfo_e_density_lhv/h2_e_density_lhv,(CB10+CD10)*1000000/CF10*hfo_e_density_lhv/FA_e_density_lhv))+(F10/24/Shipping!$J$50*Shipping!$J$51+Shipping!$J$59*Shipping!$J$60)*IF(bunker_choice="HFO",bunker_price_ROT,IF(bunker_choice="hydrogen",$BD10*hfo_e_density_lhv/h2_e_density_lhv,(CB10+CD10)*1000000/CF10*hfo_e_density_lhv/FA_e_density_lhv))+Shipping!$J$73+IF(G10="Panama",Shipping!$J$55,0)+IF(G10="Suez",Shipping!$J$56,0))/Shipping!$J$31*CF10/1000000+IF(inland_transport_to_port="hv dc grid",$BM10/100*1000*CI10,IF(inland_transport_to_port="pipeline",$BN10,0)))</f>
        <v>9556.0155170303988</v>
      </c>
      <c r="CH10" s="28">
        <f t="shared" ref="CH10:CH73" si="36">IFERROR(CC10+CE10+CG10,"")</f>
        <v>159840.62308503984</v>
      </c>
      <c r="CI10" s="29">
        <f>((Carriers!$P$18/Carriers!$P$23*alk_el_e_demand)+FA_e_demand)*(CF10+FA_st_ab_losses)/1000000+FA_st_e_demand*CF10/1000000</f>
        <v>1897.8881241622576</v>
      </c>
      <c r="CJ10" s="29">
        <f t="shared" si="20"/>
        <v>0.46563809523809524</v>
      </c>
      <c r="CK10" s="28">
        <f>IFERROR(CH10*1000000/Storage!$I$12,"")</f>
        <v>514.90833134037837</v>
      </c>
      <c r="CL10" s="28">
        <f>IF($E10="","No Port",((F10/24/Shipping!$J$44+F10/24/Shipping!$J$50+Shipping!$J$59+Shipping!$J$64)*Carriers!$P$39*wacc_nl))</f>
        <v>154.2078784236032</v>
      </c>
      <c r="CM10" s="29">
        <f>H2_retrieval!$H$25*h2_demand_kt/1000+(co2_liq_e_demand+co2_st_e_demand*2)*Storage!$I$12*co2_density/FA_density/1000000</f>
        <v>94.204253879484654</v>
      </c>
      <c r="CN10" s="28">
        <f>IFERROR((((CB10+CD10+CG10)*(1+H2_retrieval!$H$34)+CL10)*1000000/H2_retrieval!$H$8)+h2_regen_fa,"")</f>
        <v>10253.347332703872</v>
      </c>
      <c r="CO10" s="149">
        <f>(meoh_invest*(M10+1/meoh_lifetime)/meoh_prod+meoh_opex+meoh_e_demand*1000*$AU10/100+Carriers!$R$18/Carriers!$R$23*BD10+Carriers!$R$20/Carriers!$R$23*co2_liq_cost)*(CS10+meoh_st_ab_losses)/1000000</f>
        <v>75032.290893936617</v>
      </c>
      <c r="CP10" s="86">
        <f>(meoh_invest*(M10+1/meoh_lifetime)/meoh_prod+meoh_opex+meoh_e_demand*1000*$AU10/100+Carriers!$R$18/Carriers!$R$23*BD10+Carriers!$R$20/Carriers!$R$23*BP10)*(CS10+meoh_st_ab_losses)/1000000</f>
        <v>91817.179816189833</v>
      </c>
      <c r="CQ10" s="63">
        <f>meoh_st_nl_cost*meoh_st_nl_demand/1000000+(meoh_st_invest*(M10+1/meoh_st_lifetime+meoh_st_opex)/(Storage!$K$63/1000000)+meoh_st_e_demand*1000*$AU10/100)*(CS10+meoh_st_ab_losses)/1000000+co2_st_nl_cost*Storage!$K$12*co2_density/meoh_density/1000000+(co2_st_opex_lev+co2_st_invest_lev+co2_st_e_demand*1000*IFERROR(MIN(S10,AA10,AI10),S10)/100)*Storage!$K$12/1000000+co2_st_invest_lev*Storage!$K$12*co2_st_lifetime*M10/1000000+Carriers!$R$18/Carriers!$R$23*((CS10+meoh_st_ab_losses)/365.25*short_st_duration_hrs/24)*(h2_short_st_invest*(1/gh2_short_st_lifetime+$M10+h2_short_st_opex)+h2_short_st_e_demand*1000*$AU10/100)/1000000+Carriers!$R$20/Carriers!$R$23*((CF10+meoh_st_ab_losses)/365.25*short_st_duration_hrs/24)*(co2_short_st_invest*(1/co2_short_st_lifetime+$M10+co2_short_st_opex)+co2_short_st_e_demand*1000*$AU10/100)/1000000</f>
        <v>5048.8637863371086</v>
      </c>
      <c r="CR10" s="63">
        <f>meoh_st_nl_cost*meoh_st_nl_demand/1000000+(meoh_st_invest*(M10+1/meoh_st_lifetime+meoh_st_opex)/(Storage!$K$63/1000000)+meoh_st_e_demand*1000*$AU10/100)*(CS10+meoh_st_ab_losses)/1000000+Carriers!$R$18/Carriers!$R$23*((CS10+meoh_st_ab_losses)/365.25*short_st_duration_hrs/24)*(h2_short_st_invest*(1/gh2_short_st_lifetime+$M10+h2_short_st_opex)+h2_short_st_e_demand*1000*$AU10/100)/1000000+Carriers!$R$20/Carriers!$R$23*((CF10+meoh_st_ab_losses)/365.25*short_st_duration_hrs/24)*(co2_short_st_invest*(1/co2_short_st_lifetime+$M10+co2_short_st_opex)+co2_short_st_e_demand*1000*$AU10/100)/1000000</f>
        <v>2074.8232639783478</v>
      </c>
      <c r="CS10" s="63">
        <f>Storage!$K$57/((1-Shipping!$L$37)^($F10/24/Shipping!$L$44+0.5*Shipping!$L$59))</f>
        <v>108044444.44444443</v>
      </c>
      <c r="CT10" s="28">
        <f>IF($E10="","No Port",IF(AND(ship_choice="VLCC",G10="Panama"),"Ship cannot pass through Panama",IF(ship_choice="VLCC",((F10/24/Shipping!$AD$44+F10/24/Shipping!$AD$50+Shipping!$AD$59+Shipping!$AD$64)*(Shipping!$AD$22+wacc_nl*Shipping!$AD$19/365.25*1000000+Shipping!$AD$35)+(F10/24/Shipping!$AD$44*Shipping!$AD$45+Shipping!$AD$64*Shipping!$AD$65)*IF(bunker_choice="HFO",$H10,IF(bunker_choice="hydrogen",$BD10*hfo_e_density_lhv/h2_e_density_lhv,(CO10+CQ10)*1000000/CS10*hfo_e_density_lhv/meoh_e_density_lhv))+(F10/24/Shipping!$AD$50*Shipping!$AD$51+Shipping!$AD$59*Shipping!$AD$60)*IF(bunker_choice="HFO",bunker_price_ROT,IF(bunker_choice="hydrogen",$BD10*hfo_e_density_lhv/h2_e_density_lhv,(CO10+CQ10)*1000000/CS10*hfo_e_density_lhv/meoh_e_density_lhv))+Shipping!$AD$73+IF(G10="Panama",Shipping!$AD$55,0)+IF(G10="Suez",Shipping!$AD$56,0))/Shipping!$AD$31*CS10/1000000+IF(inland_transport_to_port="hv dc grid",$BM10/100*1000*CV10,IF(inland_transport_to_port="pipeline",$BN10,0)),((F10/24/Shipping!$L$44+F10/24/Shipping!$L$50+Shipping!$L$59+Shipping!$L$64)*(Shipping!$L$22+wacc_nl*Shipping!$L$19/365.25*1000000+Shipping!$L$35)+(F10/24/Shipping!$L$44*Shipping!$L$45+Shipping!$L$64*Shipping!$L$65)*IF(bunker_choice="HFO",$H10,IF(bunker_choice="hydrogen",$BD10*hfo_e_density_lhv/h2_e_density_lhv,(CO10+CQ10)*1000000/CS10*hfo_e_density_lhv/meoh_e_density_lhv))+(F10/24/Shipping!$L$50*Shipping!$L$51+Shipping!$L$59*Shipping!$L$60)*IF(bunker_choice="HFO",bunker_price_ROT,IF(bunker_choice="hydrogen",$BD10*hfo_e_density_lhv/h2_e_density_lhv,(CO10+CQ10)*1000000/CS10*hfo_e_density_lhv/meoh_e_density_lhv))+Shipping!$L$73+IF(G10="Panama",Shipping!$L$55,0)+IF(G10="Suez",Shipping!$L$56,0))/Shipping!$L$31*CS10/1000000+IF(inland_transport_to_port="hv dc grid",$BM10/100*1000*CV10,IF(inland_transport_to_port="pipeline",$BN10,0)))))</f>
        <v>3368.5252942282323</v>
      </c>
      <c r="CU10" s="28">
        <f t="shared" ref="CU10:CU73" si="37">IFERROR(CP10+CR10+CT10,"")</f>
        <v>97260.528374396425</v>
      </c>
      <c r="CV10" s="29">
        <f>((Carriers!$R$18/Carriers!$R$23*alk_el_e_demand)+meoh_e_demand)*(CS10+meoh_st_ab_losses)/1000000+meoh_st_e_demand*CS10/1000000</f>
        <v>1119.9789871111109</v>
      </c>
      <c r="CW10" s="29">
        <f t="shared" si="21"/>
        <v>0.16206666666666666</v>
      </c>
      <c r="CX10" s="28">
        <f>IFERROR(CU10*1000000/Storage!$K$12,"")</f>
        <v>900.18999935167415</v>
      </c>
      <c r="CY10" s="28">
        <f>IF($E10="","No Port",((F10/24/Shipping!$L$44+F10/24/Shipping!$L$50+Shipping!$L$59+Shipping!$L$64)*Carriers!$R$39*wacc_nl))</f>
        <v>54.986089798610465</v>
      </c>
      <c r="CZ10" s="29">
        <f>H2_retrieval!$J$25*h2_demand_kt/1000+(co2_liq_e_demand+co2_st_e_demand*2)*Storage!$K$12*co2_density/meoh_density/1000000</f>
        <v>251.05079059698966</v>
      </c>
      <c r="DA10" s="28">
        <f>IFERROR((((CO10+CQ10+CT10)*(1+H2_retrieval!$J$34)+CY10)*1000000/H2_retrieval!$J$8)+h2_regen_meoh,"")</f>
        <v>7310.1775185123342</v>
      </c>
      <c r="DB10" s="149">
        <f>(DBT_invest*(M10+1/DBT_lifetime)/DBT_prod+DBT_opex+DBT_e_demand*1000*$AU10/100+Carriers!$T$18/Carriers!$T$23*BD10)*(DD10+DBT_st_ab_losses)/1000000</f>
        <v>50207.988836226861</v>
      </c>
      <c r="DC10" s="28">
        <f>2*(DBT_st_nl_cost*DBT_st_nl_demand/1000000+(DBT_st_invest*(M10+1/DBT_st_lifetime+DBT_st_opex)/(Storage!$M$63/1000000)+DBT_st_e_demand*1000*$AU10/100)*(DD10+DBT_st_ab_losses)/1000000)+Carriers!$T$18/Carriers!$T$23*((DD10+DBT_st_ab_losses)/365.25*short_st_duration_hrs/24)*(h2_short_st_invest*(1/gh2_short_st_lifetime+$M10+h2_short_st_opex)+h2_short_st_e_demand*1000*$AU10/100)/1000000</f>
        <v>4260.5245498403201</v>
      </c>
      <c r="DD10" s="63">
        <f>Storage!$M$57/((1-Shipping!$N$37)^($F10/24/Shipping!$N$44+0.5*Shipping!$N$59))</f>
        <v>219354838.70967743</v>
      </c>
      <c r="DE10" s="28">
        <f>IF($E10="","No Port",IF(AND(ship_choice="VLCC",G10="Panama"),"Ship cannot pass through Panama",IF(ship_choice="VLCC",((F10/24/Shipping!$AD$44+F10/24/Shipping!$AD$50+Shipping!$AD$59+Shipping!$AD$64)*(Shipping!$AD$22+wacc_nl*Shipping!$AD$19/365.25*1000000+Shipping!$AD$35)+(F10/24/Shipping!$AD$44*Shipping!$AD$45+Shipping!$AD$64*Shipping!$AD$65)*IF(bunker_choice="HFO",$H10,IF(bunker_choice="hydrogen",$BD10*hfo_e_density_lhv/h2_e_density_lhv,(DB10+DC10)*1000000/DD10*hfo_e_density_lhv/DBT_e_density_lhv))+(F10/24/Shipping!$AD$50*Shipping!$AD$51+Shipping!$AD$59*Shipping!$AD$60)*IF(bunker_choice="HFO",bunker_price_ROT,IF(bunker_choice="hydrogen",$BD10*hfo_e_density_lhv/h2_e_density_lhv,(DB10+DC10)*1000000/DD10*hfo_e_density_lhv/DBT_e_density_lhv))+Shipping!$AD$73+IF(G10="Panama",Shipping!$AD$55,0)+IF(G10="Suez",Shipping!$AD$56,0))/Shipping!$AD$31*DD10/1000000+IF(inland_transport_to_port="hv dc grid",$BM10/100*1000*DG10,IF(inland_transport_to_port="pipeline",$BN10,0)),((F10/24/Shipping!$N$44+F10/24/Shipping!$N$50+Shipping!$N$59+Shipping!$N$64)*(Shipping!$N$22+wacc_nl*Shipping!$N$19/365.25*1000000+Shipping!$N$35)+(F10/24/Shipping!$N$44*Shipping!$N$45+Shipping!$N$64*Shipping!$N$65)*IF(bunker_choice="HFO",$H10,IF(bunker_choice="hydrogen",$BD10*hfo_e_density_lhv/h2_e_density_lhv,(DB10+DC10)*1000000/DD10*hfo_e_density_lhv/DBT_e_density_lhv))+(F10/24/Shipping!$N$50*Shipping!$N$51+Shipping!$N$59*Shipping!$N$60)*IF(bunker_choice="HFO",bunker_price_ROT,IF(bunker_choice="hydrogen",$BD10*hfo_e_density_lhv/h2_e_density_lhv,(DB10+DC10)*1000000/DD10*hfo_e_density_lhv/DBT_e_density_lhv))+Shipping!$N$73+IF(G10="Panama",Shipping!$N$55,0)+IF(G10="Suez",Shipping!$N$56,0))/Shipping!$N$31*Shipping!$N$86/1000000+IF(inland_transport_to_port="hv dc grid",$BM10/100*1000*DG10,IF(inland_transport_to_port="pipeline",$BN10,0)))))</f>
        <v>6038.1731809875428</v>
      </c>
      <c r="DF10" s="28">
        <f t="shared" si="22"/>
        <v>60506.686567054719</v>
      </c>
      <c r="DG10" s="29">
        <f>((Carriers!$T$18/Carriers!$T$23*alk_el_e_demand)+DBT_e_demand)*(DD10+DBT_st_ab_losses)/1000000+DBT_st_e_demand*DD10/1000000</f>
        <v>703.88335483870969</v>
      </c>
      <c r="DH10" s="29">
        <f t="shared" si="23"/>
        <v>0.21935483870967742</v>
      </c>
      <c r="DI10" s="28">
        <f>IFERROR(DF10*1000000/Storage!$M$12,"")</f>
        <v>275.83930640863178</v>
      </c>
      <c r="DJ10" s="28">
        <f>IF($E10="","No Port",((F10/24/Shipping!$N$44+F10/24/Shipping!$N$50+Shipping!$N$59+Shipping!$N$64)*Carriers!$T$39*wacc_nl))</f>
        <v>4004.817583472463</v>
      </c>
      <c r="DK10" s="100">
        <f>H2_retrieval!$L$25*h2_demand_kt/1000+(co2_liq_e_demand+co2_st_e_demand*2)*Storage!$M$12*co2_density/DBT_density/1000000</f>
        <v>206.61934861671787</v>
      </c>
      <c r="DL10" s="28">
        <f>IFERROR(((DF10*(1+H2_retrieval!$L$34)+DJ10)*1000000/H2_retrieval!$L$8)+h2_regen_lohc,"")</f>
        <v>5214.1427328834407</v>
      </c>
      <c r="DM10" s="149">
        <f t="shared" si="24"/>
        <v>52808.53430439192</v>
      </c>
      <c r="DN10" s="16">
        <f>2*(nabh4_st_nl_cost*nabh4_st_nl_demand/1000000+(nabh4_st_invest*(M10+1/nabh4_st_lifetime+nabh4_st_opex)/(Storage!$O$63/1000000)+nabh4_st_e_demand*1000*$AU10/100)*(DO10+nabh4_st_ab_losses)/1000000)+(h2_demand_kt*1000/365.25*short_st_duration_hrs/24)*(h2_short_st_invest*(1/gh2_short_st_lifetime+$M10+h2_short_st_opex)+h2_short_st_e_demand*1000*$AU10/100)/1000000</f>
        <v>1449.933329975283</v>
      </c>
      <c r="DO10" s="63">
        <f>Storage!$O$57/((1-Shipping!$P$37)^($F10/24/Shipping!$P$44+0.5*Shipping!$P$59))</f>
        <v>63920000</v>
      </c>
      <c r="DP10" s="16">
        <f>IF($E10="","No Port",((F10/24/Shipping!$P$44+F10/24/Shipping!$P$50+Shipping!$P$59+Shipping!$P$64)*(Shipping!$P$22+wacc_nl*Shipping!$P$19/365.25*1000000+Shipping!$P$35)+(F10/24/Shipping!$P$44*Shipping!$P$45+Shipping!$P$64*Shipping!$P$65)*IF(bunker_choice="HFO",$H10,IF(bunker_choice="hydrogen",$BD10*hfo_e_density_lhv/h2_e_density_lhv,(DM10+DN10)*1000000/DO10*hfo_e_density_lhv/nabh4_e_density_lhv))+(F10/24/Shipping!$P$50*Shipping!$P$51+Shipping!$P$59*Shipping!$P$60)*IF(bunker_choice="HFO",bunker_price_ROT,IF(bunker_choice="hydrogen",$BD10*hfo_e_density_lhv/h2_e_density_lhv,(DM10+DN10)*1000000/DO10*hfo_e_density_lhv/nabh4_e_density_lhv))+Shipping!$P$73+IF(G10="Panama",Shipping!$P$55,0)+IF(G10="Suez",Shipping!$P$56,0))/Shipping!$P$31*(DO10+nabh4_st_ab_losses)/1000000+IF(inland_transport_to_port="hv dc grid",$BM10/100*1000*DR10,IF(inland_transport_to_port="pipeline",$BN10,0)))</f>
        <v>1826.9108913498308</v>
      </c>
      <c r="DQ10" s="28">
        <f t="shared" ref="DQ10:DQ21" si="38">IFERROR(DM10+DN10+DP10,"")</f>
        <v>56085.378525717031</v>
      </c>
      <c r="DR10" s="29">
        <f>((Carriers!$V$18/Carriers!$V$23*alk_el_e_demand)+nabh4_e_demand)*(DO10+nabh4_st_ab_losses)/1000000+nabh4_st_e_demand*DO10/1000000</f>
        <v>980.02139682539689</v>
      </c>
      <c r="DS10" s="28">
        <f t="shared" si="25"/>
        <v>3.1960000000000002</v>
      </c>
      <c r="DT10" s="28">
        <f>IFERROR(DQ10*1000000/Storage!$O$12,"")</f>
        <v>877.43082799932779</v>
      </c>
      <c r="DU10" s="28">
        <f>IF($E10="","No Port",((F10/24/Shipping!$P$44+F10/24/Shipping!$P$50+Shipping!$P$59+Shipping!$P$64)*Carriers!$V$39*wacc_nl))</f>
        <v>380.92277054576505</v>
      </c>
      <c r="DV10" s="100">
        <f>H2_retrieval!$N$25*h2_demand_kt/1000+(co2_liq_e_demand+co2_st_e_demand*2)*Storage!$O$12*co2_density/nabh4_density/1000000</f>
        <v>18.783638728971958</v>
      </c>
      <c r="DW10" s="28">
        <f>IFERROR(((DQ10*(1+H2_retrieval!$N$34)+DU10)*1000000/H2_retrieval!$N$8)+h2_regen_nabh4,"")</f>
        <v>4241.2866271254288</v>
      </c>
      <c r="DX10" s="149">
        <f>(Dme_invest*(M10+1/Dme_lifetime)/Dme_prod+Dme_opex+Dme_e_demand*1000*$AU10/100+Carriers!$X$21/Carriers!$X$23*(CO10*1000000/CS10))*(EB10+Dme_st_ab_losses)/1000000</f>
        <v>105062.15428223365</v>
      </c>
      <c r="DY10" s="86">
        <f>(Dme_invest*(M10+1/Dme_lifetime)/Dme_prod+Dme_opex+Dme_e_demand*1000*$AU10/100+Carriers!$X$21/Carriers!$X$23*(CP10*1000000/CS10))*(EB10+Dme_st_ab_losses)/1000000</f>
        <v>127833.60902784776</v>
      </c>
      <c r="DZ10" s="63">
        <f>Dme_st_nl_cost*Dme_st_nl_demand/1000000+(Dme_st_invest*(M10+1/Dme_st_lifetime+Dme_st_opex)/(Storage!$Q$63/1000000)+Dme_st_e_demand*1000*$AU10/100)*(EB10+Dme_st_ab_losses)/1000000+co2_st_nl_cost*Storage!$Q$12*co2_density/Dme_density/1000000+(co2_st_opex_lev+co2_st_invest_lev+co2_st_e_demand*1000*$AU10/100)*Storage!$Q$12/1000000+co2_st_invest_lev*Storage!$Q$12*co2_st_lifetime*M10/1000000+(h2_demand_kt*1000/365.25*short_st_duration_hrs/24)*(h2_short_st_invest*(1/gh2_short_st_lifetime+$M10+h2_short_st_opex)+h2_short_st_e_demand*1000*$AU10/100)/1000000</f>
        <v>6079.6528414672703</v>
      </c>
      <c r="EA10" s="63">
        <f>Dme_st_nl_cost*Dme_st_nl_demand/1000000+(Dme_st_invest*(M10+1/Dme_st_lifetime+Dme_st_opex)/(Storage!$Q$63/1000000)+Dme_st_e_demand*1000*$AU10/100)*(EB10+Dme_st_ab_losses)/1000000+(h2_demand_kt*1000/365.25*short_st_duration_hrs/24)*(h2_short_st_invest*(1/gh2_short_st_lifetime+$M10+h2_short_st_opex)+h2_short_st_e_demand*1000*$AU10/100)/1000000</f>
        <v>3102.5061846727131</v>
      </c>
      <c r="EB10" s="63">
        <f>Storage!$Q$57/((1-Shipping!$R$37)^($F10/24/Shipping!$R$44+0.5*Shipping!$R$59))</f>
        <v>103547089.94708996</v>
      </c>
      <c r="EC10" s="153">
        <f>IF($E10="","No Port",IF(AND(ship_choice="VLCC",G10="Panama"),"Ship cannot pass through Panama",IF(ship_choice="VLCC",((F10/24/Shipping!$AD$44+F10/24/Shipping!$AD$50+Shipping!$AD$59+Shipping!$AD$64)*(Shipping!$AD$22+wacc_nl*Shipping!$AD$19/365.25*1000000+Shipping!$AD$35)+(F10/24/Shipping!$AD$44*Shipping!$AD$45+Shipping!$AD$64*Shipping!$AD$65)*IF(bunker_choice="HFO",$H10,IF(bunker_choice="hydrogen",$BD10*hfo_e_density_lhv/h2_e_density_lhv,(DX10+DZ10)*1000000/EB10*hfo_e_density_lhv/Dme_e_density_lhv))+(F10/24/Shipping!$AD$50*Shipping!$AD$51+Shipping!$AD$59*Shipping!$AD$60)*IF(bunker_choice="HFO",bunker_price_ROT,IF(bunker_choice="hydrogen",$BD10*hfo_e_density_lhv/h2_e_density_lhv,(DX10+DZ10)*1000000/EB10*hfo_e_density_lhv/Dme_e_density_lhv))+Shipping!$AD$73+IF(G10="Panama",Shipping!$AD$55,0)+IF(G10="Suez",Shipping!$AD$56,0))/Shipping!$AD$31*(EB10+Dme_st_ab_losses)/1000000+IF(inland_transport_to_port="hv dc grid",$BM10/100*1000*EE10,IF(inland_transport_to_port="pipeline",$BN10,0)),((F10/24/Shipping!$R$44+F10/24/Shipping!$R$50+Shipping!$R$59+Shipping!$R$64)*(Shipping!$R$22+wacc_nl*Shipping!$R$19/365.25*1000000+Shipping!$R$35)+(F10/24/Shipping!$R$44*Shipping!$R$45+Shipping!$R$64*Shipping!$R$65)*IF(bunker_choice="HFO",$H10,IF(bunker_choice="hydrogen",$BD10*hfo_e_density_lhv/h2_e_density_lhv,(DX10+DZ10)*1000000/EB10*hfo_e_density_lhv/Dme_e_density_lhv))+(F10/24/Shipping!$R$50*Shipping!$R$51+Shipping!$R$59*Shipping!$R$60)*IF(bunker_choice="HFO",bunker_price_ROT,IF(bunker_choice="hydrogen",$BD10*hfo_e_density_lhv/h2_e_density_lhv,(DX10+DZ10)*1000000/EB10*hfo_e_density_lhv/Dme_e_density_lhv))+Shipping!$R$73+IF(G10="Panama",Shipping!$R$55,0)+IF(G10="Suez",Shipping!$R$56,0))/Shipping!$R$31*(EB10+Dme_st_ab_losses)/1000000+IF(inland_transport_to_port="hv dc grid",$BM10/100*1000*EE10,IF(inland_transport_to_port="pipeline",$BN10,0)))))</f>
        <v>3371.688396600427</v>
      </c>
      <c r="ED10" s="28">
        <f t="shared" ref="ED10:ED73" si="39">IFERROR(DY10+EA10+EC10,"")</f>
        <v>134307.80360912092</v>
      </c>
      <c r="EE10" s="29">
        <f>(Dme_e_demand)*(EB10+Dme_st_ab_losses)/1000000+Dme_st_e_demand*DZ10/1000000+$CV10*(Carriers!$X$21/Carriers!$X$23*EB10)/$CS10</f>
        <v>1550.2168209635843</v>
      </c>
      <c r="EF10" s="29">
        <f t="shared" si="26"/>
        <v>1.0354708994708997</v>
      </c>
      <c r="EG10" s="28">
        <f>IFERROR(ED10*1000000/Storage!$Q$12,"")</f>
        <v>1297.0698034850516</v>
      </c>
      <c r="EH10" s="28">
        <f>IF($E10="","No Port",((F10/24/Shipping!$R$44+F10/24/Shipping!$R$50+Shipping!$R$59+Shipping!$R$64)*Carriers!$X$39*wacc_nl))</f>
        <v>56.462233653307159</v>
      </c>
      <c r="EI10" s="100">
        <f>H2_retrieval!$P$25*h2_demand_kt/1000+(co2_liq_e_demand+co2_st_e_demand*2)*Storage!$Q$12*co2_density/Dme_density/1000000</f>
        <v>252.45335899349112</v>
      </c>
      <c r="EJ10" s="28">
        <f>IFERROR((((DX10+DZ10+EC10)*(1+H2_retrieval!$P$34)+EH10)*1000000/H2_retrieval!$P$8)+h2_regen_dme,"")</f>
        <v>9594.3901427516048</v>
      </c>
      <c r="EK10" s="149">
        <f>(ome_invest*(M10+1/ome_lifetime)/ome_prod+ome_opex+ome_e_demand*1000*$AU10/100+Carriers!$Z$21/Carriers!$Z$23*(CO10*1000000/CS10))*(EO10+ome_st_ab_losses)/1000000</f>
        <v>227623.4742469269</v>
      </c>
      <c r="EL10" s="86">
        <f>(ome_invest*(M10+1/ome_lifetime)/ome_prod+ome_opex+ome_e_demand*1000*$AU10/100+Carriers!$Z$21/Carriers!$Z$23*(CP10*1000000/CS10))*(EO10+ome_st_ab_losses)/1000000</f>
        <v>275425.19051842601</v>
      </c>
      <c r="EM10" s="63">
        <f>ome_st_nl_cost*ome_st_nl_demand/1000000+(ome_st_invest*(M10+1/ome_st_lifetime+ome_st_opex)/(Storage!$S$63/1000000)+ome_st_e_demand*1000*$AU10/100)*(EO10+ome_st_ab_losses)/1000000+co2_st_nl_cost*Storage!$S$12*co2_density/ome_density/1000000+(co2_st_opex_lev+co2_st_invest_lev+co2_st_e_demand*1000*$AU10/100)*Storage!$S$12/1000000+co2_st_invest_lev*Storage!$S$12*co2_st_lifetime*M10/1000000+(h2_demand_kt*1000/365.25*short_st_duration_hrs/24)*(h2_short_st_invest*(1/gh2_short_st_lifetime+$M10+h2_short_st_opex)+h2_short_st_e_demand*1000*$AU10/100)/1000000</f>
        <v>5216.0814209376185</v>
      </c>
      <c r="EN10" s="63">
        <f>ome_st_nl_cost*ome_st_nl_demand/1000000+(ome_st_invest*(M10+1/ome_st_lifetime+ome_st_opex)/(Storage!$S$63/1000000)+ome_st_e_demand*1000*$AU10/100)*(EO10+ome_st_ab_losses)/1000000+(h2_demand_kt*1000/365.25*short_st_duration_hrs/24)*(h2_short_st_invest*(1/gh2_short_st_lifetime+$M10+h2_short_st_opex)+h2_short_st_e_demand*1000*$AU10/100)/1000000</f>
        <v>1866.7183331241326</v>
      </c>
      <c r="EO10" s="63">
        <f>Storage!$S$57/((1-Shipping!$T$37)^($F10/24/Shipping!$T$44+0.5*Shipping!$T$59))</f>
        <v>128282539.68253967</v>
      </c>
      <c r="EP10" s="28">
        <f>IF($E10="","No Port",IF(AND(ship_choice="VLCC",G10="Panama"),"Ship cannot pass through Panama",IF(ship_choice="VLCC",((F10/24/Shipping!$AD$44+F10/24/Shipping!$AD$50+Shipping!$AD$59+Shipping!$AD$64)*(Shipping!$AD$22+wacc_nl*Shipping!$AD$19/365.25*1000000+Shipping!$AD$35)+(F10/24/Shipping!$AD$44*Shipping!$AD$45+Shipping!$AD$64*Shipping!$AD$65)*IF(bunker_choice="HFO",$H10,IF(bunker_choice="hydrogen",$BD10*hfo_e_density_lhv/h2_e_density_lhv,(EK10+EM10)*1000000/EO10*hfo_e_density_lhv/Dme_e_density_lhv))+(F10/24/Shipping!$AD$50*Shipping!$AD$51+Shipping!$AD$59*Shipping!$AD$60)*IF(bunker_choice="HFO",bunker_price_ROT,IF(bunker_choice="hydrogen",$BD10*hfo_e_density_lhv/h2_e_density_lhv,(EK10+EM10)*1000000/EO10*hfo_e_density_lhv/ome_e_density_lhv))+Shipping!$AD$73+IF(G10="Panama",Shipping!$AD$55,0)+IF(G10="Suez",Shipping!$AD$56,0))/Shipping!$AD$31*(EO10+ome_st_ab_losses)/1000000+IF(inland_transport_to_port="hv dc grid",$BM10/100*1000*ER10,IF(inland_transport_to_port="pipeline",$BN10,0)),((F10/24/Shipping!$T$44+F10/24/Shipping!$T$50+Shipping!$T$59+Shipping!$T$64)*(Shipping!$T$22+wacc_nl*Shipping!$T$19/365.25*1000000+Shipping!$T$35)+(F10/24/Shipping!$T$44*Shipping!$T$45+Shipping!$T$64*Shipping!$T$65)*IF(bunker_choice="HFO",$H10,IF(bunker_choice="hydrogen",$BD10*hfo_e_density_lhv/h2_e_density_lhv,(EK10+EM10)*1000000/EO10*hfo_e_density_lhv/Dme_e_density_lhv))+(F10/24/Shipping!$T$50*Shipping!$T$51+Shipping!$T$59*Shipping!$T$60)*IF(bunker_choice="HFO",bunker_price_ROT,IF(bunker_choice="hydrogen",$BD10*hfo_e_density_lhv/h2_e_density_lhv,(EK10+EM10)*1000000/EO10*hfo_e_density_lhv/ome_e_density_lhv))+Shipping!$T$73+IF(G10="Panama",Shipping!$T$55,0)+IF(G10="Suez",Shipping!$T$56,0))/Shipping!$T$31*(EO10+ome_st_ab_losses)/1000000+IF(inland_transport_to_port="hv dc grid",$BM10/100*1000*ER10,IF(inland_transport_to_port="pipeline",$BN10,0)))))</f>
        <v>3736.9054587904193</v>
      </c>
      <c r="EQ10" s="28">
        <f t="shared" ref="EQ10:EQ73" si="40">IFERROR(EL10+EN10+EP10,"")</f>
        <v>281028.81431034056</v>
      </c>
      <c r="ER10" s="29">
        <f>(ome_e_demand)*(EO10+ome_st_ab_losses)/1000000+ome_st_e_demand*EM10/1000000+$CV10*(Carriers!$Z$21/Carriers!$Z$23*EO10)/$CS10</f>
        <v>3352.0814579649054</v>
      </c>
      <c r="ES10" s="29">
        <f t="shared" si="27"/>
        <v>0.1924238095238095</v>
      </c>
      <c r="ET10" s="28">
        <f>IFERROR(EQ10*1000000/Storage!$S$12,"")</f>
        <v>2190.7019848983468</v>
      </c>
      <c r="EU10" s="28">
        <f>IF($E10="","No Port",((F10/24/Shipping!$T$44+F10/24/Shipping!$T$50+Shipping!$T$59+Shipping!$T$64)*Carriers!$Z$39*wacc_nl))</f>
        <v>65.285682043604936</v>
      </c>
      <c r="EV10" s="100">
        <f>H2_retrieval!$R$25*h2_demand_kt/1000+(co2_liq_e_demand+co2_st_e_demand*2)*Storage!$S$12*co2_density/ome_density/1000000</f>
        <v>254.51942895252085</v>
      </c>
      <c r="EW10" s="28">
        <f>IFERROR((((EK10+EM10+EP10)*(1+H2_retrieval!$R$34)+EU10)*1000000/H2_retrieval!$R$8)+h2_regen_ome,"")</f>
        <v>18570.256985012184</v>
      </c>
      <c r="EX10" s="149">
        <f>(sng_invest*(M10+1/sng_lifetime)/sng_prod+lng_invest*(M10+1/lng_lifetime)/lng_prod+sng_opex+lng_opex+(sng_e_demand+lng_e_demand)*1000*$AU10/100+Carriers!$AB$18/Carriers!$AB$23*BD10+Carriers!$AB$20/Carriers!$AB$23*co2_liq_cost)*(FB10+lng_st_ab_losses)/1000000</f>
        <v>80261.650696903176</v>
      </c>
      <c r="EY10" s="86">
        <f>(sng_invest*(M10+1/sng_lifetime)/sng_prod+lng_invest*(M10+1/lng_lifetime)/lng_prod+sng_opex+lng_opex+(sng_e_demand+lng_e_demand)*1000*$AU10/100+Carriers!$AB$18/Carriers!$AB$23*BD10+Carriers!$AB$20/Carriers!$AB$23*BP10)*(FB10+lng_st_ab_losses)/1000000</f>
        <v>92778.908410309828</v>
      </c>
      <c r="EZ10" s="63">
        <f>lng_st_nl_cost*lng_st_nl_demand/1000000+(lng_st_invest*(M10+1/lng_st_lifetime+lng_st_opex)/(Storage!$U$63/1000000)+lng_st_e_demand*1000*$AU10/100)*(FB10+lng_st_ab_losses)/1000000+co2_st_nl_cost*Storage!$U$12*co2_density/lng_density/1000000+(co2_st_opex_lev+co2_st_invest_lev+co2_st_e_demand*1000*$AU10/100)*Storage!$U$12/1000000+co2_st_invest_lev*Storage!$U$12*co2_st_lifetime*M10/1000000+Carriers!$AB$18/Carriers!$AB$23*((FB10+lng_st_ab_losses)/365.25*short_st_duration_hrs/24)*(h2_short_st_invest*(1/gh2_short_st_lifetime+$M10+h2_short_st_opex)+h2_short_st_e_demand*1000*$AU10/100)/1000000+Carriers!$AB$20/Carriers!$AB$23*((FB10+lng_st_ab_losses)/365.25*short_st_duration_hrs/24)*(co2_short_st_invest*(1/co2_short_st_lifetime+$M10+co2_short_st_opex)+co2_short_st_e_demand*1000*$AU10/100)/1000000</f>
        <v>6447.7788510792907</v>
      </c>
      <c r="FA10" s="63">
        <f>lng_st_nl_cost*lng_st_nl_demand/1000000+(lng_st_invest*(M10+1/lng_st_lifetime+lng_st_opex)/(Storage!$U$63/1000000)+lng_st_e_demand*1000*$AU10/100)*(FB10+lng_st_ab_losses)/1000000+Carriers!$AB$18/Carriers!$AB$23*((FB10+lng_st_ab_losses)/365.25*short_st_duration_hrs/24)*(h2_short_st_invest*(1/gh2_short_st_lifetime+$M10+h2_short_st_opex)+h2_short_st_e_demand*1000*$AU10/100)/1000000+Carriers!$AB$20/Carriers!$AB$23*((FB10+lng_st_ab_losses)/365.25*short_st_duration_hrs/24)*(co2_short_st_invest*(1/co2_short_st_lifetime+$M10+co2_short_st_opex)+co2_short_st_e_demand*1000*$AU10/100)/1000000</f>
        <v>4843.2310792065964</v>
      </c>
      <c r="FB10" s="63">
        <f>Storage!$U$57/((1-Shipping!$V$37)^($F10/24/Shipping!$V$44+0.5*Shipping!$V$59))</f>
        <v>41054560.893517345</v>
      </c>
      <c r="FC10" s="28">
        <f>IF($E10="","No Port",IF(G10="Panama","Ship cannot pass through Panama",((F10/24/Shipping!$V$44+F10/24/Shipping!$V$50+Shipping!$V$59+Shipping!$V$64)*(Shipping!$V$22+wacc_nl*Shipping!$V$19/365.25*1000000+Shipping!$V$35)+(F10/24/Shipping!$V$44*Shipping!$V$45+Shipping!$V$64*Shipping!$V$65)*IF(bunker_choice="HFO",$H10,IF(bunker_choice="hydrogen",$BD10*hfo_e_density_lhv/h2_e_density_lhv,(EX10+EZ10)*1000000/FB10*hfo_e_density_lhv/lng_e_density_lhv))+(F10/24/Shipping!$V$50*Shipping!$V$51+Shipping!$V$59*Shipping!$V$60)*IF(bunker_choice="HFO",bunker_price_ROT,IF(bunker_choice="hydrogen",$BD10*hfo_e_density_lhv/h2_e_density_lhv,(EX10+EZ10)*1000000/FB10*hfo_e_density_lhv/lng_e_density_lhv))+Shipping!$V$73+IF(G10="Panama",Shipping!$V$55,0)+IF(G10="Suez",Shipping!$V$56,0))/Shipping!$V$31*(FB10+lng_st_ab_losses)/1000000)+IF(inland_transport_to_port="hv dc grid",$BM10/100*1000*FE10,IF(inland_transport_to_port="pipeline",$BN10,0)))</f>
        <v>1486.5012443000478</v>
      </c>
      <c r="FD10" s="28">
        <f t="shared" ref="FD10:FD73" si="41">IFERROR(EY10+FA10+FC10,"")</f>
        <v>99108.640733816472</v>
      </c>
      <c r="FE10" s="29">
        <f>((Carriers!$AB$18/Carriers!$AB$23*alk_el_e_demand)+sng_e_demand+lng_e_demand)*(FB10+lng_st_ab_losses)/1000000+lng_st_e_demand*EZ10/1000000</f>
        <v>1101.0564262798252</v>
      </c>
      <c r="FF10" s="29">
        <f t="shared" si="28"/>
        <v>0.8126185861001558</v>
      </c>
      <c r="FG10" s="28">
        <f>IFERROR(FD10*1000000/Storage!$U$12,"")</f>
        <v>2442.0542734005153</v>
      </c>
      <c r="FH10" s="28">
        <f>IF($E10="","No Port",((F10/24/Shipping!$V$44+F10/24/Shipping!$V$50+Shipping!$V$59+Shipping!$V$64)*Carriers!$AB$39*wacc_nl))</f>
        <v>19.491386622359226</v>
      </c>
      <c r="FI10" s="100">
        <f>H2_retrieval!$T$25*h2_demand_kt/1000+(co2_liq_e_demand+co2_st_e_demand*2)*Storage!$U$12*co2_density/lng_density/1000000</f>
        <v>236.51371749646054</v>
      </c>
      <c r="FJ10" s="28">
        <f>IFERROR((((EX10+EZ10+FC10)*(1+H2_retrieval!$T$34)+FH10)*1000000/H2_retrieval!$T$8)+h2_regen_lng,"")</f>
        <v>7656.5566445861805</v>
      </c>
      <c r="FK10" s="149">
        <f>(lh2_invest*(M10+1/lh2_lifetime)/lh2_prod+lh2_opex+lh2_e_demand*1000*$AU10/100+Carriers!$AD$18/Carriers!$AD$23*BD10)*(FM10+lh2_st_ab_losses)/1000000</f>
        <v>61732.497216372649</v>
      </c>
      <c r="FL10" s="28">
        <f>lh2_st_nl_cost*lh2_st_nl_demand/1000000+(lh2_st_invest*(M10+1/lh2_st_lifetime+lh2_st_opex)/(Storage!$Y$63/1000000)+lh2_st_e_demand*1000*$AU10/100)*(FM10+lh2_st_ab_losses)/1000000+((FM10+lh2_st_ab_losses)/365.25*short_st_duration_hrs/24)*(h2_short_st_invest*(1/gh2_short_st_lifetime+$M10+h2_short_st_opex)+h2_short_st_e_demand*1000*$AU10/100)/1000000</f>
        <v>56066.010284767457</v>
      </c>
      <c r="FM10" s="63">
        <f>Storage!$Y$57/((1-Shipping!$Z$37)^($F10/24/Shipping!$Z$44+0.5*Shipping!$Z$59))</f>
        <v>13847014.972068116</v>
      </c>
      <c r="FN10" s="28">
        <f>IF($E10="","No Port",IF(G10="Panama","Ship cannot pass through Panama",((F10/24/Shipping!$Z$44+F10/24/Shipping!$Z$50+Shipping!$Z$59+Shipping!$Z$64)*(Shipping!$Z$22+wacc_nl*Shipping!$Z$19/365.25*1000000+Shipping!$Z$35)+(F10/24/Shipping!$Z$44*Shipping!$Z$45+Shipping!$Z$64*Shipping!$Z$65)*IF(bunker_choice="HFO",$H10,IF(bunker_choice="hydrogen",$BD10*hfo_e_density_lhv/h2_e_density_lhv,(FK10+FL10)*1000000/FM10*hfo_e_density_lhv/lh2_e_density_lhv))+(F10/24/Shipping!$Z$50*Shipping!$Z$51+Shipping!$Z$59*Shipping!$Z$60)*IF(bunker_choice="HFO",bunker_price_ROT,IF(bunker_choice="hydrogen",$BD10*hfo_e_density_lhv/h2_e_density_lhv,(FK10+FL10)*1000000/FM10*hfo_e_density_lhv/lh2_e_density_lhv))+Shipping!$Z$73+IF(G10="Panama",Shipping!$Z$55,0)+IF(G10="Suez",Shipping!$Z$56,0))/Shipping!$Z$31*(FM10+lh2_st_ab_losses)/1000000)+IF(inland_transport_to_port="hv dc grid",$BM10/100*1000*FP10,IF(inland_transport_to_port="pipeline",$BN10,0)))</f>
        <v>2358.3921510395203</v>
      </c>
      <c r="FO10" s="28">
        <f t="shared" ref="FO10:FO72" si="42">IFERROR(FK10+FL10+FN10,"")</f>
        <v>120156.89965217962</v>
      </c>
      <c r="FP10" s="29">
        <f>((Carriers!$AD$18/Carriers!$AD$23*alk_el_e_demand)+lh2_e_demand)*(FM10+lh2_st_ab_losses)/1000000+lh2_st_e_demand*FM10/1000000</f>
        <v>802.42580958358553</v>
      </c>
      <c r="FQ10" s="100">
        <f t="shared" si="29"/>
        <v>1.361902463475859</v>
      </c>
      <c r="FR10" s="28">
        <f>IFERROR(FO10*1000000/Storage!$Y$12,"")</f>
        <v>8835.06615089556</v>
      </c>
      <c r="FS10" s="100">
        <f>H2_retrieval!$V$25*h2_demand_kt/1000</f>
        <v>8.16</v>
      </c>
      <c r="FT10" s="28">
        <f>IFERROR(FR10*(1+H2_retrieval!$V$34)/Carrier_properties!$U$7+H2_retrieval!$V$38,"")</f>
        <v>8867.034876764028</v>
      </c>
      <c r="FU10" s="12"/>
      <c r="FV10" s="24">
        <f t="shared" si="30"/>
        <v>2.7339377089900689</v>
      </c>
      <c r="FW10" s="24" t="str">
        <f t="shared" ref="FW10:FW32" si="43">AA10</f>
        <v/>
      </c>
      <c r="FX10" s="24">
        <f t="shared" ref="FX10:FX32" si="44">AI10</f>
        <v>8.5259788101415701</v>
      </c>
      <c r="FY10" s="24">
        <f t="shared" ref="FY10:FY72" si="45">MIN(FV10:FX10)</f>
        <v>2.7339377089900689</v>
      </c>
      <c r="FZ10" s="28">
        <f t="shared" ref="FZ10:FZ32" si="46">BD10</f>
        <v>3444.8218156678972</v>
      </c>
      <c r="GA10" s="28">
        <f t="shared" ref="GA10:GA73" si="47">BR10*1000000/BT10</f>
        <v>762.19863168464951</v>
      </c>
      <c r="GB10" s="28">
        <f t="shared" ref="GB10:GB73" si="48">CC10*1000000/CF10</f>
        <v>467.2403317045011</v>
      </c>
      <c r="GC10" s="28">
        <f t="shared" ref="GC10:GC73" si="49">CP10*1000000/CS10</f>
        <v>849.80935658752423</v>
      </c>
      <c r="GD10" s="28">
        <f t="shared" ref="GD10:GD73" si="50">DY10*1000000/EB10</f>
        <v>1234.5456457846149</v>
      </c>
      <c r="GE10" s="28">
        <f t="shared" ref="GE10:GE73" si="51">EL10*1000000/EO10</f>
        <v>2147.0200948626348</v>
      </c>
      <c r="GF10" s="28">
        <f t="shared" ref="GF10:GF73" si="52">EY10*1000000/FB10</f>
        <v>2259.8928448156885</v>
      </c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</row>
    <row r="11" spans="1:214" x14ac:dyDescent="0.2">
      <c r="A11" s="40" t="s">
        <v>32</v>
      </c>
      <c r="B11" s="12">
        <v>2697</v>
      </c>
      <c r="C11" s="12">
        <v>0.9</v>
      </c>
      <c r="D11" s="12">
        <f t="shared" si="0"/>
        <v>9.9999999999999978E-2</v>
      </c>
      <c r="E11" s="12" t="s">
        <v>696</v>
      </c>
      <c r="F11" s="12">
        <v>1773</v>
      </c>
      <c r="G11" s="12"/>
      <c r="H11" s="16">
        <f t="shared" si="1"/>
        <v>382.75862068965517</v>
      </c>
      <c r="I11" s="16">
        <v>2381741</v>
      </c>
      <c r="J11" s="16">
        <f t="shared" si="31"/>
        <v>870.70758962424793</v>
      </c>
      <c r="K11" s="27">
        <f t="shared" si="32"/>
        <v>1044.8491075490974</v>
      </c>
      <c r="L11" s="103">
        <v>0.105</v>
      </c>
      <c r="M11" s="103">
        <f t="shared" si="2"/>
        <v>0.11568057189700562</v>
      </c>
      <c r="N11" s="122">
        <f t="shared" si="33"/>
        <v>0.75</v>
      </c>
      <c r="O11" s="46">
        <f t="shared" si="3"/>
        <v>40</v>
      </c>
      <c r="P11" s="70">
        <f t="array" ref="P11">SUMPRODUCT(IF(Solar_data!A$4:A$777=A11,Solar_data!C$4:C$777),IF(Solar_data!A$4:A$777=A11,Solar_data!I$4:I$777))/SUMIF(Solar_data!A$4:A$777,A11,Solar_data!I$4:I$777)</f>
        <v>2372.0483615125067</v>
      </c>
      <c r="Q11" s="16">
        <f t="array" ref="Q11">MAX(IF(Solar_data!$A$777:'Solar_data'!$A$4=Country_details!$A11,Solar_data!$C$4:'Solar_data'!$C$777))</f>
        <v>2646.25</v>
      </c>
      <c r="R11" s="16">
        <f t="array" ref="R11">MIN(IF(Solar_data!$A$777:'Solar_data'!$A$4=Country_details!A11,Solar_data!$C$4:'Solar_data'!$C$777))</f>
        <v>1733.75</v>
      </c>
      <c r="S11" s="24">
        <f t="shared" si="4"/>
        <v>2.1527060076320712</v>
      </c>
      <c r="T11" s="24">
        <f t="shared" si="5"/>
        <v>1.9296448779298192</v>
      </c>
      <c r="U11" s="24">
        <f t="shared" si="6"/>
        <v>2.9452474452613031</v>
      </c>
      <c r="V11" s="16">
        <f t="array" ref="V11">SUM(IF(Solar_data!$A$777:'Solar_data'!$A$4=Country_details!$A11,Solar_data!$I$4:'Solar_data'!$I$777))</f>
        <v>18364.995724693541</v>
      </c>
      <c r="W11" s="148"/>
      <c r="X11" s="16" t="str">
        <f>IFERROR(INDEX(Onshore_wind_data!$J$5:'Onshore_wind_data'!$J$221,MATCH(A11,Onshore_wind_data!$B$5:'Onshore_wind_data'!$B$221,0)),"")</f>
        <v/>
      </c>
      <c r="Y11" s="16" t="str">
        <f>IFERROR(INDEX(Onshore_wind_data!$K$5:'Onshore_wind_data'!$K$221,MATCH(A11,Onshore_wind_data!$B$5:'Onshore_wind_data'!$B$221,0)),"")</f>
        <v/>
      </c>
      <c r="Z11" s="16" t="str">
        <f>IFERROR(INDEX(Onshore_wind_data!$L$5:'Onshore_wind_data'!$L$221,MATCH(A11,Onshore_wind_data!$B$5:'Onshore_wind_data'!$B$221,0)),"")</f>
        <v/>
      </c>
      <c r="AA11" s="24" t="str">
        <f t="shared" si="7"/>
        <v/>
      </c>
      <c r="AB11" s="24" t="str">
        <f t="shared" si="8"/>
        <v/>
      </c>
      <c r="AC11" s="24" t="str">
        <f t="shared" si="9"/>
        <v/>
      </c>
      <c r="AD11" s="16">
        <f>IFERROR(INDEX(Onshore_wind_data!$I$5:'Onshore_wind_data'!$I$221,MATCH(A11,Onshore_wind_data!$B$5:'Onshore_wind_data'!$B$221,0)),"")</f>
        <v>0</v>
      </c>
      <c r="AE11" s="148"/>
      <c r="AF11" s="16">
        <f>INDEX(Offshore_wind_data!$AA$7:$AA$192,MATCH(Country_details!A11,Offshore_wind_data!$A$7:$A$192,0))</f>
        <v>3153.6</v>
      </c>
      <c r="AG11" s="16">
        <f>INDEX(Offshore_wind_data!$Y$7:$Y$192,MATCH(Country_details!A11,Offshore_wind_data!$A$7:$A$192,0))</f>
        <v>3153.6</v>
      </c>
      <c r="AH11" s="16">
        <f>INDEX(Offshore_wind_data!$Z$7:$Z$192,MATCH(Country_details!A11,Offshore_wind_data!$A$7:$A$192,0))</f>
        <v>3153.6</v>
      </c>
      <c r="AI11" s="24">
        <f t="shared" si="10"/>
        <v>8.2430492343926911</v>
      </c>
      <c r="AJ11" s="24">
        <f t="shared" si="11"/>
        <v>8.2430492343926911</v>
      </c>
      <c r="AK11" s="24">
        <f t="shared" si="12"/>
        <v>8.2430492343926911</v>
      </c>
      <c r="AL11" s="16">
        <f>INDEX(Offshore_wind_data!$W$7:$W$191,MATCH(A11,Offshore_wind_data!$A$7:$A$191,0))</f>
        <v>16.587935999999999</v>
      </c>
      <c r="AM11" s="148"/>
      <c r="AN11" s="12">
        <v>41.3</v>
      </c>
      <c r="AO11" s="12">
        <v>57.4</v>
      </c>
      <c r="AP11" s="34">
        <f>1.246*11.63</f>
        <v>14.49098</v>
      </c>
      <c r="AQ11" s="15">
        <f t="shared" si="13"/>
        <v>50</v>
      </c>
      <c r="AR11" s="12">
        <f t="shared" si="34"/>
        <v>2870</v>
      </c>
      <c r="AS11" s="16">
        <f t="shared" si="35"/>
        <v>15511.583660693541</v>
      </c>
      <c r="AT11" s="12"/>
      <c r="AU11" s="24">
        <f t="shared" si="14"/>
        <v>2.1527060076320712</v>
      </c>
      <c r="AV11" s="16">
        <f t="shared" si="15"/>
        <v>2372.0483615125067</v>
      </c>
      <c r="AW11" s="149">
        <f>HV_DC_Grid!$E$3/(1-AX11)*AU11/100*1000</f>
        <v>2302.608107948648</v>
      </c>
      <c r="AX11" s="31">
        <f>(1-(1-HV_DC_Grid!$E$25)^(B11*C11*HV_DC_Grid!$E$8/1000))+(1-(1-HV_DC_Grid!$E$26)^(B11*D11*HV_DC_Grid!$E$8/1000))+HV_DC_Grid!$E$35*HV_DC_Grid!$E$28</f>
        <v>6.5101004291225992E-2</v>
      </c>
      <c r="AY11" s="28">
        <f>B11*nl_e_demand/IF(hv_dc_flh="electricity FLH",$AV11,hv_dc_custom)*1000*hv_dc_capacity_multiplier*hv_dc_length_multiplier*1000*(C11*hv_dc_overhead_invest*(hv_dc_overhead_opex+M11+1/hv_dc_lifetime)+D11*hv_dc_sea_invest*(hv_dc_sea_opex+M11+1/hv_dc_lifetime))/1000000+HV_DC_Grid!$E$10*1000*hv_dc_station_invest*hv_dc_station_number*(hv_dc_station_opex+M11+1/hv_dc_lifetime)/1000000</f>
        <v>3001.4586214774263</v>
      </c>
      <c r="AZ11" s="24">
        <f>(AW11+AY11)/(HV_DC_Grid!$E$3*1000)*100</f>
        <v>5.3040667294260748</v>
      </c>
      <c r="BA11" s="28">
        <f>MIN(((Carriers!$F$26+Carriers!$F$27)*(alk_el_opex+wacc_nl+1/alk_el_lifetime)+IF(hv_dc_flh="electricity FLH",$AV11,hv_dc_custom)*AZ11/100)/(IF(hv_dc_flh="electricity FLH",$AV11,hv_dc_custom)/alk_el_e_demand)*1000,((Carriers!$H$26+Carriers!$H$27)*(pem_el_opex+wacc_nl+1/pem_el_lifetime)+IF(hv_dc_flh="electricity FLH",$AV11,hv_dc_custom)*AZ11/100)/(IF(hv_dc_flh="electricity FLH",$AV11,hv_dc_custom)/pem_el_e_demand)*1000)</f>
        <v>3048.7454887733179</v>
      </c>
      <c r="BB11" s="12"/>
      <c r="BC11" s="12"/>
      <c r="BD11" s="149">
        <f>MIN(((Carriers!$F$26+Carriers!$F$27)*(alk_el_opex+M11+1/alk_el_lifetime)+$AV11*$AU11/100)/($AV11/alk_el_e_demand)*1000,((Carriers!$H$26+Carriers!$H$27)*(pem_el_opex+M11+1/pem_el_lifetime)+$AV11*$AU11/100)/($AV11/pem_el_e_demand)*1000)</f>
        <v>2462.7231909650122</v>
      </c>
      <c r="BE11" s="28">
        <f>Storage!$AC$50</f>
        <v>8.1664117557772418</v>
      </c>
      <c r="BF11" s="28">
        <f>((Pipeline!$D$22*Pipeline!$D$24*B11*(pipeline_opex+M11+1/pipeline_lifetime))*(Pipeline!$D$39/Pipeline!$D$3)+(Pipeline!$D$57*(pipeline_comp_opex+M11+1/pipeline_comp_lifetime)+Pipeline!$D$47*1000*Pipeline!$D$45*$AU11/100/1000000))*(Pipeline!$D$75/Pipeline!$D$45)</f>
        <v>5803.5570991762688</v>
      </c>
      <c r="BG11" s="28">
        <f>BD11+(BE11+BF11)/Storage!$AC$12*1000000</f>
        <v>2890.0558020629569</v>
      </c>
      <c r="BH11" s="28"/>
      <c r="BI11" s="28"/>
      <c r="BJ11" s="28">
        <f>IF($E11="","No Port",BK11*HV_DC_Grid!$E$3*$AU11/100*1000)</f>
        <v>73.235498631068893</v>
      </c>
      <c r="BK11" s="31">
        <f>IFERROR((1-(1-HV_DC_Grid!$E$25)^(K11*HV_DC_Grid!$E$8/1000))+HV_DC_Grid!$E$35*HV_DC_Grid!$E$28,"")</f>
        <v>3.4020204510706184E-2</v>
      </c>
      <c r="BL11" s="28">
        <f>IFERROR(K11*nl_e_demand/IF(hv_dc_flh="electricity FLH",$AV11,hv_dc_custom)*1000*hv_dc_capacity_multiplier*hv_dc_length_multiplier*1000*(hv_dc_overhead_invest*(hv_dc_overhead_opex+M11+1/hv_dc_lifetime))/1000000+HV_DC_Grid!$E$10*1000*hv_dc_station_invest*hv_dc_station_number*(hv_dc_station_opex+M11+1/hv_dc_lifetime)/1000000,"")</f>
        <v>1229.0717842660056</v>
      </c>
      <c r="BM11" s="29">
        <f>IFERROR((BJ11+BL11)/(HV_DC_Grid!$E$3*1000)*100,"")</f>
        <v>1.3023072828970745</v>
      </c>
      <c r="BN11" s="28">
        <f>IFERROR(((Pipeline!$D$22*Pipeline!$D$24*K11*(pipeline_opex+M11+1/pipeline_lifetime))*(Pipeline!$D$39/Pipeline!$D$3)+(Pipeline!$D$57*(pipeline_comp_opex+M11+1/pipeline_comp_lifetime)+Pipeline!$D$47*1000*Pipeline!$D$45*S11/100/1000000))*(Pipeline!$D$75/Pipeline!$D$45),"")</f>
        <v>2292.738666519972</v>
      </c>
      <c r="BO11" s="28"/>
      <c r="BP11" s="150">
        <f t="shared" si="16"/>
        <v>106.1801689904792</v>
      </c>
      <c r="BQ11" s="34">
        <f t="shared" si="17"/>
        <v>31.868463325885266</v>
      </c>
      <c r="BR11" s="151">
        <f>(nh3_invest*(M11+1/nh3_lifetime)/nh3_prod+nh3_opex+nh3_e_demand*1000*$AU11/100+Carriers!$N$18/Carriers!$N$23*BD11+Carriers!$N$19/Carriers!$N$23*BQ11)*(BT11+nh3_st_ab_losses)/1000000</f>
        <v>44496.376116423045</v>
      </c>
      <c r="BS11" s="63">
        <f>nh3_st_nl_cost*nh3_st_nl_demand/1000000+(nh3_st_invest*(M11+1/nh3_st_lifetime+nh3_st_opex)/(Storage!$G$63/1000000)+nh3_st_e_demand*1000*$AU11/100)*(BT11+nh3_st_ab_losses)/1000000+Carriers!$N$18/Carriers!$N$23*((BT11+nh3_st_ab_losses)/365.25*short_st_duration_hrs/24)*(h2_short_st_invest*(1/gh2_short_st_lifetime+$M11+h2_short_st_opex)+h2_short_st_e_demand*1000*$AU11/100)/1000000+Carriers!$N$19/Carriers!$N$23*((BT11+nh3_st_ab_losses)/365.25*short_st_duration_hrs/24)*(n2_short_st_invest*(1/n2_short_st_lifetime+$M11+n2_short_st_opex)+n2_short_st_e_demand*1000*$AU11/100)/1000000</f>
        <v>3285.0464613106892</v>
      </c>
      <c r="BT11" s="63">
        <f>Storage!$G$57/((1-Shipping!$H$37)^(F11/24/Shipping!$H$44+0.5*Shipping!$H$59))</f>
        <v>77723191.277678072</v>
      </c>
      <c r="BU11" s="63">
        <f>IF($E11="","No Port",((F11/24/Shipping!$H$44+F11/24/Shipping!$H$50+Shipping!$H$59+Shipping!$H$64)*(Shipping!$H$22+wacc_nl*Shipping!$H$19/365.25*1000000+Shipping!$H$35)+(F11/24/Shipping!$H$44*Shipping!$H$45+Shipping!$H$64*Shipping!$H$65)*IF(bunker_choice="HFO",H11,IF(bunker_choice="hydrogen",BD11*hfo_e_density_lhv/h2_e_density_lhv,(BR11+BS11)*1000000/BT11*hfo_e_density_lhv/nh3_e_density_lhv))+(F11/24/Shipping!$H$50*Shipping!$H$51+Shipping!$H$59*Shipping!$H$60)*IF(bunker_choice="HFO",bunker_price_ROT,IF(bunker_choice="hydrogen",BD11*hfo_e_density_lhv/h2_e_density_lhv,(BR11+BS11)*1000000/BT11*hfo_e_density_lhv/nh3_e_density_lhv))+Shipping!$H$73+IF(G11="Panama",Shipping!$H$55,0)+IF(G11="Suez",Shipping!$H$56,0))/Shipping!$H$31*BT11/1000000+IF(inland_transport_to_port="hv dc grid",$BM11/100*1000*BW11,IF(inland_transport_to_port="pipeline",$BN11,0)))</f>
        <v>3668.933757022769</v>
      </c>
      <c r="BV11" s="63">
        <f t="shared" si="18"/>
        <v>51450.356334756507</v>
      </c>
      <c r="BW11" s="33">
        <f>((Carriers!$N$18/Carriers!$N$23*alk_el_e_demand)+(Carriers!$N$19/Carriers!$N$23*n2_e_demand)+nh3_e_demand)*(BT11+nh3_st_ab_losses)/1000000+nh3_st_e_demand*BT11/1000000</f>
        <v>767.54659810192368</v>
      </c>
      <c r="BX11" s="33">
        <f t="shared" si="19"/>
        <v>0.76626754477640768</v>
      </c>
      <c r="BY11" s="63">
        <f>IFERROR(BV11*1000000/Storage!$G$12,"")</f>
        <v>672.00059067261304</v>
      </c>
      <c r="BZ11" s="63">
        <f>H2_retrieval!$F$25*h2_demand_kt/1000</f>
        <v>80</v>
      </c>
      <c r="CA11" s="63">
        <f>IFERROR(BY11*(1+H2_retrieval!$F$34)/Carrier_properties!$E$7+H2_retrieval!$F$38,"")</f>
        <v>4192.3404160228911</v>
      </c>
      <c r="CB11" s="149">
        <f>(FA_invest*(M11+1/FA_lifetime)/FA_prod+FA_opex+FA_e_demand*1000*$AU11/100+Carriers!$P$18/Carriers!$P$23*BD11+Carriers!$P$20/Carriers!$P$23*co2_liq_cost)*(CF11+FA_st_ab_losses)/1000000</f>
        <v>90805.838859559197</v>
      </c>
      <c r="CC11" s="86">
        <f>(FA_invest*(M11+1/FA_lifetime)/FA_prod+FA_opex+FA_e_demand*1000*$AU11/100+Carriers!$P$18/Carriers!$P$23*BD11+Carriers!$P$20/Carriers!$P$23*BP11)*(CF11+FA_st_ab_losses)/1000000</f>
        <v>116297.43846453808</v>
      </c>
      <c r="CD11" s="63">
        <f>FA_st_nl_cost*FA_st_nl_demand/1000000+(FA_st_invest*(M11+1/FA_st_lifetime+FA_st_opex)/(Storage!$I$63/1000000)+FA_st_e_demand*1000*$AU11/100)*(CF11+FA_st_ab_losses)/1000000+co2_st_nl_cost*Storage!$I$12*co2_density/FA_density/1000000+(co2_st_opex_lev+co2_st_invest_lev+co2_st_e_demand*1000*$AU11/100)*Storage!$I$12/1000000+co2_st_invest_lev*Storage!$I$12*co2_st_lifetime*M11/1000000+Carriers!$P$18/Carriers!$P$23*((CF11+FA_st_ab_losses)/365.25*short_st_duration_hrs/24)*(h2_short_st_invest*(1/gh2_short_st_lifetime+$M11+h2_short_st_opex)+h2_short_st_e_demand*1000*$AU11/100)/1000000+Carriers!$P$20/Carriers!$P$23*((CF11+FA_st_ab_losses)/365.25*short_st_duration_hrs/24)*(co2_short_st_invest*(1/co2_short_st_lifetime+$M11+co2_short_st_opex)+co2_short_st_e_demand*1000*$AU11/100)/1000000</f>
        <v>11312.395672830184</v>
      </c>
      <c r="CE11" s="63">
        <f>FA_st_nl_cost*FA_st_nl_demand/1000000+(FA_st_invest*(M11+1/FA_st_lifetime+FA_st_opex)/(Storage!$I$63/1000000)+FA_st_e_demand*1000*$AU11/100)*(CF11+FA_st_ab_losses)/1000000+Carriers!$P$18/Carriers!$P$23*((CF11+FA_st_ab_losses)/365.25*short_st_duration_hrs/24)*(h2_short_st_invest*(1/gh2_short_st_lifetime+$M11+h2_short_st_opex)+h2_short_st_e_demand*1000*$AU11/100)/1000000+Carriers!$P$20/Carriers!$P$23*((CF11+FA_st_ab_losses)/365.25*short_st_duration_hrs/24)*(co2_short_st_invest*(1/co2_short_st_lifetime+$M11+co2_short_st_opex)+co2_short_st_e_demand*1000*$AU11/100)/1000000</f>
        <v>4926.3599573766651</v>
      </c>
      <c r="CF11" s="63">
        <f>Storage!$I$57/((1-Shipping!$J$37)^($F11/24/Shipping!$J$44+0.5*Shipping!$J$59))</f>
        <v>310425396.82539684</v>
      </c>
      <c r="CG11" s="28">
        <f>IF($E11="","No Port",((F11/24/Shipping!$J$44+F11/24/Shipping!$J$50+Shipping!$J$59+Shipping!$J$64)*(Shipping!$J$22+wacc_nl*Shipping!$J$19/365.25*1000000+Shipping!$J$35)+(F11/24/Shipping!$J$44*Shipping!$J$45+Shipping!$J$64*Shipping!$J$65)*IF(bunker_choice="HFO",$H11,IF(bunker_choice="hydrogen",$BD11*hfo_e_density_lhv/h2_e_density_lhv,(CB11+CD11)*1000000/CF11*hfo_e_density_lhv/FA_e_density_lhv))+(F11/24/Shipping!$J$50*Shipping!$J$51+Shipping!$J$59*Shipping!$J$60)*IF(bunker_choice="HFO",bunker_price_ROT,IF(bunker_choice="hydrogen",$BD11*hfo_e_density_lhv/h2_e_density_lhv,(CB11+CD11)*1000000/CF11*hfo_e_density_lhv/FA_e_density_lhv))+Shipping!$J$73+IF(G11="Panama",Shipping!$J$55,0)+IF(G11="Suez",Shipping!$J$56,0))/Shipping!$J$31*CF11/1000000+IF(inland_transport_to_port="hv dc grid",$BM11/100*1000*CI11,IF(inland_transport_to_port="pipeline",$BN11,0)))</f>
        <v>8104.7050370601619</v>
      </c>
      <c r="CH11" s="28">
        <f t="shared" si="36"/>
        <v>129328.50345897491</v>
      </c>
      <c r="CI11" s="29">
        <f>((Carriers!$P$18/Carriers!$P$23*alk_el_e_demand)+FA_e_demand)*(CF11+FA_st_ab_losses)/1000000+FA_st_e_demand*CF11/1000000</f>
        <v>1897.8881241622576</v>
      </c>
      <c r="CJ11" s="29">
        <f t="shared" si="20"/>
        <v>0.46563809523809524</v>
      </c>
      <c r="CK11" s="28">
        <f>IFERROR(CH11*1000000/Storage!$I$12,"")</f>
        <v>416.61701903764521</v>
      </c>
      <c r="CL11" s="28">
        <f>IF($E11="","No Port",((F11/24/Shipping!$J$44+F11/24/Shipping!$J$50+Shipping!$J$59+Shipping!$J$64)*Carriers!$P$39*wacc_nl))</f>
        <v>118.23571006249394</v>
      </c>
      <c r="CM11" s="29">
        <f>H2_retrieval!$H$25*h2_demand_kt/1000+(co2_liq_e_demand+co2_st_e_demand*2)*Storage!$I$12*co2_density/FA_density/1000000</f>
        <v>94.204253879484654</v>
      </c>
      <c r="CN11" s="28">
        <f>IFERROR((((CB11+CD11+CG11)*(1+H2_retrieval!$H$34)+CL11)*1000000/H2_retrieval!$H$8)+h2_regen_fa,"")</f>
        <v>8203.0090794957832</v>
      </c>
      <c r="CO11" s="149">
        <f>(meoh_invest*(M11+1/meoh_lifetime)/meoh_prod+meoh_opex+meoh_e_demand*1000*$AU11/100+Carriers!$R$18/Carriers!$R$23*BD11+Carriers!$R$20/Carriers!$R$23*co2_liq_cost)*(CS11+meoh_st_ab_losses)/1000000</f>
        <v>54203.217132012214</v>
      </c>
      <c r="CP11" s="86">
        <f>(meoh_invest*(M11+1/meoh_lifetime)/meoh_prod+meoh_opex+meoh_e_demand*1000*$AU11/100+Carriers!$R$18/Carriers!$R$23*BD11+Carriers!$R$20/Carriers!$R$23*BP11)*(CS11+meoh_st_ab_losses)/1000000</f>
        <v>69167.573072628176</v>
      </c>
      <c r="CQ11" s="63">
        <f>meoh_st_nl_cost*meoh_st_nl_demand/1000000+(meoh_st_invest*(M11+1/meoh_st_lifetime+meoh_st_opex)/(Storage!$K$63/1000000)+meoh_st_e_demand*1000*$AU11/100)*(CS11+meoh_st_ab_losses)/1000000+co2_st_nl_cost*Storage!$K$12*co2_density/meoh_density/1000000+(co2_st_opex_lev+co2_st_invest_lev+co2_st_e_demand*1000*IFERROR(MIN(S11,AA11,AI11),S11)/100)*Storage!$K$12/1000000+co2_st_invest_lev*Storage!$K$12*co2_st_lifetime*M11/1000000+Carriers!$R$18/Carriers!$R$23*((CS11+meoh_st_ab_losses)/365.25*short_st_duration_hrs/24)*(h2_short_st_invest*(1/gh2_short_st_lifetime+$M11+h2_short_st_opex)+h2_short_st_e_demand*1000*$AU11/100)/1000000+Carriers!$R$20/Carriers!$R$23*((CF11+meoh_st_ab_losses)/365.25*short_st_duration_hrs/24)*(co2_short_st_invest*(1/co2_short_st_lifetime+$M11+co2_short_st_opex)+co2_short_st_e_demand*1000*$AU11/100)/1000000</f>
        <v>4752.28457084209</v>
      </c>
      <c r="CR11" s="63">
        <f>meoh_st_nl_cost*meoh_st_nl_demand/1000000+(meoh_st_invest*(M11+1/meoh_st_lifetime+meoh_st_opex)/(Storage!$K$63/1000000)+meoh_st_e_demand*1000*$AU11/100)*(CS11+meoh_st_ab_losses)/1000000+Carriers!$R$18/Carriers!$R$23*((CS11+meoh_st_ab_losses)/365.25*short_st_duration_hrs/24)*(h2_short_st_invest*(1/gh2_short_st_lifetime+$M11+h2_short_st_opex)+h2_short_st_e_demand*1000*$AU11/100)/1000000+Carriers!$R$20/Carriers!$R$23*((CF11+meoh_st_ab_losses)/365.25*short_st_duration_hrs/24)*(co2_short_st_invest*(1/co2_short_st_lifetime+$M11+co2_short_st_opex)+co2_short_st_e_demand*1000*$AU11/100)/1000000</f>
        <v>1930.6091943024508</v>
      </c>
      <c r="CS11" s="63">
        <f>Storage!$K$57/((1-Shipping!$L$37)^($F11/24/Shipping!$L$44+0.5*Shipping!$L$59))</f>
        <v>108044444.44444443</v>
      </c>
      <c r="CT11" s="28">
        <f>IF($E11="","No Port",IF(AND(ship_choice="VLCC",G11="Panama"),"Ship cannot pass through Panama",IF(ship_choice="VLCC",((F11/24/Shipping!$AD$44+F11/24/Shipping!$AD$50+Shipping!$AD$59+Shipping!$AD$64)*(Shipping!$AD$22+wacc_nl*Shipping!$AD$19/365.25*1000000+Shipping!$AD$35)+(F11/24/Shipping!$AD$44*Shipping!$AD$45+Shipping!$AD$64*Shipping!$AD$65)*IF(bunker_choice="HFO",$H11,IF(bunker_choice="hydrogen",$BD11*hfo_e_density_lhv/h2_e_density_lhv,(CO11+CQ11)*1000000/CS11*hfo_e_density_lhv/meoh_e_density_lhv))+(F11/24/Shipping!$AD$50*Shipping!$AD$51+Shipping!$AD$59*Shipping!$AD$60)*IF(bunker_choice="HFO",bunker_price_ROT,IF(bunker_choice="hydrogen",$BD11*hfo_e_density_lhv/h2_e_density_lhv,(CO11+CQ11)*1000000/CS11*hfo_e_density_lhv/meoh_e_density_lhv))+Shipping!$AD$73+IF(G11="Panama",Shipping!$AD$55,0)+IF(G11="Suez",Shipping!$AD$56,0))/Shipping!$AD$31*CS11/1000000+IF(inland_transport_to_port="hv dc grid",$BM11/100*1000*CV11,IF(inland_transport_to_port="pipeline",$BN11,0)),((F11/24/Shipping!$L$44+F11/24/Shipping!$L$50+Shipping!$L$59+Shipping!$L$64)*(Shipping!$L$22+wacc_nl*Shipping!$L$19/365.25*1000000+Shipping!$L$35)+(F11/24/Shipping!$L$44*Shipping!$L$45+Shipping!$L$64*Shipping!$L$65)*IF(bunker_choice="HFO",$H11,IF(bunker_choice="hydrogen",$BD11*hfo_e_density_lhv/h2_e_density_lhv,(CO11+CQ11)*1000000/CS11*hfo_e_density_lhv/meoh_e_density_lhv))+(F11/24/Shipping!$L$50*Shipping!$L$51+Shipping!$L$59*Shipping!$L$60)*IF(bunker_choice="HFO",bunker_price_ROT,IF(bunker_choice="hydrogen",$BD11*hfo_e_density_lhv/h2_e_density_lhv,(CO11+CQ11)*1000000/CS11*hfo_e_density_lhv/meoh_e_density_lhv))+Shipping!$L$73+IF(G11="Panama",Shipping!$L$55,0)+IF(G11="Suez",Shipping!$L$56,0))/Shipping!$L$31*CS11/1000000+IF(inland_transport_to_port="hv dc grid",$BM11/100*1000*CV11,IF(inland_transport_to_port="pipeline",$BN11,0)))))</f>
        <v>4189.7765809502762</v>
      </c>
      <c r="CU11" s="28">
        <f t="shared" si="37"/>
        <v>75287.958847880902</v>
      </c>
      <c r="CV11" s="29">
        <f>((Carriers!$R$18/Carriers!$R$23*alk_el_e_demand)+meoh_e_demand)*(CS11+meoh_st_ab_losses)/1000000+meoh_st_e_demand*CS11/1000000</f>
        <v>1119.9789871111109</v>
      </c>
      <c r="CW11" s="29">
        <f t="shared" si="21"/>
        <v>0.16206666666666666</v>
      </c>
      <c r="CX11" s="28">
        <f>IFERROR(CU11*1000000/Storage!$K$12,"")</f>
        <v>696.82397123707142</v>
      </c>
      <c r="CY11" s="28">
        <f>IF($E11="","No Port",((F11/24/Shipping!$L$44+F11/24/Shipping!$L$50+Shipping!$L$59+Shipping!$L$64)*Carriers!$R$39*wacc_nl))</f>
        <v>42.034142459344821</v>
      </c>
      <c r="CZ11" s="29">
        <f>H2_retrieval!$J$25*h2_demand_kt/1000+(co2_liq_e_demand+co2_st_e_demand*2)*Storage!$K$12*co2_density/meoh_density/1000000</f>
        <v>251.05079059698966</v>
      </c>
      <c r="DA11" s="28">
        <f>IFERROR((((CO11+CQ11+CT11)*(1+H2_retrieval!$J$34)+CY11)*1000000/H2_retrieval!$J$8)+h2_regen_meoh,"")</f>
        <v>5816.254456891993</v>
      </c>
      <c r="DB11" s="149">
        <f>(DBT_invest*(M11+1/DBT_lifetime)/DBT_prod+DBT_opex+DBT_e_demand*1000*$AU11/100+Carriers!$T$18/Carriers!$T$23*BD11)*(DD11+DBT_st_ab_losses)/1000000</f>
        <v>36628.037211651907</v>
      </c>
      <c r="DC11" s="28">
        <f>2*(DBT_st_nl_cost*DBT_st_nl_demand/1000000+(DBT_st_invest*(M11+1/DBT_st_lifetime+DBT_st_opex)/(Storage!$M$63/1000000)+DBT_st_e_demand*1000*$AU11/100)*(DD11+DBT_st_ab_losses)/1000000)+Carriers!$T$18/Carriers!$T$23*((DD11+DBT_st_ab_losses)/365.25*short_st_duration_hrs/24)*(h2_short_st_invest*(1/gh2_short_st_lifetime+$M11+h2_short_st_opex)+h2_short_st_e_demand*1000*$AU11/100)/1000000</f>
        <v>4006.4122550582888</v>
      </c>
      <c r="DD11" s="63">
        <f>Storage!$M$57/((1-Shipping!$N$37)^($F11/24/Shipping!$N$44+0.5*Shipping!$N$59))</f>
        <v>219354838.70967743</v>
      </c>
      <c r="DE11" s="28">
        <f>IF($E11="","No Port",IF(AND(ship_choice="VLCC",G11="Panama"),"Ship cannot pass through Panama",IF(ship_choice="VLCC",((F11/24/Shipping!$AD$44+F11/24/Shipping!$AD$50+Shipping!$AD$59+Shipping!$AD$64)*(Shipping!$AD$22+wacc_nl*Shipping!$AD$19/365.25*1000000+Shipping!$AD$35)+(F11/24/Shipping!$AD$44*Shipping!$AD$45+Shipping!$AD$64*Shipping!$AD$65)*IF(bunker_choice="HFO",$H11,IF(bunker_choice="hydrogen",$BD11*hfo_e_density_lhv/h2_e_density_lhv,(DB11+DC11)*1000000/DD11*hfo_e_density_lhv/DBT_e_density_lhv))+(F11/24/Shipping!$AD$50*Shipping!$AD$51+Shipping!$AD$59*Shipping!$AD$60)*IF(bunker_choice="HFO",bunker_price_ROT,IF(bunker_choice="hydrogen",$BD11*hfo_e_density_lhv/h2_e_density_lhv,(DB11+DC11)*1000000/DD11*hfo_e_density_lhv/DBT_e_density_lhv))+Shipping!$AD$73+IF(G11="Panama",Shipping!$AD$55,0)+IF(G11="Suez",Shipping!$AD$56,0))/Shipping!$AD$31*DD11/1000000+IF(inland_transport_to_port="hv dc grid",$BM11/100*1000*DG11,IF(inland_transport_to_port="pipeline",$BN11,0)),((F11/24/Shipping!$N$44+F11/24/Shipping!$N$50+Shipping!$N$59+Shipping!$N$64)*(Shipping!$N$22+wacc_nl*Shipping!$N$19/365.25*1000000+Shipping!$N$35)+(F11/24/Shipping!$N$44*Shipping!$N$45+Shipping!$N$64*Shipping!$N$65)*IF(bunker_choice="HFO",$H11,IF(bunker_choice="hydrogen",$BD11*hfo_e_density_lhv/h2_e_density_lhv,(DB11+DC11)*1000000/DD11*hfo_e_density_lhv/DBT_e_density_lhv))+(F11/24/Shipping!$N$50*Shipping!$N$51+Shipping!$N$59*Shipping!$N$60)*IF(bunker_choice="HFO",bunker_price_ROT,IF(bunker_choice="hydrogen",$BD11*hfo_e_density_lhv/h2_e_density_lhv,(DB11+DC11)*1000000/DD11*hfo_e_density_lhv/DBT_e_density_lhv))+Shipping!$N$73+IF(G11="Panama",Shipping!$N$55,0)+IF(G11="Suez",Shipping!$N$56,0))/Shipping!$N$31*Shipping!$N$86/1000000+IF(inland_transport_to_port="hv dc grid",$BM11/100*1000*DG11,IF(inland_transport_to_port="pipeline",$BN11,0)))))</f>
        <v>5837.1285341794082</v>
      </c>
      <c r="DF11" s="28">
        <f t="shared" si="22"/>
        <v>46471.578000889604</v>
      </c>
      <c r="DG11" s="29">
        <f>((Carriers!$T$18/Carriers!$T$23*alk_el_e_demand)+DBT_e_demand)*(DD11+DBT_st_ab_losses)/1000000+DBT_st_e_demand*DD11/1000000</f>
        <v>703.88335483870969</v>
      </c>
      <c r="DH11" s="29">
        <f t="shared" si="23"/>
        <v>0.21935483870967742</v>
      </c>
      <c r="DI11" s="28">
        <f>IFERROR(DF11*1000000/Storage!$M$12,"")</f>
        <v>211.85572323934966</v>
      </c>
      <c r="DJ11" s="28">
        <f>IF($E11="","No Port",((F11/24/Shipping!$N$44+F11/24/Shipping!$N$50+Shipping!$N$59+Shipping!$N$64)*Carriers!$T$39*wacc_nl))</f>
        <v>3061.4847035663302</v>
      </c>
      <c r="DK11" s="100">
        <f>H2_retrieval!$L$25*h2_demand_kt/1000+(co2_liq_e_demand+co2_st_e_demand*2)*Storage!$M$12*co2_density/DBT_density/1000000</f>
        <v>206.61934861671787</v>
      </c>
      <c r="DL11" s="28">
        <f>IFERROR(((DF11*(1+H2_retrieval!$L$34)+DJ11)*1000000/H2_retrieval!$L$8)+h2_regen_lohc,"")</f>
        <v>4112.7867442017314</v>
      </c>
      <c r="DM11" s="149">
        <f t="shared" si="24"/>
        <v>45661.971803889726</v>
      </c>
      <c r="DN11" s="16">
        <f>2*(nabh4_st_nl_cost*nabh4_st_nl_demand/1000000+(nabh4_st_invest*(M11+1/nabh4_st_lifetime+nabh4_st_opex)/(Storage!$O$63/1000000)+nabh4_st_e_demand*1000*$AU11/100)*(DO11+nabh4_st_ab_losses)/1000000)+(h2_demand_kt*1000/365.25*short_st_duration_hrs/24)*(h2_short_st_invest*(1/gh2_short_st_lifetime+$M11+h2_short_st_opex)+h2_short_st_e_demand*1000*$AU11/100)/1000000</f>
        <v>1338.4822376704931</v>
      </c>
      <c r="DO11" s="63">
        <f>Storage!$O$57/((1-Shipping!$P$37)^($F11/24/Shipping!$P$44+0.5*Shipping!$P$59))</f>
        <v>63920000</v>
      </c>
      <c r="DP11" s="16">
        <f>IF($E11="","No Port",((F11/24/Shipping!$P$44+F11/24/Shipping!$P$50+Shipping!$P$59+Shipping!$P$64)*(Shipping!$P$22+wacc_nl*Shipping!$P$19/365.25*1000000+Shipping!$P$35)+(F11/24/Shipping!$P$44*Shipping!$P$45+Shipping!$P$64*Shipping!$P$65)*IF(bunker_choice="HFO",$H11,IF(bunker_choice="hydrogen",$BD11*hfo_e_density_lhv/h2_e_density_lhv,(DM11+DN11)*1000000/DO11*hfo_e_density_lhv/nabh4_e_density_lhv))+(F11/24/Shipping!$P$50*Shipping!$P$51+Shipping!$P$59*Shipping!$P$60)*IF(bunker_choice="HFO",bunker_price_ROT,IF(bunker_choice="hydrogen",$BD11*hfo_e_density_lhv/h2_e_density_lhv,(DM11+DN11)*1000000/DO11*hfo_e_density_lhv/nabh4_e_density_lhv))+Shipping!$P$73+IF(G11="Panama",Shipping!$P$55,0)+IF(G11="Suez",Shipping!$P$56,0))/Shipping!$P$31*(DO11+nabh4_st_ab_losses)/1000000+IF(inland_transport_to_port="hv dc grid",$BM11/100*1000*DR11,IF(inland_transport_to_port="pipeline",$BN11,0)))</f>
        <v>3185.526581740035</v>
      </c>
      <c r="DQ11" s="28">
        <f t="shared" si="38"/>
        <v>50185.980623300253</v>
      </c>
      <c r="DR11" s="29">
        <f>((Carriers!$V$18/Carriers!$V$23*alk_el_e_demand)+nabh4_e_demand)*(DO11+nabh4_st_ab_losses)/1000000+nabh4_st_e_demand*DO11/1000000</f>
        <v>980.02139682539689</v>
      </c>
      <c r="DS11" s="28">
        <f t="shared" si="25"/>
        <v>3.1960000000000002</v>
      </c>
      <c r="DT11" s="28">
        <f>IFERROR(DQ11*1000000/Storage!$O$12,"")</f>
        <v>785.13736895025431</v>
      </c>
      <c r="DU11" s="28">
        <f>IF($E11="","No Port",((F11/24/Shipping!$P$44+F11/24/Shipping!$P$50+Shipping!$P$59+Shipping!$P$64)*Carriers!$V$39*wacc_nl))</f>
        <v>296.47649051467653</v>
      </c>
      <c r="DV11" s="100">
        <f>H2_retrieval!$N$25*h2_demand_kt/1000+(co2_liq_e_demand+co2_st_e_demand*2)*Storage!$O$12*co2_density/nabh4_density/1000000</f>
        <v>18.783638728971958</v>
      </c>
      <c r="DW11" s="28">
        <f>IFERROR(((DQ11*(1+H2_retrieval!$N$34)+DU11)*1000000/H2_retrieval!$N$8)+h2_regen_nabh4,"")</f>
        <v>3792.6224991477661</v>
      </c>
      <c r="DX11" s="149">
        <f>(Dme_invest*(M11+1/Dme_lifetime)/Dme_prod+Dme_opex+Dme_e_demand*1000*$AU11/100+Carriers!$X$21/Carriers!$X$23*(CO11*1000000/CS11))*(EB11+Dme_st_ab_losses)/1000000</f>
        <v>76419.765518767686</v>
      </c>
      <c r="DY11" s="86">
        <f>(Dme_invest*(M11+1/Dme_lifetime)/Dme_prod+Dme_opex+Dme_e_demand*1000*$AU11/100+Carriers!$X$21/Carriers!$X$23*(CP11*1000000/CS11))*(EB11+Dme_st_ab_losses)/1000000</f>
        <v>96721.368685603215</v>
      </c>
      <c r="DZ11" s="63">
        <f>Dme_st_nl_cost*Dme_st_nl_demand/1000000+(Dme_st_invest*(M11+1/Dme_st_lifetime+Dme_st_opex)/(Storage!$Q$63/1000000)+Dme_st_e_demand*1000*$AU11/100)*(EB11+Dme_st_ab_losses)/1000000+co2_st_nl_cost*Storage!$Q$12*co2_density/Dme_density/1000000+(co2_st_opex_lev+co2_st_invest_lev+co2_st_e_demand*1000*$AU11/100)*Storage!$Q$12/1000000+co2_st_invest_lev*Storage!$Q$12*co2_st_lifetime*M11/1000000+(h2_demand_kt*1000/365.25*short_st_duration_hrs/24)*(h2_short_st_invest*(1/gh2_short_st_lifetime+$M11+h2_short_st_opex)+h2_short_st_e_demand*1000*$AU11/100)/1000000</f>
        <v>5742.0468678363659</v>
      </c>
      <c r="EA11" s="63">
        <f>Dme_st_nl_cost*Dme_st_nl_demand/1000000+(Dme_st_invest*(M11+1/Dme_st_lifetime+Dme_st_opex)/(Storage!$Q$63/1000000)+Dme_st_e_demand*1000*$AU11/100)*(EB11+Dme_st_ab_losses)/1000000+(h2_demand_kt*1000/365.25*short_st_duration_hrs/24)*(h2_short_st_invest*(1/gh2_short_st_lifetime+$M11+h2_short_st_opex)+h2_short_st_e_demand*1000*$AU11/100)/1000000</f>
        <v>2910.9231513240029</v>
      </c>
      <c r="EB11" s="63">
        <f>Storage!$Q$57/((1-Shipping!$R$37)^($F11/24/Shipping!$R$44+0.5*Shipping!$R$59))</f>
        <v>103547089.94708996</v>
      </c>
      <c r="EC11" s="153">
        <f>IF($E11="","No Port",IF(AND(ship_choice="VLCC",G11="Panama"),"Ship cannot pass through Panama",IF(ship_choice="VLCC",((F11/24/Shipping!$AD$44+F11/24/Shipping!$AD$50+Shipping!$AD$59+Shipping!$AD$64)*(Shipping!$AD$22+wacc_nl*Shipping!$AD$19/365.25*1000000+Shipping!$AD$35)+(F11/24/Shipping!$AD$44*Shipping!$AD$45+Shipping!$AD$64*Shipping!$AD$65)*IF(bunker_choice="HFO",$H11,IF(bunker_choice="hydrogen",$BD11*hfo_e_density_lhv/h2_e_density_lhv,(DX11+DZ11)*1000000/EB11*hfo_e_density_lhv/Dme_e_density_lhv))+(F11/24/Shipping!$AD$50*Shipping!$AD$51+Shipping!$AD$59*Shipping!$AD$60)*IF(bunker_choice="HFO",bunker_price_ROT,IF(bunker_choice="hydrogen",$BD11*hfo_e_density_lhv/h2_e_density_lhv,(DX11+DZ11)*1000000/EB11*hfo_e_density_lhv/Dme_e_density_lhv))+Shipping!$AD$73+IF(G11="Panama",Shipping!$AD$55,0)+IF(G11="Suez",Shipping!$AD$56,0))/Shipping!$AD$31*(EB11+Dme_st_ab_losses)/1000000+IF(inland_transport_to_port="hv dc grid",$BM11/100*1000*EE11,IF(inland_transport_to_port="pipeline",$BN11,0)),((F11/24/Shipping!$R$44+F11/24/Shipping!$R$50+Shipping!$R$59+Shipping!$R$64)*(Shipping!$R$22+wacc_nl*Shipping!$R$19/365.25*1000000+Shipping!$R$35)+(F11/24/Shipping!$R$44*Shipping!$R$45+Shipping!$R$64*Shipping!$R$65)*IF(bunker_choice="HFO",$H11,IF(bunker_choice="hydrogen",$BD11*hfo_e_density_lhv/h2_e_density_lhv,(DX11+DZ11)*1000000/EB11*hfo_e_density_lhv/Dme_e_density_lhv))+(F11/24/Shipping!$R$50*Shipping!$R$51+Shipping!$R$59*Shipping!$R$60)*IF(bunker_choice="HFO",bunker_price_ROT,IF(bunker_choice="hydrogen",$BD11*hfo_e_density_lhv/h2_e_density_lhv,(DX11+DZ11)*1000000/EB11*hfo_e_density_lhv/Dme_e_density_lhv))+Shipping!$R$73+IF(G11="Panama",Shipping!$R$55,0)+IF(G11="Suez",Shipping!$R$56,0))/Shipping!$R$31*(EB11+Dme_st_ab_losses)/1000000+IF(inland_transport_to_port="hv dc grid",$BM11/100*1000*EE11,IF(inland_transport_to_port="pipeline",$BN11,0)))))</f>
        <v>4262.5647816405999</v>
      </c>
      <c r="ED11" s="28">
        <f t="shared" si="39"/>
        <v>103894.85661856782</v>
      </c>
      <c r="EE11" s="29">
        <f>(Dme_e_demand)*(EB11+Dme_st_ab_losses)/1000000+Dme_st_e_demand*DZ11/1000000+$CV11*(Carriers!$X$21/Carriers!$X$23*EB11)/$CS11</f>
        <v>1550.2168175875245</v>
      </c>
      <c r="EF11" s="29">
        <f t="shared" si="26"/>
        <v>1.0354708994708997</v>
      </c>
      <c r="EG11" s="28">
        <f>IFERROR(ED11*1000000/Storage!$Q$12,"")</f>
        <v>1003.3585364074989</v>
      </c>
      <c r="EH11" s="28">
        <f>IF($E11="","No Port",((F11/24/Shipping!$R$44+F11/24/Shipping!$R$50+Shipping!$R$59+Shipping!$R$64)*Carriers!$X$39*wacc_nl))</f>
        <v>42.815962335417026</v>
      </c>
      <c r="EI11" s="100">
        <f>H2_retrieval!$P$25*h2_demand_kt/1000+(co2_liq_e_demand+co2_st_e_demand*2)*Storage!$Q$12*co2_density/Dme_density/1000000</f>
        <v>252.45335899349112</v>
      </c>
      <c r="EJ11" s="28">
        <f>IFERROR((((DX11+DZ11+EC11)*(1+H2_retrieval!$P$34)+EH11)*1000000/H2_retrieval!$P$8)+h2_regen_dme,"")</f>
        <v>7528.0103910328853</v>
      </c>
      <c r="EK11" s="149">
        <f>(ome_invest*(M11+1/ome_lifetime)/ome_prod+ome_opex+ome_e_demand*1000*$AU11/100+Carriers!$Z$21/Carriers!$Z$23*(CO11*1000000/CS11))*(EO11+ome_st_ab_losses)/1000000</f>
        <v>166573.04205644797</v>
      </c>
      <c r="EL11" s="86">
        <f>(ome_invest*(M11+1/ome_lifetime)/ome_prod+ome_opex+ome_e_demand*1000*$AU11/100+Carriers!$Z$21/Carriers!$Z$23*(CP11*1000000/CS11))*(EO11+ome_st_ab_losses)/1000000</f>
        <v>209190.05907529048</v>
      </c>
      <c r="EM11" s="63">
        <f>ome_st_nl_cost*ome_st_nl_demand/1000000+(ome_st_invest*(M11+1/ome_st_lifetime+ome_st_opex)/(Storage!$S$63/1000000)+ome_st_e_demand*1000*$AU11/100)*(EO11+ome_st_ab_losses)/1000000+co2_st_nl_cost*Storage!$S$12*co2_density/ome_density/1000000+(co2_st_opex_lev+co2_st_invest_lev+co2_st_e_demand*1000*$AU11/100)*Storage!$S$12/1000000+co2_st_invest_lev*Storage!$S$12*co2_st_lifetime*M11/1000000+(h2_demand_kt*1000/365.25*short_st_duration_hrs/24)*(h2_short_st_invest*(1/gh2_short_st_lifetime+$M11+h2_short_st_opex)+h2_short_st_e_demand*1000*$AU11/100)/1000000</f>
        <v>4912.9610953160754</v>
      </c>
      <c r="EN11" s="63">
        <f>ome_st_nl_cost*ome_st_nl_demand/1000000+(ome_st_invest*(M11+1/ome_st_lifetime+ome_st_opex)/(Storage!$S$63/1000000)+ome_st_e_demand*1000*$AU11/100)*(EO11+ome_st_ab_losses)/1000000+(h2_demand_kt*1000/365.25*short_st_duration_hrs/24)*(h2_short_st_invest*(1/gh2_short_st_lifetime+$M11+h2_short_st_opex)+h2_short_st_e_demand*1000*$AU11/100)/1000000</f>
        <v>1744.5030782378808</v>
      </c>
      <c r="EO11" s="63">
        <f>Storage!$S$57/((1-Shipping!$T$37)^($F11/24/Shipping!$T$44+0.5*Shipping!$T$59))</f>
        <v>128282539.68253967</v>
      </c>
      <c r="EP11" s="28">
        <f>IF($E11="","No Port",IF(AND(ship_choice="VLCC",G11="Panama"),"Ship cannot pass through Panama",IF(ship_choice="VLCC",((F11/24/Shipping!$AD$44+F11/24/Shipping!$AD$50+Shipping!$AD$59+Shipping!$AD$64)*(Shipping!$AD$22+wacc_nl*Shipping!$AD$19/365.25*1000000+Shipping!$AD$35)+(F11/24/Shipping!$AD$44*Shipping!$AD$45+Shipping!$AD$64*Shipping!$AD$65)*IF(bunker_choice="HFO",$H11,IF(bunker_choice="hydrogen",$BD11*hfo_e_density_lhv/h2_e_density_lhv,(EK11+EM11)*1000000/EO11*hfo_e_density_lhv/Dme_e_density_lhv))+(F11/24/Shipping!$AD$50*Shipping!$AD$51+Shipping!$AD$59*Shipping!$AD$60)*IF(bunker_choice="HFO",bunker_price_ROT,IF(bunker_choice="hydrogen",$BD11*hfo_e_density_lhv/h2_e_density_lhv,(EK11+EM11)*1000000/EO11*hfo_e_density_lhv/ome_e_density_lhv))+Shipping!$AD$73+IF(G11="Panama",Shipping!$AD$55,0)+IF(G11="Suez",Shipping!$AD$56,0))/Shipping!$AD$31*(EO11+ome_st_ab_losses)/1000000+IF(inland_transport_to_port="hv dc grid",$BM11/100*1000*ER11,IF(inland_transport_to_port="pipeline",$BN11,0)),((F11/24/Shipping!$T$44+F11/24/Shipping!$T$50+Shipping!$T$59+Shipping!$T$64)*(Shipping!$T$22+wacc_nl*Shipping!$T$19/365.25*1000000+Shipping!$T$35)+(F11/24/Shipping!$T$44*Shipping!$T$45+Shipping!$T$64*Shipping!$T$65)*IF(bunker_choice="HFO",$H11,IF(bunker_choice="hydrogen",$BD11*hfo_e_density_lhv/h2_e_density_lhv,(EK11+EM11)*1000000/EO11*hfo_e_density_lhv/Dme_e_density_lhv))+(F11/24/Shipping!$T$50*Shipping!$T$51+Shipping!$T$59*Shipping!$T$60)*IF(bunker_choice="HFO",bunker_price_ROT,IF(bunker_choice="hydrogen",$BD11*hfo_e_density_lhv/h2_e_density_lhv,(EK11+EM11)*1000000/EO11*hfo_e_density_lhv/ome_e_density_lhv))+Shipping!$T$73+IF(G11="Panama",Shipping!$T$55,0)+IF(G11="Suez",Shipping!$T$56,0))/Shipping!$T$31*(EO11+ome_st_ab_losses)/1000000+IF(inland_transport_to_port="hv dc grid",$BM11/100*1000*ER11,IF(inland_transport_to_port="pipeline",$BN11,0)))))</f>
        <v>4411.353893745847</v>
      </c>
      <c r="EQ11" s="28">
        <f t="shared" si="40"/>
        <v>215345.91604727419</v>
      </c>
      <c r="ER11" s="29">
        <f>(ome_e_demand)*(EO11+ome_st_ab_losses)/1000000+ome_st_e_demand*EM11/1000000+$CV11*(Carriers!$Z$21/Carriers!$Z$23*EO11)/$CS11</f>
        <v>3352.0814575102249</v>
      </c>
      <c r="ES11" s="29">
        <f t="shared" si="27"/>
        <v>0.1924238095238095</v>
      </c>
      <c r="ET11" s="28">
        <f>IFERROR(EQ11*1000000/Storage!$S$12,"")</f>
        <v>1678.6845394563434</v>
      </c>
      <c r="EU11" s="28">
        <f>IF($E11="","No Port",((F11/24/Shipping!$T$44+F11/24/Shipping!$T$50+Shipping!$T$59+Shipping!$T$64)*Carriers!$Z$39*wacc_nl))</f>
        <v>49.907670642289027</v>
      </c>
      <c r="EV11" s="100">
        <f>H2_retrieval!$R$25*h2_demand_kt/1000+(co2_liq_e_demand+co2_st_e_demand*2)*Storage!$S$12*co2_density/ome_density/1000000</f>
        <v>254.51942895252085</v>
      </c>
      <c r="EW11" s="28">
        <f>IFERROR((((EK11+EM11+EP11)*(1+H2_retrieval!$R$34)+EU11)*1000000/H2_retrieval!$R$8)+h2_regen_ome,"")</f>
        <v>14107.427419383774</v>
      </c>
      <c r="EX11" s="149">
        <f>(sng_invest*(M11+1/sng_lifetime)/sng_prod+lng_invest*(M11+1/lng_lifetime)/lng_prod+sng_opex+lng_opex+(sng_e_demand+lng_e_demand)*1000*$AU11/100+Carriers!$AB$18/Carriers!$AB$23*BD11+Carriers!$AB$20/Carriers!$AB$23*co2_liq_cost)*(FB11+lng_st_ab_losses)/1000000</f>
        <v>58997.412012839675</v>
      </c>
      <c r="EY11" s="86">
        <f>(sng_invest*(M11+1/sng_lifetime)/sng_prod+lng_invest*(M11+1/lng_lifetime)/lng_prod+sng_opex+lng_opex+(sng_e_demand+lng_e_demand)*1000*$AU11/100+Carriers!$AB$18/Carriers!$AB$23*BD11+Carriers!$AB$20/Carriers!$AB$23*BP11)*(FB11+lng_st_ab_losses)/1000000</f>
        <v>70125.932205514371</v>
      </c>
      <c r="EZ11" s="63">
        <f>lng_st_nl_cost*lng_st_nl_demand/1000000+(lng_st_invest*(M11+1/lng_st_lifetime+lng_st_opex)/(Storage!$U$63/1000000)+lng_st_e_demand*1000*$AU11/100)*(FB11+lng_st_ab_losses)/1000000+co2_st_nl_cost*Storage!$U$12*co2_density/lng_density/1000000+(co2_st_opex_lev+co2_st_invest_lev+co2_st_e_demand*1000*$AU11/100)*Storage!$U$12/1000000+co2_st_invest_lev*Storage!$U$12*co2_st_lifetime*M11/1000000+Carriers!$AB$18/Carriers!$AB$23*((FB11+lng_st_ab_losses)/365.25*short_st_duration_hrs/24)*(h2_short_st_invest*(1/gh2_short_st_lifetime+$M11+h2_short_st_opex)+h2_short_st_e_demand*1000*$AU11/100)/1000000+Carriers!$AB$20/Carriers!$AB$23*((FB11+lng_st_ab_losses)/365.25*short_st_duration_hrs/24)*(co2_short_st_invest*(1/co2_short_st_lifetime+$M11+co2_short_st_opex)+co2_short_st_e_demand*1000*$AU11/100)/1000000</f>
        <v>6086.1428983902124</v>
      </c>
      <c r="FA11" s="63">
        <f>lng_st_nl_cost*lng_st_nl_demand/1000000+(lng_st_invest*(M11+1/lng_st_lifetime+lng_st_opex)/(Storage!$U$63/1000000)+lng_st_e_demand*1000*$AU11/100)*(FB11+lng_st_ab_losses)/1000000+Carriers!$AB$18/Carriers!$AB$23*((FB11+lng_st_ab_losses)/365.25*short_st_duration_hrs/24)*(h2_short_st_invest*(1/gh2_short_st_lifetime+$M11+h2_short_st_opex)+h2_short_st_e_demand*1000*$AU11/100)/1000000+Carriers!$AB$20/Carriers!$AB$23*((FB11+lng_st_ab_losses)/365.25*short_st_duration_hrs/24)*(co2_short_st_invest*(1/co2_short_st_lifetime+$M11+co2_short_st_opex)+co2_short_st_e_demand*1000*$AU11/100)/1000000</f>
        <v>4538.8271892827415</v>
      </c>
      <c r="FB11" s="63">
        <f>Storage!$U$57/((1-Shipping!$V$37)^($F11/24/Shipping!$V$44+0.5*Shipping!$V$59))</f>
        <v>40940080.727223307</v>
      </c>
      <c r="FC11" s="28">
        <f>IF($E11="","No Port",IF(G11="Panama","Ship cannot pass through Panama",((F11/24/Shipping!$V$44+F11/24/Shipping!$V$50+Shipping!$V$59+Shipping!$V$64)*(Shipping!$V$22+wacc_nl*Shipping!$V$19/365.25*1000000+Shipping!$V$35)+(F11/24/Shipping!$V$44*Shipping!$V$45+Shipping!$V$64*Shipping!$V$65)*IF(bunker_choice="HFO",$H11,IF(bunker_choice="hydrogen",$BD11*hfo_e_density_lhv/h2_e_density_lhv,(EX11+EZ11)*1000000/FB11*hfo_e_density_lhv/lng_e_density_lhv))+(F11/24/Shipping!$V$50*Shipping!$V$51+Shipping!$V$59*Shipping!$V$60)*IF(bunker_choice="HFO",bunker_price_ROT,IF(bunker_choice="hydrogen",$BD11*hfo_e_density_lhv/h2_e_density_lhv,(EX11+EZ11)*1000000/FB11*hfo_e_density_lhv/lng_e_density_lhv))+Shipping!$V$73+IF(G11="Panama",Shipping!$V$55,0)+IF(G11="Suez",Shipping!$V$56,0))/Shipping!$V$31*(FB11+lng_st_ab_losses)/1000000)+IF(inland_transport_to_port="hv dc grid",$BM11/100*1000*FE11,IF(inland_transport_to_port="pipeline",$BN11,0)))</f>
        <v>3019.4537505460326</v>
      </c>
      <c r="FD11" s="28">
        <f t="shared" si="41"/>
        <v>77684.21314534315</v>
      </c>
      <c r="FE11" s="29">
        <f>((Carriers!$AB$18/Carriers!$AB$23*alk_el_e_demand)+sng_e_demand+lng_e_demand)*(FB11+lng_st_ab_losses)/1000000+lng_st_e_demand*EZ11/1000000</f>
        <v>1097.9896324940842</v>
      </c>
      <c r="FF11" s="29">
        <f t="shared" si="28"/>
        <v>0.8126185861001558</v>
      </c>
      <c r="FG11" s="28">
        <f>IFERROR(FD11*1000000/Storage!$U$12,"")</f>
        <v>1914.1526236532457</v>
      </c>
      <c r="FH11" s="28">
        <f>IF($E11="","No Port",((F11/24/Shipping!$V$44+F11/24/Shipping!$V$50+Shipping!$V$59+Shipping!$V$64)*Carriers!$AB$39*wacc_nl))</f>
        <v>15.04779687917285</v>
      </c>
      <c r="FI11" s="100">
        <f>H2_retrieval!$T$25*h2_demand_kt/1000+(co2_liq_e_demand+co2_st_e_demand*2)*Storage!$U$12*co2_density/lng_density/1000000</f>
        <v>236.51371749646054</v>
      </c>
      <c r="FJ11" s="28">
        <f>IFERROR((((EX11+EZ11+FC11)*(1+H2_retrieval!$T$34)+FH11)*1000000/H2_retrieval!$T$8)+h2_regen_lng,"")</f>
        <v>6178.8091651560489</v>
      </c>
      <c r="FK11" s="149">
        <f>(lh2_invest*(M11+1/lh2_lifetime)/lh2_prod+lh2_opex+lh2_e_demand*1000*$AU11/100+Carriers!$AD$18/Carriers!$AD$23*BD11)*(FM11+lh2_st_ab_losses)/1000000</f>
        <v>46354.335888622671</v>
      </c>
      <c r="FL11" s="28">
        <f>lh2_st_nl_cost*lh2_st_nl_demand/1000000+(lh2_st_invest*(M11+1/lh2_st_lifetime+lh2_st_opex)/(Storage!$Y$63/1000000)+lh2_st_e_demand*1000*$AU11/100)*(FM11+lh2_st_ab_losses)/1000000+((FM11+lh2_st_ab_losses)/365.25*short_st_duration_hrs/24)*(h2_short_st_invest*(1/gh2_short_st_lifetime+$M11+h2_short_st_opex)+h2_short_st_e_demand*1000*$AU11/100)/1000000</f>
        <v>52844.354367403401</v>
      </c>
      <c r="FM11" s="63">
        <f>Storage!$Y$57/((1-Shipping!$Z$37)^($F11/24/Shipping!$Z$44+0.5*Shipping!$Z$59))</f>
        <v>13785263.95615178</v>
      </c>
      <c r="FN11" s="28">
        <f>IF($E11="","No Port",IF(G11="Panama","Ship cannot pass through Panama",((F11/24/Shipping!$Z$44+F11/24/Shipping!$Z$50+Shipping!$Z$59+Shipping!$Z$64)*(Shipping!$Z$22+wacc_nl*Shipping!$Z$19/365.25*1000000+Shipping!$Z$35)+(F11/24/Shipping!$Z$44*Shipping!$Z$45+Shipping!$Z$64*Shipping!$Z$65)*IF(bunker_choice="HFO",$H11,IF(bunker_choice="hydrogen",$BD11*hfo_e_density_lhv/h2_e_density_lhv,(FK11+FL11)*1000000/FM11*hfo_e_density_lhv/lh2_e_density_lhv))+(F11/24/Shipping!$Z$50*Shipping!$Z$51+Shipping!$Z$59*Shipping!$Z$60)*IF(bunker_choice="HFO",bunker_price_ROT,IF(bunker_choice="hydrogen",$BD11*hfo_e_density_lhv/h2_e_density_lhv,(FK11+FL11)*1000000/FM11*hfo_e_density_lhv/lh2_e_density_lhv))+Shipping!$Z$73+IF(G11="Panama",Shipping!$Z$55,0)+IF(G11="Suez",Shipping!$Z$56,0))/Shipping!$Z$31*(FM11+lh2_st_ab_losses)/1000000)+IF(inland_transport_to_port="hv dc grid",$BM11/100*1000*FP11,IF(inland_transport_to_port="pipeline",$BN11,0)))</f>
        <v>3659.1510988306554</v>
      </c>
      <c r="FO11" s="28">
        <f t="shared" si="42"/>
        <v>102857.84135485673</v>
      </c>
      <c r="FP11" s="29">
        <f>((Carriers!$AD$18/Carriers!$AD$23*alk_el_e_demand)+lh2_e_demand)*(FM11+lh2_st_ab_losses)/1000000+lh2_st_e_demand*FM11/1000000</f>
        <v>798.85227829250709</v>
      </c>
      <c r="FQ11" s="100">
        <f t="shared" si="29"/>
        <v>1.361902463475859</v>
      </c>
      <c r="FR11" s="28">
        <f>IFERROR(FO11*1000000/Storage!$Y$12,"")</f>
        <v>7563.0765702100543</v>
      </c>
      <c r="FS11" s="100">
        <f>H2_retrieval!$V$25*h2_demand_kt/1000</f>
        <v>8.16</v>
      </c>
      <c r="FT11" s="28">
        <f>IFERROR(FR11*(1+H2_retrieval!$V$34)/Carrier_properties!$U$7+H2_retrieval!$V$38,"")</f>
        <v>7595.0452960785215</v>
      </c>
      <c r="FU11" s="12"/>
      <c r="FV11" s="24">
        <f t="shared" si="30"/>
        <v>2.1527060076320712</v>
      </c>
      <c r="FW11" s="24" t="str">
        <f t="shared" si="43"/>
        <v/>
      </c>
      <c r="FX11" s="24">
        <f t="shared" si="44"/>
        <v>8.2430492343926911</v>
      </c>
      <c r="FY11" s="24">
        <f t="shared" si="45"/>
        <v>2.1527060076320712</v>
      </c>
      <c r="FZ11" s="28">
        <f t="shared" si="46"/>
        <v>2462.7231909650122</v>
      </c>
      <c r="GA11" s="28">
        <f t="shared" si="47"/>
        <v>572.49805862259166</v>
      </c>
      <c r="GB11" s="28">
        <f t="shared" si="48"/>
        <v>374.63892984874303</v>
      </c>
      <c r="GC11" s="28">
        <f t="shared" si="49"/>
        <v>640.17704406998519</v>
      </c>
      <c r="GD11" s="28">
        <f t="shared" si="50"/>
        <v>934.08099382634009</v>
      </c>
      <c r="GE11" s="28">
        <f t="shared" si="51"/>
        <v>1630.6978299071125</v>
      </c>
      <c r="GF11" s="28">
        <f t="shared" si="52"/>
        <v>1712.8918888253143</v>
      </c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</row>
    <row r="12" spans="1:214" x14ac:dyDescent="0.2">
      <c r="A12" s="40" t="s">
        <v>33</v>
      </c>
      <c r="B12" s="12">
        <v>7145</v>
      </c>
      <c r="C12" s="12">
        <v>0.9</v>
      </c>
      <c r="D12" s="12">
        <f t="shared" si="0"/>
        <v>9.9999999999999978E-2</v>
      </c>
      <c r="E12" s="12" t="s">
        <v>697</v>
      </c>
      <c r="F12" s="12">
        <v>5110</v>
      </c>
      <c r="G12" s="12"/>
      <c r="H12" s="16">
        <f t="shared" si="1"/>
        <v>382.75862068965517</v>
      </c>
      <c r="I12" s="16">
        <v>1246700</v>
      </c>
      <c r="J12" s="16">
        <f t="shared" si="31"/>
        <v>629.94994650792046</v>
      </c>
      <c r="K12" s="27">
        <f t="shared" si="32"/>
        <v>755.9399358095045</v>
      </c>
      <c r="L12" s="103">
        <v>0.154</v>
      </c>
      <c r="M12" s="103">
        <f t="shared" si="2"/>
        <v>0.15032880417514646</v>
      </c>
      <c r="N12" s="122">
        <f t="shared" si="33"/>
        <v>0.8</v>
      </c>
      <c r="O12" s="46">
        <f t="shared" si="3"/>
        <v>40</v>
      </c>
      <c r="P12" s="70">
        <f t="array" ref="P12">SUMPRODUCT(IF(Solar_data!A$4:A$777=A12,Solar_data!C$4:C$777),IF(Solar_data!A$4:A$777=A12,Solar_data!I$4:I$777))/SUMIF(Solar_data!A$4:A$777,A12,Solar_data!I$4:I$777)</f>
        <v>2087.3660605990663</v>
      </c>
      <c r="Q12" s="16">
        <f t="array" ref="Q12">MAX(IF(Solar_data!$A$777:'Solar_data'!$A$4=Country_details!$A12,Solar_data!$C$4:'Solar_data'!$C$777))</f>
        <v>2463.75</v>
      </c>
      <c r="R12" s="16">
        <f t="array" ref="R12">MIN(IF(Solar_data!$A$777:'Solar_data'!$A$4=Country_details!A12,Solar_data!$C$4:'Solar_data'!$C$777))</f>
        <v>1551.25</v>
      </c>
      <c r="S12" s="24">
        <f t="shared" si="4"/>
        <v>2.8038257586242801</v>
      </c>
      <c r="T12" s="24">
        <f t="shared" si="5"/>
        <v>2.3754888801159826</v>
      </c>
      <c r="U12" s="24">
        <f t="shared" si="6"/>
        <v>3.772835280184208</v>
      </c>
      <c r="V12" s="16">
        <f t="array" ref="V12">SUM(IF(Solar_data!$A$777:'Solar_data'!$A$4=Country_details!$A12,Solar_data!$I$4:'Solar_data'!$I$777))</f>
        <v>9299.4111224854059</v>
      </c>
      <c r="W12" s="148"/>
      <c r="X12" s="16" t="str">
        <f>IFERROR(INDEX(Onshore_wind_data!$J$5:'Onshore_wind_data'!$J$221,MATCH(A12,Onshore_wind_data!$B$5:'Onshore_wind_data'!$B$221,0)),"")</f>
        <v/>
      </c>
      <c r="Y12" s="16" t="str">
        <f>IFERROR(INDEX(Onshore_wind_data!$K$5:'Onshore_wind_data'!$K$221,MATCH(A12,Onshore_wind_data!$B$5:'Onshore_wind_data'!$B$221,0)),"")</f>
        <v/>
      </c>
      <c r="Z12" s="16" t="str">
        <f>IFERROR(INDEX(Onshore_wind_data!$L$5:'Onshore_wind_data'!$L$221,MATCH(A12,Onshore_wind_data!$B$5:'Onshore_wind_data'!$B$221,0)),"")</f>
        <v/>
      </c>
      <c r="AA12" s="24" t="str">
        <f t="shared" si="7"/>
        <v/>
      </c>
      <c r="AB12" s="24" t="str">
        <f t="shared" si="8"/>
        <v/>
      </c>
      <c r="AC12" s="24" t="str">
        <f t="shared" si="9"/>
        <v/>
      </c>
      <c r="AD12" s="16">
        <f>IFERROR(INDEX(Onshore_wind_data!$I$5:'Onshore_wind_data'!$I$221,MATCH(A12,Onshore_wind_data!$B$5:'Onshore_wind_data'!$B$221,0)),"")</f>
        <v>0</v>
      </c>
      <c r="AE12" s="148"/>
      <c r="AF12" s="16">
        <f>INDEX(Offshore_wind_data!$AA$7:$AA$192,MATCH(Country_details!A12,Offshore_wind_data!$A$7:$A$192,0))</f>
        <v>3762.603592814372</v>
      </c>
      <c r="AG12" s="16">
        <f>INDEX(Offshore_wind_data!$Y$7:$Y$192,MATCH(Country_details!A12,Offshore_wind_data!$A$7:$A$192,0))</f>
        <v>4204.8</v>
      </c>
      <c r="AH12" s="16">
        <f>INDEX(Offshore_wind_data!$Z$7:$Z$192,MATCH(Country_details!A12,Offshore_wind_data!$A$7:$A$192,0))</f>
        <v>3504</v>
      </c>
      <c r="AI12" s="24">
        <f t="shared" si="10"/>
        <v>8.1980553687421871</v>
      </c>
      <c r="AJ12" s="24">
        <f t="shared" si="11"/>
        <v>7.3359095758467703</v>
      </c>
      <c r="AK12" s="24">
        <f t="shared" si="12"/>
        <v>8.8030914910161258</v>
      </c>
      <c r="AL12" s="16">
        <f>INDEX(Offshore_wind_data!$W$7:$W$191,MATCH(A12,Offshore_wind_data!$A$7:$A$191,0))</f>
        <v>100.536768</v>
      </c>
      <c r="AM12" s="148"/>
      <c r="AN12" s="12">
        <v>29.8</v>
      </c>
      <c r="AO12" s="12">
        <v>76</v>
      </c>
      <c r="AP12" s="34">
        <f>0.6549*11.63</f>
        <v>7.6164870000000011</v>
      </c>
      <c r="AQ12" s="15">
        <f t="shared" si="13"/>
        <v>50</v>
      </c>
      <c r="AR12" s="12">
        <f t="shared" si="34"/>
        <v>3800</v>
      </c>
      <c r="AS12" s="16">
        <f t="shared" si="35"/>
        <v>5599.9478904854059</v>
      </c>
      <c r="AT12" s="12"/>
      <c r="AU12" s="24">
        <f t="shared" si="14"/>
        <v>2.8038257586242801</v>
      </c>
      <c r="AV12" s="16">
        <f t="shared" si="15"/>
        <v>2087.3660605990663</v>
      </c>
      <c r="AW12" s="149">
        <f>HV_DC_Grid!$E$3/(1-AX12)*AU12/100*1000</f>
        <v>3278.4237898275833</v>
      </c>
      <c r="AX12" s="31">
        <f>(1-(1-HV_DC_Grid!$E$25)^(B12*C12*HV_DC_Grid!$E$8/1000))+(1-(1-HV_DC_Grid!$E$26)^(B12*D12*HV_DC_Grid!$E$8/1000))+HV_DC_Grid!$E$35*HV_DC_Grid!$E$28</f>
        <v>0.14476408836340937</v>
      </c>
      <c r="AY12" s="28">
        <f>B12*nl_e_demand/IF(hv_dc_flh="electricity FLH",$AV12,hv_dc_custom)*1000*hv_dc_capacity_multiplier*hv_dc_length_multiplier*1000*(C12*hv_dc_overhead_invest*(hv_dc_overhead_opex+M12+1/hv_dc_lifetime)+D12*hv_dc_sea_invest*(hv_dc_sea_opex+M12+1/hv_dc_lifetime))/1000000+HV_DC_Grid!$E$10*1000*hv_dc_station_invest*hv_dc_station_number*(hv_dc_station_opex+M12+1/hv_dc_lifetime)/1000000</f>
        <v>8999.1143225966025</v>
      </c>
      <c r="AZ12" s="24">
        <f>(AW12+AY12)/(HV_DC_Grid!$E$3*1000)*100</f>
        <v>12.277538112424187</v>
      </c>
      <c r="BA12" s="28">
        <f>MIN(((Carriers!$F$26+Carriers!$F$27)*(alk_el_opex+wacc_nl+1/alk_el_lifetime)+IF(hv_dc_flh="electricity FLH",$AV12,hv_dc_custom)*AZ12/100)/(IF(hv_dc_flh="electricity FLH",$AV12,hv_dc_custom)/alk_el_e_demand)*1000,((Carriers!$H$26+Carriers!$H$27)*(pem_el_opex+wacc_nl+1/pem_el_lifetime)+IF(hv_dc_flh="electricity FLH",$AV12,hv_dc_custom)*AZ12/100)/(IF(hv_dc_flh="electricity FLH",$AV12,hv_dc_custom)/pem_el_e_demand)*1000)</f>
        <v>6631.0177382194479</v>
      </c>
      <c r="BB12" s="12"/>
      <c r="BC12" s="12"/>
      <c r="BD12" s="149">
        <f>MIN(((Carriers!$F$26+Carriers!$F$27)*(alk_el_opex+M12+1/alk_el_lifetime)+$AV12*$AU12/100)/($AV12/alk_el_e_demand)*1000,((Carriers!$H$26+Carriers!$H$27)*(pem_el_opex+M12+1/pem_el_lifetime)+$AV12*$AU12/100)/($AV12/pem_el_e_demand)*1000)</f>
        <v>3280.7012922975837</v>
      </c>
      <c r="BE12" s="28">
        <f>Storage!$AC$50</f>
        <v>8.1664117557772418</v>
      </c>
      <c r="BF12" s="28">
        <f>((Pipeline!$D$22*Pipeline!$D$24*B12*(pipeline_opex+M12+1/pipeline_lifetime))*(Pipeline!$D$39/Pipeline!$D$3)+(Pipeline!$D$57*(pipeline_comp_opex+M12+1/pipeline_comp_lifetime)+Pipeline!$D$47*1000*Pipeline!$D$45*$AU12/100/1000000))*(Pipeline!$D$75/Pipeline!$D$45)</f>
        <v>18187.422712442993</v>
      </c>
      <c r="BG12" s="28">
        <f>BD12+(BE12+BF12)/Storage!$AC$12*1000000</f>
        <v>4618.6122573121993</v>
      </c>
      <c r="BH12" s="28"/>
      <c r="BI12" s="28"/>
      <c r="BJ12" s="28">
        <f>IF($E12="","No Port",BK12*HV_DC_Grid!$E$3*$AU12/100*1000)</f>
        <v>79.978831858745409</v>
      </c>
      <c r="BK12" s="31">
        <f>IFERROR((1-(1-HV_DC_Grid!$E$25)^(K12*HV_DC_Grid!$E$8/1000))+HV_DC_Grid!$E$35*HV_DC_Grid!$E$28,"")</f>
        <v>2.8524893750169297E-2</v>
      </c>
      <c r="BL12" s="28">
        <f>IFERROR(K12*nl_e_demand/IF(hv_dc_flh="electricity FLH",$AV12,hv_dc_custom)*1000*hv_dc_capacity_multiplier*hv_dc_length_multiplier*1000*(hv_dc_overhead_invest*(hv_dc_overhead_opex+M12+1/hv_dc_lifetime))/1000000+HV_DC_Grid!$E$10*1000*hv_dc_station_invest*hv_dc_station_number*(hv_dc_station_opex+M12+1/hv_dc_lifetime)/1000000,"")</f>
        <v>1228.9825490943565</v>
      </c>
      <c r="BM12" s="29">
        <f>IFERROR((BJ12+BL12)/(HV_DC_Grid!$E$3*1000)*100,"")</f>
        <v>1.308961380953102</v>
      </c>
      <c r="BN12" s="28">
        <f>IFERROR(((Pipeline!$D$22*Pipeline!$D$24*K12*(pipeline_opex+M12+1/pipeline_lifetime))*(Pipeline!$D$39/Pipeline!$D$3)+(Pipeline!$D$57*(pipeline_comp_opex+M12+1/pipeline_comp_lifetime)+Pipeline!$D$47*1000*Pipeline!$D$45*S12/100/1000000))*(Pipeline!$D$75/Pipeline!$D$45),"")</f>
        <v>2007.1326256429047</v>
      </c>
      <c r="BO12" s="28"/>
      <c r="BP12" s="150">
        <f t="shared" si="16"/>
        <v>127.08544376000678</v>
      </c>
      <c r="BQ12" s="34">
        <f t="shared" si="17"/>
        <v>38.011754682506364</v>
      </c>
      <c r="BR12" s="151">
        <f>(nh3_invest*(M12+1/nh3_lifetime)/nh3_prod+nh3_opex+nh3_e_demand*1000*$AU12/100+Carriers!$N$18/Carriers!$N$23*BD12+Carriers!$N$19/Carriers!$N$23*BQ12)*(BT12+nh3_st_ab_losses)/1000000</f>
        <v>59051.25592544589</v>
      </c>
      <c r="BS12" s="63">
        <f>nh3_st_nl_cost*nh3_st_nl_demand/1000000+(nh3_st_invest*(M12+1/nh3_st_lifetime+nh3_st_opex)/(Storage!$G$63/1000000)+nh3_st_e_demand*1000*$AU12/100)*(BT12+nh3_st_ab_losses)/1000000+Carriers!$N$18/Carriers!$N$23*((BT12+nh3_st_ab_losses)/365.25*short_st_duration_hrs/24)*(h2_short_st_invest*(1/gh2_short_st_lifetime+$M12+h2_short_st_opex)+h2_short_st_e_demand*1000*$AU12/100)/1000000+Carriers!$N$19/Carriers!$N$23*((BT12+nh3_st_ab_losses)/365.25*short_st_duration_hrs/24)*(n2_short_st_invest*(1/n2_short_st_lifetime+$M12+n2_short_st_opex)+n2_short_st_e_demand*1000*$AU12/100)/1000000</f>
        <v>3749.4660260359392</v>
      </c>
      <c r="BT12" s="63">
        <f>Storage!$G$57/((1-Shipping!$H$37)^(F12/24/Shipping!$H$44+0.5*Shipping!$H$59))</f>
        <v>79379623.086356997</v>
      </c>
      <c r="BU12" s="63">
        <f>IF($E12="","No Port",((F12/24/Shipping!$H$44+F12/24/Shipping!$H$50+Shipping!$H$59+Shipping!$H$64)*(Shipping!$H$22+wacc_nl*Shipping!$H$19/365.25*1000000+Shipping!$H$35)+(F12/24/Shipping!$H$44*Shipping!$H$45+Shipping!$H$64*Shipping!$H$65)*IF(bunker_choice="HFO",H12,IF(bunker_choice="hydrogen",BD12*hfo_e_density_lhv/h2_e_density_lhv,(BR12+BS12)*1000000/BT12*hfo_e_density_lhv/nh3_e_density_lhv))+(F12/24/Shipping!$H$50*Shipping!$H$51+Shipping!$H$59*Shipping!$H$60)*IF(bunker_choice="HFO",bunker_price_ROT,IF(bunker_choice="hydrogen",BD12*hfo_e_density_lhv/h2_e_density_lhv,(BR12+BS12)*1000000/BT12*hfo_e_density_lhv/nh3_e_density_lhv))+Shipping!$H$73+IF(G12="Panama",Shipping!$H$55,0)+IF(G12="Suez",Shipping!$H$56,0))/Shipping!$H$31*BT12/1000000+IF(inland_transport_to_port="hv dc grid",$BM12/100*1000*BW12,IF(inland_transport_to_port="pipeline",$BN12,0)))</f>
        <v>5567.1336425161589</v>
      </c>
      <c r="BV12" s="63">
        <f t="shared" si="18"/>
        <v>68367.855593997985</v>
      </c>
      <c r="BW12" s="33">
        <f>((Carriers!$N$18/Carriers!$N$23*alk_el_e_demand)+(Carriers!$N$19/Carriers!$N$23*n2_e_demand)+nh3_e_demand)*(BT12+nh3_st_ab_losses)/1000000+nh3_st_e_demand*BT12/1000000</f>
        <v>783.89110216626182</v>
      </c>
      <c r="BX12" s="33">
        <f t="shared" si="19"/>
        <v>0.76626754477640768</v>
      </c>
      <c r="BY12" s="63">
        <f>IFERROR(BV12*1000000/Storage!$G$12,"")</f>
        <v>892.96251017702468</v>
      </c>
      <c r="BZ12" s="63">
        <f>H2_retrieval!$F$25*h2_demand_kt/1000</f>
        <v>80</v>
      </c>
      <c r="CA12" s="63">
        <f>IFERROR(BY12*(1+H2_retrieval!$F$34)/Carrier_properties!$E$7+H2_retrieval!$F$38,"")</f>
        <v>5436.2741850847633</v>
      </c>
      <c r="CB12" s="149">
        <f>(FA_invest*(M12+1/FA_lifetime)/FA_prod+FA_opex+FA_e_demand*1000*$AU12/100+Carriers!$P$18/Carriers!$P$23*BD12+Carriers!$P$20/Carriers!$P$23*co2_liq_cost)*(CF12+FA_st_ab_losses)/1000000</f>
        <v>116086.62279055348</v>
      </c>
      <c r="CC12" s="86">
        <f>(FA_invest*(M12+1/FA_lifetime)/FA_prod+FA_opex+FA_e_demand*1000*$AU12/100+Carriers!$P$18/Carriers!$P$23*BD12+Carriers!$P$20/Carriers!$P$23*BP12)*(CF12+FA_st_ab_losses)/1000000</f>
        <v>146964.95496704523</v>
      </c>
      <c r="CD12" s="63">
        <f>FA_st_nl_cost*FA_st_nl_demand/1000000+(FA_st_invest*(M12+1/FA_st_lifetime+FA_st_opex)/(Storage!$I$63/1000000)+FA_st_e_demand*1000*$AU12/100)*(CF12+FA_st_ab_losses)/1000000+co2_st_nl_cost*Storage!$I$12*co2_density/FA_density/1000000+(co2_st_opex_lev+co2_st_invest_lev+co2_st_e_demand*1000*$AU12/100)*Storage!$I$12/1000000+co2_st_invest_lev*Storage!$I$12*co2_st_lifetime*M12/1000000+Carriers!$P$18/Carriers!$P$23*((CF12+FA_st_ab_losses)/365.25*short_st_duration_hrs/24)*(h2_short_st_invest*(1/gh2_short_st_lifetime+$M12+h2_short_st_opex)+h2_short_st_e_demand*1000*$AU12/100)/1000000+Carriers!$P$20/Carriers!$P$23*((CF12+FA_st_ab_losses)/365.25*short_st_duration_hrs/24)*(co2_short_st_invest*(1/co2_short_st_lifetime+$M12+co2_short_st_opex)+co2_short_st_e_demand*1000*$AU12/100)/1000000</f>
        <v>12633.866450619325</v>
      </c>
      <c r="CE12" s="63">
        <f>FA_st_nl_cost*FA_st_nl_demand/1000000+(FA_st_invest*(M12+1/FA_st_lifetime+FA_st_opex)/(Storage!$I$63/1000000)+FA_st_e_demand*1000*$AU12/100)*(CF12+FA_st_ab_losses)/1000000+Carriers!$P$18/Carriers!$P$23*((CF12+FA_st_ab_losses)/365.25*short_st_duration_hrs/24)*(h2_short_st_invest*(1/gh2_short_st_lifetime+$M12+h2_short_st_opex)+h2_short_st_e_demand*1000*$AU12/100)/1000000+Carriers!$P$20/Carriers!$P$23*((CF12+FA_st_ab_losses)/365.25*short_st_duration_hrs/24)*(co2_short_st_invest*(1/co2_short_st_lifetime+$M12+co2_short_st_opex)+co2_short_st_e_demand*1000*$AU12/100)/1000000</f>
        <v>5541.3294137422599</v>
      </c>
      <c r="CF12" s="63">
        <f>Storage!$I$57/((1-Shipping!$J$37)^($F12/24/Shipping!$J$44+0.5*Shipping!$J$59))</f>
        <v>310425396.82539684</v>
      </c>
      <c r="CG12" s="28">
        <f>IF($E12="","No Port",((F12/24/Shipping!$J$44+F12/24/Shipping!$J$50+Shipping!$J$59+Shipping!$J$64)*(Shipping!$J$22+wacc_nl*Shipping!$J$19/365.25*1000000+Shipping!$J$35)+(F12/24/Shipping!$J$44*Shipping!$J$45+Shipping!$J$64*Shipping!$J$65)*IF(bunker_choice="HFO",$H12,IF(bunker_choice="hydrogen",$BD12*hfo_e_density_lhv/h2_e_density_lhv,(CB12+CD12)*1000000/CF12*hfo_e_density_lhv/FA_e_density_lhv))+(F12/24/Shipping!$J$50*Shipping!$J$51+Shipping!$J$59*Shipping!$J$60)*IF(bunker_choice="HFO",bunker_price_ROT,IF(bunker_choice="hydrogen",$BD12*hfo_e_density_lhv/h2_e_density_lhv,(CB12+CD12)*1000000/CF12*hfo_e_density_lhv/FA_e_density_lhv))+Shipping!$J$73+IF(G12="Panama",Shipping!$J$55,0)+IF(G12="Suez",Shipping!$J$56,0))/Shipping!$J$31*CF12/1000000+IF(inland_transport_to_port="hv dc grid",$BM12/100*1000*CI12,IF(inland_transport_to_port="pipeline",$BN12,0)))</f>
        <v>17739.564783351154</v>
      </c>
      <c r="CH12" s="28">
        <f t="shared" si="36"/>
        <v>170245.84916413864</v>
      </c>
      <c r="CI12" s="29">
        <f>((Carriers!$P$18/Carriers!$P$23*alk_el_e_demand)+FA_e_demand)*(CF12+FA_st_ab_losses)/1000000+FA_st_e_demand*CF12/1000000</f>
        <v>1897.8881241622576</v>
      </c>
      <c r="CJ12" s="29">
        <f t="shared" si="20"/>
        <v>0.46563809523809524</v>
      </c>
      <c r="CK12" s="28">
        <f>IFERROR(CH12*1000000/Storage!$I$12,"")</f>
        <v>548.42758004073949</v>
      </c>
      <c r="CL12" s="28">
        <f>IF($E12="","No Port",((F12/24/Shipping!$J$44+F12/24/Shipping!$J$50+Shipping!$J$59+Shipping!$J$64)*Carriers!$P$39*wacc_nl))</f>
        <v>256.5296338194313</v>
      </c>
      <c r="CM12" s="29">
        <f>H2_retrieval!$H$25*h2_demand_kt/1000+(co2_liq_e_demand+co2_st_e_demand*2)*Storage!$I$12*co2_density/FA_density/1000000</f>
        <v>94.204253879484654</v>
      </c>
      <c r="CN12" s="28">
        <f>IFERROR((((CB12+CD12+CG12)*(1+H2_retrieval!$H$34)+CL12)*1000000/H2_retrieval!$H$8)+h2_regen_fa,"")</f>
        <v>10877.671460292206</v>
      </c>
      <c r="CO12" s="149">
        <f>(meoh_invest*(M12+1/meoh_lifetime)/meoh_prod+meoh_opex+meoh_e_demand*1000*$AU12/100+Carriers!$R$18/Carriers!$R$23*BD12+Carriers!$R$20/Carriers!$R$23*co2_liq_cost)*(CS12+meoh_st_ab_losses)/1000000</f>
        <v>71708.437798751998</v>
      </c>
      <c r="CP12" s="86">
        <f>(meoh_invest*(M12+1/meoh_lifetime)/meoh_prod+meoh_opex+meoh_e_demand*1000*$AU12/100+Carriers!$R$18/Carriers!$R$23*BD12+Carriers!$R$20/Carriers!$R$23*BP12)*(CS12+meoh_st_ab_losses)/1000000</f>
        <v>89834.972057172854</v>
      </c>
      <c r="CQ12" s="63">
        <f>meoh_st_nl_cost*meoh_st_nl_demand/1000000+(meoh_st_invest*(M12+1/meoh_st_lifetime+meoh_st_opex)/(Storage!$K$63/1000000)+meoh_st_e_demand*1000*$AU12/100)*(CS12+meoh_st_ab_losses)/1000000+co2_st_nl_cost*Storage!$K$12*co2_density/meoh_density/1000000+(co2_st_opex_lev+co2_st_invest_lev+co2_st_e_demand*1000*IFERROR(MIN(S12,AA12,AI12),S12)/100)*Storage!$K$12/1000000+co2_st_invest_lev*Storage!$K$12*co2_st_lifetime*M12/1000000+Carriers!$R$18/Carriers!$R$23*((CS12+meoh_st_ab_losses)/365.25*short_st_duration_hrs/24)*(h2_short_st_invest*(1/gh2_short_st_lifetime+$M12+h2_short_st_opex)+h2_short_st_e_demand*1000*$AU12/100)/1000000+Carriers!$R$20/Carriers!$R$23*((CF12+meoh_st_ab_losses)/365.25*short_st_duration_hrs/24)*(co2_short_st_invest*(1/co2_short_st_lifetime+$M12+co2_short_st_opex)+co2_short_st_e_demand*1000*$AU12/100)/1000000</f>
        <v>5279.8500321216907</v>
      </c>
      <c r="CR12" s="63">
        <f>meoh_st_nl_cost*meoh_st_nl_demand/1000000+(meoh_st_invest*(M12+1/meoh_st_lifetime+meoh_st_opex)/(Storage!$K$63/1000000)+meoh_st_e_demand*1000*$AU12/100)*(CS12+meoh_st_ab_losses)/1000000+Carriers!$R$18/Carriers!$R$23*((CS12+meoh_st_ab_losses)/365.25*short_st_duration_hrs/24)*(h2_short_st_invest*(1/gh2_short_st_lifetime+$M12+h2_short_st_opex)+h2_short_st_e_demand*1000*$AU12/100)/1000000+Carriers!$R$20/Carriers!$R$23*((CF12+meoh_st_ab_losses)/365.25*short_st_duration_hrs/24)*(co2_short_st_invest*(1/co2_short_st_lifetime+$M12+co2_short_st_opex)+co2_short_st_e_demand*1000*$AU12/100)/1000000</f>
        <v>2212.2748562965967</v>
      </c>
      <c r="CS12" s="63">
        <f>Storage!$K$57/((1-Shipping!$L$37)^($F12/24/Shipping!$L$44+0.5*Shipping!$L$59))</f>
        <v>108044444.44444443</v>
      </c>
      <c r="CT12" s="28">
        <f>IF($E12="","No Port",IF(AND(ship_choice="VLCC",G12="Panama"),"Ship cannot pass through Panama",IF(ship_choice="VLCC",((F12/24/Shipping!$AD$44+F12/24/Shipping!$AD$50+Shipping!$AD$59+Shipping!$AD$64)*(Shipping!$AD$22+wacc_nl*Shipping!$AD$19/365.25*1000000+Shipping!$AD$35)+(F12/24/Shipping!$AD$44*Shipping!$AD$45+Shipping!$AD$64*Shipping!$AD$65)*IF(bunker_choice="HFO",$H12,IF(bunker_choice="hydrogen",$BD12*hfo_e_density_lhv/h2_e_density_lhv,(CO12+CQ12)*1000000/CS12*hfo_e_density_lhv/meoh_e_density_lhv))+(F12/24/Shipping!$AD$50*Shipping!$AD$51+Shipping!$AD$59*Shipping!$AD$60)*IF(bunker_choice="HFO",bunker_price_ROT,IF(bunker_choice="hydrogen",$BD12*hfo_e_density_lhv/h2_e_density_lhv,(CO12+CQ12)*1000000/CS12*hfo_e_density_lhv/meoh_e_density_lhv))+Shipping!$AD$73+IF(G12="Panama",Shipping!$AD$55,0)+IF(G12="Suez",Shipping!$AD$56,0))/Shipping!$AD$31*CS12/1000000+IF(inland_transport_to_port="hv dc grid",$BM12/100*1000*CV12,IF(inland_transport_to_port="pipeline",$BN12,0)),((F12/24/Shipping!$L$44+F12/24/Shipping!$L$50+Shipping!$L$59+Shipping!$L$64)*(Shipping!$L$22+wacc_nl*Shipping!$L$19/365.25*1000000+Shipping!$L$35)+(F12/24/Shipping!$L$44*Shipping!$L$45+Shipping!$L$64*Shipping!$L$65)*IF(bunker_choice="HFO",$H12,IF(bunker_choice="hydrogen",$BD12*hfo_e_density_lhv/h2_e_density_lhv,(CO12+CQ12)*1000000/CS12*hfo_e_density_lhv/meoh_e_density_lhv))+(F12/24/Shipping!$L$50*Shipping!$L$51+Shipping!$L$59*Shipping!$L$60)*IF(bunker_choice="HFO",bunker_price_ROT,IF(bunker_choice="hydrogen",$BD12*hfo_e_density_lhv/h2_e_density_lhv,(CO12+CQ12)*1000000/CS12*hfo_e_density_lhv/meoh_e_density_lhv))+Shipping!$L$73+IF(G12="Panama",Shipping!$L$55,0)+IF(G12="Suez",Shipping!$L$56,0))/Shipping!$L$31*CS12/1000000+IF(inland_transport_to_port="hv dc grid",$BM12/100*1000*CV12,IF(inland_transport_to_port="pipeline",$BN12,0)))))</f>
        <v>7167.4076227947853</v>
      </c>
      <c r="CU12" s="28">
        <f t="shared" si="37"/>
        <v>99214.654536264236</v>
      </c>
      <c r="CV12" s="29">
        <f>((Carriers!$R$18/Carriers!$R$23*alk_el_e_demand)+meoh_e_demand)*(CS12+meoh_st_ab_losses)/1000000+meoh_st_e_demand*CS12/1000000</f>
        <v>1119.9789871111109</v>
      </c>
      <c r="CW12" s="29">
        <f t="shared" si="21"/>
        <v>0.16206666666666666</v>
      </c>
      <c r="CX12" s="28">
        <f>IFERROR(CU12*1000000/Storage!$K$12,"")</f>
        <v>918.2763171805617</v>
      </c>
      <c r="CY12" s="28">
        <f>IF($E12="","No Port",((F12/24/Shipping!$L$44+F12/24/Shipping!$L$50+Shipping!$L$59+Shipping!$L$64)*Carriers!$R$39*wacc_nl))</f>
        <v>91.827516043595338</v>
      </c>
      <c r="CZ12" s="29">
        <f>H2_retrieval!$J$25*h2_demand_kt/1000+(co2_liq_e_demand+co2_st_e_demand*2)*Storage!$K$12*co2_density/meoh_density/1000000</f>
        <v>251.05079059698966</v>
      </c>
      <c r="DA12" s="28">
        <f>IFERROR((((CO12+CQ12+CT12)*(1+H2_retrieval!$J$34)+CY12)*1000000/H2_retrieval!$J$8)+h2_regen_meoh,"")</f>
        <v>7364.7993497925918</v>
      </c>
      <c r="DB12" s="149">
        <f>(DBT_invest*(M12+1/DBT_lifetime)/DBT_prod+DBT_opex+DBT_e_demand*1000*$AU12/100+Carriers!$T$18/Carriers!$T$23*BD12)*(DD12+DBT_st_ab_losses)/1000000</f>
        <v>48165.862724475432</v>
      </c>
      <c r="DC12" s="28">
        <f>2*(DBT_st_nl_cost*DBT_st_nl_demand/1000000+(DBT_st_invest*(M12+1/DBT_st_lifetime+DBT_st_opex)/(Storage!$M$63/1000000)+DBT_st_e_demand*1000*$AU12/100)*(DD12+DBT_st_ab_losses)/1000000)+Carriers!$T$18/Carriers!$T$23*((DD12+DBT_st_ab_losses)/365.25*short_st_duration_hrs/24)*(h2_short_st_invest*(1/gh2_short_st_lifetime+$M12+h2_short_st_opex)+h2_short_st_e_demand*1000*$AU12/100)/1000000</f>
        <v>4502.3249775074846</v>
      </c>
      <c r="DD12" s="63">
        <f>Storage!$M$57/((1-Shipping!$N$37)^($F12/24/Shipping!$N$44+0.5*Shipping!$N$59))</f>
        <v>219354838.70967743</v>
      </c>
      <c r="DE12" s="28">
        <f>IF($E12="","No Port",IF(AND(ship_choice="VLCC",G12="Panama"),"Ship cannot pass through Panama",IF(ship_choice="VLCC",((F12/24/Shipping!$AD$44+F12/24/Shipping!$AD$50+Shipping!$AD$59+Shipping!$AD$64)*(Shipping!$AD$22+wacc_nl*Shipping!$AD$19/365.25*1000000+Shipping!$AD$35)+(F12/24/Shipping!$AD$44*Shipping!$AD$45+Shipping!$AD$64*Shipping!$AD$65)*IF(bunker_choice="HFO",$H12,IF(bunker_choice="hydrogen",$BD12*hfo_e_density_lhv/h2_e_density_lhv,(DB12+DC12)*1000000/DD12*hfo_e_density_lhv/DBT_e_density_lhv))+(F12/24/Shipping!$AD$50*Shipping!$AD$51+Shipping!$AD$59*Shipping!$AD$60)*IF(bunker_choice="HFO",bunker_price_ROT,IF(bunker_choice="hydrogen",$BD12*hfo_e_density_lhv/h2_e_density_lhv,(DB12+DC12)*1000000/DD12*hfo_e_density_lhv/DBT_e_density_lhv))+Shipping!$AD$73+IF(G12="Panama",Shipping!$AD$55,0)+IF(G12="Suez",Shipping!$AD$56,0))/Shipping!$AD$31*DD12/1000000+IF(inland_transport_to_port="hv dc grid",$BM12/100*1000*DG12,IF(inland_transport_to_port="pipeline",$BN12,0)),((F12/24/Shipping!$N$44+F12/24/Shipping!$N$50+Shipping!$N$59+Shipping!$N$64)*(Shipping!$N$22+wacc_nl*Shipping!$N$19/365.25*1000000+Shipping!$N$35)+(F12/24/Shipping!$N$44*Shipping!$N$45+Shipping!$N$64*Shipping!$N$65)*IF(bunker_choice="HFO",$H12,IF(bunker_choice="hydrogen",$BD12*hfo_e_density_lhv/h2_e_density_lhv,(DB12+DC12)*1000000/DD12*hfo_e_density_lhv/DBT_e_density_lhv))+(F12/24/Shipping!$N$50*Shipping!$N$51+Shipping!$N$59*Shipping!$N$60)*IF(bunker_choice="HFO",bunker_price_ROT,IF(bunker_choice="hydrogen",$BD12*hfo_e_density_lhv/h2_e_density_lhv,(DB12+DC12)*1000000/DD12*hfo_e_density_lhv/DBT_e_density_lhv))+Shipping!$N$73+IF(G12="Panama",Shipping!$N$55,0)+IF(G12="Suez",Shipping!$N$56,0))/Shipping!$N$31*Shipping!$N$86/1000000+IF(inland_transport_to_port="hv dc grid",$BM12/100*1000*DG12,IF(inland_transport_to_port="pipeline",$BN12,0)))))</f>
        <v>11749.13791623589</v>
      </c>
      <c r="DF12" s="28">
        <f t="shared" si="22"/>
        <v>64417.325618218805</v>
      </c>
      <c r="DG12" s="29">
        <f>((Carriers!$T$18/Carriers!$T$23*alk_el_e_demand)+DBT_e_demand)*(DD12+DBT_st_ab_losses)/1000000+DBT_st_e_demand*DD12/1000000</f>
        <v>703.88335483870969</v>
      </c>
      <c r="DH12" s="29">
        <f t="shared" si="23"/>
        <v>0.21935483870967742</v>
      </c>
      <c r="DI12" s="28">
        <f>IFERROR(DF12*1000000/Storage!$M$12,"")</f>
        <v>293.66721973011511</v>
      </c>
      <c r="DJ12" s="28">
        <f>IF($E12="","No Port",((F12/24/Shipping!$N$44+F12/24/Shipping!$N$50+Shipping!$N$59+Shipping!$N$64)*Carriers!$T$39*wacc_nl))</f>
        <v>6688.0997038506202</v>
      </c>
      <c r="DK12" s="100">
        <f>H2_retrieval!$L$25*h2_demand_kt/1000+(co2_liq_e_demand+co2_st_e_demand*2)*Storage!$M$12*co2_density/DBT_density/1000000</f>
        <v>206.61934861671787</v>
      </c>
      <c r="DL12" s="28">
        <f>IFERROR(((DF12*(1+H2_retrieval!$L$34)+DJ12)*1000000/H2_retrieval!$L$8)+h2_regen_lohc,"")</f>
        <v>5698.9898778497827</v>
      </c>
      <c r="DM12" s="149">
        <f t="shared" si="24"/>
        <v>54901.404404712295</v>
      </c>
      <c r="DN12" s="16">
        <f>2*(nabh4_st_nl_cost*nabh4_st_nl_demand/1000000+(nabh4_st_invest*(M12+1/nabh4_st_lifetime+nabh4_st_opex)/(Storage!$O$63/1000000)+nabh4_st_e_demand*1000*$AU12/100)*(DO12+nabh4_st_ab_losses)/1000000)+(h2_demand_kt*1000/365.25*short_st_duration_hrs/24)*(h2_short_st_invest*(1/gh2_short_st_lifetime+$M12+h2_short_st_opex)+h2_short_st_e_demand*1000*$AU12/100)/1000000</f>
        <v>1525.7213275562426</v>
      </c>
      <c r="DO12" s="63">
        <f>Storage!$O$57/((1-Shipping!$P$37)^($F12/24/Shipping!$P$44+0.5*Shipping!$P$59))</f>
        <v>63920000</v>
      </c>
      <c r="DP12" s="16">
        <f>IF($E12="","No Port",((F12/24/Shipping!$P$44+F12/24/Shipping!$P$50+Shipping!$P$59+Shipping!$P$64)*(Shipping!$P$22+wacc_nl*Shipping!$P$19/365.25*1000000+Shipping!$P$35)+(F12/24/Shipping!$P$44*Shipping!$P$45+Shipping!$P$64*Shipping!$P$65)*IF(bunker_choice="HFO",$H12,IF(bunker_choice="hydrogen",$BD12*hfo_e_density_lhv/h2_e_density_lhv,(DM12+DN12)*1000000/DO12*hfo_e_density_lhv/nabh4_e_density_lhv))+(F12/24/Shipping!$P$50*Shipping!$P$51+Shipping!$P$59*Shipping!$P$60)*IF(bunker_choice="HFO",bunker_price_ROT,IF(bunker_choice="hydrogen",$BD12*hfo_e_density_lhv/h2_e_density_lhv,(DM12+DN12)*1000000/DO12*hfo_e_density_lhv/nabh4_e_density_lhv))+Shipping!$P$73+IF(G12="Panama",Shipping!$P$55,0)+IF(G12="Suez",Shipping!$P$56,0))/Shipping!$P$31*(DO12+nabh4_st_ab_losses)/1000000+IF(inland_transport_to_port="hv dc grid",$BM12/100*1000*DR12,IF(inland_transport_to_port="pipeline",$BN12,0)))</f>
        <v>4517.7546347396774</v>
      </c>
      <c r="DQ12" s="28">
        <f t="shared" si="38"/>
        <v>60944.88036700822</v>
      </c>
      <c r="DR12" s="29">
        <f>((Carriers!$V$18/Carriers!$V$23*alk_el_e_demand)+nabh4_e_demand)*(DO12+nabh4_st_ab_losses)/1000000+nabh4_st_e_demand*DO12/1000000</f>
        <v>980.02139682539689</v>
      </c>
      <c r="DS12" s="28">
        <f t="shared" si="25"/>
        <v>3.1960000000000002</v>
      </c>
      <c r="DT12" s="28">
        <f>IFERROR(DQ12*1000000/Storage!$O$12,"")</f>
        <v>953.45557520350781</v>
      </c>
      <c r="DU12" s="28">
        <f>IF($E12="","No Port",((F12/24/Shipping!$P$44+F12/24/Shipping!$P$50+Shipping!$P$59+Shipping!$P$64)*Carriers!$V$39*wacc_nl))</f>
        <v>621.12768459732911</v>
      </c>
      <c r="DV12" s="100">
        <f>H2_retrieval!$N$25*h2_demand_kt/1000+(co2_liq_e_demand+co2_st_e_demand*2)*Storage!$O$12*co2_density/nabh4_density/1000000</f>
        <v>18.783638728971958</v>
      </c>
      <c r="DW12" s="28">
        <f>IFERROR(((DQ12*(1+H2_retrieval!$N$34)+DU12)*1000000/H2_retrieval!$N$8)+h2_regen_nabh4,"")</f>
        <v>4623.4113912554703</v>
      </c>
      <c r="DX12" s="149">
        <f>(Dme_invest*(M12+1/Dme_lifetime)/Dme_prod+Dme_opex+Dme_e_demand*1000*$AU12/100+Carriers!$X$21/Carriers!$X$23*(CO12*1000000/CS12))*(EB12+Dme_st_ab_losses)/1000000</f>
        <v>100765.55567509081</v>
      </c>
      <c r="DY12" s="86">
        <f>(Dme_invest*(M12+1/Dme_lifetime)/Dme_prod+Dme_opex+Dme_e_demand*1000*$AU12/100+Carriers!$X$21/Carriers!$X$23*(CP12*1000000/CS12))*(EB12+Dme_st_ab_losses)/1000000</f>
        <v>125357.17236510133</v>
      </c>
      <c r="DZ12" s="63">
        <f>Dme_st_nl_cost*Dme_st_nl_demand/1000000+(Dme_st_invest*(M12+1/Dme_st_lifetime+Dme_st_opex)/(Storage!$Q$63/1000000)+Dme_st_e_demand*1000*$AU12/100)*(EB12+Dme_st_ab_losses)/1000000+co2_st_nl_cost*Storage!$Q$12*co2_density/Dme_density/1000000+(co2_st_opex_lev+co2_st_invest_lev+co2_st_e_demand*1000*$AU12/100)*Storage!$Q$12/1000000+co2_st_invest_lev*Storage!$Q$12*co2_st_lifetime*M12/1000000+(h2_demand_kt*1000/365.25*short_st_duration_hrs/24)*(h2_short_st_invest*(1/gh2_short_st_lifetime+$M12+h2_short_st_opex)+h2_short_st_e_demand*1000*$AU12/100)/1000000</f>
        <v>6348.1496219759238</v>
      </c>
      <c r="EA12" s="63">
        <f>Dme_st_nl_cost*Dme_st_nl_demand/1000000+(Dme_st_invest*(M12+1/Dme_st_lifetime+Dme_st_opex)/(Storage!$Q$63/1000000)+Dme_st_e_demand*1000*$AU12/100)*(EB12+Dme_st_ab_losses)/1000000+(h2_demand_kt*1000/365.25*short_st_duration_hrs/24)*(h2_short_st_invest*(1/gh2_short_st_lifetime+$M12+h2_short_st_opex)+h2_short_st_e_demand*1000*$AU12/100)/1000000</f>
        <v>3281.3616955589514</v>
      </c>
      <c r="EB12" s="63">
        <f>Storage!$Q$57/((1-Shipping!$R$37)^($F12/24/Shipping!$R$44+0.5*Shipping!$R$59))</f>
        <v>103547089.94708996</v>
      </c>
      <c r="EC12" s="153">
        <f>IF($E12="","No Port",IF(AND(ship_choice="VLCC",G12="Panama"),"Ship cannot pass through Panama",IF(ship_choice="VLCC",((F12/24/Shipping!$AD$44+F12/24/Shipping!$AD$50+Shipping!$AD$59+Shipping!$AD$64)*(Shipping!$AD$22+wacc_nl*Shipping!$AD$19/365.25*1000000+Shipping!$AD$35)+(F12/24/Shipping!$AD$44*Shipping!$AD$45+Shipping!$AD$64*Shipping!$AD$65)*IF(bunker_choice="HFO",$H12,IF(bunker_choice="hydrogen",$BD12*hfo_e_density_lhv/h2_e_density_lhv,(DX12+DZ12)*1000000/EB12*hfo_e_density_lhv/Dme_e_density_lhv))+(F12/24/Shipping!$AD$50*Shipping!$AD$51+Shipping!$AD$59*Shipping!$AD$60)*IF(bunker_choice="HFO",bunker_price_ROT,IF(bunker_choice="hydrogen",$BD12*hfo_e_density_lhv/h2_e_density_lhv,(DX12+DZ12)*1000000/EB12*hfo_e_density_lhv/Dme_e_density_lhv))+Shipping!$AD$73+IF(G12="Panama",Shipping!$AD$55,0)+IF(G12="Suez",Shipping!$AD$56,0))/Shipping!$AD$31*(EB12+Dme_st_ab_losses)/1000000+IF(inland_transport_to_port="hv dc grid",$BM12/100*1000*EE12,IF(inland_transport_to_port="pipeline",$BN12,0)),((F12/24/Shipping!$R$44+F12/24/Shipping!$R$50+Shipping!$R$59+Shipping!$R$64)*(Shipping!$R$22+wacc_nl*Shipping!$R$19/365.25*1000000+Shipping!$R$35)+(F12/24/Shipping!$R$44*Shipping!$R$45+Shipping!$R$64*Shipping!$R$65)*IF(bunker_choice="HFO",$H12,IF(bunker_choice="hydrogen",$BD12*hfo_e_density_lhv/h2_e_density_lhv,(DX12+DZ12)*1000000/EB12*hfo_e_density_lhv/Dme_e_density_lhv))+(F12/24/Shipping!$R$50*Shipping!$R$51+Shipping!$R$59*Shipping!$R$60)*IF(bunker_choice="HFO",bunker_price_ROT,IF(bunker_choice="hydrogen",$BD12*hfo_e_density_lhv/h2_e_density_lhv,(DX12+DZ12)*1000000/EB12*hfo_e_density_lhv/Dme_e_density_lhv))+Shipping!$R$73+IF(G12="Panama",Shipping!$R$55,0)+IF(G12="Suez",Shipping!$R$56,0))/Shipping!$R$31*(EB12+Dme_st_ab_losses)/1000000+IF(inland_transport_to_port="hv dc grid",$BM12/100*1000*EE12,IF(inland_transport_to_port="pipeline",$BN12,0)))))</f>
        <v>7155.4855785818781</v>
      </c>
      <c r="ED12" s="28">
        <f t="shared" si="39"/>
        <v>135794.01963924215</v>
      </c>
      <c r="EE12" s="29">
        <f>(Dme_e_demand)*(EB12+Dme_st_ab_losses)/1000000+Dme_st_e_demand*DZ12/1000000+$CV12*(Carriers!$X$21/Carriers!$X$23*EB12)/$CS12</f>
        <v>1550.216823648552</v>
      </c>
      <c r="EF12" s="29">
        <f t="shared" si="26"/>
        <v>1.0354708994708997</v>
      </c>
      <c r="EG12" s="28">
        <f>IFERROR(ED12*1000000/Storage!$Q$12,"")</f>
        <v>1311.4228483739098</v>
      </c>
      <c r="EH12" s="28">
        <f>IF($E12="","No Port",((F12/24/Shipping!$R$44+F12/24/Shipping!$R$50+Shipping!$R$59+Shipping!$R$64)*Carriers!$X$39*wacc_nl))</f>
        <v>95.278643657766523</v>
      </c>
      <c r="EI12" s="100">
        <f>H2_retrieval!$P$25*h2_demand_kt/1000+(co2_liq_e_demand+co2_st_e_demand*2)*Storage!$Q$12*co2_density/Dme_density/1000000</f>
        <v>252.45335899349112</v>
      </c>
      <c r="EJ12" s="28">
        <f>IFERROR((((DX12+DZ12+EC12)*(1+H2_retrieval!$P$34)+EH12)*1000000/H2_retrieval!$P$8)+h2_regen_dme,"")</f>
        <v>9579.2807137333493</v>
      </c>
      <c r="EK12" s="149">
        <f>(ome_invest*(M12+1/ome_lifetime)/ome_prod+ome_opex+ome_e_demand*1000*$AU12/100+Carriers!$Z$21/Carriers!$Z$23*(CO12*1000000/CS12))*(EO12+ome_st_ab_losses)/1000000</f>
        <v>219026.37979446742</v>
      </c>
      <c r="EL12" s="86">
        <f>(ome_invest*(M12+1/ome_lifetime)/ome_prod+ome_opex+ome_e_demand*1000*$AU12/100+Carriers!$Z$21/Carriers!$Z$23*(CP12*1000000/CS12))*(EO12+ome_st_ab_losses)/1000000</f>
        <v>270648.97030549985</v>
      </c>
      <c r="EM12" s="63">
        <f>ome_st_nl_cost*ome_st_nl_demand/1000000+(ome_st_invest*(M12+1/ome_st_lifetime+ome_st_opex)/(Storage!$S$63/1000000)+ome_st_e_demand*1000*$AU12/100)*(EO12+ome_st_ab_losses)/1000000+co2_st_nl_cost*Storage!$S$12*co2_density/ome_density/1000000+(co2_st_opex_lev+co2_st_invest_lev+co2_st_e_demand*1000*$AU12/100)*Storage!$S$12/1000000+co2_st_invest_lev*Storage!$S$12*co2_st_lifetime*M12/1000000+(h2_demand_kt*1000/365.25*short_st_duration_hrs/24)*(h2_short_st_invest*(1/gh2_short_st_lifetime+$M12+h2_short_st_opex)+h2_short_st_e_demand*1000*$AU12/100)/1000000</f>
        <v>5443.5176785577805</v>
      </c>
      <c r="EN12" s="63">
        <f>ome_st_nl_cost*ome_st_nl_demand/1000000+(ome_st_invest*(M12+1/ome_st_lifetime+ome_st_opex)/(Storage!$S$63/1000000)+ome_st_e_demand*1000*$AU12/100)*(EO12+ome_st_ab_losses)/1000000+(h2_demand_kt*1000/365.25*short_st_duration_hrs/24)*(h2_short_st_invest*(1/gh2_short_st_lifetime+$M12+h2_short_st_opex)+h2_short_st_e_demand*1000*$AU12/100)/1000000</f>
        <v>1983.0997099803196</v>
      </c>
      <c r="EO12" s="63">
        <f>Storage!$S$57/((1-Shipping!$T$37)^($F12/24/Shipping!$T$44+0.5*Shipping!$T$59))</f>
        <v>128282539.68253967</v>
      </c>
      <c r="EP12" s="28">
        <f>IF($E12="","No Port",IF(AND(ship_choice="VLCC",G12="Panama"),"Ship cannot pass through Panama",IF(ship_choice="VLCC",((F12/24/Shipping!$AD$44+F12/24/Shipping!$AD$50+Shipping!$AD$59+Shipping!$AD$64)*(Shipping!$AD$22+wacc_nl*Shipping!$AD$19/365.25*1000000+Shipping!$AD$35)+(F12/24/Shipping!$AD$44*Shipping!$AD$45+Shipping!$AD$64*Shipping!$AD$65)*IF(bunker_choice="HFO",$H12,IF(bunker_choice="hydrogen",$BD12*hfo_e_density_lhv/h2_e_density_lhv,(EK12+EM12)*1000000/EO12*hfo_e_density_lhv/Dme_e_density_lhv))+(F12/24/Shipping!$AD$50*Shipping!$AD$51+Shipping!$AD$59*Shipping!$AD$60)*IF(bunker_choice="HFO",bunker_price_ROT,IF(bunker_choice="hydrogen",$BD12*hfo_e_density_lhv/h2_e_density_lhv,(EK12+EM12)*1000000/EO12*hfo_e_density_lhv/ome_e_density_lhv))+Shipping!$AD$73+IF(G12="Panama",Shipping!$AD$55,0)+IF(G12="Suez",Shipping!$AD$56,0))/Shipping!$AD$31*(EO12+ome_st_ab_losses)/1000000+IF(inland_transport_to_port="hv dc grid",$BM12/100*1000*ER12,IF(inland_transport_to_port="pipeline",$BN12,0)),((F12/24/Shipping!$T$44+F12/24/Shipping!$T$50+Shipping!$T$59+Shipping!$T$64)*(Shipping!$T$22+wacc_nl*Shipping!$T$19/365.25*1000000+Shipping!$T$35)+(F12/24/Shipping!$T$44*Shipping!$T$45+Shipping!$T$64*Shipping!$T$65)*IF(bunker_choice="HFO",$H12,IF(bunker_choice="hydrogen",$BD12*hfo_e_density_lhv/h2_e_density_lhv,(EK12+EM12)*1000000/EO12*hfo_e_density_lhv/Dme_e_density_lhv))+(F12/24/Shipping!$T$50*Shipping!$T$51+Shipping!$T$59*Shipping!$T$60)*IF(bunker_choice="HFO",bunker_price_ROT,IF(bunker_choice="hydrogen",$BD12*hfo_e_density_lhv/h2_e_density_lhv,(EK12+EM12)*1000000/EO12*hfo_e_density_lhv/ome_e_density_lhv))+Shipping!$T$73+IF(G12="Panama",Shipping!$T$55,0)+IF(G12="Suez",Shipping!$T$56,0))/Shipping!$T$31*(EO12+ome_st_ab_losses)/1000000+IF(inland_transport_to_port="hv dc grid",$BM12/100*1000*ER12,IF(inland_transport_to_port="pipeline",$BN12,0)))))</f>
        <v>7804.4690145478144</v>
      </c>
      <c r="EQ12" s="28">
        <f t="shared" si="40"/>
        <v>280436.53903002798</v>
      </c>
      <c r="ER12" s="29">
        <f>(ome_e_demand)*(EO12+ome_st_ab_losses)/1000000+ome_st_e_demand*EM12/1000000+$CV12*(Carriers!$Z$21/Carriers!$Z$23*EO12)/$CS12</f>
        <v>3352.0814583060601</v>
      </c>
      <c r="ES12" s="29">
        <f t="shared" si="27"/>
        <v>0.1924238095238095</v>
      </c>
      <c r="ET12" s="28">
        <f>IFERROR(EQ12*1000000/Storage!$S$12,"")</f>
        <v>2186.0850254759785</v>
      </c>
      <c r="EU12" s="28">
        <f>IF($E12="","No Port",((F12/24/Shipping!$T$44+F12/24/Shipping!$T$50+Shipping!$T$59+Shipping!$T$64)*Carriers!$Z$39*wacc_nl))</f>
        <v>109.02797484297007</v>
      </c>
      <c r="EV12" s="100">
        <f>H2_retrieval!$R$25*h2_demand_kt/1000+(co2_liq_e_demand+co2_st_e_demand*2)*Storage!$S$12*co2_density/ome_density/1000000</f>
        <v>254.51942895252085</v>
      </c>
      <c r="EW12" s="28">
        <f>IFERROR((((EK12+EM12+EP12)*(1+H2_retrieval!$R$34)+EU12)*1000000/H2_retrieval!$R$8)+h2_regen_ome,"")</f>
        <v>18257.142841903173</v>
      </c>
      <c r="EX12" s="149">
        <f>(sng_invest*(M12+1/sng_lifetime)/sng_prod+lng_invest*(M12+1/lng_lifetime)/lng_prod+sng_opex+lng_opex+(sng_e_demand+lng_e_demand)*1000*$AU12/100+Carriers!$AB$18/Carriers!$AB$23*BD12+Carriers!$AB$20/Carriers!$AB$23*co2_liq_cost)*(FB12+lng_st_ab_losses)/1000000</f>
        <v>78058.909930895577</v>
      </c>
      <c r="EY12" s="86">
        <f>(sng_invest*(M12+1/sng_lifetime)/sng_prod+lng_invest*(M12+1/lng_lifetime)/lng_prod+sng_opex+lng_opex+(sng_e_demand+lng_e_demand)*1000*$AU12/100+Carriers!$AB$18/Carriers!$AB$23*BD12+Carriers!$AB$20/Carriers!$AB$23*BP12)*(FB12+lng_st_ab_losses)/1000000</f>
        <v>91684.368340349087</v>
      </c>
      <c r="EZ12" s="63">
        <f>lng_st_nl_cost*lng_st_nl_demand/1000000+(lng_st_invest*(M12+1/lng_st_lifetime+lng_st_opex)/(Storage!$U$63/1000000)+lng_st_e_demand*1000*$AU12/100)*(FB12+lng_st_ab_losses)/1000000+co2_st_nl_cost*Storage!$U$12*co2_density/lng_density/1000000+(co2_st_opex_lev+co2_st_invest_lev+co2_st_e_demand*1000*$AU12/100)*Storage!$U$12/1000000+co2_st_invest_lev*Storage!$U$12*co2_st_lifetime*M12/1000000+Carriers!$AB$18/Carriers!$AB$23*((FB12+lng_st_ab_losses)/365.25*short_st_duration_hrs/24)*(h2_short_st_invest*(1/gh2_short_st_lifetime+$M12+h2_short_st_opex)+h2_short_st_e_demand*1000*$AU12/100)/1000000+Carriers!$AB$20/Carriers!$AB$23*((FB12+lng_st_ab_losses)/365.25*short_st_duration_hrs/24)*(co2_short_st_invest*(1/co2_short_st_lifetime+$M12+co2_short_st_opex)+co2_short_st_e_demand*1000*$AU12/100)/1000000</f>
        <v>6791.0903579719716</v>
      </c>
      <c r="FA12" s="63">
        <f>lng_st_nl_cost*lng_st_nl_demand/1000000+(lng_st_invest*(M12+1/lng_st_lifetime+lng_st_opex)/(Storage!$U$63/1000000)+lng_st_e_demand*1000*$AU12/100)*(FB12+lng_st_ab_losses)/1000000+Carriers!$AB$18/Carriers!$AB$23*((FB12+lng_st_ab_losses)/365.25*short_st_duration_hrs/24)*(h2_short_st_invest*(1/gh2_short_st_lifetime+$M12+h2_short_st_opex)+h2_short_st_e_demand*1000*$AU12/100)/1000000+Carriers!$AB$20/Carriers!$AB$23*((FB12+lng_st_ab_losses)/365.25*short_st_duration_hrs/24)*(co2_short_st_invest*(1/co2_short_st_lifetime+$M12+co2_short_st_opex)+co2_short_st_e_demand*1000*$AU12/100)/1000000</f>
        <v>5151.4086902917425</v>
      </c>
      <c r="FB12" s="63">
        <f>Storage!$U$57/((1-Shipping!$V$37)^($F12/24/Shipping!$V$44+0.5*Shipping!$V$59))</f>
        <v>41381949.637273245</v>
      </c>
      <c r="FC12" s="28">
        <f>IF($E12="","No Port",IF(G12="Panama","Ship cannot pass through Panama",((F12/24/Shipping!$V$44+F12/24/Shipping!$V$50+Shipping!$V$59+Shipping!$V$64)*(Shipping!$V$22+wacc_nl*Shipping!$V$19/365.25*1000000+Shipping!$V$35)+(F12/24/Shipping!$V$44*Shipping!$V$45+Shipping!$V$64*Shipping!$V$65)*IF(bunker_choice="HFO",$H12,IF(bunker_choice="hydrogen",$BD12*hfo_e_density_lhv/h2_e_density_lhv,(EX12+EZ12)*1000000/FB12*hfo_e_density_lhv/lng_e_density_lhv))+(F12/24/Shipping!$V$50*Shipping!$V$51+Shipping!$V$59*Shipping!$V$60)*IF(bunker_choice="HFO",bunker_price_ROT,IF(bunker_choice="hydrogen",$BD12*hfo_e_density_lhv/h2_e_density_lhv,(EX12+EZ12)*1000000/FB12*hfo_e_density_lhv/lng_e_density_lhv))+Shipping!$V$73+IF(G12="Panama",Shipping!$V$55,0)+IF(G12="Suez",Shipping!$V$56,0))/Shipping!$V$31*(FB12+lng_st_ab_losses)/1000000)+IF(inland_transport_to_port="hv dc grid",$BM12/100*1000*FE12,IF(inland_transport_to_port="pipeline",$BN12,0)))</f>
        <v>3935.2025121973743</v>
      </c>
      <c r="FD12" s="28">
        <f t="shared" si="41"/>
        <v>100770.97954283821</v>
      </c>
      <c r="FE12" s="29">
        <f>((Carriers!$AB$18/Carriers!$AB$23*alk_el_e_demand)+sng_e_demand+lng_e_demand)*(FB12+lng_st_ab_losses)/1000000+lng_st_e_demand*EZ12/1000000</f>
        <v>1109.8267855089478</v>
      </c>
      <c r="FF12" s="29">
        <f t="shared" si="28"/>
        <v>0.8126185861001558</v>
      </c>
      <c r="FG12" s="28">
        <f>IFERROR(FD12*1000000/Storage!$U$12,"")</f>
        <v>2483.0145929281944</v>
      </c>
      <c r="FH12" s="28">
        <f>IF($E12="","No Port",((F12/24/Shipping!$V$44+F12/24/Shipping!$V$50+Shipping!$V$59+Shipping!$V$64)*Carriers!$AB$39*wacc_nl))</f>
        <v>32.131044543934301</v>
      </c>
      <c r="FI12" s="100">
        <f>H2_retrieval!$T$25*h2_demand_kt/1000+(co2_liq_e_demand+co2_st_e_demand*2)*Storage!$U$12*co2_density/lng_density/1000000</f>
        <v>236.51371749646054</v>
      </c>
      <c r="FJ12" s="28">
        <f>IFERROR((((EX12+EZ12+FC12)*(1+H2_retrieval!$T$34)+FH12)*1000000/H2_retrieval!$T$8)+h2_regen_lng,"")</f>
        <v>7700.8148553732381</v>
      </c>
      <c r="FK12" s="149">
        <f>(lh2_invest*(M12+1/lh2_lifetime)/lh2_prod+lh2_opex+lh2_e_demand*1000*$AU12/100+Carriers!$AD$18/Carriers!$AD$23*BD12)*(FM12+lh2_st_ab_losses)/1000000</f>
        <v>61287.703508433297</v>
      </c>
      <c r="FL12" s="28">
        <f>lh2_st_nl_cost*lh2_st_nl_demand/1000000+(lh2_st_invest*(M12+1/lh2_st_lifetime+lh2_st_opex)/(Storage!$Y$63/1000000)+lh2_st_e_demand*1000*$AU12/100)*(FM12+lh2_st_ab_losses)/1000000+((FM12+lh2_st_ab_losses)/365.25*short_st_duration_hrs/24)*(h2_short_st_invest*(1/gh2_short_st_lifetime+$M12+h2_short_st_opex)+h2_short_st_e_demand*1000*$AU12/100)/1000000</f>
        <v>59487.279199051794</v>
      </c>
      <c r="FM12" s="63">
        <f>Storage!$Y$57/((1-Shipping!$Z$37)^($F12/24/Shipping!$Z$44+0.5*Shipping!$Z$59))</f>
        <v>14024180.506363438</v>
      </c>
      <c r="FN12" s="28">
        <f>IF($E12="","No Port",IF(G12="Panama","Ship cannot pass through Panama",((F12/24/Shipping!$Z$44+F12/24/Shipping!$Z$50+Shipping!$Z$59+Shipping!$Z$64)*(Shipping!$Z$22+wacc_nl*Shipping!$Z$19/365.25*1000000+Shipping!$Z$35)+(F12/24/Shipping!$Z$44*Shipping!$Z$45+Shipping!$Z$64*Shipping!$Z$65)*IF(bunker_choice="HFO",$H12,IF(bunker_choice="hydrogen",$BD12*hfo_e_density_lhv/h2_e_density_lhv,(FK12+FL12)*1000000/FM12*hfo_e_density_lhv/lh2_e_density_lhv))+(F12/24/Shipping!$Z$50*Shipping!$Z$51+Shipping!$Z$59*Shipping!$Z$60)*IF(bunker_choice="HFO",bunker_price_ROT,IF(bunker_choice="hydrogen",$BD12*hfo_e_density_lhv/h2_e_density_lhv,(FK12+FL12)*1000000/FM12*hfo_e_density_lhv/lh2_e_density_lhv))+Shipping!$Z$73+IF(G12="Panama",Shipping!$Z$55,0)+IF(G12="Suez",Shipping!$Z$56,0))/Shipping!$Z$31*(FM12+lh2_st_ab_losses)/1000000)+IF(inland_transport_to_port="hv dc grid",$BM12/100*1000*FP12,IF(inland_transport_to_port="pipeline",$BN12,0)))</f>
        <v>5410.6197442308367</v>
      </c>
      <c r="FO12" s="28">
        <f t="shared" si="42"/>
        <v>126185.60245171592</v>
      </c>
      <c r="FP12" s="29">
        <f>((Carriers!$AD$18/Carriers!$AD$23*alk_el_e_demand)+lh2_e_demand)*(FM12+lh2_st_ab_losses)/1000000+lh2_st_e_demand*FM12/1000000</f>
        <v>812.67837905325587</v>
      </c>
      <c r="FQ12" s="100">
        <f t="shared" si="29"/>
        <v>1.361902463475859</v>
      </c>
      <c r="FR12" s="28">
        <f>IFERROR(FO12*1000000/Storage!$Y$12,"")</f>
        <v>9278.3531214496998</v>
      </c>
      <c r="FS12" s="100">
        <f>H2_retrieval!$V$25*h2_demand_kt/1000</f>
        <v>8.16</v>
      </c>
      <c r="FT12" s="28">
        <f>IFERROR(FR12*(1+H2_retrieval!$V$34)/Carrier_properties!$U$7+H2_retrieval!$V$38,"")</f>
        <v>9310.3218473181678</v>
      </c>
      <c r="FU12" s="12"/>
      <c r="FV12" s="24">
        <f t="shared" si="30"/>
        <v>2.8038257586242801</v>
      </c>
      <c r="FW12" s="24" t="str">
        <f t="shared" si="43"/>
        <v/>
      </c>
      <c r="FX12" s="24">
        <f t="shared" si="44"/>
        <v>8.1980553687421871</v>
      </c>
      <c r="FY12" s="24">
        <f t="shared" si="45"/>
        <v>2.8038257586242801</v>
      </c>
      <c r="FZ12" s="28">
        <f t="shared" si="46"/>
        <v>3280.7012922975837</v>
      </c>
      <c r="GA12" s="28">
        <f t="shared" si="47"/>
        <v>743.9095025836051</v>
      </c>
      <c r="GB12" s="28">
        <f t="shared" si="48"/>
        <v>473.43083545998576</v>
      </c>
      <c r="GC12" s="28">
        <f t="shared" si="49"/>
        <v>831.46313092817331</v>
      </c>
      <c r="GD12" s="28">
        <f t="shared" si="50"/>
        <v>1210.6296027165592</v>
      </c>
      <c r="GE12" s="28">
        <f t="shared" si="51"/>
        <v>2109.7880582601019</v>
      </c>
      <c r="GF12" s="28">
        <f t="shared" si="52"/>
        <v>2215.5642531101971</v>
      </c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</row>
    <row r="13" spans="1:214" x14ac:dyDescent="0.2">
      <c r="A13" s="40" t="s">
        <v>169</v>
      </c>
      <c r="B13" s="12">
        <v>16385</v>
      </c>
      <c r="C13" s="12">
        <v>0</v>
      </c>
      <c r="D13" s="12">
        <f t="shared" si="0"/>
        <v>1</v>
      </c>
      <c r="E13" s="12"/>
      <c r="F13" s="12"/>
      <c r="G13" s="12"/>
      <c r="H13" s="16">
        <f t="shared" si="1"/>
        <v>382.75862068965517</v>
      </c>
      <c r="I13" s="16"/>
      <c r="J13" s="16">
        <f t="shared" si="31"/>
        <v>0</v>
      </c>
      <c r="K13" s="16" t="str">
        <f t="shared" si="32"/>
        <v/>
      </c>
      <c r="L13" s="103">
        <v>0.08</v>
      </c>
      <c r="M13" s="103">
        <f t="shared" si="2"/>
        <v>9.8002902367341937E-2</v>
      </c>
      <c r="N13" s="122">
        <f t="shared" si="33"/>
        <v>0.85</v>
      </c>
      <c r="O13" s="46">
        <f t="shared" si="3"/>
        <v>40</v>
      </c>
      <c r="P13" s="70">
        <f t="array" ref="P13">SUMPRODUCT(IF(Solar_data!A$4:A$777=A13,Solar_data!C$4:C$777),IF(Solar_data!A$4:A$777=A13,Solar_data!I$4:I$777))/SUMIF(Solar_data!A$4:A$777,A13,Solar_data!I$4:I$777)</f>
        <v>1652.5195036379612</v>
      </c>
      <c r="Q13" s="16">
        <f t="array" ref="Q13">MAX(IF(Solar_data!$A$777:'Solar_data'!$A$4=Country_details!$A13,Solar_data!$C$4:'Solar_data'!$C$777))</f>
        <v>2281.25</v>
      </c>
      <c r="R13" s="16">
        <f t="array" ref="R13">MIN(IF(Solar_data!$A$777:'Solar_data'!$A$4=Country_details!A13,Solar_data!$C$4:'Solar_data'!$C$777))</f>
        <v>638.75</v>
      </c>
      <c r="S13" s="24">
        <f t="shared" si="4"/>
        <v>2.4168951362292739</v>
      </c>
      <c r="T13" s="24">
        <f t="shared" si="5"/>
        <v>1.750779770242894</v>
      </c>
      <c r="U13" s="24">
        <f t="shared" si="6"/>
        <v>6.2527848937246207</v>
      </c>
      <c r="V13" s="16">
        <f t="array" ref="V13">SUM(IF(Solar_data!$A$777:'Solar_data'!$A$4=Country_details!$A13,Solar_data!$I$4:'Solar_data'!$I$777))</f>
        <v>75987.557650087314</v>
      </c>
      <c r="W13" s="148"/>
      <c r="X13" s="16" t="str">
        <f>IFERROR(INDEX(Onshore_wind_data!$J$5:'Onshore_wind_data'!$J$221,MATCH(A13,Onshore_wind_data!$B$5:'Onshore_wind_data'!$B$221,0)),"")</f>
        <v/>
      </c>
      <c r="Y13" s="16" t="str">
        <f>IFERROR(INDEX(Onshore_wind_data!$K$5:'Onshore_wind_data'!$K$221,MATCH(A13,Onshore_wind_data!$B$5:'Onshore_wind_data'!$B$221,0)),"")</f>
        <v/>
      </c>
      <c r="Z13" s="16" t="str">
        <f>IFERROR(INDEX(Onshore_wind_data!$L$5:'Onshore_wind_data'!$L$221,MATCH(A13,Onshore_wind_data!$B$5:'Onshore_wind_data'!$B$221,0)),"")</f>
        <v/>
      </c>
      <c r="AA13" s="24" t="str">
        <f t="shared" si="7"/>
        <v/>
      </c>
      <c r="AB13" s="24" t="str">
        <f t="shared" si="8"/>
        <v/>
      </c>
      <c r="AC13" s="24" t="str">
        <f t="shared" si="9"/>
        <v/>
      </c>
      <c r="AD13" s="16" t="str">
        <f>IFERROR(INDEX(Onshore_wind_data!$I$5:'Onshore_wind_data'!$I$221,MATCH(A13,Onshore_wind_data!$B$5:'Onshore_wind_data'!$B$221,0)),"")</f>
        <v/>
      </c>
      <c r="AE13" s="148"/>
      <c r="AF13" s="16" t="e">
        <f>INDEX(Offshore_wind_data!$AA$7:$AA$192,MATCH(Country_details!A13,Offshore_wind_data!$A$7:$A$192,0))</f>
        <v>#N/A</v>
      </c>
      <c r="AG13" s="16" t="e">
        <f>INDEX(Offshore_wind_data!$Y$7:$Y$192,MATCH(Country_details!A13,Offshore_wind_data!$A$7:$A$192,0))</f>
        <v>#N/A</v>
      </c>
      <c r="AH13" s="16" t="e">
        <f>INDEX(Offshore_wind_data!$Z$7:$Z$192,MATCH(Country_details!A13,Offshore_wind_data!$A$7:$A$192,0))</f>
        <v>#N/A</v>
      </c>
      <c r="AI13" s="24" t="e">
        <f t="shared" si="10"/>
        <v>#N/A</v>
      </c>
      <c r="AJ13" s="24" t="e">
        <f t="shared" si="11"/>
        <v>#N/A</v>
      </c>
      <c r="AK13" s="24" t="e">
        <f t="shared" si="12"/>
        <v>#N/A</v>
      </c>
      <c r="AL13" s="16" t="e">
        <f>INDEX(Offshore_wind_data!$W$7:$W$191,MATCH(A13,Offshore_wind_data!$A$7:$A$191,0))</f>
        <v>#N/A</v>
      </c>
      <c r="AM13" s="148"/>
      <c r="AN13" s="12">
        <v>0</v>
      </c>
      <c r="AO13" s="12">
        <v>0</v>
      </c>
      <c r="AP13" s="34">
        <v>0</v>
      </c>
      <c r="AQ13" s="15">
        <f t="shared" si="13"/>
        <v>50</v>
      </c>
      <c r="AR13" s="12">
        <f t="shared" si="34"/>
        <v>0</v>
      </c>
      <c r="AS13" s="16">
        <f t="shared" si="35"/>
        <v>75987.557650087314</v>
      </c>
      <c r="AT13" s="12"/>
      <c r="AU13" s="24">
        <f t="shared" si="14"/>
        <v>2.4168951362292739</v>
      </c>
      <c r="AV13" s="16">
        <f t="shared" si="15"/>
        <v>1652.5195036379612</v>
      </c>
      <c r="AW13" s="149">
        <f>HV_DC_Grid!$E$3/(1-AX13)*AU13/100*1000</f>
        <v>3383.9087207333382</v>
      </c>
      <c r="AX13" s="31">
        <f>(1-(1-HV_DC_Grid!$E$25)^(B13*C13*HV_DC_Grid!$E$8/1000))+(1-(1-HV_DC_Grid!$E$26)^(B13*D13*HV_DC_Grid!$E$8/1000))+HV_DC_Grid!$E$35*HV_DC_Grid!$E$28</f>
        <v>0.28576822376417388</v>
      </c>
      <c r="AY13" s="28">
        <f>B13*nl_e_demand/IF(hv_dc_flh="electricity FLH",$AV13,hv_dc_custom)*1000*hv_dc_capacity_multiplier*hv_dc_length_multiplier*1000*(C13*hv_dc_overhead_invest*(hv_dc_overhead_opex+M13+1/hv_dc_lifetime)+D13*hv_dc_sea_invest*(hv_dc_sea_opex+M13+1/hv_dc_lifetime))/1000000+HV_DC_Grid!$E$10*1000*hv_dc_station_invest*hv_dc_station_number*(hv_dc_station_opex+M13+1/hv_dc_lifetime)/1000000</f>
        <v>36110.588635334374</v>
      </c>
      <c r="AZ13" s="24">
        <f>(AW13+AY13)/(HV_DC_Grid!$E$3*1000)*100</f>
        <v>39.494497356067711</v>
      </c>
      <c r="BA13" s="28">
        <f>MIN(((Carriers!$F$26+Carriers!$F$27)*(alk_el_opex+wacc_nl+1/alk_el_lifetime)+IF(hv_dc_flh="electricity FLH",$AV13,hv_dc_custom)*AZ13/100)/(IF(hv_dc_flh="electricity FLH",$AV13,hv_dc_custom)/alk_el_e_demand)*1000,((Carriers!$H$26+Carriers!$H$27)*(pem_el_opex+wacc_nl+1/pem_el_lifetime)+IF(hv_dc_flh="electricity FLH",$AV13,hv_dc_custom)*AZ13/100)/(IF(hv_dc_flh="electricity FLH",$AV13,hv_dc_custom)/pem_el_e_demand)*1000)</f>
        <v>20223.020403405841</v>
      </c>
      <c r="BB13" s="12"/>
      <c r="BC13" s="12"/>
      <c r="BD13" s="149">
        <f>MIN(((Carriers!$F$26+Carriers!$F$27)*(alk_el_opex+M13+1/alk_el_lifetime)+$AV13*$AU13/100)/($AV13/alk_el_e_demand)*1000,((Carriers!$H$26+Carriers!$H$27)*(pem_el_opex+M13+1/pem_el_lifetime)+$AV13*$AU13/100)/($AV13/pem_el_e_demand)*1000)</f>
        <v>2996.905847899427</v>
      </c>
      <c r="BE13" s="28">
        <f>Storage!$AC$50</f>
        <v>8.1664117557772418</v>
      </c>
      <c r="BF13" s="28">
        <f>((Pipeline!$D$22*Pipeline!$D$24*B13*(pipeline_opex+M13+1/pipeline_lifetime))*(Pipeline!$D$39/Pipeline!$D$3)+(Pipeline!$D$57*(pipeline_comp_opex+M13+1/pipeline_comp_lifetime)+Pipeline!$D$47*1000*Pipeline!$D$45*$AU13/100/1000000))*(Pipeline!$D$75/Pipeline!$D$45)</f>
        <v>31490.078770560482</v>
      </c>
      <c r="BG13" s="28">
        <f>BD13+(BE13+BF13)/Storage!$AC$12*1000000</f>
        <v>5312.9532877756228</v>
      </c>
      <c r="BH13" s="28"/>
      <c r="BI13" s="28"/>
      <c r="BJ13" s="28" t="str">
        <f>IF($E13="","No Port",BK13*HV_DC_Grid!$E$3*$AU13/100*1000)</f>
        <v>No Port</v>
      </c>
      <c r="BK13" s="31" t="str">
        <f>IFERROR((1-(1-HV_DC_Grid!$E$25)^(K13*HV_DC_Grid!$E$8/1000))+HV_DC_Grid!$E$35*HV_DC_Grid!$E$28,"")</f>
        <v/>
      </c>
      <c r="BL13" s="28" t="str">
        <f>IFERROR(K13*nl_e_demand/IF(hv_dc_flh="electricity FLH",$AV13,hv_dc_custom)*1000*hv_dc_capacity_multiplier*hv_dc_length_multiplier*1000*(hv_dc_overhead_invest*(hv_dc_overhead_opex+M13+1/hv_dc_lifetime))/1000000+HV_DC_Grid!$E$10*1000*hv_dc_station_invest*hv_dc_station_number*(hv_dc_station_opex+M13+1/hv_dc_lifetime)/1000000,"")</f>
        <v/>
      </c>
      <c r="BM13" s="29" t="str">
        <f>IFERROR((BJ13+BL13)/(HV_DC_Grid!$E$3*1000)*100,"")</f>
        <v/>
      </c>
      <c r="BN13" s="28" t="str">
        <f>IFERROR(((Pipeline!$D$22*Pipeline!$D$24*K13*(pipeline_opex+M13+1/pipeline_lifetime))*(Pipeline!$D$39/Pipeline!$D$3)+(Pipeline!$D$57*(pipeline_comp_opex+M13+1/pipeline_comp_lifetime)+Pipeline!$D$47*1000*Pipeline!$D$45*S13/100/1000000))*(Pipeline!$D$75/Pipeline!$D$45),"")</f>
        <v/>
      </c>
      <c r="BO13" s="28"/>
      <c r="BP13" s="150">
        <f t="shared" si="16"/>
        <v>98.794374432931974</v>
      </c>
      <c r="BQ13" s="34">
        <f t="shared" si="17"/>
        <v>29.379308893419196</v>
      </c>
      <c r="BR13" s="151">
        <f>(nh3_invest*(M13+1/nh3_lifetime)/nh3_prod+nh3_opex+nh3_e_demand*1000*$AU13/100+Carriers!$N$18/Carriers!$N$23*BD13+Carriers!$N$19/Carriers!$N$23*BQ13)*(BT13+nh3_st_ab_losses)/1000000</f>
        <v>50617.795730520513</v>
      </c>
      <c r="BS13" s="63">
        <f>nh3_st_nl_cost*nh3_st_nl_demand/1000000+(nh3_st_invest*(M13+1/nh3_st_lifetime+nh3_st_opex)/(Storage!$G$63/1000000)+nh3_st_e_demand*1000*$AU13/100)*(BT13+nh3_st_ab_losses)/1000000+Carriers!$N$18/Carriers!$N$23*((BT13+nh3_st_ab_losses)/365.25*short_st_duration_hrs/24)*(h2_short_st_invest*(1/gh2_short_st_lifetime+$M13+h2_short_st_opex)+h2_short_st_e_demand*1000*$AU13/100)/1000000+Carriers!$N$19/Carriers!$N$23*((BT13+nh3_st_ab_losses)/365.25*short_st_duration_hrs/24)*(n2_short_st_invest*(1/n2_short_st_lifetime+$M13+n2_short_st_opex)+n2_short_st_e_demand*1000*$AU13/100)/1000000</f>
        <v>3058.9769725389301</v>
      </c>
      <c r="BT13" s="63">
        <f>Storage!$G$57/((1-Shipping!$H$37)^(F13/24/Shipping!$H$44+0.5*Shipping!$H$59))</f>
        <v>76857210.785724297</v>
      </c>
      <c r="BU13" s="63" t="str">
        <f>IF($E13="","No Port",((F13/24/Shipping!$H$44+F13/24/Shipping!$H$50+Shipping!$H$59+Shipping!$H$64)*(Shipping!$H$22+wacc_nl*Shipping!$H$19/365.25*1000000+Shipping!$H$35)+(F13/24/Shipping!$H$44*Shipping!$H$45+Shipping!$H$64*Shipping!$H$65)*IF(bunker_choice="HFO",H13,IF(bunker_choice="hydrogen",BD13*hfo_e_density_lhv/h2_e_density_lhv,(BR13+BS13)*1000000/BT13*hfo_e_density_lhv/nh3_e_density_lhv))+(F13/24/Shipping!$H$50*Shipping!$H$51+Shipping!$H$59*Shipping!$H$60)*IF(bunker_choice="HFO",bunker_price_ROT,IF(bunker_choice="hydrogen",BD13*hfo_e_density_lhv/h2_e_density_lhv,(BR13+BS13)*1000000/BT13*hfo_e_density_lhv/nh3_e_density_lhv))+Shipping!$H$73+IF(G13="Panama",Shipping!$H$55,0)+IF(G13="Suez",Shipping!$H$56,0))/Shipping!$H$31*BT13/1000000+IF(inland_transport_to_port="hv dc grid",$BM13/100*1000*BW13,IF(inland_transport_to_port="pipeline",$BN13,0)))</f>
        <v>No Port</v>
      </c>
      <c r="BV13" s="63" t="str">
        <f t="shared" si="18"/>
        <v/>
      </c>
      <c r="BW13" s="33">
        <f>((Carriers!$N$18/Carriers!$N$23*alk_el_e_demand)+(Carriers!$N$19/Carriers!$N$23*n2_e_demand)+nh3_e_demand)*(BT13+nh3_st_ab_losses)/1000000+nh3_st_e_demand*BT13/1000000</f>
        <v>759.00171168026975</v>
      </c>
      <c r="BX13" s="33">
        <f t="shared" si="19"/>
        <v>0.76626754477640768</v>
      </c>
      <c r="BY13" s="63" t="str">
        <f>IFERROR(BV13*1000000/Storage!$G$12,"")</f>
        <v/>
      </c>
      <c r="BZ13" s="63">
        <f>H2_retrieval!$F$25*h2_demand_kt/1000</f>
        <v>80</v>
      </c>
      <c r="CA13" s="63" t="str">
        <f>IFERROR(BY13*(1+H2_retrieval!$F$34)/Carrier_properties!$E$7+H2_retrieval!$F$38,"")</f>
        <v/>
      </c>
      <c r="CB13" s="149">
        <f>(FA_invest*(M13+1/FA_lifetime)/FA_prod+FA_opex+FA_e_demand*1000*$AU13/100+Carriers!$P$18/Carriers!$P$23*BD13+Carriers!$P$20/Carriers!$P$23*co2_liq_cost)*(CF13+FA_st_ab_losses)/1000000</f>
        <v>101069.69180594855</v>
      </c>
      <c r="CC13" s="86">
        <f>(FA_invest*(M13+1/FA_lifetime)/FA_prod+FA_opex+FA_e_demand*1000*$AU13/100+Carriers!$P$18/Carriers!$P$23*BD13+Carriers!$P$20/Carriers!$P$23*BP13)*(CF13+FA_st_ab_losses)/1000000</f>
        <v>124658.16884744716</v>
      </c>
      <c r="CD13" s="63">
        <f>FA_st_nl_cost*FA_st_nl_demand/1000000+(FA_st_invest*(M13+1/FA_st_lifetime+FA_st_opex)/(Storage!$I$63/1000000)+FA_st_e_demand*1000*$AU13/100)*(CF13+FA_st_ab_losses)/1000000+co2_st_nl_cost*Storage!$I$12*co2_density/FA_density/1000000+(co2_st_opex_lev+co2_st_invest_lev+co2_st_e_demand*1000*$AU13/100)*Storage!$I$12/1000000+co2_st_invest_lev*Storage!$I$12*co2_st_lifetime*M13/1000000+Carriers!$P$18/Carriers!$P$23*((CF13+FA_st_ab_losses)/365.25*short_st_duration_hrs/24)*(h2_short_st_invest*(1/gh2_short_st_lifetime+$M13+h2_short_st_opex)+h2_short_st_e_demand*1000*$AU13/100)/1000000+Carriers!$P$20/Carriers!$P$23*((CF13+FA_st_ab_losses)/365.25*short_st_duration_hrs/24)*(co2_short_st_invest*(1/co2_short_st_lifetime+$M13+co2_short_st_opex)+co2_short_st_e_demand*1000*$AU13/100)/1000000</f>
        <v>10826.238721114993</v>
      </c>
      <c r="CE13" s="63">
        <f>FA_st_nl_cost*FA_st_nl_demand/1000000+(FA_st_invest*(M13+1/FA_st_lifetime+FA_st_opex)/(Storage!$I$63/1000000)+FA_st_e_demand*1000*$AU13/100)*(CF13+FA_st_ab_losses)/1000000+Carriers!$P$18/Carriers!$P$23*((CF13+FA_st_ab_losses)/365.25*short_st_duration_hrs/24)*(h2_short_st_invest*(1/gh2_short_st_lifetime+$M13+h2_short_st_opex)+h2_short_st_e_demand*1000*$AU13/100)/1000000+Carriers!$P$20/Carriers!$P$23*((CF13+FA_st_ab_losses)/365.25*short_st_duration_hrs/24)*(co2_short_st_invest*(1/co2_short_st_lifetime+$M13+co2_short_st_opex)+co2_short_st_e_demand*1000*$AU13/100)/1000000</f>
        <v>4615.5273040189859</v>
      </c>
      <c r="CF13" s="63">
        <f>Storage!$I$57/((1-Shipping!$J$37)^($F13/24/Shipping!$J$44+0.5*Shipping!$J$59))</f>
        <v>310425396.82539684</v>
      </c>
      <c r="CG13" s="28" t="str">
        <f>IF($E13="","No Port",((F13/24/Shipping!$J$44+F13/24/Shipping!$J$50+Shipping!$J$59+Shipping!$J$64)*(Shipping!$J$22+wacc_nl*Shipping!$J$19/365.25*1000000+Shipping!$J$35)+(F13/24/Shipping!$J$44*Shipping!$J$45+Shipping!$J$64*Shipping!$J$65)*IF(bunker_choice="HFO",$H13,IF(bunker_choice="hydrogen",$BD13*hfo_e_density_lhv/h2_e_density_lhv,(CB13+CD13)*1000000/CF13*hfo_e_density_lhv/FA_e_density_lhv))+(F13/24/Shipping!$J$50*Shipping!$J$51+Shipping!$J$59*Shipping!$J$60)*IF(bunker_choice="HFO",bunker_price_ROT,IF(bunker_choice="hydrogen",$BD13*hfo_e_density_lhv/h2_e_density_lhv,(CB13+CD13)*1000000/CF13*hfo_e_density_lhv/FA_e_density_lhv))+Shipping!$J$73+IF(G13="Panama",Shipping!$J$55,0)+IF(G13="Suez",Shipping!$J$56,0))/Shipping!$J$31*CF13/1000000+IF(inland_transport_to_port="hv dc grid",$BM13/100*1000*CI13,IF(inland_transport_to_port="pipeline",$BN13,0)))</f>
        <v>No Port</v>
      </c>
      <c r="CH13" s="28" t="str">
        <f t="shared" si="36"/>
        <v/>
      </c>
      <c r="CI13" s="29">
        <f>((Carriers!$P$18/Carriers!$P$23*alk_el_e_demand)+FA_e_demand)*(CF13+FA_st_ab_losses)/1000000+FA_st_e_demand*CF13/1000000</f>
        <v>1897.8881241622576</v>
      </c>
      <c r="CJ13" s="29">
        <f t="shared" si="20"/>
        <v>0.46563809523809524</v>
      </c>
      <c r="CK13" s="28" t="str">
        <f>IFERROR(CH13*1000000/Storage!$I$12,"")</f>
        <v/>
      </c>
      <c r="CL13" s="28" t="str">
        <f>IF($E13="","No Port",((F13/24/Shipping!$J$44+F13/24/Shipping!$J$50+Shipping!$J$59+Shipping!$J$64)*Carriers!$P$39*wacc_nl))</f>
        <v>No Port</v>
      </c>
      <c r="CM13" s="29">
        <f>H2_retrieval!$H$25*h2_demand_kt/1000+(co2_liq_e_demand+co2_st_e_demand*2)*Storage!$I$12*co2_density/FA_density/1000000</f>
        <v>94.204253879484654</v>
      </c>
      <c r="CN13" s="28" t="str">
        <f>IFERROR((((CB13+CD13+CG13)*(1+H2_retrieval!$H$34)+CL13)*1000000/H2_retrieval!$H$8)+h2_regen_fa,"")</f>
        <v/>
      </c>
      <c r="CO13" s="149">
        <f>(meoh_invest*(M13+1/meoh_lifetime)/meoh_prod+meoh_opex+meoh_e_demand*1000*$AU13/100+Carriers!$R$18/Carriers!$R$23*BD13+Carriers!$R$20/Carriers!$R$23*co2_liq_cost)*(CS13+meoh_st_ab_losses)/1000000</f>
        <v>65403.560335942399</v>
      </c>
      <c r="CP13" s="86">
        <f>(meoh_invest*(M13+1/meoh_lifetime)/meoh_prod+meoh_opex+meoh_e_demand*1000*$AU13/100+Carriers!$R$18/Carriers!$R$23*BD13+Carriers!$R$20/Carriers!$R$23*BP13)*(CS13+meoh_st_ab_losses)/1000000</f>
        <v>79250.724578906957</v>
      </c>
      <c r="CQ13" s="63">
        <f>meoh_st_nl_cost*meoh_st_nl_demand/1000000+(meoh_st_invest*(M13+1/meoh_st_lifetime+meoh_st_opex)/(Storage!$K$63/1000000)+meoh_st_e_demand*1000*$AU13/100)*(CS13+meoh_st_ab_losses)/1000000+co2_st_nl_cost*Storage!$K$12*co2_density/meoh_density/1000000+(co2_st_opex_lev+co2_st_invest_lev+co2_st_e_demand*1000*IFERROR(MIN(S13,AA13,AI13),S13)/100)*Storage!$K$12/1000000+co2_st_invest_lev*Storage!$K$12*co2_st_lifetime*M13/1000000+Carriers!$R$18/Carriers!$R$23*((CS13+meoh_st_ab_losses)/365.25*short_st_duration_hrs/24)*(h2_short_st_invest*(1/gh2_short_st_lifetime+$M13+h2_short_st_opex)+h2_short_st_e_demand*1000*$AU13/100)/1000000+Carriers!$R$20/Carriers!$R$23*((CF13+meoh_st_ab_losses)/365.25*short_st_duration_hrs/24)*(co2_short_st_invest*(1/co2_short_st_lifetime+$M13+co2_short_st_opex)+co2_short_st_e_demand*1000*$AU13/100)/1000000</f>
        <v>4548.7699234944721</v>
      </c>
      <c r="CR13" s="63">
        <f>meoh_st_nl_cost*meoh_st_nl_demand/1000000+(meoh_st_invest*(M13+1/meoh_st_lifetime+meoh_st_opex)/(Storage!$K$63/1000000)+meoh_st_e_demand*1000*$AU13/100)*(CS13+meoh_st_ab_losses)/1000000+Carriers!$R$18/Carriers!$R$23*((CS13+meoh_st_ab_losses)/365.25*short_st_duration_hrs/24)*(h2_short_st_invest*(1/gh2_short_st_lifetime+$M13+h2_short_st_opex)+h2_short_st_e_demand*1000*$AU13/100)/1000000+Carriers!$R$20/Carriers!$R$23*((CF13+meoh_st_ab_losses)/365.25*short_st_duration_hrs/24)*(co2_short_st_invest*(1/co2_short_st_lifetime+$M13+co2_short_st_opex)+co2_short_st_e_demand*1000*$AU13/100)/1000000</f>
        <v>1788.1166688796836</v>
      </c>
      <c r="CS13" s="63">
        <f>Storage!$K$57/((1-Shipping!$L$37)^($F13/24/Shipping!$L$44+0.5*Shipping!$L$59))</f>
        <v>108044444.44444443</v>
      </c>
      <c r="CT13" s="28" t="str">
        <f>IF($E13="","No Port",IF(AND(ship_choice="VLCC",G13="Panama"),"Ship cannot pass through Panama",IF(ship_choice="VLCC",((F13/24/Shipping!$AD$44+F13/24/Shipping!$AD$50+Shipping!$AD$59+Shipping!$AD$64)*(Shipping!$AD$22+wacc_nl*Shipping!$AD$19/365.25*1000000+Shipping!$AD$35)+(F13/24/Shipping!$AD$44*Shipping!$AD$45+Shipping!$AD$64*Shipping!$AD$65)*IF(bunker_choice="HFO",$H13,IF(bunker_choice="hydrogen",$BD13*hfo_e_density_lhv/h2_e_density_lhv,(CO13+CQ13)*1000000/CS13*hfo_e_density_lhv/meoh_e_density_lhv))+(F13/24/Shipping!$AD$50*Shipping!$AD$51+Shipping!$AD$59*Shipping!$AD$60)*IF(bunker_choice="HFO",bunker_price_ROT,IF(bunker_choice="hydrogen",$BD13*hfo_e_density_lhv/h2_e_density_lhv,(CO13+CQ13)*1000000/CS13*hfo_e_density_lhv/meoh_e_density_lhv))+Shipping!$AD$73+IF(G13="Panama",Shipping!$AD$55,0)+IF(G13="Suez",Shipping!$AD$56,0))/Shipping!$AD$31*CS13/1000000+IF(inland_transport_to_port="hv dc grid",$BM13/100*1000*CV13,IF(inland_transport_to_port="pipeline",$BN13,0)),((F13/24/Shipping!$L$44+F13/24/Shipping!$L$50+Shipping!$L$59+Shipping!$L$64)*(Shipping!$L$22+wacc_nl*Shipping!$L$19/365.25*1000000+Shipping!$L$35)+(F13/24/Shipping!$L$44*Shipping!$L$45+Shipping!$L$64*Shipping!$L$65)*IF(bunker_choice="HFO",$H13,IF(bunker_choice="hydrogen",$BD13*hfo_e_density_lhv/h2_e_density_lhv,(CO13+CQ13)*1000000/CS13*hfo_e_density_lhv/meoh_e_density_lhv))+(F13/24/Shipping!$L$50*Shipping!$L$51+Shipping!$L$59*Shipping!$L$60)*IF(bunker_choice="HFO",bunker_price_ROT,IF(bunker_choice="hydrogen",$BD13*hfo_e_density_lhv/h2_e_density_lhv,(CO13+CQ13)*1000000/CS13*hfo_e_density_lhv/meoh_e_density_lhv))+Shipping!$L$73+IF(G13="Panama",Shipping!$L$55,0)+IF(G13="Suez",Shipping!$L$56,0))/Shipping!$L$31*CS13/1000000+IF(inland_transport_to_port="hv dc grid",$BM13/100*1000*CV13,IF(inland_transport_to_port="pipeline",$BN13,0)))))</f>
        <v>No Port</v>
      </c>
      <c r="CU13" s="28" t="str">
        <f t="shared" si="37"/>
        <v/>
      </c>
      <c r="CV13" s="29">
        <f>((Carriers!$R$18/Carriers!$R$23*alk_el_e_demand)+meoh_e_demand)*(CS13+meoh_st_ab_losses)/1000000+meoh_st_e_demand*CS13/1000000</f>
        <v>1119.9789871111109</v>
      </c>
      <c r="CW13" s="29">
        <f t="shared" si="21"/>
        <v>0.16206666666666666</v>
      </c>
      <c r="CX13" s="28" t="str">
        <f>IFERROR(CU13*1000000/Storage!$K$12,"")</f>
        <v/>
      </c>
      <c r="CY13" s="28" t="str">
        <f>IF($E13="","No Port",((F13/24/Shipping!$L$44+F13/24/Shipping!$L$50+Shipping!$L$59+Shipping!$L$64)*Carriers!$R$39*wacc_nl))</f>
        <v>No Port</v>
      </c>
      <c r="CZ13" s="29">
        <f>H2_retrieval!$J$25*h2_demand_kt/1000+(co2_liq_e_demand+co2_st_e_demand*2)*Storage!$K$12*co2_density/meoh_density/1000000</f>
        <v>251.05079059698966</v>
      </c>
      <c r="DA13" s="28" t="str">
        <f>IFERROR((((CO13+CQ13+CT13)*(1+H2_retrieval!$J$34)+CY13)*1000000/H2_retrieval!$J$8)+h2_regen_meoh,"")</f>
        <v/>
      </c>
      <c r="DB13" s="149">
        <f>(DBT_invest*(M13+1/DBT_lifetime)/DBT_prod+DBT_opex+DBT_e_demand*1000*$AU13/100+Carriers!$T$18/Carriers!$T$23*BD13)*(DD13+DBT_st_ab_losses)/1000000</f>
        <v>43712.052593507578</v>
      </c>
      <c r="DC13" s="28">
        <f>2*(DBT_st_nl_cost*DBT_st_nl_demand/1000000+(DBT_st_invest*(M13+1/DBT_st_lifetime+DBT_st_opex)/(Storage!$M$63/1000000)+DBT_st_e_demand*1000*$AU13/100)*(DD13+DBT_st_ab_losses)/1000000)+Carriers!$T$18/Carriers!$T$23*((DD13+DBT_st_ab_losses)/365.25*short_st_duration_hrs/24)*(h2_short_st_invest*(1/gh2_short_st_lifetime+$M13+h2_short_st_opex)+h2_short_st_e_demand*1000*$AU13/100)/1000000</f>
        <v>3756.0193962891085</v>
      </c>
      <c r="DD13" s="63">
        <f>Storage!$M$57/((1-Shipping!$N$37)^($F13/24/Shipping!$N$44+0.5*Shipping!$N$59))</f>
        <v>219354838.70967743</v>
      </c>
      <c r="DE13" s="28" t="str">
        <f>IF($E13="","No Port",IF(AND(ship_choice="VLCC",G13="Panama"),"Ship cannot pass through Panama",IF(ship_choice="VLCC",((F13/24/Shipping!$AD$44+F13/24/Shipping!$AD$50+Shipping!$AD$59+Shipping!$AD$64)*(Shipping!$AD$22+wacc_nl*Shipping!$AD$19/365.25*1000000+Shipping!$AD$35)+(F13/24/Shipping!$AD$44*Shipping!$AD$45+Shipping!$AD$64*Shipping!$AD$65)*IF(bunker_choice="HFO",$H13,IF(bunker_choice="hydrogen",$BD13*hfo_e_density_lhv/h2_e_density_lhv,(DB13+DC13)*1000000/DD13*hfo_e_density_lhv/DBT_e_density_lhv))+(F13/24/Shipping!$AD$50*Shipping!$AD$51+Shipping!$AD$59*Shipping!$AD$60)*IF(bunker_choice="HFO",bunker_price_ROT,IF(bunker_choice="hydrogen",$BD13*hfo_e_density_lhv/h2_e_density_lhv,(DB13+DC13)*1000000/DD13*hfo_e_density_lhv/DBT_e_density_lhv))+Shipping!$AD$73+IF(G13="Panama",Shipping!$AD$55,0)+IF(G13="Suez",Shipping!$AD$56,0))/Shipping!$AD$31*DD13/1000000+IF(inland_transport_to_port="hv dc grid",$BM13/100*1000*DG13,IF(inland_transport_to_port="pipeline",$BN13,0)),((F13/24/Shipping!$N$44+F13/24/Shipping!$N$50+Shipping!$N$59+Shipping!$N$64)*(Shipping!$N$22+wacc_nl*Shipping!$N$19/365.25*1000000+Shipping!$N$35)+(F13/24/Shipping!$N$44*Shipping!$N$45+Shipping!$N$64*Shipping!$N$65)*IF(bunker_choice="HFO",$H13,IF(bunker_choice="hydrogen",$BD13*hfo_e_density_lhv/h2_e_density_lhv,(DB13+DC13)*1000000/DD13*hfo_e_density_lhv/DBT_e_density_lhv))+(F13/24/Shipping!$N$50*Shipping!$N$51+Shipping!$N$59*Shipping!$N$60)*IF(bunker_choice="HFO",bunker_price_ROT,IF(bunker_choice="hydrogen",$BD13*hfo_e_density_lhv/h2_e_density_lhv,(DB13+DC13)*1000000/DD13*hfo_e_density_lhv/DBT_e_density_lhv))+Shipping!$N$73+IF(G13="Panama",Shipping!$N$55,0)+IF(G13="Suez",Shipping!$N$56,0))/Shipping!$N$31*Shipping!$N$86/1000000+IF(inland_transport_to_port="hv dc grid",$BM13/100*1000*DG13,IF(inland_transport_to_port="pipeline",$BN13,0)))))</f>
        <v>No Port</v>
      </c>
      <c r="DF13" s="28" t="str">
        <f t="shared" si="22"/>
        <v/>
      </c>
      <c r="DG13" s="29">
        <f>((Carriers!$T$18/Carriers!$T$23*alk_el_e_demand)+DBT_e_demand)*(DD13+DBT_st_ab_losses)/1000000+DBT_st_e_demand*DD13/1000000</f>
        <v>703.88335483870969</v>
      </c>
      <c r="DH13" s="29">
        <f t="shared" si="23"/>
        <v>0.21935483870967742</v>
      </c>
      <c r="DI13" s="28" t="str">
        <f>IFERROR(DF13*1000000/Storage!$M$12,"")</f>
        <v/>
      </c>
      <c r="DJ13" s="28" t="str">
        <f>IF($E13="","No Port",((F13/24/Shipping!$N$44+F13/24/Shipping!$N$50+Shipping!$N$59+Shipping!$N$64)*Carriers!$T$39*wacc_nl))</f>
        <v>No Port</v>
      </c>
      <c r="DK13" s="100">
        <f>H2_retrieval!$L$25*h2_demand_kt/1000+(co2_liq_e_demand+co2_st_e_demand*2)*Storage!$M$12*co2_density/DBT_density/1000000</f>
        <v>206.61934861671787</v>
      </c>
      <c r="DL13" s="28" t="str">
        <f>IFERROR(((DF13*(1+H2_retrieval!$L$34)+DJ13)*1000000/H2_retrieval!$L$8)+h2_regen_lohc,"")</f>
        <v/>
      </c>
      <c r="DM13" s="149">
        <f t="shared" si="24"/>
        <v>46773.694680441971</v>
      </c>
      <c r="DN13" s="16">
        <f>2*(nabh4_st_nl_cost*nabh4_st_nl_demand/1000000+(nabh4_st_invest*(M13+1/nabh4_st_lifetime+nabh4_st_opex)/(Storage!$O$63/1000000)+nabh4_st_e_demand*1000*$AU13/100)*(DO13+nabh4_st_ab_losses)/1000000)+(h2_demand_kt*1000/365.25*short_st_duration_hrs/24)*(h2_short_st_invest*(1/gh2_short_st_lifetime+$M13+h2_short_st_opex)+h2_short_st_e_demand*1000*$AU13/100)/1000000</f>
        <v>1281.0809378333572</v>
      </c>
      <c r="DO13" s="63">
        <f>Storage!$O$57/((1-Shipping!$P$37)^($F13/24/Shipping!$P$44+0.5*Shipping!$P$59))</f>
        <v>63920000</v>
      </c>
      <c r="DP13" s="16" t="str">
        <f>IF($E13="","No Port",((F13/24/Shipping!$P$44+F13/24/Shipping!$P$50+Shipping!$P$59+Shipping!$P$64)*(Shipping!$P$22+wacc_nl*Shipping!$P$19/365.25*1000000+Shipping!$P$35)+(F13/24/Shipping!$P$44*Shipping!$P$45+Shipping!$P$64*Shipping!$P$65)*IF(bunker_choice="HFO",$H13,IF(bunker_choice="hydrogen",$BD13*hfo_e_density_lhv/h2_e_density_lhv,(DM13+DN13)*1000000/DO13*hfo_e_density_lhv/nabh4_e_density_lhv))+(F13/24/Shipping!$P$50*Shipping!$P$51+Shipping!$P$59*Shipping!$P$60)*IF(bunker_choice="HFO",bunker_price_ROT,IF(bunker_choice="hydrogen",$BD13*hfo_e_density_lhv/h2_e_density_lhv,(DM13+DN13)*1000000/DO13*hfo_e_density_lhv/nabh4_e_density_lhv))+Shipping!$P$73+IF(G13="Panama",Shipping!$P$55,0)+IF(G13="Suez",Shipping!$P$56,0))/Shipping!$P$31*(DO13+nabh4_st_ab_losses)/1000000+IF(inland_transport_to_port="hv dc grid",$BM13/100*1000*DR13,IF(inland_transport_to_port="pipeline",$BN13,0)))</f>
        <v>No Port</v>
      </c>
      <c r="DQ13" s="28" t="str">
        <f t="shared" si="38"/>
        <v/>
      </c>
      <c r="DR13" s="29">
        <f>((Carriers!$V$18/Carriers!$V$23*alk_el_e_demand)+nabh4_e_demand)*(DO13+nabh4_st_ab_losses)/1000000+nabh4_st_e_demand*DO13/1000000</f>
        <v>980.02139682539689</v>
      </c>
      <c r="DS13" s="28">
        <f t="shared" si="25"/>
        <v>3.1960000000000002</v>
      </c>
      <c r="DT13" s="28" t="str">
        <f>IFERROR(DQ13*1000000/Storage!$O$12,"")</f>
        <v/>
      </c>
      <c r="DU13" s="28" t="str">
        <f>IF($E13="","No Port",((F13/24/Shipping!$P$44+F13/24/Shipping!$P$50+Shipping!$P$59+Shipping!$P$64)*Carriers!$V$39*wacc_nl))</f>
        <v>No Port</v>
      </c>
      <c r="DV13" s="100">
        <f>H2_retrieval!$N$25*h2_demand_kt/1000+(co2_liq_e_demand+co2_st_e_demand*2)*Storage!$O$12*co2_density/nabh4_density/1000000</f>
        <v>18.783638728971958</v>
      </c>
      <c r="DW13" s="28" t="str">
        <f>IFERROR(((DQ13*(1+H2_retrieval!$N$34)+DU13)*1000000/H2_retrieval!$N$8)+h2_regen_nabh4,"")</f>
        <v/>
      </c>
      <c r="DX13" s="149">
        <f>(Dme_invest*(M13+1/Dme_lifetime)/Dme_prod+Dme_opex+Dme_e_demand*1000*$AU13/100+Carriers!$X$21/Carriers!$X$23*(CO13*1000000/CS13))*(EB13+Dme_st_ab_losses)/1000000</f>
        <v>91501.098461201764</v>
      </c>
      <c r="DY13" s="86">
        <f>(Dme_invest*(M13+1/Dme_lifetime)/Dme_prod+Dme_opex+Dme_e_demand*1000*$AU13/100+Carriers!$X$21/Carriers!$X$23*(CP13*1000000/CS13))*(EB13+Dme_st_ab_losses)/1000000</f>
        <v>110287.04785737002</v>
      </c>
      <c r="DZ13" s="63">
        <f>Dme_st_nl_cost*Dme_st_nl_demand/1000000+(Dme_st_invest*(M13+1/Dme_st_lifetime+Dme_st_opex)/(Storage!$Q$63/1000000)+Dme_st_e_demand*1000*$AU13/100)*(EB13+Dme_st_ab_losses)/1000000+co2_st_nl_cost*Storage!$Q$12*co2_density/Dme_density/1000000+(co2_st_opex_lev+co2_st_invest_lev+co2_st_e_demand*1000*$AU13/100)*Storage!$Q$12/1000000+co2_st_invest_lev*Storage!$Q$12*co2_st_lifetime*M13/1000000+(h2_demand_kt*1000/365.25*short_st_duration_hrs/24)*(h2_short_st_invest*(1/gh2_short_st_lifetime+$M13+h2_short_st_opex)+h2_short_st_e_demand*1000*$AU13/100)/1000000</f>
        <v>5500.7533863848175</v>
      </c>
      <c r="EA13" s="63">
        <f>Dme_st_nl_cost*Dme_st_nl_demand/1000000+(Dme_st_invest*(M13+1/Dme_st_lifetime+Dme_st_opex)/(Storage!$Q$63/1000000)+Dme_st_e_demand*1000*$AU13/100)*(EB13+Dme_st_ab_losses)/1000000+(h2_demand_kt*1000/365.25*short_st_duration_hrs/24)*(h2_short_st_invest*(1/gh2_short_st_lifetime+$M13+h2_short_st_opex)+h2_short_st_e_demand*1000*$AU13/100)/1000000</f>
        <v>2728.1117434321345</v>
      </c>
      <c r="EB13" s="63">
        <f>Storage!$Q$57/((1-Shipping!$R$37)^($F13/24/Shipping!$R$44+0.5*Shipping!$R$59))</f>
        <v>103547089.94708996</v>
      </c>
      <c r="EC13" s="153" t="str">
        <f>IF($E13="","No Port",IF(AND(ship_choice="VLCC",G13="Panama"),"Ship cannot pass through Panama",IF(ship_choice="VLCC",((F13/24/Shipping!$AD$44+F13/24/Shipping!$AD$50+Shipping!$AD$59+Shipping!$AD$64)*(Shipping!$AD$22+wacc_nl*Shipping!$AD$19/365.25*1000000+Shipping!$AD$35)+(F13/24/Shipping!$AD$44*Shipping!$AD$45+Shipping!$AD$64*Shipping!$AD$65)*IF(bunker_choice="HFO",$H13,IF(bunker_choice="hydrogen",$BD13*hfo_e_density_lhv/h2_e_density_lhv,(DX13+DZ13)*1000000/EB13*hfo_e_density_lhv/Dme_e_density_lhv))+(F13/24/Shipping!$AD$50*Shipping!$AD$51+Shipping!$AD$59*Shipping!$AD$60)*IF(bunker_choice="HFO",bunker_price_ROT,IF(bunker_choice="hydrogen",$BD13*hfo_e_density_lhv/h2_e_density_lhv,(DX13+DZ13)*1000000/EB13*hfo_e_density_lhv/Dme_e_density_lhv))+Shipping!$AD$73+IF(G13="Panama",Shipping!$AD$55,0)+IF(G13="Suez",Shipping!$AD$56,0))/Shipping!$AD$31*(EB13+Dme_st_ab_losses)/1000000+IF(inland_transport_to_port="hv dc grid",$BM13/100*1000*EE13,IF(inland_transport_to_port="pipeline",$BN13,0)),((F13/24/Shipping!$R$44+F13/24/Shipping!$R$50+Shipping!$R$59+Shipping!$R$64)*(Shipping!$R$22+wacc_nl*Shipping!$R$19/365.25*1000000+Shipping!$R$35)+(F13/24/Shipping!$R$44*Shipping!$R$45+Shipping!$R$64*Shipping!$R$65)*IF(bunker_choice="HFO",$H13,IF(bunker_choice="hydrogen",$BD13*hfo_e_density_lhv/h2_e_density_lhv,(DX13+DZ13)*1000000/EB13*hfo_e_density_lhv/Dme_e_density_lhv))+(F13/24/Shipping!$R$50*Shipping!$R$51+Shipping!$R$59*Shipping!$R$60)*IF(bunker_choice="HFO",bunker_price_ROT,IF(bunker_choice="hydrogen",$BD13*hfo_e_density_lhv/h2_e_density_lhv,(DX13+DZ13)*1000000/EB13*hfo_e_density_lhv/Dme_e_density_lhv))+Shipping!$R$73+IF(G13="Panama",Shipping!$R$55,0)+IF(G13="Suez",Shipping!$R$56,0))/Shipping!$R$31*(EB13+Dme_st_ab_losses)/1000000+IF(inland_transport_to_port="hv dc grid",$BM13/100*1000*EE13,IF(inland_transport_to_port="pipeline",$BN13,0)))))</f>
        <v>No Port</v>
      </c>
      <c r="ED13" s="28" t="str">
        <f t="shared" si="39"/>
        <v/>
      </c>
      <c r="EE13" s="29">
        <f>(Dme_e_demand)*(EB13+Dme_st_ab_losses)/1000000+Dme_st_e_demand*DZ13/1000000+$CV13*(Carriers!$X$21/Carriers!$X$23*EB13)/$CS13</f>
        <v>1550.2168151745898</v>
      </c>
      <c r="EF13" s="29">
        <f t="shared" si="26"/>
        <v>1.0354708994708997</v>
      </c>
      <c r="EG13" s="28" t="str">
        <f>IFERROR(ED13*1000000/Storage!$Q$12,"")</f>
        <v/>
      </c>
      <c r="EH13" s="28" t="str">
        <f>IF($E13="","No Port",((F13/24/Shipping!$R$44+F13/24/Shipping!$R$50+Shipping!$R$59+Shipping!$R$64)*Carriers!$X$39*wacc_nl))</f>
        <v>No Port</v>
      </c>
      <c r="EI13" s="100">
        <f>H2_retrieval!$P$25*h2_demand_kt/1000+(co2_liq_e_demand+co2_st_e_demand*2)*Storage!$Q$12*co2_density/Dme_density/1000000</f>
        <v>252.45335899349112</v>
      </c>
      <c r="EJ13" s="28" t="str">
        <f>IFERROR((((DX13+DZ13+EC13)*(1+H2_retrieval!$P$34)+EH13)*1000000/H2_retrieval!$P$8)+h2_regen_dme,"")</f>
        <v/>
      </c>
      <c r="EK13" s="149">
        <f>(ome_invest*(M13+1/ome_lifetime)/ome_prod+ome_opex+ome_e_demand*1000*$AU13/100+Carriers!$Z$21/Carriers!$Z$23*(CO13*1000000/CS13))*(EO13+ome_st_ab_losses)/1000000</f>
        <v>198112.98040246975</v>
      </c>
      <c r="EL13" s="86">
        <f>(ome_invest*(M13+1/ome_lifetime)/ome_prod+ome_opex+ome_e_demand*1000*$AU13/100+Carriers!$Z$21/Carriers!$Z$23*(CP13*1000000/CS13))*(EO13+ome_st_ab_losses)/1000000</f>
        <v>237548.34511492107</v>
      </c>
      <c r="EM13" s="63">
        <f>ome_st_nl_cost*ome_st_nl_demand/1000000+(ome_st_invest*(M13+1/ome_st_lifetime+ome_st_opex)/(Storage!$S$63/1000000)+ome_st_e_demand*1000*$AU13/100)*(EO13+ome_st_ab_losses)/1000000+co2_st_nl_cost*Storage!$S$12*co2_density/ome_density/1000000+(co2_st_opex_lev+co2_st_invest_lev+co2_st_e_demand*1000*$AU13/100)*Storage!$S$12/1000000+co2_st_invest_lev*Storage!$S$12*co2_st_lifetime*M13/1000000+(h2_demand_kt*1000/365.25*short_st_duration_hrs/24)*(h2_short_st_invest*(1/gh2_short_st_lifetime+$M13+h2_short_st_opex)+h2_short_st_e_demand*1000*$AU13/100)/1000000</f>
        <v>4719.930784846134</v>
      </c>
      <c r="EN13" s="63">
        <f>ome_st_nl_cost*ome_st_nl_demand/1000000+(ome_st_invest*(M13+1/ome_st_lifetime+ome_st_opex)/(Storage!$S$63/1000000)+ome_st_e_demand*1000*$AU13/100)*(EO13+ome_st_ab_losses)/1000000+(h2_demand_kt*1000/365.25*short_st_duration_hrs/24)*(h2_short_st_invest*(1/gh2_short_st_lifetime+$M13+h2_short_st_opex)+h2_short_st_e_demand*1000*$AU13/100)/1000000</f>
        <v>1623.9251073360545</v>
      </c>
      <c r="EO13" s="63">
        <f>Storage!$S$57/((1-Shipping!$T$37)^($F13/24/Shipping!$T$44+0.5*Shipping!$T$59))</f>
        <v>128282539.68253967</v>
      </c>
      <c r="EP13" s="28" t="str">
        <f>IF($E13="","No Port",IF(AND(ship_choice="VLCC",G13="Panama"),"Ship cannot pass through Panama",IF(ship_choice="VLCC",((F13/24/Shipping!$AD$44+F13/24/Shipping!$AD$50+Shipping!$AD$59+Shipping!$AD$64)*(Shipping!$AD$22+wacc_nl*Shipping!$AD$19/365.25*1000000+Shipping!$AD$35)+(F13/24/Shipping!$AD$44*Shipping!$AD$45+Shipping!$AD$64*Shipping!$AD$65)*IF(bunker_choice="HFO",$H13,IF(bunker_choice="hydrogen",$BD13*hfo_e_density_lhv/h2_e_density_lhv,(EK13+EM13)*1000000/EO13*hfo_e_density_lhv/Dme_e_density_lhv))+(F13/24/Shipping!$AD$50*Shipping!$AD$51+Shipping!$AD$59*Shipping!$AD$60)*IF(bunker_choice="HFO",bunker_price_ROT,IF(bunker_choice="hydrogen",$BD13*hfo_e_density_lhv/h2_e_density_lhv,(EK13+EM13)*1000000/EO13*hfo_e_density_lhv/ome_e_density_lhv))+Shipping!$AD$73+IF(G13="Panama",Shipping!$AD$55,0)+IF(G13="Suez",Shipping!$AD$56,0))/Shipping!$AD$31*(EO13+ome_st_ab_losses)/1000000+IF(inland_transport_to_port="hv dc grid",$BM13/100*1000*ER13,IF(inland_transport_to_port="pipeline",$BN13,0)),((F13/24/Shipping!$T$44+F13/24/Shipping!$T$50+Shipping!$T$59+Shipping!$T$64)*(Shipping!$T$22+wacc_nl*Shipping!$T$19/365.25*1000000+Shipping!$T$35)+(F13/24/Shipping!$T$44*Shipping!$T$45+Shipping!$T$64*Shipping!$T$65)*IF(bunker_choice="HFO",$H13,IF(bunker_choice="hydrogen",$BD13*hfo_e_density_lhv/h2_e_density_lhv,(EK13+EM13)*1000000/EO13*hfo_e_density_lhv/Dme_e_density_lhv))+(F13/24/Shipping!$T$50*Shipping!$T$51+Shipping!$T$59*Shipping!$T$60)*IF(bunker_choice="HFO",bunker_price_ROT,IF(bunker_choice="hydrogen",$BD13*hfo_e_density_lhv/h2_e_density_lhv,(EK13+EM13)*1000000/EO13*hfo_e_density_lhv/ome_e_density_lhv))+Shipping!$T$73+IF(G13="Panama",Shipping!$T$55,0)+IF(G13="Suez",Shipping!$T$56,0))/Shipping!$T$31*(EO13+ome_st_ab_losses)/1000000+IF(inland_transport_to_port="hv dc grid",$BM13/100*1000*ER13,IF(inland_transport_to_port="pipeline",$BN13,0)))))</f>
        <v>No Port</v>
      </c>
      <c r="EQ13" s="28" t="str">
        <f t="shared" si="40"/>
        <v/>
      </c>
      <c r="ER13" s="29">
        <f>(ome_e_demand)*(EO13+ome_st_ab_losses)/1000000+ome_st_e_demand*EM13/1000000+$CV13*(Carriers!$Z$21/Carriers!$Z$23*EO13)/$CS13</f>
        <v>3352.0814572206796</v>
      </c>
      <c r="ES13" s="29">
        <f t="shared" si="27"/>
        <v>0.1924238095238095</v>
      </c>
      <c r="ET13" s="28" t="str">
        <f>IFERROR(EQ13*1000000/Storage!$S$12,"")</f>
        <v/>
      </c>
      <c r="EU13" s="28" t="str">
        <f>IF($E13="","No Port",((F13/24/Shipping!$T$44+F13/24/Shipping!$T$50+Shipping!$T$59+Shipping!$T$64)*Carriers!$Z$39*wacc_nl))</f>
        <v>No Port</v>
      </c>
      <c r="EV13" s="100">
        <f>H2_retrieval!$R$25*h2_demand_kt/1000+(co2_liq_e_demand+co2_st_e_demand*2)*Storage!$S$12*co2_density/ome_density/1000000</f>
        <v>254.51942895252085</v>
      </c>
      <c r="EW13" s="28" t="str">
        <f>IFERROR((((EK13+EM13+EP13)*(1+H2_retrieval!$R$34)+EU13)*1000000/H2_retrieval!$R$8)+h2_regen_ome,"")</f>
        <v/>
      </c>
      <c r="EX13" s="149">
        <f>(sng_invest*(M13+1/sng_lifetime)/sng_prod+lng_invest*(M13+1/lng_lifetime)/lng_prod+sng_opex+lng_opex+(sng_e_demand+lng_e_demand)*1000*$AU13/100+Carriers!$AB$18/Carriers!$AB$23*BD13+Carriers!$AB$20/Carriers!$AB$23*co2_liq_cost)*(FB13+lng_st_ab_losses)/1000000</f>
        <v>69150.711423018802</v>
      </c>
      <c r="EY13" s="86">
        <f>(sng_invest*(M13+1/sng_lifetime)/sng_prod+lng_invest*(M13+1/lng_lifetime)/lng_prod+sng_opex+lng_opex+(sng_e_demand+lng_e_demand)*1000*$AU13/100+Carriers!$AB$18/Carriers!$AB$23*BD13+Carriers!$AB$20/Carriers!$AB$23*BP13)*(FB13+lng_st_ab_losses)/1000000</f>
        <v>79389.909416473689</v>
      </c>
      <c r="EZ13" s="63">
        <f>lng_st_nl_cost*lng_st_nl_demand/1000000+(lng_st_invest*(M13+1/lng_st_lifetime+lng_st_opex)/(Storage!$U$63/1000000)+lng_st_e_demand*1000*$AU13/100)*(FB13+lng_st_ab_losses)/1000000+co2_st_nl_cost*Storage!$U$12*co2_density/lng_density/1000000+(co2_st_opex_lev+co2_st_invest_lev+co2_st_e_demand*1000*$AU13/100)*Storage!$U$12/1000000+co2_st_invest_lev*Storage!$U$12*co2_st_lifetime*M13/1000000+Carriers!$AB$18/Carriers!$AB$23*((FB13+lng_st_ab_losses)/365.25*short_st_duration_hrs/24)*(h2_short_st_invest*(1/gh2_short_st_lifetime+$M13+h2_short_st_opex)+h2_short_st_e_demand*1000*$AU13/100)/1000000+Carriers!$AB$20/Carriers!$AB$23*((FB13+lng_st_ab_losses)/365.25*short_st_duration_hrs/24)*(co2_short_st_invest*(1/co2_short_st_lifetime+$M13+co2_short_st_opex)+co2_short_st_e_demand*1000*$AU13/100)/1000000</f>
        <v>5759.9173322450179</v>
      </c>
      <c r="FA13" s="63">
        <f>lng_st_nl_cost*lng_st_nl_demand/1000000+(lng_st_invest*(M13+1/lng_st_lifetime+lng_st_opex)/(Storage!$U$63/1000000)+lng_st_e_demand*1000*$AU13/100)*(FB13+lng_st_ab_losses)/1000000+Carriers!$AB$18/Carriers!$AB$23*((FB13+lng_st_ab_losses)/365.25*short_st_duration_hrs/24)*(h2_short_st_invest*(1/gh2_short_st_lifetime+$M13+h2_short_st_opex)+h2_short_st_e_demand*1000*$AU13/100)/1000000+Carriers!$AB$20/Carriers!$AB$23*((FB13+lng_st_ab_losses)/365.25*short_st_duration_hrs/24)*(co2_short_st_invest*(1/co2_short_st_lifetime+$M13+co2_short_st_opex)+co2_short_st_e_demand*1000*$AU13/100)/1000000</f>
        <v>4235.5230195848444</v>
      </c>
      <c r="FB13" s="63">
        <f>Storage!$U$57/((1-Shipping!$V$37)^($F13/24/Shipping!$V$44+0.5*Shipping!$V$59))</f>
        <v>40707231.50721889</v>
      </c>
      <c r="FC13" s="28" t="str">
        <f>IF($E13="","No Port",IF(G13="Panama","Ship cannot pass through Panama",((F13/24/Shipping!$V$44+F13/24/Shipping!$V$50+Shipping!$V$59+Shipping!$V$64)*(Shipping!$V$22+wacc_nl*Shipping!$V$19/365.25*1000000+Shipping!$V$35)+(F13/24/Shipping!$V$44*Shipping!$V$45+Shipping!$V$64*Shipping!$V$65)*IF(bunker_choice="HFO",$H13,IF(bunker_choice="hydrogen",$BD13*hfo_e_density_lhv/h2_e_density_lhv,(EX13+EZ13)*1000000/FB13*hfo_e_density_lhv/lng_e_density_lhv))+(F13/24/Shipping!$V$50*Shipping!$V$51+Shipping!$V$59*Shipping!$V$60)*IF(bunker_choice="HFO",bunker_price_ROT,IF(bunker_choice="hydrogen",$BD13*hfo_e_density_lhv/h2_e_density_lhv,(EX13+EZ13)*1000000/FB13*hfo_e_density_lhv/lng_e_density_lhv))+Shipping!$V$73+IF(G13="Panama",Shipping!$V$55,0)+IF(G13="Suez",Shipping!$V$56,0))/Shipping!$V$31*(FB13+lng_st_ab_losses)/1000000)+IF(inland_transport_to_port="hv dc grid",$BM13/100*1000*FE13,IF(inland_transport_to_port="pipeline",$BN13,0)))</f>
        <v>No Port</v>
      </c>
      <c r="FD13" s="28" t="str">
        <f t="shared" si="41"/>
        <v/>
      </c>
      <c r="FE13" s="29">
        <f>((Carriers!$AB$18/Carriers!$AB$23*alk_el_e_demand)+sng_e_demand+lng_e_demand)*(FB13+lng_st_ab_losses)/1000000+lng_st_e_demand*EZ13/1000000</f>
        <v>1091.7518742269961</v>
      </c>
      <c r="FF13" s="29">
        <f t="shared" si="28"/>
        <v>0.8126185861001558</v>
      </c>
      <c r="FG13" s="28" t="str">
        <f>IFERROR(FD13*1000000/Storage!$U$12,"")</f>
        <v/>
      </c>
      <c r="FH13" s="28" t="str">
        <f>IF($E13="","No Port",((F13/24/Shipping!$V$44+F13/24/Shipping!$V$50+Shipping!$V$59+Shipping!$V$64)*Carriers!$AB$39*wacc_nl))</f>
        <v>No Port</v>
      </c>
      <c r="FI13" s="100">
        <f>H2_retrieval!$T$25*h2_demand_kt/1000+(co2_liq_e_demand+co2_st_e_demand*2)*Storage!$U$12*co2_density/lng_density/1000000</f>
        <v>236.51371749646054</v>
      </c>
      <c r="FJ13" s="28" t="str">
        <f>IFERROR((((EX13+EZ13+FC13)*(1+H2_retrieval!$T$34)+FH13)*1000000/H2_retrieval!$T$8)+h2_regen_lng,"")</f>
        <v/>
      </c>
      <c r="FK13" s="149">
        <f>(lh2_invest*(M13+1/lh2_lifetime)/lh2_prod+lh2_opex+lh2_e_demand*1000*$AU13/100+Carriers!$AD$18/Carriers!$AD$23*BD13)*(FM13+lh2_st_ab_losses)/1000000</f>
        <v>52448.830991931784</v>
      </c>
      <c r="FL13" s="28">
        <f>lh2_st_nl_cost*lh2_st_nl_demand/1000000+(lh2_st_invest*(M13+1/lh2_st_lifetime+lh2_st_opex)/(Storage!$Y$63/1000000)+lh2_st_e_demand*1000*$AU13/100)*(FM13+lh2_st_ab_losses)/1000000+((FM13+lh2_st_ab_losses)/365.25*short_st_duration_hrs/24)*(h2_short_st_invest*(1/gh2_short_st_lifetime+$M13+h2_short_st_opex)+h2_short_st_e_demand*1000*$AU13/100)/1000000</f>
        <v>49536.842607034683</v>
      </c>
      <c r="FM13" s="63">
        <f>Storage!$Y$57/((1-Shipping!$Z$37)^($F13/24/Shipping!$Z$44+0.5*Shipping!$Z$59))</f>
        <v>13659984.090217989</v>
      </c>
      <c r="FN13" s="28" t="str">
        <f>IF($E13="","No Port",IF(G13="Panama","Ship cannot pass through Panama",((F13/24/Shipping!$Z$44+F13/24/Shipping!$Z$50+Shipping!$Z$59+Shipping!$Z$64)*(Shipping!$Z$22+wacc_nl*Shipping!$Z$19/365.25*1000000+Shipping!$Z$35)+(F13/24/Shipping!$Z$44*Shipping!$Z$45+Shipping!$Z$64*Shipping!$Z$65)*IF(bunker_choice="HFO",$H13,IF(bunker_choice="hydrogen",$BD13*hfo_e_density_lhv/h2_e_density_lhv,(FK13+FL13)*1000000/FM13*hfo_e_density_lhv/lh2_e_density_lhv))+(F13/24/Shipping!$Z$50*Shipping!$Z$51+Shipping!$Z$59*Shipping!$Z$60)*IF(bunker_choice="HFO",bunker_price_ROT,IF(bunker_choice="hydrogen",$BD13*hfo_e_density_lhv/h2_e_density_lhv,(FK13+FL13)*1000000/FM13*hfo_e_density_lhv/lh2_e_density_lhv))+Shipping!$Z$73+IF(G13="Panama",Shipping!$Z$55,0)+IF(G13="Suez",Shipping!$Z$56,0))/Shipping!$Z$31*(FM13+lh2_st_ab_losses)/1000000)+IF(inland_transport_to_port="hv dc grid",$BM13/100*1000*FP13,IF(inland_transport_to_port="pipeline",$BN13,0)))</f>
        <v>No Port</v>
      </c>
      <c r="FO13" s="28" t="str">
        <f t="shared" si="42"/>
        <v/>
      </c>
      <c r="FP13" s="29">
        <f>((Carriers!$AD$18/Carriers!$AD$23*alk_el_e_demand)+lh2_e_demand)*(FM13+lh2_st_ab_losses)/1000000+lh2_st_e_demand*FM13/1000000</f>
        <v>791.60233245091877</v>
      </c>
      <c r="FQ13" s="100">
        <f t="shared" si="29"/>
        <v>1.361902463475859</v>
      </c>
      <c r="FR13" s="28" t="str">
        <f>IFERROR(FO13*1000000/Storage!$Y$12,"")</f>
        <v/>
      </c>
      <c r="FS13" s="100">
        <f>H2_retrieval!$V$25*h2_demand_kt/1000</f>
        <v>8.16</v>
      </c>
      <c r="FT13" s="28" t="str">
        <f>IFERROR(FR13*(1+H2_retrieval!$V$34)/Carrier_properties!$U$7+H2_retrieval!$V$38,"")</f>
        <v/>
      </c>
      <c r="FU13" s="12"/>
      <c r="FV13" s="24">
        <f t="shared" si="30"/>
        <v>2.4168951362292739</v>
      </c>
      <c r="FW13" s="24" t="str">
        <f t="shared" si="43"/>
        <v/>
      </c>
      <c r="FX13" s="24" t="e">
        <f t="shared" si="44"/>
        <v>#N/A</v>
      </c>
      <c r="FY13" s="24" t="e">
        <f t="shared" si="45"/>
        <v>#N/A</v>
      </c>
      <c r="FZ13" s="28">
        <f t="shared" si="46"/>
        <v>2996.905847899427</v>
      </c>
      <c r="GA13" s="28">
        <f t="shared" si="47"/>
        <v>658.59527314413583</v>
      </c>
      <c r="GB13" s="28">
        <f t="shared" si="48"/>
        <v>401.57206891665152</v>
      </c>
      <c r="GC13" s="28">
        <f t="shared" si="49"/>
        <v>733.50115303389828</v>
      </c>
      <c r="GD13" s="28">
        <f t="shared" si="50"/>
        <v>1065.0907515964382</v>
      </c>
      <c r="GE13" s="28">
        <f t="shared" si="51"/>
        <v>1851.7589821871402</v>
      </c>
      <c r="GF13" s="28">
        <f t="shared" si="52"/>
        <v>1950.2655050956964</v>
      </c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</row>
    <row r="14" spans="1:214" x14ac:dyDescent="0.2">
      <c r="A14" s="40" t="s">
        <v>34</v>
      </c>
      <c r="B14" s="12">
        <v>12066</v>
      </c>
      <c r="C14" s="12">
        <v>0.3</v>
      </c>
      <c r="D14" s="12">
        <f t="shared" si="0"/>
        <v>0.7</v>
      </c>
      <c r="E14" s="12" t="s">
        <v>698</v>
      </c>
      <c r="F14" s="12">
        <v>6341</v>
      </c>
      <c r="G14" s="12"/>
      <c r="H14" s="16">
        <f t="shared" si="1"/>
        <v>382.75862068965517</v>
      </c>
      <c r="I14" s="16">
        <v>2736690</v>
      </c>
      <c r="J14" s="16">
        <f t="shared" si="31"/>
        <v>933.33567510318505</v>
      </c>
      <c r="K14" s="27">
        <f t="shared" si="32"/>
        <v>1120.002810123822</v>
      </c>
      <c r="L14" s="103">
        <v>0.13900000000000001</v>
      </c>
      <c r="M14" s="103">
        <f t="shared" si="2"/>
        <v>0.13972220245734826</v>
      </c>
      <c r="N14" s="122">
        <f t="shared" si="33"/>
        <v>0.75</v>
      </c>
      <c r="O14" s="46">
        <f t="shared" si="3"/>
        <v>40</v>
      </c>
      <c r="P14" s="70">
        <f t="array" ref="P14">SUMPRODUCT(IF(Solar_data!A$4:A$777=A14,Solar_data!C$4:C$777),IF(Solar_data!A$4:A$777=A14,Solar_data!I$4:I$777))/SUMIF(Solar_data!A$4:A$777,A14,Solar_data!I$4:I$777)</f>
        <v>1931.3115031267878</v>
      </c>
      <c r="Q14" s="16">
        <f t="array" ref="Q14">MAX(IF(Solar_data!$A$777:'Solar_data'!$A$4=Country_details!$A14,Solar_data!$C$4:'Solar_data'!$C$777))</f>
        <v>2646.25</v>
      </c>
      <c r="R14" s="16">
        <f t="array" ref="R14">MIN(IF(Solar_data!$A$777:'Solar_data'!$A$4=Country_details!A14,Solar_data!$C$4:'Solar_data'!$C$777))</f>
        <v>821.25</v>
      </c>
      <c r="S14" s="24">
        <f t="shared" si="4"/>
        <v>3.0522721120115612</v>
      </c>
      <c r="T14" s="24">
        <f t="shared" si="5"/>
        <v>2.227638447085885</v>
      </c>
      <c r="U14" s="24">
        <f t="shared" si="6"/>
        <v>7.1779461072767408</v>
      </c>
      <c r="V14" s="16">
        <f t="array" ref="V14">SUM(IF(Solar_data!$A$777:'Solar_data'!$A$4=Country_details!$A14,Solar_data!$I$4:'Solar_data'!$I$777))</f>
        <v>17670.226176990516</v>
      </c>
      <c r="W14" s="148"/>
      <c r="X14" s="16">
        <f>IFERROR(INDEX(Onshore_wind_data!$J$5:'Onshore_wind_data'!$J$221,MATCH(A14,Onshore_wind_data!$B$5:'Onshore_wind_data'!$B$221,0)),"")</f>
        <v>3250.6455068920095</v>
      </c>
      <c r="Y14" s="16">
        <f>IFERROR(INDEX(Onshore_wind_data!$K$5:'Onshore_wind_data'!$K$221,MATCH(A14,Onshore_wind_data!$B$5:'Onshore_wind_data'!$B$221,0)),"")</f>
        <v>3971</v>
      </c>
      <c r="Z14" s="16">
        <f>IFERROR(INDEX(Onshore_wind_data!$L$5:'Onshore_wind_data'!$L$221,MATCH(A14,Onshore_wind_data!$B$5:'Onshore_wind_data'!$B$221,0)),"")</f>
        <v>2847.5</v>
      </c>
      <c r="AA14" s="24">
        <f t="shared" si="7"/>
        <v>4.7862369300007153</v>
      </c>
      <c r="AB14" s="24">
        <f t="shared" si="8"/>
        <v>3.9179953592111385</v>
      </c>
      <c r="AC14" s="24">
        <f t="shared" si="9"/>
        <v>5.4638663990965517</v>
      </c>
      <c r="AD14" s="16">
        <f>IFERROR(INDEX(Onshore_wind_data!$I$5:'Onshore_wind_data'!$I$221,MATCH(A14,Onshore_wind_data!$B$5:'Onshore_wind_data'!$B$221,0)),"")</f>
        <v>6794.2031047000009</v>
      </c>
      <c r="AE14" s="148"/>
      <c r="AF14" s="16">
        <f>INDEX(Offshore_wind_data!$AA$7:$AA$192,MATCH(Country_details!A14,Offshore_wind_data!$A$7:$A$192,0))</f>
        <v>3906.3199043443597</v>
      </c>
      <c r="AG14" s="16">
        <f>INDEX(Offshore_wind_data!$Y$7:$Y$192,MATCH(Country_details!A14,Offshore_wind_data!$A$7:$A$192,0))</f>
        <v>4204.8</v>
      </c>
      <c r="AH14" s="16">
        <f>INDEX(Offshore_wind_data!$Z$7:$Z$192,MATCH(Country_details!A14,Offshore_wind_data!$A$7:$A$192,0))</f>
        <v>3153.6</v>
      </c>
      <c r="AI14" s="24">
        <f t="shared" si="10"/>
        <v>7.5163092278682067</v>
      </c>
      <c r="AJ14" s="24">
        <f t="shared" si="11"/>
        <v>6.9827597850144505</v>
      </c>
      <c r="AK14" s="24">
        <f t="shared" si="12"/>
        <v>9.3103463800192667</v>
      </c>
      <c r="AL14" s="16">
        <f>INDEX(Offshore_wind_data!$W$7:$W$191,MATCH(A14,Offshore_wind_data!$A$7:$A$191,0))</f>
        <v>11761.147968000001</v>
      </c>
      <c r="AM14" s="148"/>
      <c r="AN14" s="12">
        <v>44.3</v>
      </c>
      <c r="AO14" s="12">
        <v>55.2</v>
      </c>
      <c r="AP14" s="34">
        <f>1.8946*11.63</f>
        <v>22.034198000000004</v>
      </c>
      <c r="AQ14" s="15">
        <f t="shared" si="13"/>
        <v>50</v>
      </c>
      <c r="AR14" s="12">
        <f t="shared" si="34"/>
        <v>2760</v>
      </c>
      <c r="AS14" s="16">
        <f t="shared" si="35"/>
        <v>33465.577249690519</v>
      </c>
      <c r="AT14" s="12"/>
      <c r="AU14" s="24">
        <f t="shared" si="14"/>
        <v>4.1399895388075851</v>
      </c>
      <c r="AV14" s="16">
        <f t="shared" si="15"/>
        <v>5181.9570100187975</v>
      </c>
      <c r="AW14" s="149">
        <f>HV_DC_Grid!$E$3/(1-AX14)*AU14/100*1000</f>
        <v>5393.977584884974</v>
      </c>
      <c r="AX14" s="31">
        <f>(1-(1-HV_DC_Grid!$E$25)^(B14*C14*HV_DC_Grid!$E$8/1000))+(1-(1-HV_DC_Grid!$E$26)^(B14*D14*HV_DC_Grid!$E$8/1000))+HV_DC_Grid!$E$35*HV_DC_Grid!$E$28</f>
        <v>0.23247928385748573</v>
      </c>
      <c r="AY14" s="28">
        <f>B14*nl_e_demand/IF(hv_dc_flh="electricity FLH",$AV14,hv_dc_custom)*1000*hv_dc_capacity_multiplier*hv_dc_length_multiplier*1000*(C14*hv_dc_overhead_invest*(hv_dc_overhead_opex+M14+1/hv_dc_lifetime)+D14*hv_dc_sea_invest*(hv_dc_sea_opex+M14+1/hv_dc_lifetime))/1000000+HV_DC_Grid!$E$10*1000*hv_dc_station_invest*hv_dc_station_number*(hv_dc_station_opex+M14+1/hv_dc_lifetime)/1000000</f>
        <v>28435.774845286858</v>
      </c>
      <c r="AZ14" s="24">
        <f>(AW14+AY14)/(HV_DC_Grid!$E$3*1000)*100</f>
        <v>33.82975243017183</v>
      </c>
      <c r="BA14" s="28">
        <f>MIN(((Carriers!$F$26+Carriers!$F$27)*(alk_el_opex+wacc_nl+1/alk_el_lifetime)+IF(hv_dc_flh="electricity FLH",$AV14,hv_dc_custom)*AZ14/100)/(IF(hv_dc_flh="electricity FLH",$AV14,hv_dc_custom)/alk_el_e_demand)*1000,((Carriers!$H$26+Carriers!$H$27)*(pem_el_opex+wacc_nl+1/pem_el_lifetime)+IF(hv_dc_flh="electricity FLH",$AV14,hv_dc_custom)*AZ14/100)/(IF(hv_dc_flh="electricity FLH",$AV14,hv_dc_custom)/pem_el_e_demand)*1000)</f>
        <v>17399.71153233933</v>
      </c>
      <c r="BB14" s="12"/>
      <c r="BC14" s="12"/>
      <c r="BD14" s="149">
        <f>MIN(((Carriers!$F$26+Carriers!$F$27)*(alk_el_opex+M14+1/alk_el_lifetime)+$AV14*$AU14/100)/($AV14/alk_el_e_demand)*1000,((Carriers!$H$26+Carriers!$H$27)*(pem_el_opex+M14+1/pem_el_lifetime)+$AV14*$AU14/100)/($AV14/pem_el_e_demand)*1000)</f>
        <v>2831.2412431098792</v>
      </c>
      <c r="BE14" s="28">
        <f>Storage!$AC$50</f>
        <v>8.1664117557772418</v>
      </c>
      <c r="BF14" s="28">
        <f>((Pipeline!$D$22*Pipeline!$D$24*B14*(pipeline_opex+M14+1/pipeline_lifetime))*(Pipeline!$D$39/Pipeline!$D$3)+(Pipeline!$D$57*(pipeline_comp_opex+M14+1/pipeline_comp_lifetime)+Pipeline!$D$47*1000*Pipeline!$D$45*$AU14/100/1000000))*(Pipeline!$D$75/Pipeline!$D$45)</f>
        <v>29180.866385305151</v>
      </c>
      <c r="BG14" s="28">
        <f>BD14+(BE14+BF14)/Storage!$AC$12*1000000</f>
        <v>4977.4936546584768</v>
      </c>
      <c r="BH14" s="28"/>
      <c r="BI14" s="28"/>
      <c r="BJ14" s="28">
        <f>IF($E14="","No Port",BK14*HV_DC_Grid!$E$3*$AU14/100*1000)</f>
        <v>146.74054555811446</v>
      </c>
      <c r="BK14" s="31">
        <f>IFERROR((1-(1-HV_DC_Grid!$E$25)^(K14*HV_DC_Grid!$E$8/1000))+HV_DC_Grid!$E$35*HV_DC_Grid!$E$28,"")</f>
        <v>3.5444665785406601E-2</v>
      </c>
      <c r="BL14" s="28">
        <f>IFERROR(K14*nl_e_demand/IF(hv_dc_flh="electricity FLH",$AV14,hv_dc_custom)*1000*hv_dc_capacity_multiplier*hv_dc_length_multiplier*1000*(hv_dc_overhead_invest*(hv_dc_overhead_opex+M14+1/hv_dc_lifetime))/1000000+HV_DC_Grid!$E$10*1000*hv_dc_station_invest*hv_dc_station_number*(hv_dc_station_opex+M14+1/hv_dc_lifetime)/1000000,"")</f>
        <v>1494.5064233717774</v>
      </c>
      <c r="BM14" s="29">
        <f>IFERROR((BJ14+BL14)/(HV_DC_Grid!$E$3*1000)*100,"")</f>
        <v>1.6412469689298919</v>
      </c>
      <c r="BN14" s="28">
        <f>IFERROR(((Pipeline!$D$22*Pipeline!$D$24*K14*(pipeline_opex+M14+1/pipeline_lifetime))*(Pipeline!$D$39/Pipeline!$D$3)+(Pipeline!$D$57*(pipeline_comp_opex+M14+1/pipeline_comp_lifetime)+Pipeline!$D$47*1000*Pipeline!$D$45*S14/100/1000000))*(Pipeline!$D$75/Pipeline!$D$45),"")</f>
        <v>2795.5622475049454</v>
      </c>
      <c r="BO14" s="28"/>
      <c r="BP14" s="150">
        <f t="shared" si="16"/>
        <v>129.13104369211584</v>
      </c>
      <c r="BQ14" s="34">
        <f t="shared" si="17"/>
        <v>37.792243834422379</v>
      </c>
      <c r="BR14" s="151">
        <f>(nh3_invest*(M14+1/nh3_lifetime)/nh3_prod+nh3_opex+nh3_e_demand*1000*$AU14/100+Carriers!$N$18/Carriers!$N$23*BD14+Carriers!$N$19/Carriers!$N$23*BQ14)*(BT14+nh3_st_ab_losses)/1000000</f>
        <v>53380.626375599</v>
      </c>
      <c r="BS14" s="63">
        <f>nh3_st_nl_cost*nh3_st_nl_demand/1000000+(nh3_st_invest*(M14+1/nh3_st_lifetime+nh3_st_opex)/(Storage!$G$63/1000000)+nh3_st_e_demand*1000*$AU14/100)*(BT14+nh3_st_ab_losses)/1000000+Carriers!$N$18/Carriers!$N$23*((BT14+nh3_st_ab_losses)/365.25*short_st_duration_hrs/24)*(h2_short_st_invest*(1/gh2_short_st_lifetime+$M14+h2_short_st_opex)+h2_short_st_e_demand*1000*$AU14/100)/1000000+Carriers!$N$19/Carriers!$N$23*((BT14+nh3_st_ab_losses)/365.25*short_st_duration_hrs/24)*(n2_short_st_invest*(1/n2_short_st_lifetime+$M14+n2_short_st_opex)+n2_short_st_e_demand*1000*$AU14/100)/1000000</f>
        <v>3652.0687497033864</v>
      </c>
      <c r="BT14" s="63">
        <f>Storage!$G$57/((1-Shipping!$H$37)^(F14/24/Shipping!$H$44+0.5*Shipping!$H$59))</f>
        <v>79999544.876427427</v>
      </c>
      <c r="BU14" s="63">
        <f>IF($E14="","No Port",((F14/24/Shipping!$H$44+F14/24/Shipping!$H$50+Shipping!$H$59+Shipping!$H$64)*(Shipping!$H$22+wacc_nl*Shipping!$H$19/365.25*1000000+Shipping!$H$35)+(F14/24/Shipping!$H$44*Shipping!$H$45+Shipping!$H$64*Shipping!$H$65)*IF(bunker_choice="HFO",H14,IF(bunker_choice="hydrogen",BD14*hfo_e_density_lhv/h2_e_density_lhv,(BR14+BS14)*1000000/BT14*hfo_e_density_lhv/nh3_e_density_lhv))+(F14/24/Shipping!$H$50*Shipping!$H$51+Shipping!$H$59*Shipping!$H$60)*IF(bunker_choice="HFO",bunker_price_ROT,IF(bunker_choice="hydrogen",BD14*hfo_e_density_lhv/h2_e_density_lhv,(BR14+BS14)*1000000/BT14*hfo_e_density_lhv/nh3_e_density_lhv))+Shipping!$H$73+IF(G14="Panama",Shipping!$H$55,0)+IF(G14="Suez",Shipping!$H$56,0))/Shipping!$H$31*BT14/1000000+IF(inland_transport_to_port="hv dc grid",$BM14/100*1000*BW14,IF(inland_transport_to_port="pipeline",$BN14,0)))</f>
        <v>6884.2449937351594</v>
      </c>
      <c r="BV14" s="63">
        <f t="shared" si="18"/>
        <v>63916.94011903755</v>
      </c>
      <c r="BW14" s="33">
        <f>((Carriers!$N$18/Carriers!$N$23*alk_el_e_demand)+(Carriers!$N$19/Carriers!$N$23*n2_e_demand)+nh3_e_demand)*(BT14+nh3_st_ab_losses)/1000000+nh3_st_e_demand*BT14/1000000</f>
        <v>790.00805437901784</v>
      </c>
      <c r="BX14" s="33">
        <f t="shared" si="19"/>
        <v>0.76626754477640768</v>
      </c>
      <c r="BY14" s="63">
        <f>IFERROR(BV14*1000000/Storage!$G$12,"")</f>
        <v>834.82845550213517</v>
      </c>
      <c r="BZ14" s="63">
        <f>H2_retrieval!$F$25*h2_demand_kt/1000</f>
        <v>80</v>
      </c>
      <c r="CA14" s="63">
        <f>IFERROR(BY14*(1+H2_retrieval!$F$34)/Carrier_properties!$E$7+H2_retrieval!$F$38,"")</f>
        <v>5109.0009883964967</v>
      </c>
      <c r="CB14" s="149">
        <f>(FA_invest*(M14+1/FA_lifetime)/FA_prod+FA_opex+FA_e_demand*1000*$AU14/100+Carriers!$P$18/Carriers!$P$23*BD14+Carriers!$P$20/Carriers!$P$23*co2_liq_cost)*(CF14+FA_st_ab_losses)/1000000</f>
        <v>119343.82212738109</v>
      </c>
      <c r="CC14" s="86">
        <f>(FA_invest*(M14+1/FA_lifetime)/FA_prod+FA_opex+FA_e_demand*1000*$AU14/100+Carriers!$P$18/Carriers!$P$23*BD14+Carriers!$P$20/Carriers!$P$23*BP14)*(CF14+FA_st_ab_losses)/1000000</f>
        <v>150749.25092920099</v>
      </c>
      <c r="CD14" s="63">
        <f>FA_st_nl_cost*FA_st_nl_demand/1000000+(FA_st_invest*(M14+1/FA_st_lifetime+FA_st_opex)/(Storage!$I$63/1000000)+FA_st_e_demand*1000*$AU14/100)*(CF14+FA_st_ab_losses)/1000000+co2_st_nl_cost*Storage!$I$12*co2_density/FA_density/1000000+(co2_st_opex_lev+co2_st_invest_lev+co2_st_e_demand*1000*$AU14/100)*Storage!$I$12/1000000+co2_st_invest_lev*Storage!$I$12*co2_st_lifetime*M14/1000000+Carriers!$P$18/Carriers!$P$23*((CF14+FA_st_ab_losses)/365.25*short_st_duration_hrs/24)*(h2_short_st_invest*(1/gh2_short_st_lifetime+$M14+h2_short_st_opex)+h2_short_st_e_demand*1000*$AU14/100)/1000000+Carriers!$P$20/Carriers!$P$23*((CF14+FA_st_ab_losses)/365.25*short_st_duration_hrs/24)*(co2_short_st_invest*(1/co2_short_st_lifetime+$M14+co2_short_st_opex)+co2_short_st_e_demand*1000*$AU14/100)/1000000</f>
        <v>12713.525097660488</v>
      </c>
      <c r="CE14" s="63">
        <f>FA_st_nl_cost*FA_st_nl_demand/1000000+(FA_st_invest*(M14+1/FA_st_lifetime+FA_st_opex)/(Storage!$I$63/1000000)+FA_st_e_demand*1000*$AU14/100)*(CF14+FA_st_ab_losses)/1000000+Carriers!$P$18/Carriers!$P$23*((CF14+FA_st_ab_losses)/365.25*short_st_duration_hrs/24)*(h2_short_st_invest*(1/gh2_short_st_lifetime+$M14+h2_short_st_opex)+h2_short_st_e_demand*1000*$AU14/100)/1000000+Carriers!$P$20/Carriers!$P$23*((CF14+FA_st_ab_losses)/365.25*short_st_duration_hrs/24)*(co2_short_st_invest*(1/co2_short_st_lifetime+$M14+co2_short_st_opex)+co2_short_st_e_demand*1000*$AU14/100)/1000000</f>
        <v>5360.6100771598494</v>
      </c>
      <c r="CF14" s="63">
        <f>Storage!$I$57/((1-Shipping!$J$37)^($F14/24/Shipping!$J$44+0.5*Shipping!$J$59))</f>
        <v>310425396.82539684</v>
      </c>
      <c r="CG14" s="28">
        <f>IF($E14="","No Port",((F14/24/Shipping!$J$44+F14/24/Shipping!$J$50+Shipping!$J$59+Shipping!$J$64)*(Shipping!$J$22+wacc_nl*Shipping!$J$19/365.25*1000000+Shipping!$J$35)+(F14/24/Shipping!$J$44*Shipping!$J$45+Shipping!$J$64*Shipping!$J$65)*IF(bunker_choice="HFO",$H14,IF(bunker_choice="hydrogen",$BD14*hfo_e_density_lhv/h2_e_density_lhv,(CB14+CD14)*1000000/CF14*hfo_e_density_lhv/FA_e_density_lhv))+(F14/24/Shipping!$J$50*Shipping!$J$51+Shipping!$J$59*Shipping!$J$60)*IF(bunker_choice="HFO",bunker_price_ROT,IF(bunker_choice="hydrogen",$BD14*hfo_e_density_lhv/h2_e_density_lhv,(CB14+CD14)*1000000/CF14*hfo_e_density_lhv/FA_e_density_lhv))+Shipping!$J$73+IF(G14="Panama",Shipping!$J$55,0)+IF(G14="Suez",Shipping!$J$56,0))/Shipping!$J$31*CF14/1000000+IF(inland_transport_to_port="hv dc grid",$BM14/100*1000*CI14,IF(inland_transport_to_port="pipeline",$BN14,0)))</f>
        <v>20415.898638226405</v>
      </c>
      <c r="CH14" s="28">
        <f t="shared" si="36"/>
        <v>176525.75964458726</v>
      </c>
      <c r="CI14" s="29">
        <f>((Carriers!$P$18/Carriers!$P$23*alk_el_e_demand)+FA_e_demand)*(CF14+FA_st_ab_losses)/1000000+FA_st_e_demand*CF14/1000000</f>
        <v>1897.8881241622576</v>
      </c>
      <c r="CJ14" s="29">
        <f t="shared" si="20"/>
        <v>0.46563809523809524</v>
      </c>
      <c r="CK14" s="28">
        <f>IFERROR(CH14*1000000/Storage!$I$12,"")</f>
        <v>568.65759518985703</v>
      </c>
      <c r="CL14" s="28">
        <f>IF($E14="","No Port",((F14/24/Shipping!$J$44+F14/24/Shipping!$J$50+Shipping!$J$59+Shipping!$J$64)*Carriers!$P$39*wacc_nl))</f>
        <v>307.54546245137311</v>
      </c>
      <c r="CM14" s="29">
        <f>H2_retrieval!$H$25*h2_demand_kt/1000+(co2_liq_e_demand+co2_st_e_demand*2)*Storage!$I$12*co2_density/FA_density/1000000</f>
        <v>94.204253879484654</v>
      </c>
      <c r="CN14" s="28">
        <f>IFERROR((((CB14+CD14+CG14)*(1+H2_retrieval!$H$34)+CL14)*1000000/H2_retrieval!$H$8)+h2_regen_fa,"")</f>
        <v>11323.569082893382</v>
      </c>
      <c r="CO14" s="149">
        <f>(meoh_invest*(M14+1/meoh_lifetime)/meoh_prod+meoh_opex+meoh_e_demand*1000*$AU14/100+Carriers!$R$18/Carriers!$R$23*BD14+Carriers!$R$20/Carriers!$R$23*co2_liq_cost)*(CS14+meoh_st_ab_losses)/1000000</f>
        <v>62945.365423991498</v>
      </c>
      <c r="CP14" s="86">
        <f>(meoh_invest*(M14+1/meoh_lifetime)/meoh_prod+meoh_opex+meoh_e_demand*1000*$AU14/100+Carriers!$R$18/Carriers!$R$23*BD14+Carriers!$R$20/Carriers!$R$23*BP14)*(CS14+meoh_st_ab_losses)/1000000</f>
        <v>81381.321673920786</v>
      </c>
      <c r="CQ14" s="63">
        <f>meoh_st_nl_cost*meoh_st_nl_demand/1000000+(meoh_st_invest*(M14+1/meoh_st_lifetime+meoh_st_opex)/(Storage!$K$63/1000000)+meoh_st_e_demand*1000*$AU14/100)*(CS14+meoh_st_ab_losses)/1000000+co2_st_nl_cost*Storage!$K$12*co2_density/meoh_density/1000000+(co2_st_opex_lev+co2_st_invest_lev+co2_st_e_demand*1000*IFERROR(MIN(S14,AA14,AI14),S14)/100)*Storage!$K$12/1000000+co2_st_invest_lev*Storage!$K$12*co2_st_lifetime*M14/1000000+Carriers!$R$18/Carriers!$R$23*((CS14+meoh_st_ab_losses)/365.25*short_st_duration_hrs/24)*(h2_short_st_invest*(1/gh2_short_st_lifetime+$M14+h2_short_st_opex)+h2_short_st_e_demand*1000*$AU14/100)/1000000+Carriers!$R$20/Carriers!$R$23*((CF14+meoh_st_ab_losses)/365.25*short_st_duration_hrs/24)*(co2_short_st_invest*(1/co2_short_st_lifetime+$M14+co2_short_st_opex)+co2_short_st_e_demand*1000*$AU14/100)/1000000</f>
        <v>5169.8560599214861</v>
      </c>
      <c r="CR14" s="63">
        <f>meoh_st_nl_cost*meoh_st_nl_demand/1000000+(meoh_st_invest*(M14+1/meoh_st_lifetime+meoh_st_opex)/(Storage!$K$63/1000000)+meoh_st_e_demand*1000*$AU14/100)*(CS14+meoh_st_ab_losses)/1000000+Carriers!$R$18/Carriers!$R$23*((CS14+meoh_st_ab_losses)/365.25*short_st_duration_hrs/24)*(h2_short_st_invest*(1/gh2_short_st_lifetime+$M14+h2_short_st_opex)+h2_short_st_e_demand*1000*$AU14/100)/1000000+Carriers!$R$20/Carriers!$R$23*((CF14+meoh_st_ab_losses)/365.25*short_st_duration_hrs/24)*(co2_short_st_invest*(1/co2_short_st_lifetime+$M14+co2_short_st_opex)+co2_short_st_e_demand*1000*$AU14/100)/1000000</f>
        <v>2129.177409601853</v>
      </c>
      <c r="CS14" s="63">
        <f>Storage!$K$57/((1-Shipping!$L$37)^($F14/24/Shipping!$L$44+0.5*Shipping!$L$59))</f>
        <v>108044444.44444443</v>
      </c>
      <c r="CT14" s="28">
        <f>IF($E14="","No Port",IF(AND(ship_choice="VLCC",G14="Panama"),"Ship cannot pass through Panama",IF(ship_choice="VLCC",((F14/24/Shipping!$AD$44+F14/24/Shipping!$AD$50+Shipping!$AD$59+Shipping!$AD$64)*(Shipping!$AD$22+wacc_nl*Shipping!$AD$19/365.25*1000000+Shipping!$AD$35)+(F14/24/Shipping!$AD$44*Shipping!$AD$45+Shipping!$AD$64*Shipping!$AD$65)*IF(bunker_choice="HFO",$H14,IF(bunker_choice="hydrogen",$BD14*hfo_e_density_lhv/h2_e_density_lhv,(CO14+CQ14)*1000000/CS14*hfo_e_density_lhv/meoh_e_density_lhv))+(F14/24/Shipping!$AD$50*Shipping!$AD$51+Shipping!$AD$59*Shipping!$AD$60)*IF(bunker_choice="HFO",bunker_price_ROT,IF(bunker_choice="hydrogen",$BD14*hfo_e_density_lhv/h2_e_density_lhv,(CO14+CQ14)*1000000/CS14*hfo_e_density_lhv/meoh_e_density_lhv))+Shipping!$AD$73+IF(G14="Panama",Shipping!$AD$55,0)+IF(G14="Suez",Shipping!$AD$56,0))/Shipping!$AD$31*CS14/1000000+IF(inland_transport_to_port="hv dc grid",$BM14/100*1000*CV14,IF(inland_transport_to_port="pipeline",$BN14,0)),((F14/24/Shipping!$L$44+F14/24/Shipping!$L$50+Shipping!$L$59+Shipping!$L$64)*(Shipping!$L$22+wacc_nl*Shipping!$L$19/365.25*1000000+Shipping!$L$35)+(F14/24/Shipping!$L$44*Shipping!$L$45+Shipping!$L$64*Shipping!$L$65)*IF(bunker_choice="HFO",$H14,IF(bunker_choice="hydrogen",$BD14*hfo_e_density_lhv/h2_e_density_lhv,(CO14+CQ14)*1000000/CS14*hfo_e_density_lhv/meoh_e_density_lhv))+(F14/24/Shipping!$L$50*Shipping!$L$51+Shipping!$L$59*Shipping!$L$60)*IF(bunker_choice="HFO",bunker_price_ROT,IF(bunker_choice="hydrogen",$BD14*hfo_e_density_lhv/h2_e_density_lhv,(CO14+CQ14)*1000000/CS14*hfo_e_density_lhv/meoh_e_density_lhv))+Shipping!$L$73+IF(G14="Panama",Shipping!$L$55,0)+IF(G14="Suez",Shipping!$L$56,0))/Shipping!$L$31*CS14/1000000+IF(inland_transport_to_port="hv dc grid",$BM14/100*1000*CV14,IF(inland_transport_to_port="pipeline",$BN14,0)))))</f>
        <v>8566.8769992114576</v>
      </c>
      <c r="CU14" s="28">
        <f t="shared" si="37"/>
        <v>92077.376082734088</v>
      </c>
      <c r="CV14" s="29">
        <f>((Carriers!$R$18/Carriers!$R$23*alk_el_e_demand)+meoh_e_demand)*(CS14+meoh_st_ab_losses)/1000000+meoh_st_e_demand*CS14/1000000</f>
        <v>1119.9789871111109</v>
      </c>
      <c r="CW14" s="29">
        <f t="shared" si="21"/>
        <v>0.16206666666666666</v>
      </c>
      <c r="CX14" s="28">
        <f>IFERROR(CU14*1000000/Storage!$K$12,"")</f>
        <v>852.21759023509549</v>
      </c>
      <c r="CY14" s="28">
        <f>IF($E14="","No Port",((F14/24/Shipping!$L$44+F14/24/Shipping!$L$50+Shipping!$L$59+Shipping!$L$64)*Carriers!$R$39*wacc_nl))</f>
        <v>110.19600357197781</v>
      </c>
      <c r="CZ14" s="29">
        <f>H2_retrieval!$J$25*h2_demand_kt/1000+(co2_liq_e_demand+co2_st_e_demand*2)*Storage!$K$12*co2_density/meoh_density/1000000</f>
        <v>251.05079059698966</v>
      </c>
      <c r="DA14" s="28">
        <f>IFERROR((((CO14+CQ14+CT14)*(1+H2_retrieval!$J$34)+CY14)*1000000/H2_retrieval!$J$8)+h2_regen_meoh,"")</f>
        <v>6816.620784864971</v>
      </c>
      <c r="DB14" s="149">
        <f>(DBT_invest*(M14+1/DBT_lifetime)/DBT_prod+DBT_opex+DBT_e_demand*1000*$AU14/100+Carriers!$T$18/Carriers!$T$23*BD14)*(DD14+DBT_st_ab_losses)/1000000</f>
        <v>42003.944167299444</v>
      </c>
      <c r="DC14" s="28">
        <f>2*(DBT_st_nl_cost*DBT_st_nl_demand/1000000+(DBT_st_invest*(M14+1/DBT_st_lifetime+DBT_st_opex)/(Storage!$M$63/1000000)+DBT_st_e_demand*1000*$AU14/100)*(DD14+DBT_st_ab_losses)/1000000)+Carriers!$T$18/Carriers!$T$23*((DD14+DBT_st_ab_losses)/365.25*short_st_duration_hrs/24)*(h2_short_st_invest*(1/gh2_short_st_lifetime+$M14+h2_short_st_opex)+h2_short_st_e_demand*1000*$AU14/100)/1000000</f>
        <v>4357.2703446045061</v>
      </c>
      <c r="DD14" s="63">
        <f>Storage!$M$57/((1-Shipping!$N$37)^($F14/24/Shipping!$N$44+0.5*Shipping!$N$59))</f>
        <v>219354838.70967743</v>
      </c>
      <c r="DE14" s="28">
        <f>IF($E14="","No Port",IF(AND(ship_choice="VLCC",G14="Panama"),"Ship cannot pass through Panama",IF(ship_choice="VLCC",((F14/24/Shipping!$AD$44+F14/24/Shipping!$AD$50+Shipping!$AD$59+Shipping!$AD$64)*(Shipping!$AD$22+wacc_nl*Shipping!$AD$19/365.25*1000000+Shipping!$AD$35)+(F14/24/Shipping!$AD$44*Shipping!$AD$45+Shipping!$AD$64*Shipping!$AD$65)*IF(bunker_choice="HFO",$H14,IF(bunker_choice="hydrogen",$BD14*hfo_e_density_lhv/h2_e_density_lhv,(DB14+DC14)*1000000/DD14*hfo_e_density_lhv/DBT_e_density_lhv))+(F14/24/Shipping!$AD$50*Shipping!$AD$51+Shipping!$AD$59*Shipping!$AD$60)*IF(bunker_choice="HFO",bunker_price_ROT,IF(bunker_choice="hydrogen",$BD14*hfo_e_density_lhv/h2_e_density_lhv,(DB14+DC14)*1000000/DD14*hfo_e_density_lhv/DBT_e_density_lhv))+Shipping!$AD$73+IF(G14="Panama",Shipping!$AD$55,0)+IF(G14="Suez",Shipping!$AD$56,0))/Shipping!$AD$31*DD14/1000000+IF(inland_transport_to_port="hv dc grid",$BM14/100*1000*DG14,IF(inland_transport_to_port="pipeline",$BN14,0)),((F14/24/Shipping!$N$44+F14/24/Shipping!$N$50+Shipping!$N$59+Shipping!$N$64)*(Shipping!$N$22+wacc_nl*Shipping!$N$19/365.25*1000000+Shipping!$N$35)+(F14/24/Shipping!$N$44*Shipping!$N$45+Shipping!$N$64*Shipping!$N$65)*IF(bunker_choice="HFO",$H14,IF(bunker_choice="hydrogen",$BD14*hfo_e_density_lhv/h2_e_density_lhv,(DB14+DC14)*1000000/DD14*hfo_e_density_lhv/DBT_e_density_lhv))+(F14/24/Shipping!$N$50*Shipping!$N$51+Shipping!$N$59*Shipping!$N$60)*IF(bunker_choice="HFO",bunker_price_ROT,IF(bunker_choice="hydrogen",$BD14*hfo_e_density_lhv/h2_e_density_lhv,(DB14+DC14)*1000000/DD14*hfo_e_density_lhv/DBT_e_density_lhv))+Shipping!$N$73+IF(G14="Panama",Shipping!$N$55,0)+IF(G14="Suez",Shipping!$N$56,0))/Shipping!$N$31*Shipping!$N$86/1000000+IF(inland_transport_to_port="hv dc grid",$BM14/100*1000*DG14,IF(inland_transport_to_port="pipeline",$BN14,0)))))</f>
        <v>13665.721183052869</v>
      </c>
      <c r="DF14" s="28">
        <f t="shared" si="22"/>
        <v>60026.935694956817</v>
      </c>
      <c r="DG14" s="29">
        <f>((Carriers!$T$18/Carriers!$T$23*alk_el_e_demand)+DBT_e_demand)*(DD14+DBT_st_ab_losses)/1000000+DBT_st_e_demand*DD14/1000000</f>
        <v>703.88335483870969</v>
      </c>
      <c r="DH14" s="29">
        <f t="shared" si="23"/>
        <v>0.21935483870967742</v>
      </c>
      <c r="DI14" s="28">
        <f>IFERROR(DF14*1000000/Storage!$M$12,"")</f>
        <v>273.65220684465606</v>
      </c>
      <c r="DJ14" s="28">
        <f>IF($E14="","No Port",((F14/24/Shipping!$N$44+F14/24/Shipping!$N$50+Shipping!$N$59+Shipping!$N$64)*Carriers!$T$39*wacc_nl))</f>
        <v>8025.937002427172</v>
      </c>
      <c r="DK14" s="100">
        <f>H2_retrieval!$L$25*h2_demand_kt/1000+(co2_liq_e_demand+co2_st_e_demand*2)*Storage!$M$12*co2_density/DBT_density/1000000</f>
        <v>206.61934861671787</v>
      </c>
      <c r="DL14" s="28">
        <f>IFERROR(((DF14*(1+H2_retrieval!$L$34)+DJ14)*1000000/H2_retrieval!$L$8)+h2_regen_lohc,"")</f>
        <v>5474.5374789758534</v>
      </c>
      <c r="DM14" s="149">
        <f t="shared" si="24"/>
        <v>67072.025376382939</v>
      </c>
      <c r="DN14" s="16">
        <f>2*(nabh4_st_nl_cost*nabh4_st_nl_demand/1000000+(nabh4_st_invest*(M14+1/nabh4_st_lifetime+nabh4_st_opex)/(Storage!$O$63/1000000)+nabh4_st_e_demand*1000*$AU14/100)*(DO14+nabh4_st_ab_losses)/1000000)+(h2_demand_kt*1000/365.25*short_st_duration_hrs/24)*(h2_short_st_invest*(1/gh2_short_st_lifetime+$M14+h2_short_st_opex)+h2_short_st_e_demand*1000*$AU14/100)/1000000</f>
        <v>1566.5705715363194</v>
      </c>
      <c r="DO14" s="63">
        <f>Storage!$O$57/((1-Shipping!$P$37)^($F14/24/Shipping!$P$44+0.5*Shipping!$P$59))</f>
        <v>63920000</v>
      </c>
      <c r="DP14" s="16">
        <f>IF($E14="","No Port",((F14/24/Shipping!$P$44+F14/24/Shipping!$P$50+Shipping!$P$59+Shipping!$P$64)*(Shipping!$P$22+wacc_nl*Shipping!$P$19/365.25*1000000+Shipping!$P$35)+(F14/24/Shipping!$P$44*Shipping!$P$45+Shipping!$P$64*Shipping!$P$65)*IF(bunker_choice="HFO",$H14,IF(bunker_choice="hydrogen",$BD14*hfo_e_density_lhv/h2_e_density_lhv,(DM14+DN14)*1000000/DO14*hfo_e_density_lhv/nabh4_e_density_lhv))+(F14/24/Shipping!$P$50*Shipping!$P$51+Shipping!$P$59*Shipping!$P$60)*IF(bunker_choice="HFO",bunker_price_ROT,IF(bunker_choice="hydrogen",$BD14*hfo_e_density_lhv/h2_e_density_lhv,(DM14+DN14)*1000000/DO14*hfo_e_density_lhv/nabh4_e_density_lhv))+Shipping!$P$73+IF(G14="Panama",Shipping!$P$55,0)+IF(G14="Suez",Shipping!$P$56,0))/Shipping!$P$31*(DO14+nabh4_st_ab_losses)/1000000+IF(inland_transport_to_port="hv dc grid",$BM14/100*1000*DR14,IF(inland_transport_to_port="pipeline",$BN14,0)))</f>
        <v>5551.1287018786825</v>
      </c>
      <c r="DQ14" s="28">
        <f t="shared" si="38"/>
        <v>74189.724649797936</v>
      </c>
      <c r="DR14" s="29">
        <f>((Carriers!$V$18/Carriers!$V$23*alk_el_e_demand)+nabh4_e_demand)*(DO14+nabh4_st_ab_losses)/1000000+nabh4_st_e_demand*DO14/1000000</f>
        <v>980.02139682539689</v>
      </c>
      <c r="DS14" s="28">
        <f t="shared" si="25"/>
        <v>3.1960000000000002</v>
      </c>
      <c r="DT14" s="28">
        <f>IFERROR(DQ14*1000000/Storage!$O$12,"")</f>
        <v>1160.6652792521581</v>
      </c>
      <c r="DU14" s="28">
        <f>IF($E14="","No Port",((F14/24/Shipping!$P$44+F14/24/Shipping!$P$50+Shipping!$P$59+Shipping!$P$64)*Carriers!$V$39*wacc_nl))</f>
        <v>740.88963242943737</v>
      </c>
      <c r="DV14" s="100">
        <f>H2_retrieval!$N$25*h2_demand_kt/1000+(co2_liq_e_demand+co2_st_e_demand*2)*Storage!$O$12*co2_density/nabh4_density/1000000</f>
        <v>18.783638728971958</v>
      </c>
      <c r="DW14" s="28">
        <f>IFERROR(((DQ14*(1+H2_retrieval!$N$34)+DU14)*1000000/H2_retrieval!$N$8)+h2_regen_nabh4,"")</f>
        <v>5625.5807380405895</v>
      </c>
      <c r="DX14" s="149">
        <f>(Dme_invest*(M14+1/Dme_lifetime)/Dme_prod+Dme_opex+Dme_e_demand*1000*$AU14/100+Carriers!$X$21/Carriers!$X$23*(CO14*1000000/CS14))*(EB14+Dme_st_ab_losses)/1000000</f>
        <v>89185.638481872214</v>
      </c>
      <c r="DY14" s="86">
        <f>(Dme_invest*(M14+1/Dme_lifetime)/Dme_prod+Dme_opex+Dme_e_demand*1000*$AU14/100+Carriers!$X$21/Carriers!$X$23*(CP14*1000000/CS14))*(EB14+Dme_st_ab_losses)/1000000</f>
        <v>114197.03685227208</v>
      </c>
      <c r="DZ14" s="63">
        <f>Dme_st_nl_cost*Dme_st_nl_demand/1000000+(Dme_st_invest*(M14+1/Dme_st_lifetime+Dme_st_opex)/(Storage!$Q$63/1000000)+Dme_st_e_demand*1000*$AU14/100)*(EB14+Dme_st_ab_losses)/1000000+co2_st_nl_cost*Storage!$Q$12*co2_density/Dme_density/1000000+(co2_st_opex_lev+co2_st_invest_lev+co2_st_e_demand*1000*$AU14/100)*Storage!$Q$12/1000000+co2_st_invest_lev*Storage!$Q$12*co2_st_lifetime*M14/1000000+(h2_demand_kt*1000/365.25*short_st_duration_hrs/24)*(h2_short_st_invest*(1/gh2_short_st_lifetime+$M14+h2_short_st_opex)+h2_short_st_e_demand*1000*$AU14/100)/1000000</f>
        <v>6337.5344522369724</v>
      </c>
      <c r="EA14" s="63">
        <f>Dme_st_nl_cost*Dme_st_nl_demand/1000000+(Dme_st_invest*(M14+1/Dme_st_lifetime+Dme_st_opex)/(Storage!$Q$63/1000000)+Dme_st_e_demand*1000*$AU14/100)*(EB14+Dme_st_ab_losses)/1000000+(h2_demand_kt*1000/365.25*short_st_duration_hrs/24)*(h2_short_st_invest*(1/gh2_short_st_lifetime+$M14+h2_short_st_opex)+h2_short_st_e_demand*1000*$AU14/100)/1000000</f>
        <v>3183.8935081022628</v>
      </c>
      <c r="EB14" s="63">
        <f>Storage!$Q$57/((1-Shipping!$R$37)^($F14/24/Shipping!$R$44+0.5*Shipping!$R$59))</f>
        <v>103547089.94708996</v>
      </c>
      <c r="EC14" s="153">
        <f>IF($E14="","No Port",IF(AND(ship_choice="VLCC",G14="Panama"),"Ship cannot pass through Panama",IF(ship_choice="VLCC",((F14/24/Shipping!$AD$44+F14/24/Shipping!$AD$50+Shipping!$AD$59+Shipping!$AD$64)*(Shipping!$AD$22+wacc_nl*Shipping!$AD$19/365.25*1000000+Shipping!$AD$35)+(F14/24/Shipping!$AD$44*Shipping!$AD$45+Shipping!$AD$64*Shipping!$AD$65)*IF(bunker_choice="HFO",$H14,IF(bunker_choice="hydrogen",$BD14*hfo_e_density_lhv/h2_e_density_lhv,(DX14+DZ14)*1000000/EB14*hfo_e_density_lhv/Dme_e_density_lhv))+(F14/24/Shipping!$AD$50*Shipping!$AD$51+Shipping!$AD$59*Shipping!$AD$60)*IF(bunker_choice="HFO",bunker_price_ROT,IF(bunker_choice="hydrogen",$BD14*hfo_e_density_lhv/h2_e_density_lhv,(DX14+DZ14)*1000000/EB14*hfo_e_density_lhv/Dme_e_density_lhv))+Shipping!$AD$73+IF(G14="Panama",Shipping!$AD$55,0)+IF(G14="Suez",Shipping!$AD$56,0))/Shipping!$AD$31*(EB14+Dme_st_ab_losses)/1000000+IF(inland_transport_to_port="hv dc grid",$BM14/100*1000*EE14,IF(inland_transport_to_port="pipeline",$BN14,0)),((F14/24/Shipping!$R$44+F14/24/Shipping!$R$50+Shipping!$R$59+Shipping!$R$64)*(Shipping!$R$22+wacc_nl*Shipping!$R$19/365.25*1000000+Shipping!$R$35)+(F14/24/Shipping!$R$44*Shipping!$R$45+Shipping!$R$64*Shipping!$R$65)*IF(bunker_choice="HFO",$H14,IF(bunker_choice="hydrogen",$BD14*hfo_e_density_lhv/h2_e_density_lhv,(DX14+DZ14)*1000000/EB14*hfo_e_density_lhv/Dme_e_density_lhv))+(F14/24/Shipping!$R$50*Shipping!$R$51+Shipping!$R$59*Shipping!$R$60)*IF(bunker_choice="HFO",bunker_price_ROT,IF(bunker_choice="hydrogen",$BD14*hfo_e_density_lhv/h2_e_density_lhv,(DX14+DZ14)*1000000/EB14*hfo_e_density_lhv/Dme_e_density_lhv))+Shipping!$R$73+IF(G14="Panama",Shipping!$R$55,0)+IF(G14="Suez",Shipping!$R$56,0))/Shipping!$R$31*(EB14+Dme_st_ab_losses)/1000000+IF(inland_transport_to_port="hv dc grid",$BM14/100*1000*EE14,IF(inland_transport_to_port="pipeline",$BN14,0)))))</f>
        <v>8626.348946677359</v>
      </c>
      <c r="ED14" s="28">
        <f t="shared" si="39"/>
        <v>126007.27930705171</v>
      </c>
      <c r="EE14" s="29">
        <f>(Dme_e_demand)*(EB14+Dme_st_ab_losses)/1000000+Dme_st_e_demand*DZ14/1000000+$CV14*(Carriers!$X$21/Carriers!$X$23*EB14)/$CS14</f>
        <v>1550.2168235424003</v>
      </c>
      <c r="EF14" s="29">
        <f t="shared" si="26"/>
        <v>1.0354708994708997</v>
      </c>
      <c r="EG14" s="28">
        <f>IFERROR(ED14*1000000/Storage!$Q$12,"")</f>
        <v>1216.9079727053495</v>
      </c>
      <c r="EH14" s="28">
        <f>IF($E14="","No Port",((F14/24/Shipping!$R$44+F14/24/Shipping!$R$50+Shipping!$R$59+Shipping!$R$64)*Carriers!$X$39*wacc_nl))</f>
        <v>114.63182337242407</v>
      </c>
      <c r="EI14" s="100">
        <f>H2_retrieval!$P$25*h2_demand_kt/1000+(co2_liq_e_demand+co2_st_e_demand*2)*Storage!$Q$12*co2_density/Dme_density/1000000</f>
        <v>252.45335899349112</v>
      </c>
      <c r="EJ14" s="28">
        <f>IFERROR((((DX14+DZ14+EC14)*(1+H2_retrieval!$P$34)+EH14)*1000000/H2_retrieval!$P$8)+h2_regen_dme,"")</f>
        <v>8836.6104332078048</v>
      </c>
      <c r="EK14" s="149">
        <f>(ome_invest*(M14+1/ome_lifetime)/ome_prod+ome_opex+ome_e_demand*1000*$AU14/100+Carriers!$Z$21/Carriers!$Z$23*(CO14*1000000/CS14))*(EO14+ome_st_ab_losses)/1000000</f>
        <v>195769.06415094112</v>
      </c>
      <c r="EL14" s="86">
        <f>(ome_invest*(M14+1/ome_lifetime)/ome_prod+ome_opex+ome_e_demand*1000*$AU14/100+Carriers!$Z$21/Carriers!$Z$23*(CP14*1000000/CS14))*(EO14+ome_st_ab_losses)/1000000</f>
        <v>248272.85812508609</v>
      </c>
      <c r="EM14" s="63">
        <f>ome_st_nl_cost*ome_st_nl_demand/1000000+(ome_st_invest*(M14+1/ome_st_lifetime+ome_st_opex)/(Storage!$S$63/1000000)+ome_st_e_demand*1000*$AU14/100)*(EO14+ome_st_ab_losses)/1000000+co2_st_nl_cost*Storage!$S$12*co2_density/ome_density/1000000+(co2_st_opex_lev+co2_st_invest_lev+co2_st_e_demand*1000*$AU14/100)*Storage!$S$12/1000000+co2_st_invest_lev*Storage!$S$12*co2_st_lifetime*M14/1000000+(h2_demand_kt*1000/365.25*short_st_duration_hrs/24)*(h2_short_st_invest*(1/gh2_short_st_lifetime+$M14+h2_short_st_opex)+h2_short_st_e_demand*1000*$AU14/100)/1000000</f>
        <v>5481.0521600947222</v>
      </c>
      <c r="EN14" s="63">
        <f>ome_st_nl_cost*ome_st_nl_demand/1000000+(ome_st_invest*(M14+1/ome_st_lifetime+ome_st_opex)/(Storage!$S$63/1000000)+ome_st_e_demand*1000*$AU14/100)*(EO14+ome_st_ab_losses)/1000000+(h2_demand_kt*1000/365.25*short_st_duration_hrs/24)*(h2_short_st_invest*(1/gh2_short_st_lifetime+$M14+h2_short_st_opex)+h2_short_st_e_demand*1000*$AU14/100)/1000000</f>
        <v>1913.0336235281743</v>
      </c>
      <c r="EO14" s="63">
        <f>Storage!$S$57/((1-Shipping!$T$37)^($F14/24/Shipping!$T$44+0.5*Shipping!$T$59))</f>
        <v>128282539.68253967</v>
      </c>
      <c r="EP14" s="28">
        <f>IF($E14="","No Port",IF(AND(ship_choice="VLCC",G14="Panama"),"Ship cannot pass through Panama",IF(ship_choice="VLCC",((F14/24/Shipping!$AD$44+F14/24/Shipping!$AD$50+Shipping!$AD$59+Shipping!$AD$64)*(Shipping!$AD$22+wacc_nl*Shipping!$AD$19/365.25*1000000+Shipping!$AD$35)+(F14/24/Shipping!$AD$44*Shipping!$AD$45+Shipping!$AD$64*Shipping!$AD$65)*IF(bunker_choice="HFO",$H14,IF(bunker_choice="hydrogen",$BD14*hfo_e_density_lhv/h2_e_density_lhv,(EK14+EM14)*1000000/EO14*hfo_e_density_lhv/Dme_e_density_lhv))+(F14/24/Shipping!$AD$50*Shipping!$AD$51+Shipping!$AD$59*Shipping!$AD$60)*IF(bunker_choice="HFO",bunker_price_ROT,IF(bunker_choice="hydrogen",$BD14*hfo_e_density_lhv/h2_e_density_lhv,(EK14+EM14)*1000000/EO14*hfo_e_density_lhv/ome_e_density_lhv))+Shipping!$AD$73+IF(G14="Panama",Shipping!$AD$55,0)+IF(G14="Suez",Shipping!$AD$56,0))/Shipping!$AD$31*(EO14+ome_st_ab_losses)/1000000+IF(inland_transport_to_port="hv dc grid",$BM14/100*1000*ER14,IF(inland_transport_to_port="pipeline",$BN14,0)),((F14/24/Shipping!$T$44+F14/24/Shipping!$T$50+Shipping!$T$59+Shipping!$T$64)*(Shipping!$T$22+wacc_nl*Shipping!$T$19/365.25*1000000+Shipping!$T$35)+(F14/24/Shipping!$T$44*Shipping!$T$45+Shipping!$T$64*Shipping!$T$65)*IF(bunker_choice="HFO",$H14,IF(bunker_choice="hydrogen",$BD14*hfo_e_density_lhv/h2_e_density_lhv,(EK14+EM14)*1000000/EO14*hfo_e_density_lhv/Dme_e_density_lhv))+(F14/24/Shipping!$T$50*Shipping!$T$51+Shipping!$T$59*Shipping!$T$60)*IF(bunker_choice="HFO",bunker_price_ROT,IF(bunker_choice="hydrogen",$BD14*hfo_e_density_lhv/h2_e_density_lhv,(EK14+EM14)*1000000/EO14*hfo_e_density_lhv/ome_e_density_lhv))+Shipping!$T$73+IF(G14="Panama",Shipping!$T$55,0)+IF(G14="Suez",Shipping!$T$56,0))/Shipping!$T$31*(EO14+ome_st_ab_losses)/1000000+IF(inland_transport_to_port="hv dc grid",$BM14/100*1000*ER14,IF(inland_transport_to_port="pipeline",$BN14,0)))))</f>
        <v>9272.6741564631029</v>
      </c>
      <c r="EQ14" s="28">
        <f t="shared" si="40"/>
        <v>259458.56590507735</v>
      </c>
      <c r="ER14" s="29">
        <f>(ome_e_demand)*(EO14+ome_st_ab_losses)/1000000+ome_st_e_demand*EM14/1000000+$CV14*(Carriers!$Z$21/Carriers!$Z$23*EO14)/$CS14</f>
        <v>3352.0814583623619</v>
      </c>
      <c r="ES14" s="29">
        <f t="shared" si="27"/>
        <v>0.1924238095238095</v>
      </c>
      <c r="ET14" s="28">
        <f>IFERROR(EQ14*1000000/Storage!$S$12,"")</f>
        <v>2022.5555757405375</v>
      </c>
      <c r="EU14" s="28">
        <f>IF($E14="","No Port",((F14/24/Shipping!$T$44+F14/24/Shipping!$T$50+Shipping!$T$59+Shipping!$T$64)*Carriers!$Z$39*wacc_nl))</f>
        <v>130.83711313216347</v>
      </c>
      <c r="EV14" s="100">
        <f>H2_retrieval!$R$25*h2_demand_kt/1000+(co2_liq_e_demand+co2_st_e_demand*2)*Storage!$S$12*co2_density/ome_density/1000000</f>
        <v>254.51942895252085</v>
      </c>
      <c r="EW14" s="28">
        <f>IFERROR((((EK14+EM14+EP14)*(1+H2_retrieval!$R$34)+EU14)*1000000/H2_retrieval!$R$8)+h2_regen_ome,"")</f>
        <v>16659.365865301344</v>
      </c>
      <c r="EX14" s="149">
        <f>(sng_invest*(M14+1/sng_lifetime)/sng_prod+lng_invest*(M14+1/lng_lifetime)/lng_prod+sng_opex+lng_opex+(sng_e_demand+lng_e_demand)*1000*$AU14/100+Carriers!$AB$18/Carriers!$AB$23*BD14+Carriers!$AB$20/Carriers!$AB$23*co2_liq_cost)*(FB14+lng_st_ab_losses)/1000000</f>
        <v>69147.710483767893</v>
      </c>
      <c r="EY14" s="86">
        <f>(sng_invest*(M14+1/sng_lifetime)/sng_prod+lng_invest*(M14+1/lng_lifetime)/lng_prod+sng_opex+lng_opex+(sng_e_demand+lng_e_demand)*1000*$AU14/100+Carriers!$AB$18/Carriers!$AB$23*BD14+Carriers!$AB$20/Carriers!$AB$23*BP14)*(FB14+lng_st_ab_losses)/1000000</f>
        <v>83060.683863968603</v>
      </c>
      <c r="EZ14" s="63">
        <f>lng_st_nl_cost*lng_st_nl_demand/1000000+(lng_st_invest*(M14+1/lng_st_lifetime+lng_st_opex)/(Storage!$U$63/1000000)+lng_st_e_demand*1000*$AU14/100)*(FB14+lng_st_ab_losses)/1000000+co2_st_nl_cost*Storage!$U$12*co2_density/lng_density/1000000+(co2_st_opex_lev+co2_st_invest_lev+co2_st_e_demand*1000*$AU14/100)*Storage!$U$12/1000000+co2_st_invest_lev*Storage!$U$12*co2_st_lifetime*M14/1000000+Carriers!$AB$18/Carriers!$AB$23*((FB14+lng_st_ab_losses)/365.25*short_st_duration_hrs/24)*(h2_short_st_invest*(1/gh2_short_st_lifetime+$M14+h2_short_st_opex)+h2_short_st_e_demand*1000*$AU14/100)/1000000+Carriers!$AB$20/Carriers!$AB$23*((FB14+lng_st_ab_losses)/365.25*short_st_duration_hrs/24)*(co2_short_st_invest*(1/co2_short_st_lifetime+$M14+co2_short_st_opex)+co2_short_st_e_demand*1000*$AU14/100)/1000000</f>
        <v>6673.4115518796871</v>
      </c>
      <c r="FA14" s="63">
        <f>lng_st_nl_cost*lng_st_nl_demand/1000000+(lng_st_invest*(M14+1/lng_st_lifetime+lng_st_opex)/(Storage!$U$63/1000000)+lng_st_e_demand*1000*$AU14/100)*(FB14+lng_st_ab_losses)/1000000+Carriers!$AB$18/Carriers!$AB$23*((FB14+lng_st_ab_losses)/365.25*short_st_duration_hrs/24)*(h2_short_st_invest*(1/gh2_short_st_lifetime+$M14+h2_short_st_opex)+h2_short_st_e_demand*1000*$AU14/100)/1000000+Carriers!$AB$20/Carriers!$AB$23*((FB14+lng_st_ab_losses)/365.25*short_st_duration_hrs/24)*(co2_short_st_invest*(1/co2_short_st_lifetime+$M14+co2_short_st_opex)+co2_short_st_e_demand*1000*$AU14/100)/1000000</f>
        <v>4999.6888126269741</v>
      </c>
      <c r="FB14" s="63">
        <f>Storage!$U$57/((1-Shipping!$V$37)^($F14/24/Shipping!$V$44+0.5*Shipping!$V$59))</f>
        <v>41546153.94868733</v>
      </c>
      <c r="FC14" s="28">
        <f>IF($E14="","No Port",IF(G14="Panama","Ship cannot pass through Panama",((F14/24/Shipping!$V$44+F14/24/Shipping!$V$50+Shipping!$V$59+Shipping!$V$64)*(Shipping!$V$22+wacc_nl*Shipping!$V$19/365.25*1000000+Shipping!$V$35)+(F14/24/Shipping!$V$44*Shipping!$V$45+Shipping!$V$64*Shipping!$V$65)*IF(bunker_choice="HFO",$H14,IF(bunker_choice="hydrogen",$BD14*hfo_e_density_lhv/h2_e_density_lhv,(EX14+EZ14)*1000000/FB14*hfo_e_density_lhv/lng_e_density_lhv))+(F14/24/Shipping!$V$50*Shipping!$V$51+Shipping!$V$59*Shipping!$V$60)*IF(bunker_choice="HFO",bunker_price_ROT,IF(bunker_choice="hydrogen",$BD14*hfo_e_density_lhv/h2_e_density_lhv,(EX14+EZ14)*1000000/FB14*hfo_e_density_lhv/lng_e_density_lhv))+Shipping!$V$73+IF(G14="Panama",Shipping!$V$55,0)+IF(G14="Suez",Shipping!$V$56,0))/Shipping!$V$31*(FB14+lng_st_ab_losses)/1000000)+IF(inland_transport_to_port="hv dc grid",$BM14/100*1000*FE14,IF(inland_transport_to_port="pipeline",$BN14,0)))</f>
        <v>4956.1041610317661</v>
      </c>
      <c r="FD14" s="28">
        <f t="shared" si="41"/>
        <v>93016.476837627342</v>
      </c>
      <c r="FE14" s="29">
        <f>((Carriers!$AB$18/Carriers!$AB$23*alk_el_e_demand)+sng_e_demand+lng_e_demand)*(FB14+lng_st_ab_losses)/1000000+lng_st_e_demand*EZ14/1000000</f>
        <v>1114.225620006285</v>
      </c>
      <c r="FF14" s="29">
        <f t="shared" si="28"/>
        <v>0.8126185861001558</v>
      </c>
      <c r="FG14" s="28">
        <f>IFERROR(FD14*1000000/Storage!$U$12,"")</f>
        <v>2291.9422875354048</v>
      </c>
      <c r="FH14" s="28">
        <f>IF($E14="","No Port",((F14/24/Shipping!$V$44+F14/24/Shipping!$V$50+Shipping!$V$59+Shipping!$V$64)*Carriers!$AB$39*wacc_nl))</f>
        <v>38.432955804144463</v>
      </c>
      <c r="FI14" s="100">
        <f>H2_retrieval!$T$25*h2_demand_kt/1000+(co2_liq_e_demand+co2_st_e_demand*2)*Storage!$U$12*co2_density/lng_density/1000000</f>
        <v>236.51371749646054</v>
      </c>
      <c r="FJ14" s="28">
        <f>IFERROR((((EX14+EZ14+FC14)*(1+H2_retrieval!$T$34)+FH14)*1000000/H2_retrieval!$T$8)+h2_regen_lng,"")</f>
        <v>7112.4564220551965</v>
      </c>
      <c r="FK14" s="149">
        <f>(lh2_invest*(M14+1/lh2_lifetime)/lh2_prod+lh2_opex+lh2_e_demand*1000*$AU14/100+Carriers!$AD$18/Carriers!$AD$23*BD14)*(FM14+lh2_st_ab_losses)/1000000</f>
        <v>55899.208417136331</v>
      </c>
      <c r="FL14" s="28">
        <f>lh2_st_nl_cost*lh2_st_nl_demand/1000000+(lh2_st_invest*(M14+1/lh2_st_lifetime+lh2_st_opex)/(Storage!$Y$63/1000000)+lh2_st_e_demand*1000*$AU14/100)*(FM14+lh2_st_ab_losses)/1000000+((FM14+lh2_st_ab_losses)/365.25*short_st_duration_hrs/24)*(h2_short_st_invest*(1/gh2_short_st_lifetime+$M14+h2_short_st_opex)+h2_short_st_e_demand*1000*$AU14/100)/1000000</f>
        <v>57857.717713185717</v>
      </c>
      <c r="FM14" s="63">
        <f>Storage!$Y$57/((1-Shipping!$Z$37)^($F14/24/Shipping!$Z$44+0.5*Shipping!$Z$59))</f>
        <v>14113357.142987134</v>
      </c>
      <c r="FN14" s="28">
        <f>IF($E14="","No Port",IF(G14="Panama","Ship cannot pass through Panama",((F14/24/Shipping!$Z$44+F14/24/Shipping!$Z$50+Shipping!$Z$59+Shipping!$Z$64)*(Shipping!$Z$22+wacc_nl*Shipping!$Z$19/365.25*1000000+Shipping!$Z$35)+(F14/24/Shipping!$Z$44*Shipping!$Z$45+Shipping!$Z$64*Shipping!$Z$65)*IF(bunker_choice="HFO",$H14,IF(bunker_choice="hydrogen",$BD14*hfo_e_density_lhv/h2_e_density_lhv,(FK14+FL14)*1000000/FM14*hfo_e_density_lhv/lh2_e_density_lhv))+(F14/24/Shipping!$Z$50*Shipping!$Z$51+Shipping!$Z$59*Shipping!$Z$60)*IF(bunker_choice="HFO",bunker_price_ROT,IF(bunker_choice="hydrogen",$BD14*hfo_e_density_lhv/h2_e_density_lhv,(FK14+FL14)*1000000/FM14*hfo_e_density_lhv/lh2_e_density_lhv))+Shipping!$Z$73+IF(G14="Panama",Shipping!$Z$55,0)+IF(G14="Suez",Shipping!$Z$56,0))/Shipping!$Z$31*(FM14+lh2_st_ab_losses)/1000000)+IF(inland_transport_to_port="hv dc grid",$BM14/100*1000*FP14,IF(inland_transport_to_port="pipeline",$BN14,0)))</f>
        <v>6707.2458309855992</v>
      </c>
      <c r="FO14" s="28">
        <f t="shared" si="42"/>
        <v>120464.17196130764</v>
      </c>
      <c r="FP14" s="29">
        <f>((Carriers!$AD$18/Carriers!$AD$23*alk_el_e_demand)+lh2_e_demand)*(FM14+lh2_st_ab_losses)/1000000+lh2_st_e_demand*FM14/1000000</f>
        <v>817.83903101466922</v>
      </c>
      <c r="FQ14" s="100">
        <f t="shared" si="29"/>
        <v>1.361902463475859</v>
      </c>
      <c r="FR14" s="28">
        <f>IFERROR(FO14*1000000/Storage!$Y$12,"")</f>
        <v>8857.6597030373268</v>
      </c>
      <c r="FS14" s="100">
        <f>H2_retrieval!$V$25*h2_demand_kt/1000</f>
        <v>8.16</v>
      </c>
      <c r="FT14" s="28">
        <f>IFERROR(FR14*(1+H2_retrieval!$V$34)/Carrier_properties!$U$7+H2_retrieval!$V$38,"")</f>
        <v>8889.6284289057949</v>
      </c>
      <c r="FU14" s="12"/>
      <c r="FV14" s="24">
        <f t="shared" si="30"/>
        <v>3.0522721120115612</v>
      </c>
      <c r="FW14" s="24">
        <f t="shared" si="43"/>
        <v>4.7862369300007153</v>
      </c>
      <c r="FX14" s="24">
        <f t="shared" si="44"/>
        <v>7.5163092278682067</v>
      </c>
      <c r="FY14" s="24">
        <f t="shared" si="45"/>
        <v>3.0522721120115612</v>
      </c>
      <c r="FZ14" s="28">
        <f t="shared" si="46"/>
        <v>2831.2412431098792</v>
      </c>
      <c r="GA14" s="28">
        <f t="shared" si="47"/>
        <v>667.26162577617458</v>
      </c>
      <c r="GB14" s="28">
        <f t="shared" si="48"/>
        <v>485.62151315857716</v>
      </c>
      <c r="GC14" s="28">
        <f t="shared" si="49"/>
        <v>753.22078883719371</v>
      </c>
      <c r="GD14" s="28">
        <f t="shared" si="50"/>
        <v>1102.8512429525927</v>
      </c>
      <c r="GE14" s="28">
        <f t="shared" si="51"/>
        <v>1935.359704753944</v>
      </c>
      <c r="GF14" s="28">
        <f t="shared" si="52"/>
        <v>1999.2388216380962</v>
      </c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</row>
    <row r="15" spans="1:214" x14ac:dyDescent="0.2">
      <c r="A15" s="40" t="s">
        <v>35</v>
      </c>
      <c r="B15" s="12">
        <v>3293</v>
      </c>
      <c r="C15" s="12">
        <v>1</v>
      </c>
      <c r="D15" s="12">
        <f t="shared" si="0"/>
        <v>0</v>
      </c>
      <c r="E15" s="12"/>
      <c r="F15" s="12"/>
      <c r="G15" s="12"/>
      <c r="H15" s="16">
        <f t="shared" si="1"/>
        <v>382.75862068965517</v>
      </c>
      <c r="I15" s="16">
        <v>28470</v>
      </c>
      <c r="J15" s="16">
        <f t="shared" si="31"/>
        <v>95.196021238560803</v>
      </c>
      <c r="K15" s="16" t="str">
        <f t="shared" si="32"/>
        <v/>
      </c>
      <c r="L15" s="103">
        <v>0.152</v>
      </c>
      <c r="M15" s="103">
        <f t="shared" si="2"/>
        <v>0.14891459061277337</v>
      </c>
      <c r="N15" s="122">
        <f t="shared" si="33"/>
        <v>0.9</v>
      </c>
      <c r="O15" s="46">
        <f t="shared" si="3"/>
        <v>40</v>
      </c>
      <c r="P15" s="70">
        <f t="array" ref="P15">SUMPRODUCT(IF(Solar_data!A$4:A$777=A15,Solar_data!C$4:C$777),IF(Solar_data!A$4:A$777=A15,Solar_data!I$4:I$777))/SUMIF(Solar_data!A$4:A$777,A15,Solar_data!I$4:I$777)</f>
        <v>1641.3597723701412</v>
      </c>
      <c r="Q15" s="16">
        <f t="array" ref="Q15">MAX(IF(Solar_data!$A$777:'Solar_data'!$A$4=Country_details!$A15,Solar_data!$C$4:'Solar_data'!$C$777))</f>
        <v>1916.25</v>
      </c>
      <c r="R15" s="16">
        <f t="array" ref="R15">MIN(IF(Solar_data!$A$777:'Solar_data'!$A$4=Country_details!A15,Solar_data!$C$4:'Solar_data'!$C$777))</f>
        <v>1368.75</v>
      </c>
      <c r="S15" s="24">
        <f t="shared" si="4"/>
        <v>3.1459680952779476</v>
      </c>
      <c r="T15" s="24">
        <f t="shared" si="5"/>
        <v>2.6946721339851996</v>
      </c>
      <c r="U15" s="24">
        <f t="shared" si="6"/>
        <v>3.7725409875792795</v>
      </c>
      <c r="V15" s="16">
        <f t="array" ref="V15">SUM(IF(Solar_data!$A$777:'Solar_data'!$A$4=Country_details!$A15,Solar_data!$I$4:'Solar_data'!$I$777))</f>
        <v>200.52698831949692</v>
      </c>
      <c r="W15" s="148"/>
      <c r="X15" s="16">
        <f>IFERROR(INDEX(Onshore_wind_data!$J$5:'Onshore_wind_data'!$J$221,MATCH(A15,Onshore_wind_data!$B$5:'Onshore_wind_data'!$B$221,0)),"")</f>
        <v>3137.1812036633232</v>
      </c>
      <c r="Y15" s="16">
        <f>IFERROR(INDEX(Onshore_wind_data!$K$5:'Onshore_wind_data'!$K$221,MATCH(A15,Onshore_wind_data!$B$5:'Onshore_wind_data'!$B$221,0)),"")</f>
        <v>3971</v>
      </c>
      <c r="Z15" s="16">
        <f>IFERROR(INDEX(Onshore_wind_data!$L$5:'Onshore_wind_data'!$L$221,MATCH(A15,Onshore_wind_data!$B$5:'Onshore_wind_data'!$B$221,0)),"")</f>
        <v>2847.5</v>
      </c>
      <c r="AA15" s="24">
        <f t="shared" si="7"/>
        <v>5.1876017202102274</v>
      </c>
      <c r="AB15" s="24">
        <f t="shared" si="8"/>
        <v>4.0983245048438803</v>
      </c>
      <c r="AC15" s="24">
        <f t="shared" si="9"/>
        <v>5.7153456044723603</v>
      </c>
      <c r="AD15" s="16">
        <f>IFERROR(INDEX(Onshore_wind_data!$I$5:'Onshore_wind_data'!$I$221,MATCH(A15,Onshore_wind_data!$B$5:'Onshore_wind_data'!$B$221,0)),"")</f>
        <v>35.967782499999998</v>
      </c>
      <c r="AE15" s="148"/>
      <c r="AF15" s="16" t="str">
        <f>INDEX(Offshore_wind_data!$AA$7:$AA$192,MATCH(Country_details!A15,Offshore_wind_data!$A$7:$A$192,0))</f>
        <v/>
      </c>
      <c r="AG15" s="16" t="str">
        <f>INDEX(Offshore_wind_data!$Y$7:$Y$192,MATCH(Country_details!A15,Offshore_wind_data!$A$7:$A$192,0))</f>
        <v/>
      </c>
      <c r="AH15" s="16" t="str">
        <f>INDEX(Offshore_wind_data!$Z$7:$Z$192,MATCH(Country_details!A15,Offshore_wind_data!$A$7:$A$192,0))</f>
        <v/>
      </c>
      <c r="AI15" s="24" t="str">
        <f t="shared" si="10"/>
        <v/>
      </c>
      <c r="AJ15" s="24" t="str">
        <f t="shared" si="11"/>
        <v/>
      </c>
      <c r="AK15" s="24" t="str">
        <f t="shared" si="12"/>
        <v/>
      </c>
      <c r="AL15" s="16">
        <f>INDEX(Offshore_wind_data!$W$7:$W$191,MATCH(A15,Offshore_wind_data!$A$7:$A$191,0))</f>
        <v>0</v>
      </c>
      <c r="AM15" s="148"/>
      <c r="AN15" s="12">
        <v>2.9</v>
      </c>
      <c r="AO15" s="12">
        <v>2.7</v>
      </c>
      <c r="AP15" s="34">
        <f>0.9693*11.63</f>
        <v>11.272959000000002</v>
      </c>
      <c r="AQ15" s="15">
        <f t="shared" si="13"/>
        <v>50</v>
      </c>
      <c r="AR15" s="12">
        <f t="shared" si="34"/>
        <v>135</v>
      </c>
      <c r="AS15" s="16">
        <f t="shared" si="35"/>
        <v>101.49477081949692</v>
      </c>
      <c r="AT15" s="12"/>
      <c r="AU15" s="24">
        <f t="shared" si="14"/>
        <v>4.4863300729251829</v>
      </c>
      <c r="AV15" s="16">
        <f t="shared" si="15"/>
        <v>4778.5409760334642</v>
      </c>
      <c r="AW15" s="149">
        <f>HV_DC_Grid!$E$3/(1-AX15)*AU15/100*1000</f>
        <v>4854.0125255100929</v>
      </c>
      <c r="AX15" s="31">
        <f>(1-(1-HV_DC_Grid!$E$25)^(B15*C15*HV_DC_Grid!$E$8/1000))+(1-(1-HV_DC_Grid!$E$26)^(B15*D15*HV_DC_Grid!$E$8/1000))+HV_DC_Grid!$E$35*HV_DC_Grid!$E$28</f>
        <v>7.5748146642096156E-2</v>
      </c>
      <c r="AY15" s="28">
        <f>B15*nl_e_demand/IF(hv_dc_flh="electricity FLH",$AV15,hv_dc_custom)*1000*hv_dc_capacity_multiplier*hv_dc_length_multiplier*1000*(C15*hv_dc_overhead_invest*(hv_dc_overhead_opex+M15+1/hv_dc_lifetime)+D15*hv_dc_sea_invest*(hv_dc_sea_opex+M15+1/hv_dc_lifetime))/1000000+HV_DC_Grid!$E$10*1000*hv_dc_station_invest*hv_dc_station_number*(hv_dc_station_opex+M15+1/hv_dc_lifetime)/1000000</f>
        <v>3683.264862785637</v>
      </c>
      <c r="AZ15" s="24">
        <f>(AW15+AY15)/(HV_DC_Grid!$E$3*1000)*100</f>
        <v>8.5372773882957311</v>
      </c>
      <c r="BA15" s="28">
        <f>MIN(((Carriers!$F$26+Carriers!$F$27)*(alk_el_opex+wacc_nl+1/alk_el_lifetime)+IF(hv_dc_flh="electricity FLH",$AV15,hv_dc_custom)*AZ15/100)/(IF(hv_dc_flh="electricity FLH",$AV15,hv_dc_custom)/alk_el_e_demand)*1000,((Carriers!$H$26+Carriers!$H$27)*(pem_el_opex+wacc_nl+1/pem_el_lifetime)+IF(hv_dc_flh="electricity FLH",$AV15,hv_dc_custom)*AZ15/100)/(IF(hv_dc_flh="electricity FLH",$AV15,hv_dc_custom)/pem_el_e_demand)*1000)</f>
        <v>4709.6458042346603</v>
      </c>
      <c r="BB15" s="12"/>
      <c r="BC15" s="12"/>
      <c r="BD15" s="149">
        <f>MIN(((Carriers!$F$26+Carriers!$F$27)*(alk_el_opex+M15+1/alk_el_lifetime)+$AV15*$AU15/100)/($AV15/alk_el_e_demand)*1000,((Carriers!$H$26+Carriers!$H$27)*(pem_el_opex+M15+1/pem_el_lifetime)+$AV15*$AU15/100)/($AV15/pem_el_e_demand)*1000)</f>
        <v>3103.2212136038415</v>
      </c>
      <c r="BE15" s="28">
        <f>Storage!$AC$50</f>
        <v>8.1664117557772418</v>
      </c>
      <c r="BF15" s="28">
        <f>((Pipeline!$D$22*Pipeline!$D$24*B15*(pipeline_opex+M15+1/pipeline_lifetime))*(Pipeline!$D$39/Pipeline!$D$3)+(Pipeline!$D$57*(pipeline_comp_opex+M15+1/pipeline_comp_lifetime)+Pipeline!$D$47*1000*Pipeline!$D$45*$AU15/100/1000000))*(Pipeline!$D$75/Pipeline!$D$45)</f>
        <v>8423.826442323998</v>
      </c>
      <c r="BG15" s="28">
        <f>BD15+(BE15+BF15)/Storage!$AC$12*1000000</f>
        <v>3723.2206881685311</v>
      </c>
      <c r="BH15" s="28"/>
      <c r="BI15" s="28"/>
      <c r="BJ15" s="28" t="str">
        <f>IF($E15="","No Port",BK15*HV_DC_Grid!$E$3*$AU15/100*1000)</f>
        <v>No Port</v>
      </c>
      <c r="BK15" s="31" t="str">
        <f>IFERROR((1-(1-HV_DC_Grid!$E$25)^(K15*HV_DC_Grid!$E$8/1000))+HV_DC_Grid!$E$35*HV_DC_Grid!$E$28,"")</f>
        <v/>
      </c>
      <c r="BL15" s="28" t="str">
        <f>IFERROR(K15*nl_e_demand/IF(hv_dc_flh="electricity FLH",$AV15,hv_dc_custom)*1000*hv_dc_capacity_multiplier*hv_dc_length_multiplier*1000*(hv_dc_overhead_invest*(hv_dc_overhead_opex+M15+1/hv_dc_lifetime))/1000000+HV_DC_Grid!$E$10*1000*hv_dc_station_invest*hv_dc_station_number*(hv_dc_station_opex+M15+1/hv_dc_lifetime)/1000000,"")</f>
        <v/>
      </c>
      <c r="BM15" s="29" t="str">
        <f>IFERROR((BJ15+BL15)/(HV_DC_Grid!$E$3*1000)*100,"")</f>
        <v/>
      </c>
      <c r="BN15" s="28" t="str">
        <f>IFERROR(((Pipeline!$D$22*Pipeline!$D$24*K15*(pipeline_opex+M15+1/pipeline_lifetime))*(Pipeline!$D$39/Pipeline!$D$3)+(Pipeline!$D$57*(pipeline_comp_opex+M15+1/pipeline_comp_lifetime)+Pipeline!$D$47*1000*Pipeline!$D$45*S15/100/1000000))*(Pipeline!$D$75/Pipeline!$D$45),"")</f>
        <v/>
      </c>
      <c r="BO15" s="28"/>
      <c r="BP15" s="150">
        <f t="shared" si="16"/>
        <v>135.63211070747519</v>
      </c>
      <c r="BQ15" s="34">
        <f t="shared" si="17"/>
        <v>39.609891107112254</v>
      </c>
      <c r="BR15" s="151">
        <f>(nh3_invest*(M15+1/nh3_lifetime)/nh3_prod+nh3_opex+nh3_e_demand*1000*$AU15/100+Carriers!$N$18/Carriers!$N$23*BD15+Carriers!$N$19/Carriers!$N$23*BQ15)*(BT15+nh3_st_ab_losses)/1000000</f>
        <v>55629.752581774672</v>
      </c>
      <c r="BS15" s="63">
        <f>nh3_st_nl_cost*nh3_st_nl_demand/1000000+(nh3_st_invest*(M15+1/nh3_st_lifetime+nh3_st_opex)/(Storage!$G$63/1000000)+nh3_st_e_demand*1000*$AU15/100)*(BT15+nh3_st_ab_losses)/1000000+Carriers!$N$18/Carriers!$N$23*((BT15+nh3_st_ab_losses)/365.25*short_st_duration_hrs/24)*(h2_short_st_invest*(1/gh2_short_st_lifetime+$M15+h2_short_st_opex)+h2_short_st_e_demand*1000*$AU15/100)/1000000+Carriers!$N$19/Carriers!$N$23*((BT15+nh3_st_ab_losses)/365.25*short_st_duration_hrs/24)*(n2_short_st_invest*(1/n2_short_st_lifetime+$M15+n2_short_st_opex)+n2_short_st_e_demand*1000*$AU15/100)/1000000</f>
        <v>3665.4356035810115</v>
      </c>
      <c r="BT15" s="63">
        <f>Storage!$G$57/((1-Shipping!$H$37)^(F15/24/Shipping!$H$44+0.5*Shipping!$H$59))</f>
        <v>76857210.785724297</v>
      </c>
      <c r="BU15" s="63" t="str">
        <f>IF($E15="","No Port",((F15/24/Shipping!$H$44+F15/24/Shipping!$H$50+Shipping!$H$59+Shipping!$H$64)*(Shipping!$H$22+wacc_nl*Shipping!$H$19/365.25*1000000+Shipping!$H$35)+(F15/24/Shipping!$H$44*Shipping!$H$45+Shipping!$H$64*Shipping!$H$65)*IF(bunker_choice="HFO",H15,IF(bunker_choice="hydrogen",BD15*hfo_e_density_lhv/h2_e_density_lhv,(BR15+BS15)*1000000/BT15*hfo_e_density_lhv/nh3_e_density_lhv))+(F15/24/Shipping!$H$50*Shipping!$H$51+Shipping!$H$59*Shipping!$H$60)*IF(bunker_choice="HFO",bunker_price_ROT,IF(bunker_choice="hydrogen",BD15*hfo_e_density_lhv/h2_e_density_lhv,(BR15+BS15)*1000000/BT15*hfo_e_density_lhv/nh3_e_density_lhv))+Shipping!$H$73+IF(G15="Panama",Shipping!$H$55,0)+IF(G15="Suez",Shipping!$H$56,0))/Shipping!$H$31*BT15/1000000+IF(inland_transport_to_port="hv dc grid",$BM15/100*1000*BW15,IF(inland_transport_to_port="pipeline",$BN15,0)))</f>
        <v>No Port</v>
      </c>
      <c r="BV15" s="63" t="str">
        <f t="shared" si="18"/>
        <v/>
      </c>
      <c r="BW15" s="33">
        <f>((Carriers!$N$18/Carriers!$N$23*alk_el_e_demand)+(Carriers!$N$19/Carriers!$N$23*n2_e_demand)+nh3_e_demand)*(BT15+nh3_st_ab_losses)/1000000+nh3_st_e_demand*BT15/1000000</f>
        <v>759.00171168026975</v>
      </c>
      <c r="BX15" s="33">
        <f t="shared" si="19"/>
        <v>0.76626754477640768</v>
      </c>
      <c r="BY15" s="63" t="str">
        <f>IFERROR(BV15*1000000/Storage!$G$12,"")</f>
        <v/>
      </c>
      <c r="BZ15" s="63">
        <f>H2_retrieval!$F$25*h2_demand_kt/1000</f>
        <v>80</v>
      </c>
      <c r="CA15" s="63" t="str">
        <f>IFERROR(BY15*(1+H2_retrieval!$F$34)/Carrier_properties!$E$7+H2_retrieval!$F$38,"")</f>
        <v/>
      </c>
      <c r="CB15" s="149">
        <f>(FA_invest*(M15+1/FA_lifetime)/FA_prod+FA_opex+FA_e_demand*1000*$AU15/100+Carriers!$P$18/Carriers!$P$23*BD15+Carriers!$P$20/Carriers!$P$23*co2_liq_cost)*(CF15+FA_st_ab_losses)/1000000</f>
        <v>128716.63156584246</v>
      </c>
      <c r="CC15" s="86">
        <f>(FA_invest*(M15+1/FA_lifetime)/FA_prod+FA_opex+FA_e_demand*1000*$AU15/100+Carriers!$P$18/Carriers!$P$23*BD15+Carriers!$P$20/Carriers!$P$23*BP15)*(CF15+FA_st_ab_losses)/1000000</f>
        <v>161797.21220504792</v>
      </c>
      <c r="CD15" s="63">
        <f>FA_st_nl_cost*FA_st_nl_demand/1000000+(FA_st_invest*(M15+1/FA_st_lifetime+FA_st_opex)/(Storage!$I$63/1000000)+FA_st_e_demand*1000*$AU15/100)*(CF15+FA_st_ab_losses)/1000000+co2_st_nl_cost*Storage!$I$12*co2_density/FA_density/1000000+(co2_st_opex_lev+co2_st_invest_lev+co2_st_e_demand*1000*$AU15/100)*Storage!$I$12/1000000+co2_st_invest_lev*Storage!$I$12*co2_st_lifetime*M15/1000000+Carriers!$P$18/Carriers!$P$23*((CF15+FA_st_ab_losses)/365.25*short_st_duration_hrs/24)*(h2_short_st_invest*(1/gh2_short_st_lifetime+$M15+h2_short_st_opex)+h2_short_st_e_demand*1000*$AU15/100)/1000000+Carriers!$P$20/Carriers!$P$23*((CF15+FA_st_ab_losses)/365.25*short_st_duration_hrs/24)*(co2_short_st_invest*(1/co2_short_st_lifetime+$M15+co2_short_st_opex)+co2_short_st_e_demand*1000*$AU15/100)/1000000</f>
        <v>13118.859573238906</v>
      </c>
      <c r="CE15" s="63">
        <f>FA_st_nl_cost*FA_st_nl_demand/1000000+(FA_st_invest*(M15+1/FA_st_lifetime+FA_st_opex)/(Storage!$I$63/1000000)+FA_st_e_demand*1000*$AU15/100)*(CF15+FA_st_ab_losses)/1000000+Carriers!$P$18/Carriers!$P$23*((CF15+FA_st_ab_losses)/365.25*short_st_duration_hrs/24)*(h2_short_st_invest*(1/gh2_short_st_lifetime+$M15+h2_short_st_opex)+h2_short_st_e_demand*1000*$AU15/100)/1000000+Carriers!$P$20/Carriers!$P$23*((CF15+FA_st_ab_losses)/365.25*short_st_duration_hrs/24)*(co2_short_st_invest*(1/co2_short_st_lifetime+$M15+co2_short_st_opex)+co2_short_st_e_demand*1000*$AU15/100)/1000000</f>
        <v>5524.6172920096806</v>
      </c>
      <c r="CF15" s="63">
        <f>Storage!$I$57/((1-Shipping!$J$37)^($F15/24/Shipping!$J$44+0.5*Shipping!$J$59))</f>
        <v>310425396.82539684</v>
      </c>
      <c r="CG15" s="28" t="str">
        <f>IF($E15="","No Port",((F15/24/Shipping!$J$44+F15/24/Shipping!$J$50+Shipping!$J$59+Shipping!$J$64)*(Shipping!$J$22+wacc_nl*Shipping!$J$19/365.25*1000000+Shipping!$J$35)+(F15/24/Shipping!$J$44*Shipping!$J$45+Shipping!$J$64*Shipping!$J$65)*IF(bunker_choice="HFO",$H15,IF(bunker_choice="hydrogen",$BD15*hfo_e_density_lhv/h2_e_density_lhv,(CB15+CD15)*1000000/CF15*hfo_e_density_lhv/FA_e_density_lhv))+(F15/24/Shipping!$J$50*Shipping!$J$51+Shipping!$J$59*Shipping!$J$60)*IF(bunker_choice="HFO",bunker_price_ROT,IF(bunker_choice="hydrogen",$BD15*hfo_e_density_lhv/h2_e_density_lhv,(CB15+CD15)*1000000/CF15*hfo_e_density_lhv/FA_e_density_lhv))+Shipping!$J$73+IF(G15="Panama",Shipping!$J$55,0)+IF(G15="Suez",Shipping!$J$56,0))/Shipping!$J$31*CF15/1000000+IF(inland_transport_to_port="hv dc grid",$BM15/100*1000*CI15,IF(inland_transport_to_port="pipeline",$BN15,0)))</f>
        <v>No Port</v>
      </c>
      <c r="CH15" s="28" t="str">
        <f t="shared" si="36"/>
        <v/>
      </c>
      <c r="CI15" s="29">
        <f>((Carriers!$P$18/Carriers!$P$23*alk_el_e_demand)+FA_e_demand)*(CF15+FA_st_ab_losses)/1000000+FA_st_e_demand*CF15/1000000</f>
        <v>1897.8881241622576</v>
      </c>
      <c r="CJ15" s="29">
        <f t="shared" si="20"/>
        <v>0.46563809523809524</v>
      </c>
      <c r="CK15" s="28" t="str">
        <f>IFERROR(CH15*1000000/Storage!$I$12,"")</f>
        <v/>
      </c>
      <c r="CL15" s="28" t="str">
        <f>IF($E15="","No Port",((F15/24/Shipping!$J$44+F15/24/Shipping!$J$50+Shipping!$J$59+Shipping!$J$64)*Carriers!$P$39*wacc_nl))</f>
        <v>No Port</v>
      </c>
      <c r="CM15" s="29">
        <f>H2_retrieval!$H$25*h2_demand_kt/1000+(co2_liq_e_demand+co2_st_e_demand*2)*Storage!$I$12*co2_density/FA_density/1000000</f>
        <v>94.204253879484654</v>
      </c>
      <c r="CN15" s="28" t="str">
        <f>IFERROR((((CB15+CD15+CG15)*(1+H2_retrieval!$H$34)+CL15)*1000000/H2_retrieval!$H$8)+h2_regen_fa,"")</f>
        <v/>
      </c>
      <c r="CO15" s="149">
        <f>(meoh_invest*(M15+1/meoh_lifetime)/meoh_prod+meoh_opex+meoh_e_demand*1000*$AU15/100+Carriers!$R$18/Carriers!$R$23*BD15+Carriers!$R$20/Carriers!$R$23*co2_liq_cost)*(CS15+meoh_st_ab_losses)/1000000</f>
        <v>68820.178975265007</v>
      </c>
      <c r="CP15" s="86">
        <f>(meoh_invest*(M15+1/meoh_lifetime)/meoh_prod+meoh_opex+meoh_e_demand*1000*$AU15/100+Carriers!$R$18/Carriers!$R$23*BD15+Carriers!$R$20/Carriers!$R$23*BP15)*(CS15+meoh_st_ab_losses)/1000000</f>
        <v>88239.501068753147</v>
      </c>
      <c r="CQ15" s="63">
        <f>meoh_st_nl_cost*meoh_st_nl_demand/1000000+(meoh_st_invest*(M15+1/meoh_st_lifetime+meoh_st_opex)/(Storage!$K$63/1000000)+meoh_st_e_demand*1000*$AU15/100)*(CS15+meoh_st_ab_losses)/1000000+co2_st_nl_cost*Storage!$K$12*co2_density/meoh_density/1000000+(co2_st_opex_lev+co2_st_invest_lev+co2_st_e_demand*1000*IFERROR(MIN(S15,AA15,AI15),S15)/100)*Storage!$K$12/1000000+co2_st_invest_lev*Storage!$K$12*co2_st_lifetime*M15/1000000+Carriers!$R$18/Carriers!$R$23*((CS15+meoh_st_ab_losses)/365.25*short_st_duration_hrs/24)*(h2_short_st_invest*(1/gh2_short_st_lifetime+$M15+h2_short_st_opex)+h2_short_st_e_demand*1000*$AU15/100)/1000000+Carriers!$R$20/Carriers!$R$23*((CF15+meoh_st_ab_losses)/365.25*short_st_duration_hrs/24)*(co2_short_st_invest*(1/co2_short_st_lifetime+$M15+co2_short_st_opex)+co2_short_st_e_demand*1000*$AU15/100)/1000000</f>
        <v>5301.6349788302559</v>
      </c>
      <c r="CR15" s="63">
        <f>meoh_st_nl_cost*meoh_st_nl_demand/1000000+(meoh_st_invest*(M15+1/meoh_st_lifetime+meoh_st_opex)/(Storage!$K$63/1000000)+meoh_st_e_demand*1000*$AU15/100)*(CS15+meoh_st_ab_losses)/1000000+Carriers!$R$18/Carriers!$R$23*((CS15+meoh_st_ab_losses)/365.25*short_st_duration_hrs/24)*(h2_short_st_invest*(1/gh2_short_st_lifetime+$M15+h2_short_st_opex)+h2_short_st_e_demand*1000*$AU15/100)/1000000+Carriers!$R$20/Carriers!$R$23*((CF15+meoh_st_ab_losses)/365.25*short_st_duration_hrs/24)*(co2_short_st_invest*(1/co2_short_st_lifetime+$M15+co2_short_st_opex)+co2_short_st_e_demand*1000*$AU15/100)/1000000</f>
        <v>2204.2585274846829</v>
      </c>
      <c r="CS15" s="63">
        <f>Storage!$K$57/((1-Shipping!$L$37)^($F15/24/Shipping!$L$44+0.5*Shipping!$L$59))</f>
        <v>108044444.44444443</v>
      </c>
      <c r="CT15" s="28" t="str">
        <f>IF($E15="","No Port",IF(AND(ship_choice="VLCC",G15="Panama"),"Ship cannot pass through Panama",IF(ship_choice="VLCC",((F15/24/Shipping!$AD$44+F15/24/Shipping!$AD$50+Shipping!$AD$59+Shipping!$AD$64)*(Shipping!$AD$22+wacc_nl*Shipping!$AD$19/365.25*1000000+Shipping!$AD$35)+(F15/24/Shipping!$AD$44*Shipping!$AD$45+Shipping!$AD$64*Shipping!$AD$65)*IF(bunker_choice="HFO",$H15,IF(bunker_choice="hydrogen",$BD15*hfo_e_density_lhv/h2_e_density_lhv,(CO15+CQ15)*1000000/CS15*hfo_e_density_lhv/meoh_e_density_lhv))+(F15/24/Shipping!$AD$50*Shipping!$AD$51+Shipping!$AD$59*Shipping!$AD$60)*IF(bunker_choice="HFO",bunker_price_ROT,IF(bunker_choice="hydrogen",$BD15*hfo_e_density_lhv/h2_e_density_lhv,(CO15+CQ15)*1000000/CS15*hfo_e_density_lhv/meoh_e_density_lhv))+Shipping!$AD$73+IF(G15="Panama",Shipping!$AD$55,0)+IF(G15="Suez",Shipping!$AD$56,0))/Shipping!$AD$31*CS15/1000000+IF(inland_transport_to_port="hv dc grid",$BM15/100*1000*CV15,IF(inland_transport_to_port="pipeline",$BN15,0)),((F15/24/Shipping!$L$44+F15/24/Shipping!$L$50+Shipping!$L$59+Shipping!$L$64)*(Shipping!$L$22+wacc_nl*Shipping!$L$19/365.25*1000000+Shipping!$L$35)+(F15/24/Shipping!$L$44*Shipping!$L$45+Shipping!$L$64*Shipping!$L$65)*IF(bunker_choice="HFO",$H15,IF(bunker_choice="hydrogen",$BD15*hfo_e_density_lhv/h2_e_density_lhv,(CO15+CQ15)*1000000/CS15*hfo_e_density_lhv/meoh_e_density_lhv))+(F15/24/Shipping!$L$50*Shipping!$L$51+Shipping!$L$59*Shipping!$L$60)*IF(bunker_choice="HFO",bunker_price_ROT,IF(bunker_choice="hydrogen",$BD15*hfo_e_density_lhv/h2_e_density_lhv,(CO15+CQ15)*1000000/CS15*hfo_e_density_lhv/meoh_e_density_lhv))+Shipping!$L$73+IF(G15="Panama",Shipping!$L$55,0)+IF(G15="Suez",Shipping!$L$56,0))/Shipping!$L$31*CS15/1000000+IF(inland_transport_to_port="hv dc grid",$BM15/100*1000*CV15,IF(inland_transport_to_port="pipeline",$BN15,0)))))</f>
        <v>No Port</v>
      </c>
      <c r="CU15" s="28" t="str">
        <f t="shared" si="37"/>
        <v/>
      </c>
      <c r="CV15" s="29">
        <f>((Carriers!$R$18/Carriers!$R$23*alk_el_e_demand)+meoh_e_demand)*(CS15+meoh_st_ab_losses)/1000000+meoh_st_e_demand*CS15/1000000</f>
        <v>1119.9789871111109</v>
      </c>
      <c r="CW15" s="29">
        <f t="shared" si="21"/>
        <v>0.16206666666666666</v>
      </c>
      <c r="CX15" s="28" t="str">
        <f>IFERROR(CU15*1000000/Storage!$K$12,"")</f>
        <v/>
      </c>
      <c r="CY15" s="28" t="str">
        <f>IF($E15="","No Port",((F15/24/Shipping!$L$44+F15/24/Shipping!$L$50+Shipping!$L$59+Shipping!$L$64)*Carriers!$R$39*wacc_nl))</f>
        <v>No Port</v>
      </c>
      <c r="CZ15" s="29">
        <f>H2_retrieval!$J$25*h2_demand_kt/1000+(co2_liq_e_demand+co2_st_e_demand*2)*Storage!$K$12*co2_density/meoh_density/1000000</f>
        <v>251.05079059698966</v>
      </c>
      <c r="DA15" s="28" t="str">
        <f>IFERROR((((CO15+CQ15+CT15)*(1+H2_retrieval!$J$34)+CY15)*1000000/H2_retrieval!$J$8)+h2_regen_meoh,"")</f>
        <v/>
      </c>
      <c r="DB15" s="149">
        <f>(DBT_invest*(M15+1/DBT_lifetime)/DBT_prod+DBT_opex+DBT_e_demand*1000*$AU15/100+Carriers!$T$18/Carriers!$T$23*BD15)*(DD15+DBT_st_ab_losses)/1000000</f>
        <v>45821.264251383895</v>
      </c>
      <c r="DC15" s="28">
        <f>2*(DBT_st_nl_cost*DBT_st_nl_demand/1000000+(DBT_st_invest*(M15+1/DBT_st_lifetime+DBT_st_opex)/(Storage!$M$63/1000000)+DBT_st_e_demand*1000*$AU15/100)*(DD15+DBT_st_ab_losses)/1000000)+Carriers!$T$18/Carriers!$T$23*((DD15+DBT_st_ab_losses)/365.25*short_st_duration_hrs/24)*(h2_short_st_invest*(1/gh2_short_st_lifetime+$M15+h2_short_st_opex)+h2_short_st_e_demand*1000*$AU15/100)/1000000</f>
        <v>4489.60275642742</v>
      </c>
      <c r="DD15" s="63">
        <f>Storage!$M$57/((1-Shipping!$N$37)^($F15/24/Shipping!$N$44+0.5*Shipping!$N$59))</f>
        <v>219354838.70967743</v>
      </c>
      <c r="DE15" s="28" t="str">
        <f>IF($E15="","No Port",IF(AND(ship_choice="VLCC",G15="Panama"),"Ship cannot pass through Panama",IF(ship_choice="VLCC",((F15/24/Shipping!$AD$44+F15/24/Shipping!$AD$50+Shipping!$AD$59+Shipping!$AD$64)*(Shipping!$AD$22+wacc_nl*Shipping!$AD$19/365.25*1000000+Shipping!$AD$35)+(F15/24/Shipping!$AD$44*Shipping!$AD$45+Shipping!$AD$64*Shipping!$AD$65)*IF(bunker_choice="HFO",$H15,IF(bunker_choice="hydrogen",$BD15*hfo_e_density_lhv/h2_e_density_lhv,(DB15+DC15)*1000000/DD15*hfo_e_density_lhv/DBT_e_density_lhv))+(F15/24/Shipping!$AD$50*Shipping!$AD$51+Shipping!$AD$59*Shipping!$AD$60)*IF(bunker_choice="HFO",bunker_price_ROT,IF(bunker_choice="hydrogen",$BD15*hfo_e_density_lhv/h2_e_density_lhv,(DB15+DC15)*1000000/DD15*hfo_e_density_lhv/DBT_e_density_lhv))+Shipping!$AD$73+IF(G15="Panama",Shipping!$AD$55,0)+IF(G15="Suez",Shipping!$AD$56,0))/Shipping!$AD$31*DD15/1000000+IF(inland_transport_to_port="hv dc grid",$BM15/100*1000*DG15,IF(inland_transport_to_port="pipeline",$BN15,0)),((F15/24/Shipping!$N$44+F15/24/Shipping!$N$50+Shipping!$N$59+Shipping!$N$64)*(Shipping!$N$22+wacc_nl*Shipping!$N$19/365.25*1000000+Shipping!$N$35)+(F15/24/Shipping!$N$44*Shipping!$N$45+Shipping!$N$64*Shipping!$N$65)*IF(bunker_choice="HFO",$H15,IF(bunker_choice="hydrogen",$BD15*hfo_e_density_lhv/h2_e_density_lhv,(DB15+DC15)*1000000/DD15*hfo_e_density_lhv/DBT_e_density_lhv))+(F15/24/Shipping!$N$50*Shipping!$N$51+Shipping!$N$59*Shipping!$N$60)*IF(bunker_choice="HFO",bunker_price_ROT,IF(bunker_choice="hydrogen",$BD15*hfo_e_density_lhv/h2_e_density_lhv,(DB15+DC15)*1000000/DD15*hfo_e_density_lhv/DBT_e_density_lhv))+Shipping!$N$73+IF(G15="Panama",Shipping!$N$55,0)+IF(G15="Suez",Shipping!$N$56,0))/Shipping!$N$31*Shipping!$N$86/1000000+IF(inland_transport_to_port="hv dc grid",$BM15/100*1000*DG15,IF(inland_transport_to_port="pipeline",$BN15,0)))))</f>
        <v>No Port</v>
      </c>
      <c r="DF15" s="28" t="str">
        <f t="shared" si="22"/>
        <v/>
      </c>
      <c r="DG15" s="29">
        <f>((Carriers!$T$18/Carriers!$T$23*alk_el_e_demand)+DBT_e_demand)*(DD15+DBT_st_ab_losses)/1000000+DBT_st_e_demand*DD15/1000000</f>
        <v>703.88335483870969</v>
      </c>
      <c r="DH15" s="29">
        <f t="shared" si="23"/>
        <v>0.21935483870967742</v>
      </c>
      <c r="DI15" s="28" t="str">
        <f>IFERROR(DF15*1000000/Storage!$M$12,"")</f>
        <v/>
      </c>
      <c r="DJ15" s="28" t="str">
        <f>IF($E15="","No Port",((F15/24/Shipping!$N$44+F15/24/Shipping!$N$50+Shipping!$N$59+Shipping!$N$64)*Carriers!$T$39*wacc_nl))</f>
        <v>No Port</v>
      </c>
      <c r="DK15" s="100">
        <f>H2_retrieval!$L$25*h2_demand_kt/1000+(co2_liq_e_demand+co2_st_e_demand*2)*Storage!$M$12*co2_density/DBT_density/1000000</f>
        <v>206.61934861671787</v>
      </c>
      <c r="DL15" s="28" t="str">
        <f>IFERROR(((DF15*(1+H2_retrieval!$L$34)+DJ15)*1000000/H2_retrieval!$L$8)+h2_regen_lohc,"")</f>
        <v/>
      </c>
      <c r="DM15" s="149">
        <f t="shared" si="24"/>
        <v>71219.018359307549</v>
      </c>
      <c r="DN15" s="16">
        <f>2*(nabh4_st_nl_cost*nabh4_st_nl_demand/1000000+(nabh4_st_invest*(M15+1/nabh4_st_lifetime+nabh4_st_opex)/(Storage!$O$63/1000000)+nabh4_st_e_demand*1000*$AU15/100)*(DO15+nabh4_st_ab_losses)/1000000)+(h2_demand_kt*1000/365.25*short_st_duration_hrs/24)*(h2_short_st_invest*(1/gh2_short_st_lifetime+$M15+h2_short_st_opex)+h2_short_st_e_demand*1000*$AU15/100)/1000000</f>
        <v>1627.344562044932</v>
      </c>
      <c r="DO15" s="63">
        <f>Storage!$O$57/((1-Shipping!$P$37)^($F15/24/Shipping!$P$44+0.5*Shipping!$P$59))</f>
        <v>63920000</v>
      </c>
      <c r="DP15" s="16" t="str">
        <f>IF($E15="","No Port",((F15/24/Shipping!$P$44+F15/24/Shipping!$P$50+Shipping!$P$59+Shipping!$P$64)*(Shipping!$P$22+wacc_nl*Shipping!$P$19/365.25*1000000+Shipping!$P$35)+(F15/24/Shipping!$P$44*Shipping!$P$45+Shipping!$P$64*Shipping!$P$65)*IF(bunker_choice="HFO",$H15,IF(bunker_choice="hydrogen",$BD15*hfo_e_density_lhv/h2_e_density_lhv,(DM15+DN15)*1000000/DO15*hfo_e_density_lhv/nabh4_e_density_lhv))+(F15/24/Shipping!$P$50*Shipping!$P$51+Shipping!$P$59*Shipping!$P$60)*IF(bunker_choice="HFO",bunker_price_ROT,IF(bunker_choice="hydrogen",$BD15*hfo_e_density_lhv/h2_e_density_lhv,(DM15+DN15)*1000000/DO15*hfo_e_density_lhv/nabh4_e_density_lhv))+Shipping!$P$73+IF(G15="Panama",Shipping!$P$55,0)+IF(G15="Suez",Shipping!$P$56,0))/Shipping!$P$31*(DO15+nabh4_st_ab_losses)/1000000+IF(inland_transport_to_port="hv dc grid",$BM15/100*1000*DR15,IF(inland_transport_to_port="pipeline",$BN15,0)))</f>
        <v>No Port</v>
      </c>
      <c r="DQ15" s="28" t="str">
        <f t="shared" si="38"/>
        <v/>
      </c>
      <c r="DR15" s="29">
        <f>((Carriers!$V$18/Carriers!$V$23*alk_el_e_demand)+nabh4_e_demand)*(DO15+nabh4_st_ab_losses)/1000000+nabh4_st_e_demand*DO15/1000000</f>
        <v>980.02139682539689</v>
      </c>
      <c r="DS15" s="28">
        <f t="shared" si="25"/>
        <v>3.1960000000000002</v>
      </c>
      <c r="DT15" s="28" t="str">
        <f>IFERROR(DQ15*1000000/Storage!$O$12,"")</f>
        <v/>
      </c>
      <c r="DU15" s="28" t="str">
        <f>IF($E15="","No Port",((F15/24/Shipping!$P$44+F15/24/Shipping!$P$50+Shipping!$P$59+Shipping!$P$64)*Carriers!$V$39*wacc_nl))</f>
        <v>No Port</v>
      </c>
      <c r="DV15" s="100">
        <f>H2_retrieval!$N$25*h2_demand_kt/1000+(co2_liq_e_demand+co2_st_e_demand*2)*Storage!$O$12*co2_density/nabh4_density/1000000</f>
        <v>18.783638728971958</v>
      </c>
      <c r="DW15" s="28" t="str">
        <f>IFERROR(((DQ15*(1+H2_retrieval!$N$34)+DU15)*1000000/H2_retrieval!$N$8)+h2_regen_nabh4,"")</f>
        <v/>
      </c>
      <c r="DX15" s="149">
        <f>(Dme_invest*(M15+1/Dme_lifetime)/Dme_prod+Dme_opex+Dme_e_demand*1000*$AU15/100+Carriers!$X$21/Carriers!$X$23*(CO15*1000000/CS15))*(EB15+Dme_st_ab_losses)/1000000</f>
        <v>97369.753843746614</v>
      </c>
      <c r="DY15" s="86">
        <f>(Dme_invest*(M15+1/Dme_lifetime)/Dme_prod+Dme_opex+Dme_e_demand*1000*$AU15/100+Carriers!$X$21/Carriers!$X$23*(CP15*1000000/CS15))*(EB15+Dme_st_ab_losses)/1000000</f>
        <v>123715.24926469619</v>
      </c>
      <c r="DZ15" s="63">
        <f>Dme_st_nl_cost*Dme_st_nl_demand/1000000+(Dme_st_invest*(M15+1/Dme_st_lifetime+Dme_st_opex)/(Storage!$Q$63/1000000)+Dme_st_e_demand*1000*$AU15/100)*(EB15+Dme_st_ab_losses)/1000000+co2_st_nl_cost*Storage!$Q$12*co2_density/Dme_density/1000000+(co2_st_opex_lev+co2_st_invest_lev+co2_st_e_demand*1000*$AU15/100)*Storage!$Q$12/1000000+co2_st_invest_lev*Storage!$Q$12*co2_st_lifetime*M15/1000000+(h2_demand_kt*1000/365.25*short_st_duration_hrs/24)*(h2_short_st_invest*(1/gh2_short_st_lifetime+$M15+h2_short_st_opex)+h2_short_st_e_demand*1000*$AU15/100)/1000000</f>
        <v>6518.1135483695725</v>
      </c>
      <c r="EA15" s="63">
        <f>Dme_st_nl_cost*Dme_st_nl_demand/1000000+(Dme_st_invest*(M15+1/Dme_st_lifetime+Dme_st_opex)/(Storage!$Q$63/1000000)+Dme_st_e_demand*1000*$AU15/100)*(EB15+Dme_st_ab_losses)/1000000+(h2_demand_kt*1000/365.25*short_st_duration_hrs/24)*(h2_short_st_invest*(1/gh2_short_st_lifetime+$M15+h2_short_st_opex)+h2_short_st_e_demand*1000*$AU15/100)/1000000</f>
        <v>3283.9742435050434</v>
      </c>
      <c r="EB15" s="63">
        <f>Storage!$Q$57/((1-Shipping!$R$37)^($F15/24/Shipping!$R$44+0.5*Shipping!$R$59))</f>
        <v>103547089.94708996</v>
      </c>
      <c r="EC15" s="153" t="str">
        <f>IF($E15="","No Port",IF(AND(ship_choice="VLCC",G15="Panama"),"Ship cannot pass through Panama",IF(ship_choice="VLCC",((F15/24/Shipping!$AD$44+F15/24/Shipping!$AD$50+Shipping!$AD$59+Shipping!$AD$64)*(Shipping!$AD$22+wacc_nl*Shipping!$AD$19/365.25*1000000+Shipping!$AD$35)+(F15/24/Shipping!$AD$44*Shipping!$AD$45+Shipping!$AD$64*Shipping!$AD$65)*IF(bunker_choice="HFO",$H15,IF(bunker_choice="hydrogen",$BD15*hfo_e_density_lhv/h2_e_density_lhv,(DX15+DZ15)*1000000/EB15*hfo_e_density_lhv/Dme_e_density_lhv))+(F15/24/Shipping!$AD$50*Shipping!$AD$51+Shipping!$AD$59*Shipping!$AD$60)*IF(bunker_choice="HFO",bunker_price_ROT,IF(bunker_choice="hydrogen",$BD15*hfo_e_density_lhv/h2_e_density_lhv,(DX15+DZ15)*1000000/EB15*hfo_e_density_lhv/Dme_e_density_lhv))+Shipping!$AD$73+IF(G15="Panama",Shipping!$AD$55,0)+IF(G15="Suez",Shipping!$AD$56,0))/Shipping!$AD$31*(EB15+Dme_st_ab_losses)/1000000+IF(inland_transport_to_port="hv dc grid",$BM15/100*1000*EE15,IF(inland_transport_to_port="pipeline",$BN15,0)),((F15/24/Shipping!$R$44+F15/24/Shipping!$R$50+Shipping!$R$59+Shipping!$R$64)*(Shipping!$R$22+wacc_nl*Shipping!$R$19/365.25*1000000+Shipping!$R$35)+(F15/24/Shipping!$R$44*Shipping!$R$45+Shipping!$R$64*Shipping!$R$65)*IF(bunker_choice="HFO",$H15,IF(bunker_choice="hydrogen",$BD15*hfo_e_density_lhv/h2_e_density_lhv,(DX15+DZ15)*1000000/EB15*hfo_e_density_lhv/Dme_e_density_lhv))+(F15/24/Shipping!$R$50*Shipping!$R$51+Shipping!$R$59*Shipping!$R$60)*IF(bunker_choice="HFO",bunker_price_ROT,IF(bunker_choice="hydrogen",$BD15*hfo_e_density_lhv/h2_e_density_lhv,(DX15+DZ15)*1000000/EB15*hfo_e_density_lhv/Dme_e_density_lhv))+Shipping!$R$73+IF(G15="Panama",Shipping!$R$55,0)+IF(G15="Suez",Shipping!$R$56,0))/Shipping!$R$31*(EB15+Dme_st_ab_losses)/1000000+IF(inland_transport_to_port="hv dc grid",$BM15/100*1000*EE15,IF(inland_transport_to_port="pipeline",$BN15,0)))))</f>
        <v>No Port</v>
      </c>
      <c r="ED15" s="28" t="str">
        <f t="shared" si="39"/>
        <v/>
      </c>
      <c r="EE15" s="29">
        <f>(Dme_e_demand)*(EB15+Dme_st_ab_losses)/1000000+Dme_st_e_demand*DZ15/1000000+$CV15*(Carriers!$X$21/Carriers!$X$23*EB15)/$CS15</f>
        <v>1550.2168253481914</v>
      </c>
      <c r="EF15" s="29">
        <f t="shared" si="26"/>
        <v>1.0354708994708997</v>
      </c>
      <c r="EG15" s="28" t="str">
        <f>IFERROR(ED15*1000000/Storage!$Q$12,"")</f>
        <v/>
      </c>
      <c r="EH15" s="28" t="str">
        <f>IF($E15="","No Port",((F15/24/Shipping!$R$44+F15/24/Shipping!$R$50+Shipping!$R$59+Shipping!$R$64)*Carriers!$X$39*wacc_nl))</f>
        <v>No Port</v>
      </c>
      <c r="EI15" s="100">
        <f>H2_retrieval!$P$25*h2_demand_kt/1000+(co2_liq_e_demand+co2_st_e_demand*2)*Storage!$Q$12*co2_density/Dme_density/1000000</f>
        <v>252.45335899349112</v>
      </c>
      <c r="EJ15" s="28" t="str">
        <f>IFERROR((((DX15+DZ15+EC15)*(1+H2_retrieval!$P$34)+EH15)*1000000/H2_retrieval!$P$8)+h2_regen_dme,"")</f>
        <v/>
      </c>
      <c r="EK15" s="149">
        <f>(ome_invest*(M15+1/ome_lifetime)/ome_prod+ome_opex+ome_e_demand*1000*$AU15/100+Carriers!$Z$21/Carriers!$Z$23*(CO15*1000000/CS15))*(EO15+ome_st_ab_losses)/1000000</f>
        <v>213471.87795677164</v>
      </c>
      <c r="EL15" s="86">
        <f>(ome_invest*(M15+1/ome_lifetime)/ome_prod+ome_opex+ome_e_demand*1000*$AU15/100+Carriers!$Z$21/Carriers!$Z$23*(CP15*1000000/CS15))*(EO15+ome_st_ab_losses)/1000000</f>
        <v>268776.20133939915</v>
      </c>
      <c r="EM15" s="63">
        <f>ome_st_nl_cost*ome_st_nl_demand/1000000+(ome_st_invest*(M15+1/ome_st_lifetime+ome_st_opex)/(Storage!$S$63/1000000)+ome_st_e_demand*1000*$AU15/100)*(EO15+ome_st_ab_losses)/1000000+co2_st_nl_cost*Storage!$S$12*co2_density/ome_density/1000000+(co2_st_opex_lev+co2_st_invest_lev+co2_st_e_demand*1000*$AU15/100)*Storage!$S$12/1000000+co2_st_invest_lev*Storage!$S$12*co2_st_lifetime*M15/1000000+(h2_demand_kt*1000/365.25*short_st_duration_hrs/24)*(h2_short_st_invest*(1/gh2_short_st_lifetime+$M15+h2_short_st_opex)+h2_short_st_e_demand*1000*$AU15/100)/1000000</f>
        <v>5644.4174021033714</v>
      </c>
      <c r="EN15" s="63">
        <f>ome_st_nl_cost*ome_st_nl_demand/1000000+(ome_st_invest*(M15+1/ome_st_lifetime+ome_st_opex)/(Storage!$S$63/1000000)+ome_st_e_demand*1000*$AU15/100)*(EO15+ome_st_ab_losses)/1000000+(h2_demand_kt*1000/365.25*short_st_duration_hrs/24)*(h2_short_st_invest*(1/gh2_short_st_lifetime+$M15+h2_short_st_opex)+h2_short_st_e_demand*1000*$AU15/100)/1000000</f>
        <v>1976.670962415847</v>
      </c>
      <c r="EO15" s="63">
        <f>Storage!$S$57/((1-Shipping!$T$37)^($F15/24/Shipping!$T$44+0.5*Shipping!$T$59))</f>
        <v>128282539.68253967</v>
      </c>
      <c r="EP15" s="28" t="str">
        <f>IF($E15="","No Port",IF(AND(ship_choice="VLCC",G15="Panama"),"Ship cannot pass through Panama",IF(ship_choice="VLCC",((F15/24/Shipping!$AD$44+F15/24/Shipping!$AD$50+Shipping!$AD$59+Shipping!$AD$64)*(Shipping!$AD$22+wacc_nl*Shipping!$AD$19/365.25*1000000+Shipping!$AD$35)+(F15/24/Shipping!$AD$44*Shipping!$AD$45+Shipping!$AD$64*Shipping!$AD$65)*IF(bunker_choice="HFO",$H15,IF(bunker_choice="hydrogen",$BD15*hfo_e_density_lhv/h2_e_density_lhv,(EK15+EM15)*1000000/EO15*hfo_e_density_lhv/Dme_e_density_lhv))+(F15/24/Shipping!$AD$50*Shipping!$AD$51+Shipping!$AD$59*Shipping!$AD$60)*IF(bunker_choice="HFO",bunker_price_ROT,IF(bunker_choice="hydrogen",$BD15*hfo_e_density_lhv/h2_e_density_lhv,(EK15+EM15)*1000000/EO15*hfo_e_density_lhv/ome_e_density_lhv))+Shipping!$AD$73+IF(G15="Panama",Shipping!$AD$55,0)+IF(G15="Suez",Shipping!$AD$56,0))/Shipping!$AD$31*(EO15+ome_st_ab_losses)/1000000+IF(inland_transport_to_port="hv dc grid",$BM15/100*1000*ER15,IF(inland_transport_to_port="pipeline",$BN15,0)),((F15/24/Shipping!$T$44+F15/24/Shipping!$T$50+Shipping!$T$59+Shipping!$T$64)*(Shipping!$T$22+wacc_nl*Shipping!$T$19/365.25*1000000+Shipping!$T$35)+(F15/24/Shipping!$T$44*Shipping!$T$45+Shipping!$T$64*Shipping!$T$65)*IF(bunker_choice="HFO",$H15,IF(bunker_choice="hydrogen",$BD15*hfo_e_density_lhv/h2_e_density_lhv,(EK15+EM15)*1000000/EO15*hfo_e_density_lhv/Dme_e_density_lhv))+(F15/24/Shipping!$T$50*Shipping!$T$51+Shipping!$T$59*Shipping!$T$60)*IF(bunker_choice="HFO",bunker_price_ROT,IF(bunker_choice="hydrogen",$BD15*hfo_e_density_lhv/h2_e_density_lhv,(EK15+EM15)*1000000/EO15*hfo_e_density_lhv/ome_e_density_lhv))+Shipping!$T$73+IF(G15="Panama",Shipping!$T$55,0)+IF(G15="Suez",Shipping!$T$56,0))/Shipping!$T$31*(EO15+ome_st_ab_losses)/1000000+IF(inland_transport_to_port="hv dc grid",$BM15/100*1000*ER15,IF(inland_transport_to_port="pipeline",$BN15,0)))))</f>
        <v>No Port</v>
      </c>
      <c r="EQ15" s="28" t="str">
        <f t="shared" si="40"/>
        <v/>
      </c>
      <c r="ER15" s="29">
        <f>(ome_e_demand)*(EO15+ome_st_ab_losses)/1000000+ome_st_e_demand*EM15/1000000+$CV15*(Carriers!$Z$21/Carriers!$Z$23*EO15)/$CS15</f>
        <v>3352.0814586074093</v>
      </c>
      <c r="ES15" s="29">
        <f t="shared" si="27"/>
        <v>0.1924238095238095</v>
      </c>
      <c r="ET15" s="28" t="str">
        <f>IFERROR(EQ15*1000000/Storage!$S$12,"")</f>
        <v/>
      </c>
      <c r="EU15" s="28" t="str">
        <f>IF($E15="","No Port",((F15/24/Shipping!$T$44+F15/24/Shipping!$T$50+Shipping!$T$59+Shipping!$T$64)*Carriers!$Z$39*wacc_nl))</f>
        <v>No Port</v>
      </c>
      <c r="EV15" s="100">
        <f>H2_retrieval!$R$25*h2_demand_kt/1000+(co2_liq_e_demand+co2_st_e_demand*2)*Storage!$S$12*co2_density/ome_density/1000000</f>
        <v>254.51942895252085</v>
      </c>
      <c r="EW15" s="28" t="str">
        <f>IFERROR((((EK15+EM15+EP15)*(1+H2_retrieval!$R$34)+EU15)*1000000/H2_retrieval!$R$8)+h2_regen_ome,"")</f>
        <v/>
      </c>
      <c r="EX15" s="149">
        <f>(sng_invest*(M15+1/sng_lifetime)/sng_prod+lng_invest*(M15+1/lng_lifetime)/lng_prod+sng_opex+lng_opex+(sng_e_demand+lng_e_demand)*1000*$AU15/100+Carriers!$AB$18/Carriers!$AB$23*BD15+Carriers!$AB$20/Carriers!$AB$23*co2_liq_cost)*(FB15+lng_st_ab_losses)/1000000</f>
        <v>73755.734634243461</v>
      </c>
      <c r="EY15" s="86">
        <f>(sng_invest*(M15+1/sng_lifetime)/sng_prod+lng_invest*(M15+1/lng_lifetime)/lng_prod+sng_opex+lng_opex+(sng_e_demand+lng_e_demand)*1000*$AU15/100+Carriers!$AB$18/Carriers!$AB$23*BD15+Carriers!$AB$20/Carriers!$AB$23*BP15)*(FB15+lng_st_ab_losses)/1000000</f>
        <v>88115.22949723847</v>
      </c>
      <c r="EZ15" s="63">
        <f>lng_st_nl_cost*lng_st_nl_demand/1000000+(lng_st_invest*(M15+1/lng_st_lifetime+lng_st_opex)/(Storage!$U$63/1000000)+lng_st_e_demand*1000*$AU15/100)*(FB15+lng_st_ab_losses)/1000000+co2_st_nl_cost*Storage!$U$12*co2_density/lng_density/1000000+(co2_st_opex_lev+co2_st_invest_lev+co2_st_e_demand*1000*$AU15/100)*Storage!$U$12/1000000+co2_st_invest_lev*Storage!$U$12*co2_st_lifetime*M15/1000000+Carriers!$AB$18/Carriers!$AB$23*((FB15+lng_st_ab_losses)/365.25*short_st_duration_hrs/24)*(h2_short_st_invest*(1/gh2_short_st_lifetime+$M15+h2_short_st_opex)+h2_short_st_e_demand*1000*$AU15/100)/1000000+Carriers!$AB$20/Carriers!$AB$23*((FB15+lng_st_ab_losses)/365.25*short_st_duration_hrs/24)*(co2_short_st_invest*(1/co2_short_st_lifetime+$M15+co2_short_st_opex)+co2_short_st_e_demand*1000*$AU15/100)/1000000</f>
        <v>6790.151029739447</v>
      </c>
      <c r="FA15" s="63">
        <f>lng_st_nl_cost*lng_st_nl_demand/1000000+(lng_st_invest*(M15+1/lng_st_lifetime+lng_st_opex)/(Storage!$U$63/1000000)+lng_st_e_demand*1000*$AU15/100)*(FB15+lng_st_ab_losses)/1000000+Carriers!$AB$18/Carriers!$AB$23*((FB15+lng_st_ab_losses)/365.25*short_st_duration_hrs/24)*(h2_short_st_invest*(1/gh2_short_st_lifetime+$M15+h2_short_st_opex)+h2_short_st_e_demand*1000*$AU15/100)/1000000+Carriers!$AB$20/Carriers!$AB$23*((FB15+lng_st_ab_losses)/365.25*short_st_duration_hrs/24)*(co2_short_st_invest*(1/co2_short_st_lifetime+$M15+co2_short_st_opex)+co2_short_st_e_demand*1000*$AU15/100)/1000000</f>
        <v>5084.8778558434969</v>
      </c>
      <c r="FB15" s="63">
        <f>Storage!$U$57/((1-Shipping!$V$37)^($F15/24/Shipping!$V$44+0.5*Shipping!$V$59))</f>
        <v>40707231.50721889</v>
      </c>
      <c r="FC15" s="28" t="str">
        <f>IF($E15="","No Port",IF(G15="Panama","Ship cannot pass through Panama",((F15/24/Shipping!$V$44+F15/24/Shipping!$V$50+Shipping!$V$59+Shipping!$V$64)*(Shipping!$V$22+wacc_nl*Shipping!$V$19/365.25*1000000+Shipping!$V$35)+(F15/24/Shipping!$V$44*Shipping!$V$45+Shipping!$V$64*Shipping!$V$65)*IF(bunker_choice="HFO",$H15,IF(bunker_choice="hydrogen",$BD15*hfo_e_density_lhv/h2_e_density_lhv,(EX15+EZ15)*1000000/FB15*hfo_e_density_lhv/lng_e_density_lhv))+(F15/24/Shipping!$V$50*Shipping!$V$51+Shipping!$V$59*Shipping!$V$60)*IF(bunker_choice="HFO",bunker_price_ROT,IF(bunker_choice="hydrogen",$BD15*hfo_e_density_lhv/h2_e_density_lhv,(EX15+EZ15)*1000000/FB15*hfo_e_density_lhv/lng_e_density_lhv))+Shipping!$V$73+IF(G15="Panama",Shipping!$V$55,0)+IF(G15="Suez",Shipping!$V$56,0))/Shipping!$V$31*(FB15+lng_st_ab_losses)/1000000)+IF(inland_transport_to_port="hv dc grid",$BM15/100*1000*FE15,IF(inland_transport_to_port="pipeline",$BN15,0)))</f>
        <v>No Port</v>
      </c>
      <c r="FD15" s="28" t="str">
        <f t="shared" si="41"/>
        <v/>
      </c>
      <c r="FE15" s="29">
        <f>((Carriers!$AB$18/Carriers!$AB$23*alk_el_e_demand)+sng_e_demand+lng_e_demand)*(FB15+lng_st_ab_losses)/1000000+lng_st_e_demand*EZ15/1000000</f>
        <v>1091.7518948316699</v>
      </c>
      <c r="FF15" s="29">
        <f t="shared" si="28"/>
        <v>0.8126185861001558</v>
      </c>
      <c r="FG15" s="28" t="str">
        <f>IFERROR(FD15*1000000/Storage!$U$12,"")</f>
        <v/>
      </c>
      <c r="FH15" s="28" t="str">
        <f>IF($E15="","No Port",((F15/24/Shipping!$V$44+F15/24/Shipping!$V$50+Shipping!$V$59+Shipping!$V$64)*Carriers!$AB$39*wacc_nl))</f>
        <v>No Port</v>
      </c>
      <c r="FI15" s="100">
        <f>H2_retrieval!$T$25*h2_demand_kt/1000+(co2_liq_e_demand+co2_st_e_demand*2)*Storage!$U$12*co2_density/lng_density/1000000</f>
        <v>236.51371749646054</v>
      </c>
      <c r="FJ15" s="28" t="str">
        <f>IFERROR((((EX15+EZ15+FC15)*(1+H2_retrieval!$T$34)+FH15)*1000000/H2_retrieval!$T$8)+h2_regen_lng,"")</f>
        <v/>
      </c>
      <c r="FK15" s="149">
        <f>(lh2_invest*(M15+1/lh2_lifetime)/lh2_prod+lh2_opex+lh2_e_demand*1000*$AU15/100+Carriers!$AD$18/Carriers!$AD$23*BD15)*(FM15+lh2_st_ab_losses)/1000000</f>
        <v>58661.62081242384</v>
      </c>
      <c r="FL15" s="28">
        <f>lh2_st_nl_cost*lh2_st_nl_demand/1000000+(lh2_st_invest*(M15+1/lh2_st_lifetime+lh2_st_opex)/(Storage!$Y$63/1000000)+lh2_st_e_demand*1000*$AU15/100)*(FM15+lh2_st_ab_losses)/1000000+((FM15+lh2_st_ab_losses)/365.25*short_st_duration_hrs/24)*(h2_short_st_invest*(1/gh2_short_st_lifetime+$M15+h2_short_st_opex)+h2_short_st_e_demand*1000*$AU15/100)/1000000</f>
        <v>58311.434222683565</v>
      </c>
      <c r="FM15" s="63">
        <f>Storage!$Y$57/((1-Shipping!$Z$37)^($F15/24/Shipping!$Z$44+0.5*Shipping!$Z$59))</f>
        <v>13659984.090217989</v>
      </c>
      <c r="FN15" s="28" t="str">
        <f>IF($E15="","No Port",IF(G15="Panama","Ship cannot pass through Panama",((F15/24/Shipping!$Z$44+F15/24/Shipping!$Z$50+Shipping!$Z$59+Shipping!$Z$64)*(Shipping!$Z$22+wacc_nl*Shipping!$Z$19/365.25*1000000+Shipping!$Z$35)+(F15/24/Shipping!$Z$44*Shipping!$Z$45+Shipping!$Z$64*Shipping!$Z$65)*IF(bunker_choice="HFO",$H15,IF(bunker_choice="hydrogen",$BD15*hfo_e_density_lhv/h2_e_density_lhv,(FK15+FL15)*1000000/FM15*hfo_e_density_lhv/lh2_e_density_lhv))+(F15/24/Shipping!$Z$50*Shipping!$Z$51+Shipping!$Z$59*Shipping!$Z$60)*IF(bunker_choice="HFO",bunker_price_ROT,IF(bunker_choice="hydrogen",$BD15*hfo_e_density_lhv/h2_e_density_lhv,(FK15+FL15)*1000000/FM15*hfo_e_density_lhv/lh2_e_density_lhv))+Shipping!$Z$73+IF(G15="Panama",Shipping!$Z$55,0)+IF(G15="Suez",Shipping!$Z$56,0))/Shipping!$Z$31*(FM15+lh2_st_ab_losses)/1000000)+IF(inland_transport_to_port="hv dc grid",$BM15/100*1000*FP15,IF(inland_transport_to_port="pipeline",$BN15,0)))</f>
        <v>No Port</v>
      </c>
      <c r="FO15" s="28" t="str">
        <f t="shared" si="42"/>
        <v/>
      </c>
      <c r="FP15" s="29">
        <f>((Carriers!$AD$18/Carriers!$AD$23*alk_el_e_demand)+lh2_e_demand)*(FM15+lh2_st_ab_losses)/1000000+lh2_st_e_demand*FM15/1000000</f>
        <v>791.60233245091877</v>
      </c>
      <c r="FQ15" s="100">
        <f t="shared" si="29"/>
        <v>1.361902463475859</v>
      </c>
      <c r="FR15" s="28" t="str">
        <f>IFERROR(FO15*1000000/Storage!$Y$12,"")</f>
        <v/>
      </c>
      <c r="FS15" s="100">
        <f>H2_retrieval!$V$25*h2_demand_kt/1000</f>
        <v>8.16</v>
      </c>
      <c r="FT15" s="28" t="str">
        <f>IFERROR(FR15*(1+H2_retrieval!$V$34)/Carrier_properties!$U$7+H2_retrieval!$V$38,"")</f>
        <v/>
      </c>
      <c r="FU15" s="12"/>
      <c r="FV15" s="24">
        <f t="shared" si="30"/>
        <v>3.1459680952779476</v>
      </c>
      <c r="FW15" s="24">
        <f t="shared" si="43"/>
        <v>5.1876017202102274</v>
      </c>
      <c r="FX15" s="24" t="str">
        <f t="shared" si="44"/>
        <v/>
      </c>
      <c r="FY15" s="24">
        <f t="shared" si="45"/>
        <v>3.1459680952779476</v>
      </c>
      <c r="FZ15" s="28">
        <f t="shared" si="46"/>
        <v>3103.2212136038415</v>
      </c>
      <c r="GA15" s="28">
        <f t="shared" si="47"/>
        <v>723.80655000438185</v>
      </c>
      <c r="GB15" s="28">
        <f t="shared" si="48"/>
        <v>521.21125996676437</v>
      </c>
      <c r="GC15" s="28">
        <f t="shared" si="49"/>
        <v>816.69632827928672</v>
      </c>
      <c r="GD15" s="28">
        <f t="shared" si="50"/>
        <v>1194.7728258506509</v>
      </c>
      <c r="GE15" s="28">
        <f t="shared" si="51"/>
        <v>2095.1892752087588</v>
      </c>
      <c r="GF15" s="28">
        <f t="shared" si="52"/>
        <v>2164.6087497159415</v>
      </c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</row>
    <row r="16" spans="1:214" x14ac:dyDescent="0.2">
      <c r="A16" s="40" t="s">
        <v>36</v>
      </c>
      <c r="B16" s="12">
        <v>14793</v>
      </c>
      <c r="C16" s="12">
        <v>0.8</v>
      </c>
      <c r="D16" s="12">
        <f t="shared" si="0"/>
        <v>0.19999999999999996</v>
      </c>
      <c r="E16" s="12" t="s">
        <v>699</v>
      </c>
      <c r="F16" s="12">
        <v>12707</v>
      </c>
      <c r="G16" s="12"/>
      <c r="H16" s="16">
        <f t="shared" si="1"/>
        <v>382.75862068965517</v>
      </c>
      <c r="I16" s="16">
        <v>7682300</v>
      </c>
      <c r="J16" s="16">
        <f t="shared" si="31"/>
        <v>1563.7621426002534</v>
      </c>
      <c r="K16" s="27">
        <f t="shared" si="32"/>
        <v>1876.514571120304</v>
      </c>
      <c r="L16" s="103">
        <v>8.3000000000000004E-2</v>
      </c>
      <c r="M16" s="103">
        <f t="shared" si="2"/>
        <v>0.10012422271090159</v>
      </c>
      <c r="N16" s="122">
        <f t="shared" si="33"/>
        <v>0.8</v>
      </c>
      <c r="O16" s="46">
        <f t="shared" si="3"/>
        <v>40</v>
      </c>
      <c r="P16" s="70">
        <f t="array" ref="P16">SUMPRODUCT(IF(Solar_data!A$4:A$777=A16,Solar_data!C$4:C$777),IF(Solar_data!A$4:A$777=A16,Solar_data!I$4:I$777))/SUMIF(Solar_data!A$4:A$777,A16,Solar_data!I$4:I$777)</f>
        <v>2183.9920306363933</v>
      </c>
      <c r="Q16" s="16">
        <f t="array" ref="Q16">MAX(IF(Solar_data!$A$777:'Solar_data'!$A$4=Country_details!$A16,Solar_data!$C$4:'Solar_data'!$C$777))</f>
        <v>2463.75</v>
      </c>
      <c r="R16" s="16">
        <f t="array" ref="R16">MIN(IF(Solar_data!$A$777:'Solar_data'!$A$4=Country_details!A16,Solar_data!$C$4:'Solar_data'!$C$777))</f>
        <v>1368.75</v>
      </c>
      <c r="S16" s="24">
        <f t="shared" si="4"/>
        <v>1.9729100600722784</v>
      </c>
      <c r="T16" s="24">
        <f t="shared" si="5"/>
        <v>1.7488867979138401</v>
      </c>
      <c r="U16" s="24">
        <f t="shared" si="6"/>
        <v>3.1479962362449121</v>
      </c>
      <c r="V16" s="16">
        <f t="array" ref="V16">SUM(IF(Solar_data!$A$777:'Solar_data'!$A$4=Country_details!$A16,Solar_data!$I$4:'Solar_data'!$I$777))</f>
        <v>60234.699198264869</v>
      </c>
      <c r="W16" s="148"/>
      <c r="X16" s="16">
        <f>IFERROR(INDEX(Onshore_wind_data!$J$5:'Onshore_wind_data'!$J$221,MATCH(A16,Onshore_wind_data!$B$5:'Onshore_wind_data'!$B$221,0)),"")</f>
        <v>2929.8393893072162</v>
      </c>
      <c r="Y16" s="16">
        <f>IFERROR(INDEX(Onshore_wind_data!$K$5:'Onshore_wind_data'!$K$221,MATCH(A16,Onshore_wind_data!$B$5:'Onshore_wind_data'!$B$221,0)),"")</f>
        <v>3285.5</v>
      </c>
      <c r="Z16" s="16">
        <f>IFERROR(INDEX(Onshore_wind_data!$L$5:'Onshore_wind_data'!$L$221,MATCH(A16,Onshore_wind_data!$B$5:'Onshore_wind_data'!$B$221,0)),"")</f>
        <v>2847.5</v>
      </c>
      <c r="AA16" s="24">
        <f t="shared" si="7"/>
        <v>4.257461004416605</v>
      </c>
      <c r="AB16" s="24">
        <f t="shared" si="8"/>
        <v>3.7965840661023385</v>
      </c>
      <c r="AC16" s="24">
        <f t="shared" si="9"/>
        <v>4.3805713605546037</v>
      </c>
      <c r="AD16" s="16">
        <f>IFERROR(INDEX(Onshore_wind_data!$I$5:'Onshore_wind_data'!$I$221,MATCH(A16,Onshore_wind_data!$B$5:'Onshore_wind_data'!$B$221,0)),"")</f>
        <v>6118.3560562000002</v>
      </c>
      <c r="AE16" s="148"/>
      <c r="AF16" s="16">
        <f>INDEX(Offshore_wind_data!$AA$7:$AA$192,MATCH(Country_details!A16,Offshore_wind_data!$A$7:$A$192,0))</f>
        <v>3916.041228939544</v>
      </c>
      <c r="AG16" s="16">
        <f>INDEX(Offshore_wind_data!$Y$7:$Y$192,MATCH(Country_details!A16,Offshore_wind_data!$A$7:$A$192,0))</f>
        <v>4204.8</v>
      </c>
      <c r="AH16" s="16">
        <f>INDEX(Offshore_wind_data!$Z$7:$Z$192,MATCH(Country_details!A16,Offshore_wind_data!$A$7:$A$192,0))</f>
        <v>3153.6</v>
      </c>
      <c r="AI16" s="24">
        <f t="shared" si="10"/>
        <v>6.0820072586355076</v>
      </c>
      <c r="AJ16" s="24">
        <f t="shared" si="11"/>
        <v>5.6643338992404439</v>
      </c>
      <c r="AK16" s="24">
        <f t="shared" si="12"/>
        <v>7.5524451989872592</v>
      </c>
      <c r="AL16" s="16">
        <f>INDEX(Offshore_wind_data!$W$7:$W$191,MATCH(A16,Offshore_wind_data!$A$7:$A$191,0))</f>
        <v>21336.94224</v>
      </c>
      <c r="AM16" s="148"/>
      <c r="AN16" s="12">
        <v>24.5</v>
      </c>
      <c r="AO16" s="12">
        <v>33.200000000000003</v>
      </c>
      <c r="AP16" s="34">
        <f>5.5863*11.63</f>
        <v>64.968669000000006</v>
      </c>
      <c r="AQ16" s="15">
        <f t="shared" si="13"/>
        <v>50</v>
      </c>
      <c r="AR16" s="12">
        <f t="shared" si="34"/>
        <v>1660.0000000000002</v>
      </c>
      <c r="AS16" s="16">
        <f t="shared" si="35"/>
        <v>86029.997494464871</v>
      </c>
      <c r="AT16" s="12"/>
      <c r="AU16" s="24">
        <f t="shared" si="14"/>
        <v>3.2817853033028839</v>
      </c>
      <c r="AV16" s="16">
        <f t="shared" si="15"/>
        <v>5113.8314199436099</v>
      </c>
      <c r="AW16" s="149">
        <f>HV_DC_Grid!$E$3/(1-AX16)*AU16/100*1000</f>
        <v>4522.6903301182019</v>
      </c>
      <c r="AX16" s="31">
        <f>(1-(1-HV_DC_Grid!$E$25)^(B16*C16*HV_DC_Grid!$E$8/1000))+(1-(1-HV_DC_Grid!$E$26)^(B16*D16*HV_DC_Grid!$E$8/1000))+HV_DC_Grid!$E$35*HV_DC_Grid!$E$28</f>
        <v>0.27437320184220682</v>
      </c>
      <c r="AY16" s="28">
        <f>B16*nl_e_demand/IF(hv_dc_flh="electricity FLH",$AV16,hv_dc_custom)*1000*hv_dc_capacity_multiplier*hv_dc_length_multiplier*1000*(C16*hv_dc_overhead_invest*(hv_dc_overhead_opex+M16+1/hv_dc_lifetime)+D16*hv_dc_sea_invest*(hv_dc_sea_opex+M16+1/hv_dc_lifetime))/1000000+HV_DC_Grid!$E$10*1000*hv_dc_station_invest*hv_dc_station_number*(hv_dc_station_opex+M16+1/hv_dc_lifetime)/1000000</f>
        <v>15367.510208055752</v>
      </c>
      <c r="AZ16" s="24">
        <f>(AW16+AY16)/(HV_DC_Grid!$E$3*1000)*100</f>
        <v>19.890200538173954</v>
      </c>
      <c r="BA16" s="28">
        <f>MIN(((Carriers!$F$26+Carriers!$F$27)*(alk_el_opex+wacc_nl+1/alk_el_lifetime)+IF(hv_dc_flh="electricity FLH",$AV16,hv_dc_custom)*AZ16/100)/(IF(hv_dc_flh="electricity FLH",$AV16,hv_dc_custom)/alk_el_e_demand)*1000,((Carriers!$H$26+Carriers!$H$27)*(pem_el_opex+wacc_nl+1/pem_el_lifetime)+IF(hv_dc_flh="electricity FLH",$AV16,hv_dc_custom)*AZ16/100)/(IF(hv_dc_flh="electricity FLH",$AV16,hv_dc_custom)/pem_el_e_demand)*1000)</f>
        <v>10452.238869367595</v>
      </c>
      <c r="BB16" s="12"/>
      <c r="BC16" s="12"/>
      <c r="BD16" s="149">
        <f>MIN(((Carriers!$F$26+Carriers!$F$27)*(alk_el_opex+M16+1/alk_el_lifetime)+$AV16*$AU16/100)/($AV16/alk_el_e_demand)*1000,((Carriers!$H$26+Carriers!$H$27)*(pem_el_opex+M16+1/pem_el_lifetime)+$AV16*$AU16/100)/($AV16/pem_el_e_demand)*1000)</f>
        <v>2260.5465030993951</v>
      </c>
      <c r="BE16" s="28">
        <f>Storage!$AC$50</f>
        <v>8.1664117557772418</v>
      </c>
      <c r="BF16" s="28">
        <f>((Pipeline!$D$22*Pipeline!$D$24*B16*(pipeline_opex+M16+1/pipeline_lifetime))*(Pipeline!$D$39/Pipeline!$D$3)+(Pipeline!$D$57*(pipeline_comp_opex+M16+1/pipeline_comp_lifetime)+Pipeline!$D$47*1000*Pipeline!$D$45*$AU16/100/1000000))*(Pipeline!$D$75/Pipeline!$D$45)</f>
        <v>28831.163779740491</v>
      </c>
      <c r="BG16" s="28">
        <f>BD16+(BE16+BF16)/Storage!$AC$12*1000000</f>
        <v>4381.0854877682386</v>
      </c>
      <c r="BH16" s="28"/>
      <c r="BI16" s="28"/>
      <c r="BJ16" s="28">
        <f>IF($E16="","No Port",BK16*HV_DC_Grid!$E$3*$AU16/100*1000)</f>
        <v>163.00217756186612</v>
      </c>
      <c r="BK16" s="31">
        <f>IFERROR((1-(1-HV_DC_Grid!$E$25)^(K16*HV_DC_Grid!$E$8/1000))+HV_DC_Grid!$E$35*HV_DC_Grid!$E$28,"")</f>
        <v>4.9668751151337051E-2</v>
      </c>
      <c r="BL16" s="28">
        <f>IFERROR(K16*nl_e_demand/IF(hv_dc_flh="electricity FLH",$AV16,hv_dc_custom)*1000*hv_dc_capacity_multiplier*hv_dc_length_multiplier*1000*(hv_dc_overhead_invest*(hv_dc_overhead_opex+M16+1/hv_dc_lifetime))/1000000+HV_DC_Grid!$E$10*1000*hv_dc_station_invest*hv_dc_station_number*(hv_dc_station_opex+M16+1/hv_dc_lifetime)/1000000,"")</f>
        <v>1695.5383324902675</v>
      </c>
      <c r="BM16" s="29">
        <f>IFERROR((BJ16+BL16)/(HV_DC_Grid!$E$3*1000)*100,"")</f>
        <v>1.8585405100521337</v>
      </c>
      <c r="BN16" s="28">
        <f>IFERROR(((Pipeline!$D$22*Pipeline!$D$24*K16*(pipeline_opex+M16+1/pipeline_lifetime))*(Pipeline!$D$39/Pipeline!$D$3)+(Pipeline!$D$57*(pipeline_comp_opex+M16+1/pipeline_comp_lifetime)+Pipeline!$D$47*1000*Pipeline!$D$45*S16/100/1000000))*(Pipeline!$D$75/Pipeline!$D$45),"")</f>
        <v>3710.7029343299955</v>
      </c>
      <c r="BO16" s="28"/>
      <c r="BP16" s="150">
        <f t="shared" si="16"/>
        <v>104.61193052361665</v>
      </c>
      <c r="BQ16" s="34">
        <f t="shared" si="17"/>
        <v>30.647941365912644</v>
      </c>
      <c r="BR16" s="151">
        <f>(nh3_invest*(M16+1/nh3_lifetime)/nh3_prod+nh3_opex+nh3_e_demand*1000*$AU16/100+Carriers!$N$18/Carriers!$N$23*BD16+Carriers!$N$19/Carriers!$N$23*BQ16)*(BT16+nh3_st_ab_losses)/1000000</f>
        <v>44577.391410431221</v>
      </c>
      <c r="BS16" s="63">
        <f>nh3_st_nl_cost*nh3_st_nl_demand/1000000+(nh3_st_invest*(M16+1/nh3_st_lifetime+nh3_st_opex)/(Storage!$G$63/1000000)+nh3_st_e_demand*1000*$AU16/100)*(BT16+nh3_st_ab_losses)/1000000+Carriers!$N$18/Carriers!$N$23*((BT16+nh3_st_ab_losses)/365.25*short_st_duration_hrs/24)*(h2_short_st_invest*(1/gh2_short_st_lifetime+$M16+h2_short_st_opex)+h2_short_st_e_demand*1000*$AU16/100)/1000000+Carriers!$N$19/Carriers!$N$23*((BT16+nh3_st_ab_losses)/365.25*short_st_duration_hrs/24)*(n2_short_st_invest*(1/n2_short_st_lifetime+$M16+n2_short_st_opex)+n2_short_st_e_demand*1000*$AU16/100)/1000000</f>
        <v>3247.5352712943304</v>
      </c>
      <c r="BT16" s="63">
        <f>Storage!$G$57/((1-Shipping!$H$37)^(F16/24/Shipping!$H$44+0.5*Shipping!$H$59))</f>
        <v>83283511.017734766</v>
      </c>
      <c r="BU16" s="63">
        <f>IF($E16="","No Port",((F16/24/Shipping!$H$44+F16/24/Shipping!$H$50+Shipping!$H$59+Shipping!$H$64)*(Shipping!$H$22+wacc_nl*Shipping!$H$19/365.25*1000000+Shipping!$H$35)+(F16/24/Shipping!$H$44*Shipping!$H$45+Shipping!$H$64*Shipping!$H$65)*IF(bunker_choice="HFO",H16,IF(bunker_choice="hydrogen",BD16*hfo_e_density_lhv/h2_e_density_lhv,(BR16+BS16)*1000000/BT16*hfo_e_density_lhv/nh3_e_density_lhv))+(F16/24/Shipping!$H$50*Shipping!$H$51+Shipping!$H$59*Shipping!$H$60)*IF(bunker_choice="HFO",bunker_price_ROT,IF(bunker_choice="hydrogen",BD16*hfo_e_density_lhv/h2_e_density_lhv,(BR16+BS16)*1000000/BT16*hfo_e_density_lhv/nh3_e_density_lhv))+Shipping!$H$73+IF(G16="Panama",Shipping!$H$55,0)+IF(G16="Suez",Shipping!$H$56,0))/Shipping!$H$31*BT16/1000000+IF(inland_transport_to_port="hv dc grid",$BM16/100*1000*BW16,IF(inland_transport_to_port="pipeline",$BN16,0)))</f>
        <v>11096.967936617735</v>
      </c>
      <c r="BV16" s="63">
        <f t="shared" si="18"/>
        <v>58921.894618343285</v>
      </c>
      <c r="BW16" s="33">
        <f>((Carriers!$N$18/Carriers!$N$23*alk_el_e_demand)+(Carriers!$N$19/Carriers!$N$23*n2_e_demand)+nh3_e_demand)*(BT16+nh3_st_ab_losses)/1000000+nh3_st_e_demand*BT16/1000000</f>
        <v>822.41192253858583</v>
      </c>
      <c r="BX16" s="33">
        <f t="shared" si="19"/>
        <v>0.76626754477640768</v>
      </c>
      <c r="BY16" s="63">
        <f>IFERROR(BV16*1000000/Storage!$G$12,"")</f>
        <v>769.5874393843211</v>
      </c>
      <c r="BZ16" s="63">
        <f>H2_retrieval!$F$25*h2_demand_kt/1000</f>
        <v>80</v>
      </c>
      <c r="CA16" s="63">
        <f>IFERROR(BY16*(1+H2_retrieval!$F$34)/Carrier_properties!$E$7+H2_retrieval!$F$38,"")</f>
        <v>4741.7182309925065</v>
      </c>
      <c r="CB16" s="149">
        <f>(FA_invest*(M16+1/FA_lifetime)/FA_prod+FA_opex+FA_e_demand*1000*$AU16/100+Carriers!$P$18/Carriers!$P$23*BD16+Carriers!$P$20/Carriers!$P$23*co2_liq_cost)*(CF16+FA_st_ab_losses)/1000000</f>
        <v>96049.295470397992</v>
      </c>
      <c r="CC16" s="86">
        <f>(FA_invest*(M16+1/FA_lifetime)/FA_prod+FA_opex+FA_e_demand*1000*$AU16/100+Carriers!$P$18/Carriers!$P$23*BD16+Carriers!$P$20/Carriers!$P$23*BP16)*(CF16+FA_st_ab_losses)/1000000</f>
        <v>121136.80178684177</v>
      </c>
      <c r="CD16" s="63">
        <f>FA_st_nl_cost*FA_st_nl_demand/1000000+(FA_st_invest*(M16+1/FA_st_lifetime+FA_st_opex)/(Storage!$I$63/1000000)+FA_st_e_demand*1000*$AU16/100)*(CF16+FA_st_ab_losses)/1000000+co2_st_nl_cost*Storage!$I$12*co2_density/FA_density/1000000+(co2_st_opex_lev+co2_st_invest_lev+co2_st_e_demand*1000*$AU16/100)*Storage!$I$12/1000000+co2_st_invest_lev*Storage!$I$12*co2_st_lifetime*M16/1000000+Carriers!$P$18/Carriers!$P$23*((CF16+FA_st_ab_losses)/365.25*short_st_duration_hrs/24)*(h2_short_st_invest*(1/gh2_short_st_lifetime+$M16+h2_short_st_opex)+h2_short_st_e_demand*1000*$AU16/100)/1000000+Carriers!$P$20/Carriers!$P$23*((CF16+FA_st_ab_losses)/365.25*short_st_duration_hrs/24)*(co2_short_st_invest*(1/co2_short_st_lifetime+$M16+co2_short_st_opex)+co2_short_st_e_demand*1000*$AU16/100)/1000000</f>
        <v>11167.303492976322</v>
      </c>
      <c r="CE16" s="63">
        <f>FA_st_nl_cost*FA_st_nl_demand/1000000+(FA_st_invest*(M16+1/FA_st_lifetime+FA_st_opex)/(Storage!$I$63/1000000)+FA_st_e_demand*1000*$AU16/100)*(CF16+FA_st_ab_losses)/1000000+Carriers!$P$18/Carriers!$P$23*((CF16+FA_st_ab_losses)/365.25*short_st_duration_hrs/24)*(h2_short_st_invest*(1/gh2_short_st_lifetime+$M16+h2_short_st_opex)+h2_short_st_e_demand*1000*$AU16/100)/1000000+Carriers!$P$20/Carriers!$P$23*((CF16+FA_st_ab_losses)/365.25*short_st_duration_hrs/24)*(co2_short_st_invest*(1/co2_short_st_lifetime+$M16+co2_short_st_opex)+co2_short_st_e_demand*1000*$AU16/100)/1000000</f>
        <v>4657.2279649433958</v>
      </c>
      <c r="CF16" s="63">
        <f>Storage!$I$57/((1-Shipping!$J$37)^($F16/24/Shipping!$J$44+0.5*Shipping!$J$59))</f>
        <v>310425396.82539684</v>
      </c>
      <c r="CG16" s="28">
        <f>IF($E16="","No Port",((F16/24/Shipping!$J$44+F16/24/Shipping!$J$50+Shipping!$J$59+Shipping!$J$64)*(Shipping!$J$22+wacc_nl*Shipping!$J$19/365.25*1000000+Shipping!$J$35)+(F16/24/Shipping!$J$44*Shipping!$J$45+Shipping!$J$64*Shipping!$J$65)*IF(bunker_choice="HFO",$H16,IF(bunker_choice="hydrogen",$BD16*hfo_e_density_lhv/h2_e_density_lhv,(CB16+CD16)*1000000/CF16*hfo_e_density_lhv/FA_e_density_lhv))+(F16/24/Shipping!$J$50*Shipping!$J$51+Shipping!$J$59*Shipping!$J$60)*IF(bunker_choice="HFO",bunker_price_ROT,IF(bunker_choice="hydrogen",$BD16*hfo_e_density_lhv/h2_e_density_lhv,(CB16+CD16)*1000000/CF16*hfo_e_density_lhv/FA_e_density_lhv))+Shipping!$J$73+IF(G16="Panama",Shipping!$J$55,0)+IF(G16="Suez",Shipping!$J$56,0))/Shipping!$J$31*CF16/1000000+IF(inland_transport_to_port="hv dc grid",$BM16/100*1000*CI16,IF(inland_transport_to_port="pipeline",$BN16,0)))</f>
        <v>33555.283759501363</v>
      </c>
      <c r="CH16" s="28">
        <f t="shared" si="36"/>
        <v>159349.31351128651</v>
      </c>
      <c r="CI16" s="29">
        <f>((Carriers!$P$18/Carriers!$P$23*alk_el_e_demand)+FA_e_demand)*(CF16+FA_st_ab_losses)/1000000+FA_st_e_demand*CF16/1000000</f>
        <v>1897.8881241622576</v>
      </c>
      <c r="CJ16" s="29">
        <f t="shared" si="20"/>
        <v>0.46563809523809524</v>
      </c>
      <c r="CK16" s="28">
        <f>IFERROR(CH16*1000000/Storage!$I$12,"")</f>
        <v>513.32563360115398</v>
      </c>
      <c r="CL16" s="28">
        <f>IF($E16="","No Port",((F16/24/Shipping!$J$44+F16/24/Shipping!$J$50+Shipping!$J$59+Shipping!$J$64)*Carriers!$P$39*wacc_nl))</f>
        <v>571.36899215969299</v>
      </c>
      <c r="CM16" s="29">
        <f>H2_retrieval!$H$25*h2_demand_kt/1000+(co2_liq_e_demand+co2_st_e_demand*2)*Storage!$I$12*co2_density/FA_density/1000000</f>
        <v>94.204253879484654</v>
      </c>
      <c r="CN16" s="28">
        <f>IFERROR((((CB16+CD16+CG16)*(1+H2_retrieval!$H$34)+CL16)*1000000/H2_retrieval!$H$8)+h2_regen_fa,"")</f>
        <v>10482.573523284262</v>
      </c>
      <c r="CO16" s="149">
        <f>(meoh_invest*(M16+1/meoh_lifetime)/meoh_prod+meoh_opex+meoh_e_demand*1000*$AU16/100+Carriers!$R$18/Carriers!$R$23*BD16+Carriers!$R$20/Carriers!$R$23*co2_liq_cost)*(CS16+meoh_st_ab_losses)/1000000</f>
        <v>50477.142339536469</v>
      </c>
      <c r="CP16" s="86">
        <f>(meoh_invest*(M16+1/meoh_lifetime)/meoh_prod+meoh_opex+meoh_e_demand*1000*$AU16/100+Carriers!$R$18/Carriers!$R$23*BD16+Carriers!$R$20/Carriers!$R$23*BP16)*(CS16+meoh_st_ab_losses)/1000000</f>
        <v>65204.283044680422</v>
      </c>
      <c r="CQ16" s="63">
        <f>meoh_st_nl_cost*meoh_st_nl_demand/1000000+(meoh_st_invest*(M16+1/meoh_st_lifetime+meoh_st_opex)/(Storage!$K$63/1000000)+meoh_st_e_demand*1000*$AU16/100)*(CS16+meoh_st_ab_losses)/1000000+co2_st_nl_cost*Storage!$K$12*co2_density/meoh_density/1000000+(co2_st_opex_lev+co2_st_invest_lev+co2_st_e_demand*1000*IFERROR(MIN(S16,AA16,AI16),S16)/100)*Storage!$K$12/1000000+co2_st_invest_lev*Storage!$K$12*co2_st_lifetime*M16/1000000+Carriers!$R$18/Carriers!$R$23*((CS16+meoh_st_ab_losses)/365.25*short_st_duration_hrs/24)*(h2_short_st_invest*(1/gh2_short_st_lifetime+$M16+h2_short_st_opex)+h2_short_st_e_demand*1000*$AU16/100)/1000000+Carriers!$R$20/Carriers!$R$23*((CF16+meoh_st_ab_losses)/365.25*short_st_duration_hrs/24)*(co2_short_st_invest*(1/co2_short_st_lifetime+$M16+co2_short_st_opex)+co2_short_st_e_demand*1000*$AU16/100)/1000000</f>
        <v>4530.4726070958241</v>
      </c>
      <c r="CR16" s="63">
        <f>meoh_st_nl_cost*meoh_st_nl_demand/1000000+(meoh_st_invest*(M16+1/meoh_st_lifetime+meoh_st_opex)/(Storage!$K$63/1000000)+meoh_st_e_demand*1000*$AU16/100)*(CS16+meoh_st_ab_losses)/1000000+Carriers!$R$18/Carriers!$R$23*((CS16+meoh_st_ab_losses)/365.25*short_st_duration_hrs/24)*(h2_short_st_invest*(1/gh2_short_st_lifetime+$M16+h2_short_st_opex)+h2_short_st_e_demand*1000*$AU16/100)/1000000+Carriers!$R$20/Carriers!$R$23*((CF16+meoh_st_ab_losses)/365.25*short_st_duration_hrs/24)*(co2_short_st_invest*(1/co2_short_st_lifetime+$M16+co2_short_st_opex)+co2_short_st_e_demand*1000*$AU16/100)/1000000</f>
        <v>1807.0415186297544</v>
      </c>
      <c r="CS16" s="63">
        <f>Storage!$K$57/((1-Shipping!$L$37)^($F16/24/Shipping!$L$44+0.5*Shipping!$L$59))</f>
        <v>108044444.44444443</v>
      </c>
      <c r="CT16" s="28">
        <f>IF($E16="","No Port",IF(AND(ship_choice="VLCC",G16="Panama"),"Ship cannot pass through Panama",IF(ship_choice="VLCC",((F16/24/Shipping!$AD$44+F16/24/Shipping!$AD$50+Shipping!$AD$59+Shipping!$AD$64)*(Shipping!$AD$22+wacc_nl*Shipping!$AD$19/365.25*1000000+Shipping!$AD$35)+(F16/24/Shipping!$AD$44*Shipping!$AD$45+Shipping!$AD$64*Shipping!$AD$65)*IF(bunker_choice="HFO",$H16,IF(bunker_choice="hydrogen",$BD16*hfo_e_density_lhv/h2_e_density_lhv,(CO16+CQ16)*1000000/CS16*hfo_e_density_lhv/meoh_e_density_lhv))+(F16/24/Shipping!$AD$50*Shipping!$AD$51+Shipping!$AD$59*Shipping!$AD$60)*IF(bunker_choice="HFO",bunker_price_ROT,IF(bunker_choice="hydrogen",$BD16*hfo_e_density_lhv/h2_e_density_lhv,(CO16+CQ16)*1000000/CS16*hfo_e_density_lhv/meoh_e_density_lhv))+Shipping!$AD$73+IF(G16="Panama",Shipping!$AD$55,0)+IF(G16="Suez",Shipping!$AD$56,0))/Shipping!$AD$31*CS16/1000000+IF(inland_transport_to_port="hv dc grid",$BM16/100*1000*CV16,IF(inland_transport_to_port="pipeline",$BN16,0)),((F16/24/Shipping!$L$44+F16/24/Shipping!$L$50+Shipping!$L$59+Shipping!$L$64)*(Shipping!$L$22+wacc_nl*Shipping!$L$19/365.25*1000000+Shipping!$L$35)+(F16/24/Shipping!$L$44*Shipping!$L$45+Shipping!$L$64*Shipping!$L$65)*IF(bunker_choice="HFO",$H16,IF(bunker_choice="hydrogen",$BD16*hfo_e_density_lhv/h2_e_density_lhv,(CO16+CQ16)*1000000/CS16*hfo_e_density_lhv/meoh_e_density_lhv))+(F16/24/Shipping!$L$50*Shipping!$L$51+Shipping!$L$59*Shipping!$L$60)*IF(bunker_choice="HFO",bunker_price_ROT,IF(bunker_choice="hydrogen",$BD16*hfo_e_density_lhv/h2_e_density_lhv,(CO16+CQ16)*1000000/CS16*hfo_e_density_lhv/meoh_e_density_lhv))+Shipping!$L$73+IF(G16="Panama",Shipping!$L$55,0)+IF(G16="Suez",Shipping!$L$56,0))/Shipping!$L$31*CS16/1000000+IF(inland_transport_to_port="hv dc grid",$BM16/100*1000*CV16,IF(inland_transport_to_port="pipeline",$BN16,0)))))</f>
        <v>13464.923002627544</v>
      </c>
      <c r="CU16" s="28">
        <f t="shared" si="37"/>
        <v>80476.247565937723</v>
      </c>
      <c r="CV16" s="29">
        <f>((Carriers!$R$18/Carriers!$R$23*alk_el_e_demand)+meoh_e_demand)*(CS16+meoh_st_ab_losses)/1000000+meoh_st_e_demand*CS16/1000000</f>
        <v>1119.9789871111109</v>
      </c>
      <c r="CW16" s="29">
        <f t="shared" si="21"/>
        <v>0.16206666666666666</v>
      </c>
      <c r="CX16" s="28">
        <f>IFERROR(CU16*1000000/Storage!$K$12,"")</f>
        <v>744.84392029354137</v>
      </c>
      <c r="CY16" s="28">
        <f>IF($E16="","No Port",((F16/24/Shipping!$L$44+F16/24/Shipping!$L$50+Shipping!$L$59+Shipping!$L$64)*Carriers!$R$39*wacc_nl))</f>
        <v>205.18689845880391</v>
      </c>
      <c r="CZ16" s="29">
        <f>H2_retrieval!$J$25*h2_demand_kt/1000+(co2_liq_e_demand+co2_st_e_demand*2)*Storage!$K$12*co2_density/meoh_density/1000000</f>
        <v>251.05079059698966</v>
      </c>
      <c r="DA16" s="28">
        <f>IFERROR((((CO16+CQ16+CT16)*(1+H2_retrieval!$J$34)+CY16)*1000000/H2_retrieval!$J$8)+h2_regen_meoh,"")</f>
        <v>6219.9612525871935</v>
      </c>
      <c r="DB16" s="149">
        <f>(DBT_invest*(M16+1/DBT_lifetime)/DBT_prod+DBT_opex+DBT_e_demand*1000*$AU16/100+Carriers!$T$18/Carriers!$T$23*BD16)*(DD16+DBT_st_ab_losses)/1000000</f>
        <v>33764.386307362685</v>
      </c>
      <c r="DC16" s="28">
        <f>2*(DBT_st_nl_cost*DBT_st_nl_demand/1000000+(DBT_st_invest*(M16+1/DBT_st_lifetime+DBT_st_opex)/(Storage!$M$63/1000000)+DBT_st_e_demand*1000*$AU16/100)*(DD16+DBT_st_ab_losses)/1000000)+Carriers!$T$18/Carriers!$T$23*((DD16+DBT_st_ab_losses)/365.25*short_st_duration_hrs/24)*(h2_short_st_invest*(1/gh2_short_st_lifetime+$M16+h2_short_st_opex)+h2_short_st_e_demand*1000*$AU16/100)/1000000</f>
        <v>3790.011107139489</v>
      </c>
      <c r="DD16" s="63">
        <f>Storage!$M$57/((1-Shipping!$N$37)^($F16/24/Shipping!$N$44+0.5*Shipping!$N$59))</f>
        <v>219354838.70967743</v>
      </c>
      <c r="DE16" s="28">
        <f>IF($E16="","No Port",IF(AND(ship_choice="VLCC",G16="Panama"),"Ship cannot pass through Panama",IF(ship_choice="VLCC",((F16/24/Shipping!$AD$44+F16/24/Shipping!$AD$50+Shipping!$AD$59+Shipping!$AD$64)*(Shipping!$AD$22+wacc_nl*Shipping!$AD$19/365.25*1000000+Shipping!$AD$35)+(F16/24/Shipping!$AD$44*Shipping!$AD$45+Shipping!$AD$64*Shipping!$AD$65)*IF(bunker_choice="HFO",$H16,IF(bunker_choice="hydrogen",$BD16*hfo_e_density_lhv/h2_e_density_lhv,(DB16+DC16)*1000000/DD16*hfo_e_density_lhv/DBT_e_density_lhv))+(F16/24/Shipping!$AD$50*Shipping!$AD$51+Shipping!$AD$59*Shipping!$AD$60)*IF(bunker_choice="HFO",bunker_price_ROT,IF(bunker_choice="hydrogen",$BD16*hfo_e_density_lhv/h2_e_density_lhv,(DB16+DC16)*1000000/DD16*hfo_e_density_lhv/DBT_e_density_lhv))+Shipping!$AD$73+IF(G16="Panama",Shipping!$AD$55,0)+IF(G16="Suez",Shipping!$AD$56,0))/Shipping!$AD$31*DD16/1000000+IF(inland_transport_to_port="hv dc grid",$BM16/100*1000*DG16,IF(inland_transport_to_port="pipeline",$BN16,0)),((F16/24/Shipping!$N$44+F16/24/Shipping!$N$50+Shipping!$N$59+Shipping!$N$64)*(Shipping!$N$22+wacc_nl*Shipping!$N$19/365.25*1000000+Shipping!$N$35)+(F16/24/Shipping!$N$44*Shipping!$N$45+Shipping!$N$64*Shipping!$N$65)*IF(bunker_choice="HFO",$H16,IF(bunker_choice="hydrogen",$BD16*hfo_e_density_lhv/h2_e_density_lhv,(DB16+DC16)*1000000/DD16*hfo_e_density_lhv/DBT_e_density_lhv))+(F16/24/Shipping!$N$50*Shipping!$N$51+Shipping!$N$59*Shipping!$N$60)*IF(bunker_choice="HFO",bunker_price_ROT,IF(bunker_choice="hydrogen",$BD16*hfo_e_density_lhv/h2_e_density_lhv,(DB16+DC16)*1000000/DD16*hfo_e_density_lhv/DBT_e_density_lhv))+Shipping!$N$73+IF(G16="Panama",Shipping!$N$55,0)+IF(G16="Suez",Shipping!$N$56,0))/Shipping!$N$31*Shipping!$N$86/1000000+IF(inland_transport_to_port="hv dc grid",$BM16/100*1000*DG16,IF(inland_transport_to_port="pipeline",$BN16,0)))))</f>
        <v>22022.918086166792</v>
      </c>
      <c r="DF16" s="28">
        <f t="shared" ref="DF16:DF28" si="53">IFERROR(DB16+DC16+DE16,"")</f>
        <v>59577.315500668963</v>
      </c>
      <c r="DG16" s="29">
        <f>((Carriers!$T$18/Carriers!$T$23*alk_el_e_demand)+DBT_e_demand)*(DD16+DBT_st_ab_losses)/1000000+DBT_st_e_demand*DD16/1000000</f>
        <v>703.88335483870969</v>
      </c>
      <c r="DH16" s="29">
        <f t="shared" si="23"/>
        <v>0.21935483870967742</v>
      </c>
      <c r="DI16" s="28">
        <f>IFERROR(DF16*1000000/Storage!$M$12,"")</f>
        <v>271.60246772363791</v>
      </c>
      <c r="DJ16" s="28">
        <f>IF($E16="","No Port",((F16/24/Shipping!$N$44+F16/24/Shipping!$N$50+Shipping!$N$59+Shipping!$N$64)*Carriers!$T$39*wacc_nl))</f>
        <v>14944.435981093578</v>
      </c>
      <c r="DK16" s="100">
        <f>H2_retrieval!$L$25*h2_demand_kt/1000+(co2_liq_e_demand+co2_st_e_demand*2)*Storage!$M$12*co2_density/DBT_density/1000000</f>
        <v>206.61934861671787</v>
      </c>
      <c r="DL16" s="28">
        <f>IFERROR(((DF16*(1+H2_retrieval!$L$34)+DJ16)*1000000/H2_retrieval!$L$8)+h2_regen_lohc,"")</f>
        <v>5950.1903307683924</v>
      </c>
      <c r="DM16" s="149">
        <f t="shared" si="24"/>
        <v>55398.434722331032</v>
      </c>
      <c r="DN16" s="16">
        <f>2*(nabh4_st_nl_cost*nabh4_st_nl_demand/1000000+(nabh4_st_invest*(M16+1/nabh4_st_lifetime+nabh4_st_opex)/(Storage!$O$63/1000000)+nabh4_st_e_demand*1000*$AU16/100)*(DO16+nabh4_st_ab_losses)/1000000)+(h2_demand_kt*1000/365.25*short_st_duration_hrs/24)*(h2_short_st_invest*(1/gh2_short_st_lifetime+$M16+h2_short_st_opex)+h2_short_st_e_demand*1000*$AU16/100)/1000000</f>
        <v>1345.2904377283676</v>
      </c>
      <c r="DO16" s="63">
        <f>Storage!$O$57/((1-Shipping!$P$37)^($F16/24/Shipping!$P$44+0.5*Shipping!$P$59))</f>
        <v>63920000</v>
      </c>
      <c r="DP16" s="16">
        <f>IF($E16="","No Port",((F16/24/Shipping!$P$44+F16/24/Shipping!$P$50+Shipping!$P$59+Shipping!$P$64)*(Shipping!$P$22+wacc_nl*Shipping!$P$19/365.25*1000000+Shipping!$P$35)+(F16/24/Shipping!$P$44*Shipping!$P$45+Shipping!$P$64*Shipping!$P$65)*IF(bunker_choice="HFO",$H16,IF(bunker_choice="hydrogen",$BD16*hfo_e_density_lhv/h2_e_density_lhv,(DM16+DN16)*1000000/DO16*hfo_e_density_lhv/nabh4_e_density_lhv))+(F16/24/Shipping!$P$50*Shipping!$P$51+Shipping!$P$59*Shipping!$P$60)*IF(bunker_choice="HFO",bunker_price_ROT,IF(bunker_choice="hydrogen",$BD16*hfo_e_density_lhv/h2_e_density_lhv,(DM16+DN16)*1000000/DO16*hfo_e_density_lhv/nabh4_e_density_lhv))+Shipping!$P$73+IF(G16="Panama",Shipping!$P$55,0)+IF(G16="Suez",Shipping!$P$56,0))/Shipping!$P$31*(DO16+nabh4_st_ab_losses)/1000000+IF(inland_transport_to_port="hv dc grid",$BM16/100*1000*DR16,IF(inland_transport_to_port="pipeline",$BN16,0)))</f>
        <v>8223.1598344832128</v>
      </c>
      <c r="DQ16" s="28">
        <f t="shared" si="38"/>
        <v>64966.884994542619</v>
      </c>
      <c r="DR16" s="29">
        <f>((Carriers!$V$18/Carriers!$V$23*alk_el_e_demand)+nabh4_e_demand)*(DO16+nabh4_st_ab_losses)/1000000+nabh4_st_e_demand*DO16/1000000</f>
        <v>980.02139682539689</v>
      </c>
      <c r="DS16" s="28">
        <f t="shared" si="25"/>
        <v>3.1960000000000002</v>
      </c>
      <c r="DT16" s="28">
        <f>IFERROR(DQ16*1000000/Storage!$O$12,"")</f>
        <v>1016.3780506029822</v>
      </c>
      <c r="DU16" s="28">
        <f>IF($E16="","No Port",((F16/24/Shipping!$P$44+F16/24/Shipping!$P$50+Shipping!$P$59+Shipping!$P$64)*Carriers!$V$39*wacc_nl))</f>
        <v>1360.2272115514534</v>
      </c>
      <c r="DV16" s="100">
        <f>H2_retrieval!$N$25*h2_demand_kt/1000+(co2_liq_e_demand+co2_st_e_demand*2)*Storage!$O$12*co2_density/nabh4_density/1000000</f>
        <v>18.783638728971958</v>
      </c>
      <c r="DW16" s="28">
        <f>IFERROR(((DQ16*(1+H2_retrieval!$N$34)+DU16)*1000000/H2_retrieval!$N$8)+h2_regen_nabh4,"")</f>
        <v>4979.4072917730591</v>
      </c>
      <c r="DX16" s="149">
        <f>(Dme_invest*(M16+1/Dme_lifetime)/Dme_prod+Dme_opex+Dme_e_demand*1000*$AU16/100+Carriers!$X$21/Carriers!$X$23*(CO16*1000000/CS16))*(EB16+Dme_st_ab_losses)/1000000</f>
        <v>71551.557923851215</v>
      </c>
      <c r="DY16" s="86">
        <f>(Dme_invest*(M16+1/Dme_lifetime)/Dme_prod+Dme_opex+Dme_e_demand*1000*$AU16/100+Carriers!$X$21/Carriers!$X$23*(CP16*1000000/CS16))*(EB16+Dme_st_ab_losses)/1000000</f>
        <v>91531.339717632582</v>
      </c>
      <c r="DZ16" s="63">
        <f>Dme_st_nl_cost*Dme_st_nl_demand/1000000+(Dme_st_invest*(M16+1/Dme_st_lifetime+Dme_st_opex)/(Storage!$Q$63/1000000)+Dme_st_e_demand*1000*$AU16/100)*(EB16+Dme_st_ab_losses)/1000000+co2_st_nl_cost*Storage!$Q$12*co2_density/Dme_density/1000000+(co2_st_opex_lev+co2_st_invest_lev+co2_st_e_demand*1000*$AU16/100)*Storage!$Q$12/1000000+co2_st_invest_lev*Storage!$Q$12*co2_st_lifetime*M16/1000000+(h2_demand_kt*1000/365.25*short_st_duration_hrs/24)*(h2_short_st_invest*(1/gh2_short_st_lifetime+$M16+h2_short_st_opex)+h2_short_st_e_demand*1000*$AU16/100)/1000000</f>
        <v>5631.8507444971838</v>
      </c>
      <c r="EA16" s="63">
        <f>Dme_st_nl_cost*Dme_st_nl_demand/1000000+(Dme_st_invest*(M16+1/Dme_st_lifetime+Dme_st_opex)/(Storage!$Q$63/1000000)+Dme_st_e_demand*1000*$AU16/100)*(EB16+Dme_st_ab_losses)/1000000+(h2_demand_kt*1000/365.25*short_st_duration_hrs/24)*(h2_short_st_invest*(1/gh2_short_st_lifetime+$M16+h2_short_st_opex)+h2_short_st_e_demand*1000*$AU16/100)/1000000</f>
        <v>2759.3516709375867</v>
      </c>
      <c r="EB16" s="63">
        <f>Storage!$Q$57/((1-Shipping!$R$37)^($F16/24/Shipping!$R$44+0.5*Shipping!$R$59))</f>
        <v>103547089.94708996</v>
      </c>
      <c r="EC16" s="153">
        <f>IF($E16="","No Port",IF(AND(ship_choice="VLCC",G16="Panama"),"Ship cannot pass through Panama",IF(ship_choice="VLCC",((F16/24/Shipping!$AD$44+F16/24/Shipping!$AD$50+Shipping!$AD$59+Shipping!$AD$64)*(Shipping!$AD$22+wacc_nl*Shipping!$AD$19/365.25*1000000+Shipping!$AD$35)+(F16/24/Shipping!$AD$44*Shipping!$AD$45+Shipping!$AD$64*Shipping!$AD$65)*IF(bunker_choice="HFO",$H16,IF(bunker_choice="hydrogen",$BD16*hfo_e_density_lhv/h2_e_density_lhv,(DX16+DZ16)*1000000/EB16*hfo_e_density_lhv/Dme_e_density_lhv))+(F16/24/Shipping!$AD$50*Shipping!$AD$51+Shipping!$AD$59*Shipping!$AD$60)*IF(bunker_choice="HFO",bunker_price_ROT,IF(bunker_choice="hydrogen",$BD16*hfo_e_density_lhv/h2_e_density_lhv,(DX16+DZ16)*1000000/EB16*hfo_e_density_lhv/Dme_e_density_lhv))+Shipping!$AD$73+IF(G16="Panama",Shipping!$AD$55,0)+IF(G16="Suez",Shipping!$AD$56,0))/Shipping!$AD$31*(EB16+Dme_st_ab_losses)/1000000+IF(inland_transport_to_port="hv dc grid",$BM16/100*1000*EE16,IF(inland_transport_to_port="pipeline",$BN16,0)),((F16/24/Shipping!$R$44+F16/24/Shipping!$R$50+Shipping!$R$59+Shipping!$R$64)*(Shipping!$R$22+wacc_nl*Shipping!$R$19/365.25*1000000+Shipping!$R$35)+(F16/24/Shipping!$R$44*Shipping!$R$45+Shipping!$R$64*Shipping!$R$65)*IF(bunker_choice="HFO",$H16,IF(bunker_choice="hydrogen",$BD16*hfo_e_density_lhv/h2_e_density_lhv,(DX16+DZ16)*1000000/EB16*hfo_e_density_lhv/Dme_e_density_lhv))+(F16/24/Shipping!$R$50*Shipping!$R$51+Shipping!$R$59*Shipping!$R$60)*IF(bunker_choice="HFO",bunker_price_ROT,IF(bunker_choice="hydrogen",$BD16*hfo_e_density_lhv/h2_e_density_lhv,(DX16+DZ16)*1000000/EB16*hfo_e_density_lhv/Dme_e_density_lhv))+Shipping!$R$73+IF(G16="Panama",Shipping!$R$55,0)+IF(G16="Suez",Shipping!$R$56,0))/Shipping!$R$31*(EB16+Dme_st_ab_losses)/1000000+IF(inland_transport_to_port="hv dc grid",$BM16/100*1000*EE16,IF(inland_transport_to_port="pipeline",$BN16,0)))))</f>
        <v>13750.14972952375</v>
      </c>
      <c r="ED16" s="28">
        <f t="shared" si="39"/>
        <v>108040.84111809391</v>
      </c>
      <c r="EE16" s="29">
        <f>(Dme_e_demand)*(EB16+Dme_st_ab_losses)/1000000+Dme_st_e_demand*DZ16/1000000+$CV16*(Carriers!$X$21/Carriers!$X$23*EB16)/$CS16</f>
        <v>1550.2168164855632</v>
      </c>
      <c r="EF16" s="29">
        <f t="shared" si="26"/>
        <v>1.0354708994708997</v>
      </c>
      <c r="EG16" s="28">
        <f>IFERROR(ED16*1000000/Storage!$Q$12,"")</f>
        <v>1043.3981406266478</v>
      </c>
      <c r="EH16" s="28">
        <f>IF($E16="","No Port",((F16/24/Shipping!$R$44+F16/24/Shipping!$R$50+Shipping!$R$59+Shipping!$R$64)*Carriers!$X$39*wacc_nl))</f>
        <v>214.71496071077499</v>
      </c>
      <c r="EI16" s="100">
        <f>H2_retrieval!$P$25*h2_demand_kt/1000+(co2_liq_e_demand+co2_st_e_demand*2)*Storage!$Q$12*co2_density/Dme_density/1000000</f>
        <v>252.45335899349112</v>
      </c>
      <c r="EJ16" s="28">
        <f>IFERROR((((DX16+DZ16+EC16)*(1+H2_retrieval!$P$34)+EH16)*1000000/H2_retrieval!$P$8)+h2_regen_dme,"")</f>
        <v>7872.2074666213302</v>
      </c>
      <c r="EK16" s="149">
        <f>(ome_invest*(M16+1/ome_lifetime)/ome_prod+ome_opex+ome_e_demand*1000*$AU16/100+Carriers!$Z$21/Carriers!$Z$23*(CO16*1000000/CS16))*(EO16+ome_st_ab_losses)/1000000</f>
        <v>157103.79635729818</v>
      </c>
      <c r="EL16" s="86">
        <f>(ome_invest*(M16+1/ome_lifetime)/ome_prod+ome_opex+ome_e_demand*1000*$AU16/100+Carriers!$Z$21/Carriers!$Z$23*(CP16*1000000/CS16))*(EO16+ome_st_ab_losses)/1000000</f>
        <v>199045.24766737534</v>
      </c>
      <c r="EM16" s="63">
        <f>ome_st_nl_cost*ome_st_nl_demand/1000000+(ome_st_invest*(M16+1/ome_st_lifetime+ome_st_opex)/(Storage!$S$63/1000000)+ome_st_e_demand*1000*$AU16/100)*(EO16+ome_st_ab_losses)/1000000+co2_st_nl_cost*Storage!$S$12*co2_density/ome_density/1000000+(co2_st_opex_lev+co2_st_invest_lev+co2_st_e_demand*1000*$AU16/100)*Storage!$S$12/1000000+co2_st_invest_lev*Storage!$S$12*co2_st_lifetime*M16/1000000+(h2_demand_kt*1000/365.25*short_st_duration_hrs/24)*(h2_short_st_invest*(1/gh2_short_st_lifetime+$M16+h2_short_st_opex)+h2_short_st_e_demand*1000*$AU16/100)/1000000</f>
        <v>4859.8480178511109</v>
      </c>
      <c r="EN16" s="63">
        <f>ome_st_nl_cost*ome_st_nl_demand/1000000+(ome_st_invest*(M16+1/ome_st_lifetime+ome_st_opex)/(Storage!$S$63/1000000)+ome_st_e_demand*1000*$AU16/100)*(EO16+ome_st_ab_losses)/1000000+(h2_demand_kt*1000/365.25*short_st_duration_hrs/24)*(h2_short_st_invest*(1/gh2_short_st_lifetime+$M16+h2_short_st_opex)+h2_short_st_e_demand*1000*$AU16/100)/1000000</f>
        <v>1640.130850129442</v>
      </c>
      <c r="EO16" s="63">
        <f>Storage!$S$57/((1-Shipping!$T$37)^($F16/24/Shipping!$T$44+0.5*Shipping!$T$59))</f>
        <v>128282539.68253967</v>
      </c>
      <c r="EP16" s="28">
        <f>IF($E16="","No Port",IF(AND(ship_choice="VLCC",G16="Panama"),"Ship cannot pass through Panama",IF(ship_choice="VLCC",((F16/24/Shipping!$AD$44+F16/24/Shipping!$AD$50+Shipping!$AD$59+Shipping!$AD$64)*(Shipping!$AD$22+wacc_nl*Shipping!$AD$19/365.25*1000000+Shipping!$AD$35)+(F16/24/Shipping!$AD$44*Shipping!$AD$45+Shipping!$AD$64*Shipping!$AD$65)*IF(bunker_choice="HFO",$H16,IF(bunker_choice="hydrogen",$BD16*hfo_e_density_lhv/h2_e_density_lhv,(EK16+EM16)*1000000/EO16*hfo_e_density_lhv/Dme_e_density_lhv))+(F16/24/Shipping!$AD$50*Shipping!$AD$51+Shipping!$AD$59*Shipping!$AD$60)*IF(bunker_choice="HFO",bunker_price_ROT,IF(bunker_choice="hydrogen",$BD16*hfo_e_density_lhv/h2_e_density_lhv,(EK16+EM16)*1000000/EO16*hfo_e_density_lhv/ome_e_density_lhv))+Shipping!$AD$73+IF(G16="Panama",Shipping!$AD$55,0)+IF(G16="Suez",Shipping!$AD$56,0))/Shipping!$AD$31*(EO16+ome_st_ab_losses)/1000000+IF(inland_transport_to_port="hv dc grid",$BM16/100*1000*ER16,IF(inland_transport_to_port="pipeline",$BN16,0)),((F16/24/Shipping!$T$44+F16/24/Shipping!$T$50+Shipping!$T$59+Shipping!$T$64)*(Shipping!$T$22+wacc_nl*Shipping!$T$19/365.25*1000000+Shipping!$T$35)+(F16/24/Shipping!$T$44*Shipping!$T$45+Shipping!$T$64*Shipping!$T$65)*IF(bunker_choice="HFO",$H16,IF(bunker_choice="hydrogen",$BD16*hfo_e_density_lhv/h2_e_density_lhv,(EK16+EM16)*1000000/EO16*hfo_e_density_lhv/Dme_e_density_lhv))+(F16/24/Shipping!$T$50*Shipping!$T$51+Shipping!$T$59*Shipping!$T$60)*IF(bunker_choice="HFO",bunker_price_ROT,IF(bunker_choice="hydrogen",$BD16*hfo_e_density_lhv/h2_e_density_lhv,(EK16+EM16)*1000000/EO16*hfo_e_density_lhv/ome_e_density_lhv))+Shipping!$T$73+IF(G16="Panama",Shipping!$T$55,0)+IF(G16="Suez",Shipping!$T$56,0))/Shipping!$T$31*(EO16+ome_st_ab_losses)/1000000+IF(inland_transport_to_port="hv dc grid",$BM16/100*1000*ER16,IF(inland_transport_to_port="pipeline",$BN16,0)))))</f>
        <v>14643.547202538452</v>
      </c>
      <c r="EQ16" s="28">
        <f t="shared" si="40"/>
        <v>215328.92572004325</v>
      </c>
      <c r="ER16" s="29">
        <f>(ome_e_demand)*(EO16+ome_st_ab_losses)/1000000+ome_st_e_demand*EM16/1000000+$CV16*(Carriers!$Z$21/Carriers!$Z$23*EO16)/$CS16</f>
        <v>3352.0814574305555</v>
      </c>
      <c r="ES16" s="29">
        <f t="shared" si="27"/>
        <v>0.1924238095238095</v>
      </c>
      <c r="ET16" s="28">
        <f>IFERROR(EQ16*1000000/Storage!$S$12,"")</f>
        <v>1678.5520948752414</v>
      </c>
      <c r="EU16" s="28">
        <f>IF($E16="","No Port",((F16/24/Shipping!$T$44+F16/24/Shipping!$T$50+Shipping!$T$59+Shipping!$T$64)*Carriers!$Z$39*wacc_nl))</f>
        <v>243.62100781047795</v>
      </c>
      <c r="EV16" s="100">
        <f>H2_retrieval!$R$25*h2_demand_kt/1000+(co2_liq_e_demand+co2_st_e_demand*2)*Storage!$S$12*co2_density/ome_density/1000000</f>
        <v>254.51942895252085</v>
      </c>
      <c r="EW16" s="28">
        <f>IFERROR((((EK16+EM16+EP16)*(1+H2_retrieval!$R$34)+EU16)*1000000/H2_retrieval!$R$8)+h2_regen_ome,"")</f>
        <v>14173.864762718043</v>
      </c>
      <c r="EX16" s="149">
        <f>(sng_invest*(M16+1/sng_lifetime)/sng_prod+lng_invest*(M16+1/lng_lifetime)/lng_prod+sng_opex+lng_opex+(sng_e_demand+lng_e_demand)*1000*$AU16/100+Carriers!$AB$18/Carriers!$AB$23*BD16+Carriers!$AB$20/Carriers!$AB$23*co2_liq_cost)*(FB16+lng_st_ab_losses)/1000000</f>
        <v>56728.316960182361</v>
      </c>
      <c r="EY16" s="86">
        <f>(sng_invest*(M16+1/sng_lifetime)/sng_prod+lng_invest*(M16+1/lng_lifetime)/lng_prod+sng_opex+lng_opex+(sng_e_demand+lng_e_demand)*1000*$AU16/100+Carriers!$AB$18/Carriers!$AB$23*BD16+Carriers!$AB$20/Carriers!$AB$23*BP16)*(FB16+lng_st_ab_losses)/1000000</f>
        <v>68072.076252411411</v>
      </c>
      <c r="EZ16" s="63">
        <f>lng_st_nl_cost*lng_st_nl_demand/1000000+(lng_st_invest*(M16+1/lng_st_lifetime+lng_st_opex)/(Storage!$U$63/1000000)+lng_st_e_demand*1000*$AU16/100)*(FB16+lng_st_ab_losses)/1000000+co2_st_nl_cost*Storage!$U$12*co2_density/lng_density/1000000+(co2_st_opex_lev+co2_st_invest_lev+co2_st_e_demand*1000*$AU16/100)*Storage!$U$12/1000000+co2_st_invest_lev*Storage!$U$12*co2_st_lifetime*M16/1000000+Carriers!$AB$18/Carriers!$AB$23*((FB16+lng_st_ab_losses)/365.25*short_st_duration_hrs/24)*(h2_short_st_invest*(1/gh2_short_st_lifetime+$M16+h2_short_st_opex)+h2_short_st_e_demand*1000*$AU16/100)/1000000+Carriers!$AB$20/Carriers!$AB$23*((FB16+lng_st_ab_losses)/365.25*short_st_duration_hrs/24)*(co2_short_st_invest*(1/co2_short_st_lifetime+$M16+co2_short_st_opex)+co2_short_st_e_demand*1000*$AU16/100)/1000000</f>
        <v>5951.1700906305987</v>
      </c>
      <c r="FA16" s="63">
        <f>lng_st_nl_cost*lng_st_nl_demand/1000000+(lng_st_invest*(M16+1/lng_st_lifetime+lng_st_opex)/(Storage!$U$63/1000000)+lng_st_e_demand*1000*$AU16/100)*(FB16+lng_st_ab_losses)/1000000+Carriers!$AB$18/Carriers!$AB$23*((FB16+lng_st_ab_losses)/365.25*short_st_duration_hrs/24)*(h2_short_st_invest*(1/gh2_short_st_lifetime+$M16+h2_short_st_opex)+h2_short_st_e_demand*1000*$AU16/100)/1000000+Carriers!$AB$20/Carriers!$AB$23*((FB16+lng_st_ab_losses)/365.25*short_st_duration_hrs/24)*(co2_short_st_invest*(1/co2_short_st_lifetime+$M16+co2_short_st_opex)+co2_short_st_e_demand*1000*$AU16/100)/1000000</f>
        <v>4387.6377718117728</v>
      </c>
      <c r="FB16" s="63">
        <f>Storage!$U$57/((1-Shipping!$V$37)^($F16/24/Shipping!$V$44+0.5*Shipping!$V$59))</f>
        <v>42405775.857974432</v>
      </c>
      <c r="FC16" s="28">
        <f>IF($E16="","No Port",IF(G16="Panama","Ship cannot pass through Panama",((F16/24/Shipping!$V$44+F16/24/Shipping!$V$50+Shipping!$V$59+Shipping!$V$64)*(Shipping!$V$22+wacc_nl*Shipping!$V$19/365.25*1000000+Shipping!$V$35)+(F16/24/Shipping!$V$44*Shipping!$V$45+Shipping!$V$64*Shipping!$V$65)*IF(bunker_choice="HFO",$H16,IF(bunker_choice="hydrogen",$BD16*hfo_e_density_lhv/h2_e_density_lhv,(EX16+EZ16)*1000000/FB16*hfo_e_density_lhv/lng_e_density_lhv))+(F16/24/Shipping!$V$50*Shipping!$V$51+Shipping!$V$59*Shipping!$V$60)*IF(bunker_choice="HFO",bunker_price_ROT,IF(bunker_choice="hydrogen",$BD16*hfo_e_density_lhv/h2_e_density_lhv,(EX16+EZ16)*1000000/FB16*hfo_e_density_lhv/lng_e_density_lhv))+Shipping!$V$73+IF(G16="Panama",Shipping!$V$55,0)+IF(G16="Suez",Shipping!$V$56,0))/Shipping!$V$31*(FB16+lng_st_ab_losses)/1000000)+IF(inland_transport_to_port="hv dc grid",$BM16/100*1000*FE16,IF(inland_transport_to_port="pipeline",$BN16,0)))</f>
        <v>7410.9591898942344</v>
      </c>
      <c r="FD16" s="28">
        <f t="shared" si="41"/>
        <v>79870.673214117414</v>
      </c>
      <c r="FE16" s="29">
        <f>((Carriers!$AB$18/Carriers!$AB$23*alk_el_e_demand)+sng_e_demand+lng_e_demand)*(FB16+lng_st_ab_losses)/1000000+lng_st_e_demand*EZ16/1000000</f>
        <v>1137.2538470239408</v>
      </c>
      <c r="FF16" s="29">
        <f t="shared" si="28"/>
        <v>0.8126185861001558</v>
      </c>
      <c r="FG16" s="28">
        <f>IFERROR(FD16*1000000/Storage!$U$12,"")</f>
        <v>1968.0273828572424</v>
      </c>
      <c r="FH16" s="28">
        <f>IF($E16="","No Port",((F16/24/Shipping!$V$44+F16/24/Shipping!$V$50+Shipping!$V$59+Shipping!$V$64)*Carriers!$AB$39*wacc_nl))</f>
        <v>71.022693482859296</v>
      </c>
      <c r="FI16" s="100">
        <f>H2_retrieval!$T$25*h2_demand_kt/1000+(co2_liq_e_demand+co2_st_e_demand*2)*Storage!$U$12*co2_density/lng_density/1000000</f>
        <v>236.51371749646054</v>
      </c>
      <c r="FJ16" s="28">
        <f>IFERROR((((EX16+EZ16+FC16)*(1+H2_retrieval!$T$34)+FH16)*1000000/H2_retrieval!$T$8)+h2_regen_lng,"")</f>
        <v>6329.0600824747962</v>
      </c>
      <c r="FK16" s="149">
        <f>(lh2_invest*(M16+1/lh2_lifetime)/lh2_prod+lh2_opex+lh2_e_demand*1000*$AU16/100+Carriers!$AD$18/Carriers!$AD$23*BD16)*(FM16+lh2_st_ab_losses)/1000000</f>
        <v>46176.978145845496</v>
      </c>
      <c r="FL16" s="28">
        <f>lh2_st_nl_cost*lh2_st_nl_demand/1000000+(lh2_st_invest*(M16+1/lh2_st_lifetime+lh2_st_opex)/(Storage!$Y$63/1000000)+lh2_st_e_demand*1000*$AU16/100)*(FM16+lh2_st_ab_losses)/1000000+((FM16+lh2_st_ab_losses)/365.25*short_st_duration_hrs/24)*(h2_short_st_invest*(1/gh2_short_st_lifetime+$M16+h2_short_st_opex)+h2_short_st_e_demand*1000*$AU16/100)/1000000</f>
        <v>51755.584813013411</v>
      </c>
      <c r="FM16" s="63">
        <f>Storage!$Y$57/((1-Shipping!$Z$37)^($F16/24/Shipping!$Z$44+0.5*Shipping!$Z$59))</f>
        <v>14583654.814155739</v>
      </c>
      <c r="FN16" s="28">
        <f>IF($E16="","No Port",IF(G16="Panama","Ship cannot pass through Panama",((F16/24/Shipping!$Z$44+F16/24/Shipping!$Z$50+Shipping!$Z$59+Shipping!$Z$64)*(Shipping!$Z$22+wacc_nl*Shipping!$Z$19/365.25*1000000+Shipping!$Z$35)+(F16/24/Shipping!$Z$44*Shipping!$Z$45+Shipping!$Z$64*Shipping!$Z$65)*IF(bunker_choice="HFO",$H16,IF(bunker_choice="hydrogen",$BD16*hfo_e_density_lhv/h2_e_density_lhv,(FK16+FL16)*1000000/FM16*hfo_e_density_lhv/lh2_e_density_lhv))+(F16/24/Shipping!$Z$50*Shipping!$Z$51+Shipping!$Z$59*Shipping!$Z$60)*IF(bunker_choice="HFO",bunker_price_ROT,IF(bunker_choice="hydrogen",$BD16*hfo_e_density_lhv/h2_e_density_lhv,(FK16+FL16)*1000000/FM16*hfo_e_density_lhv/lh2_e_density_lhv))+Shipping!$Z$73+IF(G16="Panama",Shipping!$Z$55,0)+IF(G16="Suez",Shipping!$Z$56,0))/Shipping!$Z$31*(FM16+lh2_st_ab_losses)/1000000)+IF(inland_transport_to_port="hv dc grid",$BM16/100*1000*FP16,IF(inland_transport_to_port="pipeline",$BN16,0)))</f>
        <v>10727.544257594505</v>
      </c>
      <c r="FO16" s="28">
        <f t="shared" si="42"/>
        <v>108660.10721645341</v>
      </c>
      <c r="FP16" s="29">
        <f>((Carriers!$AD$18/Carriers!$AD$23*alk_el_e_demand)+lh2_e_demand)*(FM16+lh2_st_ab_losses)/1000000+lh2_st_e_demand*FM16/1000000</f>
        <v>845.05515724519637</v>
      </c>
      <c r="FQ16" s="100">
        <f t="shared" si="29"/>
        <v>1.361902463475859</v>
      </c>
      <c r="FR16" s="28">
        <f>IFERROR(FO16*1000000/Storage!$Y$12,"")</f>
        <v>7989.7137659156924</v>
      </c>
      <c r="FS16" s="100">
        <f>H2_retrieval!$V$25*h2_demand_kt/1000</f>
        <v>8.16</v>
      </c>
      <c r="FT16" s="28">
        <f>IFERROR(FR16*(1+H2_retrieval!$V$34)/Carrier_properties!$U$7+H2_retrieval!$V$38,"")</f>
        <v>8021.6824917841595</v>
      </c>
      <c r="FU16" s="12"/>
      <c r="FV16" s="24">
        <f t="shared" si="30"/>
        <v>1.9729100600722784</v>
      </c>
      <c r="FW16" s="24">
        <f t="shared" si="43"/>
        <v>4.257461004416605</v>
      </c>
      <c r="FX16" s="24">
        <f t="shared" si="44"/>
        <v>6.0820072586355076</v>
      </c>
      <c r="FY16" s="24">
        <f t="shared" si="45"/>
        <v>1.9729100600722784</v>
      </c>
      <c r="FZ16" s="28">
        <f t="shared" si="46"/>
        <v>2260.5465030993951</v>
      </c>
      <c r="GA16" s="28">
        <f t="shared" si="47"/>
        <v>535.24870488395607</v>
      </c>
      <c r="GB16" s="28">
        <f t="shared" si="48"/>
        <v>390.228386677321</v>
      </c>
      <c r="GC16" s="28">
        <f t="shared" si="49"/>
        <v>603.4950096689879</v>
      </c>
      <c r="GD16" s="28">
        <f t="shared" si="50"/>
        <v>883.95859086337305</v>
      </c>
      <c r="GE16" s="28">
        <f t="shared" si="51"/>
        <v>1551.6160512564834</v>
      </c>
      <c r="GF16" s="28">
        <f t="shared" si="52"/>
        <v>1605.254823786237</v>
      </c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</row>
    <row r="17" spans="1:214" x14ac:dyDescent="0.2">
      <c r="A17" s="40" t="s">
        <v>37</v>
      </c>
      <c r="B17" s="12">
        <v>3460</v>
      </c>
      <c r="C17" s="12">
        <v>1</v>
      </c>
      <c r="D17" s="12">
        <f t="shared" si="0"/>
        <v>0</v>
      </c>
      <c r="E17" s="12"/>
      <c r="F17" s="12"/>
      <c r="G17" s="12"/>
      <c r="H17" s="16">
        <f t="shared" si="1"/>
        <v>382.75862068965517</v>
      </c>
      <c r="I17" s="16">
        <v>82663</v>
      </c>
      <c r="J17" s="16">
        <f t="shared" si="31"/>
        <v>162.21112822988036</v>
      </c>
      <c r="K17" s="16" t="str">
        <f t="shared" si="32"/>
        <v/>
      </c>
      <c r="L17" s="103">
        <v>0.153</v>
      </c>
      <c r="M17" s="103">
        <f t="shared" si="2"/>
        <v>0.14962169739395992</v>
      </c>
      <c r="N17" s="122">
        <f t="shared" si="33"/>
        <v>0.9</v>
      </c>
      <c r="O17" s="46">
        <f t="shared" si="3"/>
        <v>40</v>
      </c>
      <c r="P17" s="70">
        <f t="array" ref="P17">SUMPRODUCT(IF(Solar_data!A$4:A$777=A17,Solar_data!C$4:C$777),IF(Solar_data!A$4:A$777=A17,Solar_data!I$4:I$777))/SUMIF(Solar_data!A$4:A$777,A17,Solar_data!I$4:I$777)</f>
        <v>1652.2495665201498</v>
      </c>
      <c r="Q17" s="16">
        <f t="array" ref="Q17">MAX(IF(Solar_data!$A$777:'Solar_data'!$A$4=Country_details!$A17,Solar_data!$C$4:'Solar_data'!$C$777))</f>
        <v>2098.75</v>
      </c>
      <c r="R17" s="16">
        <f t="array" ref="R17">MIN(IF(Solar_data!$A$777:'Solar_data'!$A$4=Country_details!A17,Solar_data!$C$4:'Solar_data'!$C$777))</f>
        <v>1368.75</v>
      </c>
      <c r="S17" s="24">
        <f t="shared" si="4"/>
        <v>3.1369311072162192</v>
      </c>
      <c r="T17" s="24">
        <f t="shared" si="5"/>
        <v>2.4695619116624523</v>
      </c>
      <c r="U17" s="24">
        <f t="shared" si="6"/>
        <v>3.7866615978824263</v>
      </c>
      <c r="V17" s="16">
        <f t="array" ref="V17">SUM(IF(Solar_data!$A$777:'Solar_data'!$A$4=Country_details!$A17,Solar_data!$I$4:'Solar_data'!$I$777))</f>
        <v>1097.6684056504068</v>
      </c>
      <c r="W17" s="148"/>
      <c r="X17" s="16" t="str">
        <f>IFERROR(INDEX(Onshore_wind_data!$J$5:'Onshore_wind_data'!$J$221,MATCH(A17,Onshore_wind_data!$B$5:'Onshore_wind_data'!$B$221,0)),"")</f>
        <v/>
      </c>
      <c r="Y17" s="16" t="str">
        <f>IFERROR(INDEX(Onshore_wind_data!$K$5:'Onshore_wind_data'!$K$221,MATCH(A17,Onshore_wind_data!$B$5:'Onshore_wind_data'!$B$221,0)),"")</f>
        <v/>
      </c>
      <c r="Z17" s="16" t="str">
        <f>IFERROR(INDEX(Onshore_wind_data!$L$5:'Onshore_wind_data'!$L$221,MATCH(A17,Onshore_wind_data!$B$5:'Onshore_wind_data'!$B$221,0)),"")</f>
        <v/>
      </c>
      <c r="AA17" s="24" t="str">
        <f t="shared" si="7"/>
        <v/>
      </c>
      <c r="AB17" s="24" t="str">
        <f t="shared" si="8"/>
        <v/>
      </c>
      <c r="AC17" s="24" t="str">
        <f t="shared" si="9"/>
        <v/>
      </c>
      <c r="AD17" s="16">
        <f>IFERROR(INDEX(Onshore_wind_data!$I$5:'Onshore_wind_data'!$I$221,MATCH(A17,Onshore_wind_data!$B$5:'Onshore_wind_data'!$B$221,0)),"")</f>
        <v>0</v>
      </c>
      <c r="AE17" s="148"/>
      <c r="AF17" s="16" t="str">
        <f>INDEX(Offshore_wind_data!$AA$7:$AA$192,MATCH(Country_details!A17,Offshore_wind_data!$A$7:$A$192,0))</f>
        <v/>
      </c>
      <c r="AG17" s="16" t="str">
        <f>INDEX(Offshore_wind_data!$Y$7:$Y$192,MATCH(Country_details!A17,Offshore_wind_data!$A$7:$A$192,0))</f>
        <v/>
      </c>
      <c r="AH17" s="16" t="str">
        <f>INDEX(Offshore_wind_data!$Z$7:$Z$192,MATCH(Country_details!A17,Offshore_wind_data!$A$7:$A$192,0))</f>
        <v/>
      </c>
      <c r="AI17" s="24" t="str">
        <f t="shared" si="10"/>
        <v/>
      </c>
      <c r="AJ17" s="24" t="str">
        <f t="shared" si="11"/>
        <v/>
      </c>
      <c r="AK17" s="24" t="str">
        <f t="shared" si="12"/>
        <v/>
      </c>
      <c r="AL17" s="16">
        <f>INDEX(Offshore_wind_data!$W$7:$W$191,MATCH(A17,Offshore_wind_data!$A$7:$A$191,0))</f>
        <v>0</v>
      </c>
      <c r="AM17" s="148"/>
      <c r="AN17" s="12">
        <v>9.9</v>
      </c>
      <c r="AO17" s="12">
        <v>11</v>
      </c>
      <c r="AP17" s="34">
        <f>1.474*11.63</f>
        <v>17.142620000000001</v>
      </c>
      <c r="AQ17" s="15">
        <f t="shared" si="13"/>
        <v>50</v>
      </c>
      <c r="AR17" s="12">
        <f t="shared" si="34"/>
        <v>550</v>
      </c>
      <c r="AS17" s="16">
        <f t="shared" si="35"/>
        <v>547.66840565040684</v>
      </c>
      <c r="AT17" s="12"/>
      <c r="AU17" s="24">
        <f t="shared" si="14"/>
        <v>3.1369311072162192</v>
      </c>
      <c r="AV17" s="16">
        <f t="shared" si="15"/>
        <v>1652.2495665201498</v>
      </c>
      <c r="AW17" s="149">
        <f>HV_DC_Grid!$E$3/(1-AX17)*AU17/100*1000</f>
        <v>3405.1773158977544</v>
      </c>
      <c r="AX17" s="31">
        <f>(1-(1-HV_DC_Grid!$E$25)^(B17*C17*HV_DC_Grid!$E$8/1000))+(1-(1-HV_DC_Grid!$E$26)^(B17*D17*HV_DC_Grid!$E$8/1000))+HV_DC_Grid!$E$35*HV_DC_Grid!$E$28</f>
        <v>7.8775988383680925E-2</v>
      </c>
      <c r="AY17" s="28">
        <f>B17*nl_e_demand/IF(hv_dc_flh="electricity FLH",$AV17,hv_dc_custom)*1000*hv_dc_capacity_multiplier*hv_dc_length_multiplier*1000*(C17*hv_dc_overhead_invest*(hv_dc_overhead_opex+M17+1/hv_dc_lifetime)+D17*hv_dc_sea_invest*(hv_dc_sea_opex+M17+1/hv_dc_lifetime))/1000000+HV_DC_Grid!$E$10*1000*hv_dc_station_invest*hv_dc_station_number*(hv_dc_station_opex+M17+1/hv_dc_lifetime)/1000000</f>
        <v>3860.2181464708287</v>
      </c>
      <c r="AZ17" s="24">
        <f>(AW17+AY17)/(HV_DC_Grid!$E$3*1000)*100</f>
        <v>7.2653954623685832</v>
      </c>
      <c r="BA17" s="28">
        <f>MIN(((Carriers!$F$26+Carriers!$F$27)*(alk_el_opex+wacc_nl+1/alk_el_lifetime)+IF(hv_dc_flh="electricity FLH",$AV17,hv_dc_custom)*AZ17/100)/(IF(hv_dc_flh="electricity FLH",$AV17,hv_dc_custom)/alk_el_e_demand)*1000,((Carriers!$H$26+Carriers!$H$27)*(pem_el_opex+wacc_nl+1/pem_el_lifetime)+IF(hv_dc_flh="electricity FLH",$AV17,hv_dc_custom)*AZ17/100)/(IF(hv_dc_flh="electricity FLH",$AV17,hv_dc_custom)/pem_el_e_demand)*1000)</f>
        <v>4056.2800588858845</v>
      </c>
      <c r="BB17" s="12"/>
      <c r="BC17" s="12"/>
      <c r="BD17" s="149">
        <f>MIN(((Carriers!$F$26+Carriers!$F$27)*(alk_el_opex+M17+1/alk_el_lifetime)+$AV17*$AU17/100)/($AV17/alk_el_e_demand)*1000,((Carriers!$H$26+Carriers!$H$27)*(pem_el_opex+M17+1/pem_el_lifetime)+$AV17*$AU17/100)/($AV17/pem_el_e_demand)*1000)</f>
        <v>3928.7820935154004</v>
      </c>
      <c r="BE17" s="28">
        <f>Storage!$AC$50</f>
        <v>8.1664117557772418</v>
      </c>
      <c r="BF17" s="28">
        <f>((Pipeline!$D$22*Pipeline!$D$24*B17*(pipeline_opex+M17+1/pipeline_lifetime))*(Pipeline!$D$39/Pipeline!$D$3)+(Pipeline!$D$57*(pipeline_comp_opex+M17+1/pipeline_comp_lifetime)+Pipeline!$D$47*1000*Pipeline!$D$45*$AU17/100/1000000))*(Pipeline!$D$75/Pipeline!$D$45)</f>
        <v>8835.5388377457457</v>
      </c>
      <c r="BG17" s="28">
        <f>BD17+(BE17+BF17)/Storage!$AC$12*1000000</f>
        <v>4579.0545383316885</v>
      </c>
      <c r="BH17" s="28"/>
      <c r="BI17" s="28"/>
      <c r="BJ17" s="28" t="str">
        <f>IF($E17="","No Port",BK17*HV_DC_Grid!$E$3*$AU17/100*1000)</f>
        <v>No Port</v>
      </c>
      <c r="BK17" s="31" t="str">
        <f>IFERROR((1-(1-HV_DC_Grid!$E$25)^(K17*HV_DC_Grid!$E$8/1000))+HV_DC_Grid!$E$35*HV_DC_Grid!$E$28,"")</f>
        <v/>
      </c>
      <c r="BL17" s="28" t="str">
        <f>IFERROR(K17*nl_e_demand/IF(hv_dc_flh="electricity FLH",$AV17,hv_dc_custom)*1000*hv_dc_capacity_multiplier*hv_dc_length_multiplier*1000*(hv_dc_overhead_invest*(hv_dc_overhead_opex+M17+1/hv_dc_lifetime))/1000000+HV_DC_Grid!$E$10*1000*hv_dc_station_invest*hv_dc_station_number*(hv_dc_station_opex+M17+1/hv_dc_lifetime)/1000000,"")</f>
        <v/>
      </c>
      <c r="BM17" s="29" t="str">
        <f>IFERROR((BJ17+BL17)/(HV_DC_Grid!$E$3*1000)*100,"")</f>
        <v/>
      </c>
      <c r="BN17" s="28" t="str">
        <f>IFERROR(((Pipeline!$D$22*Pipeline!$D$24*K17*(pipeline_opex+M17+1/pipeline_lifetime))*(Pipeline!$D$39/Pipeline!$D$3)+(Pipeline!$D$57*(pipeline_comp_opex+M17+1/pipeline_comp_lifetime)+Pipeline!$D$47*1000*Pipeline!$D$45*S17/100/1000000))*(Pipeline!$D$75/Pipeline!$D$45),"")</f>
        <v/>
      </c>
      <c r="BO17" s="28"/>
      <c r="BP17" s="150">
        <f t="shared" si="16"/>
        <v>128.56396978666916</v>
      </c>
      <c r="BQ17" s="34">
        <f t="shared" si="17"/>
        <v>38.26110980089728</v>
      </c>
      <c r="BR17" s="151">
        <f>(nh3_invest*(M17+1/nh3_lifetime)/nh3_prod+nh3_opex+nh3_e_demand*1000*$AU17/100+Carriers!$N$18/Carriers!$N$23*BD17+Carriers!$N$19/Carriers!$N$23*BQ17)*(BT17+nh3_st_ab_losses)/1000000</f>
        <v>66187.092454498808</v>
      </c>
      <c r="BS17" s="63">
        <f>nh3_st_nl_cost*nh3_st_nl_demand/1000000+(nh3_st_invest*(M17+1/nh3_st_lifetime+nh3_st_opex)/(Storage!$G$63/1000000)+nh3_st_e_demand*1000*$AU17/100)*(BT17+nh3_st_ab_losses)/1000000+Carriers!$N$18/Carriers!$N$23*((BT17+nh3_st_ab_losses)/365.25*short_st_duration_hrs/24)*(h2_short_st_invest*(1/gh2_short_st_lifetime+$M17+h2_short_st_opex)+h2_short_st_e_demand*1000*$AU17/100)/1000000+Carriers!$N$19/Carriers!$N$23*((BT17+nh3_st_ab_losses)/365.25*short_st_duration_hrs/24)*(n2_short_st_invest*(1/n2_short_st_lifetime+$M17+n2_short_st_opex)+n2_short_st_e_demand*1000*$AU17/100)/1000000</f>
        <v>3663.1610958236515</v>
      </c>
      <c r="BT17" s="63">
        <f>Storage!$G$57/((1-Shipping!$H$37)^(F17/24/Shipping!$H$44+0.5*Shipping!$H$59))</f>
        <v>76857210.785724297</v>
      </c>
      <c r="BU17" s="63" t="str">
        <f>IF($E17="","No Port",((F17/24/Shipping!$H$44+F17/24/Shipping!$H$50+Shipping!$H$59+Shipping!$H$64)*(Shipping!$H$22+wacc_nl*Shipping!$H$19/365.25*1000000+Shipping!$H$35)+(F17/24/Shipping!$H$44*Shipping!$H$45+Shipping!$H$64*Shipping!$H$65)*IF(bunker_choice="HFO",H17,IF(bunker_choice="hydrogen",BD17*hfo_e_density_lhv/h2_e_density_lhv,(BR17+BS17)*1000000/BT17*hfo_e_density_lhv/nh3_e_density_lhv))+(F17/24/Shipping!$H$50*Shipping!$H$51+Shipping!$H$59*Shipping!$H$60)*IF(bunker_choice="HFO",bunker_price_ROT,IF(bunker_choice="hydrogen",BD17*hfo_e_density_lhv/h2_e_density_lhv,(BR17+BS17)*1000000/BT17*hfo_e_density_lhv/nh3_e_density_lhv))+Shipping!$H$73+IF(G17="Panama",Shipping!$H$55,0)+IF(G17="Suez",Shipping!$H$56,0))/Shipping!$H$31*BT17/1000000+IF(inland_transport_to_port="hv dc grid",$BM17/100*1000*BW17,IF(inland_transport_to_port="pipeline",$BN17,0)))</f>
        <v>No Port</v>
      </c>
      <c r="BV17" s="63" t="str">
        <f t="shared" si="18"/>
        <v/>
      </c>
      <c r="BW17" s="33">
        <f>((Carriers!$N$18/Carriers!$N$23*alk_el_e_demand)+(Carriers!$N$19/Carriers!$N$23*n2_e_demand)+nh3_e_demand)*(BT17+nh3_st_ab_losses)/1000000+nh3_st_e_demand*BT17/1000000</f>
        <v>759.00171168026975</v>
      </c>
      <c r="BX17" s="33">
        <f t="shared" si="19"/>
        <v>0.76626754477640768</v>
      </c>
      <c r="BY17" s="63" t="str">
        <f>IFERROR(BV17*1000000/Storage!$G$12,"")</f>
        <v/>
      </c>
      <c r="BZ17" s="63">
        <f>H2_retrieval!$F$25*h2_demand_kt/1000</f>
        <v>80</v>
      </c>
      <c r="CA17" s="63" t="str">
        <f>IFERROR(BY17*(1+H2_retrieval!$F$34)/Carrier_properties!$E$7+H2_retrieval!$F$38,"")</f>
        <v/>
      </c>
      <c r="CB17" s="149">
        <f>(FA_invest*(M17+1/FA_lifetime)/FA_prod+FA_opex+FA_e_demand*1000*$AU17/100+Carriers!$P$18/Carriers!$P$23*BD17+Carriers!$P$20/Carriers!$P$23*co2_liq_cost)*(CF17+FA_st_ab_losses)/1000000</f>
        <v>131082.32877563345</v>
      </c>
      <c r="CC17" s="86">
        <f>(FA_invest*(M17+1/FA_lifetime)/FA_prod+FA_opex+FA_e_demand*1000*$AU17/100+Carriers!$P$18/Carriers!$P$23*BD17+Carriers!$P$20/Carriers!$P$23*BP17)*(CF17+FA_st_ab_losses)/1000000</f>
        <v>162341.63773398791</v>
      </c>
      <c r="CD17" s="63">
        <f>FA_st_nl_cost*FA_st_nl_demand/1000000+(FA_st_invest*(M17+1/FA_st_lifetime+FA_st_opex)/(Storage!$I$63/1000000)+FA_st_e_demand*1000*$AU17/100)*(CF17+FA_st_ab_losses)/1000000+co2_st_nl_cost*Storage!$I$12*co2_density/FA_density/1000000+(co2_st_opex_lev+co2_st_invest_lev+co2_st_e_demand*1000*$AU17/100)*Storage!$I$12/1000000+co2_st_invest_lev*Storage!$I$12*co2_st_lifetime*M17/1000000+Carriers!$P$18/Carriers!$P$23*((CF17+FA_st_ab_losses)/365.25*short_st_duration_hrs/24)*(h2_short_st_invest*(1/gh2_short_st_lifetime+$M17+h2_short_st_opex)+h2_short_st_e_demand*1000*$AU17/100)/1000000+Carriers!$P$20/Carriers!$P$23*((CF17+FA_st_ab_losses)/365.25*short_st_duration_hrs/24)*(co2_short_st_invest*(1/co2_short_st_lifetime+$M17+co2_short_st_opex)+co2_short_st_e_demand*1000*$AU17/100)/1000000</f>
        <v>12716.127202651174</v>
      </c>
      <c r="CE17" s="63">
        <f>FA_st_nl_cost*FA_st_nl_demand/1000000+(FA_st_invest*(M17+1/FA_st_lifetime+FA_st_opex)/(Storage!$I$63/1000000)+FA_st_e_demand*1000*$AU17/100)*(CF17+FA_st_ab_losses)/1000000+Carriers!$P$18/Carriers!$P$23*((CF17+FA_st_ab_losses)/365.25*short_st_duration_hrs/24)*(h2_short_st_invest*(1/gh2_short_st_lifetime+$M17+h2_short_st_opex)+h2_short_st_e_demand*1000*$AU17/100)/1000000+Carriers!$P$20/Carriers!$P$23*((CF17+FA_st_ab_losses)/365.25*short_st_duration_hrs/24)*(co2_short_st_invest*(1/co2_short_st_lifetime+$M17+co2_short_st_opex)+co2_short_st_e_demand*1000*$AU17/100)/1000000</f>
        <v>5530.4792182903657</v>
      </c>
      <c r="CF17" s="63">
        <f>Storage!$I$57/((1-Shipping!$J$37)^($F17/24/Shipping!$J$44+0.5*Shipping!$J$59))</f>
        <v>310425396.82539684</v>
      </c>
      <c r="CG17" s="28" t="str">
        <f>IF($E17="","No Port",((F17/24/Shipping!$J$44+F17/24/Shipping!$J$50+Shipping!$J$59+Shipping!$J$64)*(Shipping!$J$22+wacc_nl*Shipping!$J$19/365.25*1000000+Shipping!$J$35)+(F17/24/Shipping!$J$44*Shipping!$J$45+Shipping!$J$64*Shipping!$J$65)*IF(bunker_choice="HFO",$H17,IF(bunker_choice="hydrogen",$BD17*hfo_e_density_lhv/h2_e_density_lhv,(CB17+CD17)*1000000/CF17*hfo_e_density_lhv/FA_e_density_lhv))+(F17/24/Shipping!$J$50*Shipping!$J$51+Shipping!$J$59*Shipping!$J$60)*IF(bunker_choice="HFO",bunker_price_ROT,IF(bunker_choice="hydrogen",$BD17*hfo_e_density_lhv/h2_e_density_lhv,(CB17+CD17)*1000000/CF17*hfo_e_density_lhv/FA_e_density_lhv))+Shipping!$J$73+IF(G17="Panama",Shipping!$J$55,0)+IF(G17="Suez",Shipping!$J$56,0))/Shipping!$J$31*CF17/1000000+IF(inland_transport_to_port="hv dc grid",$BM17/100*1000*CI17,IF(inland_transport_to_port="pipeline",$BN17,0)))</f>
        <v>No Port</v>
      </c>
      <c r="CH17" s="28" t="str">
        <f t="shared" si="36"/>
        <v/>
      </c>
      <c r="CI17" s="29">
        <f>((Carriers!$P$18/Carriers!$P$23*alk_el_e_demand)+FA_e_demand)*(CF17+FA_st_ab_losses)/1000000+FA_st_e_demand*CF17/1000000</f>
        <v>1897.8881241622576</v>
      </c>
      <c r="CJ17" s="29">
        <f t="shared" si="20"/>
        <v>0.46563809523809524</v>
      </c>
      <c r="CK17" s="28" t="str">
        <f>IFERROR(CH17*1000000/Storage!$I$12,"")</f>
        <v/>
      </c>
      <c r="CL17" s="28" t="str">
        <f>IF($E17="","No Port",((F17/24/Shipping!$J$44+F17/24/Shipping!$J$50+Shipping!$J$59+Shipping!$J$64)*Carriers!$P$39*wacc_nl))</f>
        <v>No Port</v>
      </c>
      <c r="CM17" s="29">
        <f>H2_retrieval!$H$25*h2_demand_kt/1000+(co2_liq_e_demand+co2_st_e_demand*2)*Storage!$I$12*co2_density/FA_density/1000000</f>
        <v>94.204253879484654</v>
      </c>
      <c r="CN17" s="28" t="str">
        <f>IFERROR((((CB17+CD17+CG17)*(1+H2_retrieval!$H$34)+CL17)*1000000/H2_retrieval!$H$8)+h2_regen_fa,"")</f>
        <v/>
      </c>
      <c r="CO17" s="149">
        <f>(meoh_invest*(M17+1/meoh_lifetime)/meoh_prod+meoh_opex+meoh_e_demand*1000*$AU17/100+Carriers!$R$18/Carriers!$R$23*BD17+Carriers!$R$20/Carriers!$R$23*co2_liq_cost)*(CS17+meoh_st_ab_losses)/1000000</f>
        <v>85381.861294850125</v>
      </c>
      <c r="CP17" s="86">
        <f>(meoh_invest*(M17+1/meoh_lifetime)/meoh_prod+meoh_opex+meoh_e_demand*1000*$AU17/100+Carriers!$R$18/Carriers!$R$23*BD17+Carriers!$R$20/Carriers!$R$23*BP17)*(CS17+meoh_st_ab_losses)/1000000</f>
        <v>103732.0406856773</v>
      </c>
      <c r="CQ17" s="63">
        <f>meoh_st_nl_cost*meoh_st_nl_demand/1000000+(meoh_st_invest*(M17+1/meoh_st_lifetime+meoh_st_opex)/(Storage!$K$63/1000000)+meoh_st_e_demand*1000*$AU17/100)*(CS17+meoh_st_ab_losses)/1000000+co2_st_nl_cost*Storage!$K$12*co2_density/meoh_density/1000000+(co2_st_opex_lev+co2_st_invest_lev+co2_st_e_demand*1000*IFERROR(MIN(S17,AA17,AI17),S17)/100)*Storage!$K$12/1000000+co2_st_invest_lev*Storage!$K$12*co2_st_lifetime*M17/1000000+Carriers!$R$18/Carriers!$R$23*((CS17+meoh_st_ab_losses)/365.25*short_st_duration_hrs/24)*(h2_short_st_invest*(1/gh2_short_st_lifetime+$M17+h2_short_st_opex)+h2_short_st_e_demand*1000*$AU17/100)/1000000+Carriers!$R$20/Carriers!$R$23*((CF17+meoh_st_ab_losses)/365.25*short_st_duration_hrs/24)*(co2_short_st_invest*(1/co2_short_st_lifetime+$M17+co2_short_st_opex)+co2_short_st_e_demand*1000*$AU17/100)/1000000</f>
        <v>5307.2146508125888</v>
      </c>
      <c r="CR17" s="63">
        <f>meoh_st_nl_cost*meoh_st_nl_demand/1000000+(meoh_st_invest*(M17+1/meoh_st_lifetime+meoh_st_opex)/(Storage!$K$63/1000000)+meoh_st_e_demand*1000*$AU17/100)*(CS17+meoh_st_ab_losses)/1000000+Carriers!$R$18/Carriers!$R$23*((CS17+meoh_st_ab_losses)/365.25*short_st_duration_hrs/24)*(h2_short_st_invest*(1/gh2_short_st_lifetime+$M17+h2_short_st_opex)+h2_short_st_e_demand*1000*$AU17/100)/1000000+Carriers!$R$20/Carriers!$R$23*((CF17+meoh_st_ab_losses)/365.25*short_st_duration_hrs/24)*(co2_short_st_invest*(1/co2_short_st_lifetime+$M17+co2_short_st_opex)+co2_short_st_e_demand*1000*$AU17/100)/1000000</f>
        <v>2207.2319442395014</v>
      </c>
      <c r="CS17" s="63">
        <f>Storage!$K$57/((1-Shipping!$L$37)^($F17/24/Shipping!$L$44+0.5*Shipping!$L$59))</f>
        <v>108044444.44444443</v>
      </c>
      <c r="CT17" s="28" t="str">
        <f>IF($E17="","No Port",IF(AND(ship_choice="VLCC",G17="Panama"),"Ship cannot pass through Panama",IF(ship_choice="VLCC",((F17/24/Shipping!$AD$44+F17/24/Shipping!$AD$50+Shipping!$AD$59+Shipping!$AD$64)*(Shipping!$AD$22+wacc_nl*Shipping!$AD$19/365.25*1000000+Shipping!$AD$35)+(F17/24/Shipping!$AD$44*Shipping!$AD$45+Shipping!$AD$64*Shipping!$AD$65)*IF(bunker_choice="HFO",$H17,IF(bunker_choice="hydrogen",$BD17*hfo_e_density_lhv/h2_e_density_lhv,(CO17+CQ17)*1000000/CS17*hfo_e_density_lhv/meoh_e_density_lhv))+(F17/24/Shipping!$AD$50*Shipping!$AD$51+Shipping!$AD$59*Shipping!$AD$60)*IF(bunker_choice="HFO",bunker_price_ROT,IF(bunker_choice="hydrogen",$BD17*hfo_e_density_lhv/h2_e_density_lhv,(CO17+CQ17)*1000000/CS17*hfo_e_density_lhv/meoh_e_density_lhv))+Shipping!$AD$73+IF(G17="Panama",Shipping!$AD$55,0)+IF(G17="Suez",Shipping!$AD$56,0))/Shipping!$AD$31*CS17/1000000+IF(inland_transport_to_port="hv dc grid",$BM17/100*1000*CV17,IF(inland_transport_to_port="pipeline",$BN17,0)),((F17/24/Shipping!$L$44+F17/24/Shipping!$L$50+Shipping!$L$59+Shipping!$L$64)*(Shipping!$L$22+wacc_nl*Shipping!$L$19/365.25*1000000+Shipping!$L$35)+(F17/24/Shipping!$L$44*Shipping!$L$45+Shipping!$L$64*Shipping!$L$65)*IF(bunker_choice="HFO",$H17,IF(bunker_choice="hydrogen",$BD17*hfo_e_density_lhv/h2_e_density_lhv,(CO17+CQ17)*1000000/CS17*hfo_e_density_lhv/meoh_e_density_lhv))+(F17/24/Shipping!$L$50*Shipping!$L$51+Shipping!$L$59*Shipping!$L$60)*IF(bunker_choice="HFO",bunker_price_ROT,IF(bunker_choice="hydrogen",$BD17*hfo_e_density_lhv/h2_e_density_lhv,(CO17+CQ17)*1000000/CS17*hfo_e_density_lhv/meoh_e_density_lhv))+Shipping!$L$73+IF(G17="Panama",Shipping!$L$55,0)+IF(G17="Suez",Shipping!$L$56,0))/Shipping!$L$31*CS17/1000000+IF(inland_transport_to_port="hv dc grid",$BM17/100*1000*CV17,IF(inland_transport_to_port="pipeline",$BN17,0)))))</f>
        <v>No Port</v>
      </c>
      <c r="CU17" s="28" t="str">
        <f t="shared" si="37"/>
        <v/>
      </c>
      <c r="CV17" s="29">
        <f>((Carriers!$R$18/Carriers!$R$23*alk_el_e_demand)+meoh_e_demand)*(CS17+meoh_st_ab_losses)/1000000+meoh_st_e_demand*CS17/1000000</f>
        <v>1119.9789871111109</v>
      </c>
      <c r="CW17" s="29">
        <f t="shared" si="21"/>
        <v>0.16206666666666666</v>
      </c>
      <c r="CX17" s="28" t="str">
        <f>IFERROR(CU17*1000000/Storage!$K$12,"")</f>
        <v/>
      </c>
      <c r="CY17" s="28" t="str">
        <f>IF($E17="","No Port",((F17/24/Shipping!$L$44+F17/24/Shipping!$L$50+Shipping!$L$59+Shipping!$L$64)*Carriers!$R$39*wacc_nl))</f>
        <v>No Port</v>
      </c>
      <c r="CZ17" s="29">
        <f>H2_retrieval!$J$25*h2_demand_kt/1000+(co2_liq_e_demand+co2_st_e_demand*2)*Storage!$K$12*co2_density/meoh_density/1000000</f>
        <v>251.05079059698966</v>
      </c>
      <c r="DA17" s="28" t="str">
        <f>IFERROR((((CO17+CQ17+CT17)*(1+H2_retrieval!$J$34)+CY17)*1000000/H2_retrieval!$J$8)+h2_regen_meoh,"")</f>
        <v/>
      </c>
      <c r="DB17" s="149">
        <f>(DBT_invest*(M17+1/DBT_lifetime)/DBT_prod+DBT_opex+DBT_e_demand*1000*$AU17/100+Carriers!$T$18/Carriers!$T$23*BD17)*(DD17+DBT_st_ab_losses)/1000000</f>
        <v>56988.756972202755</v>
      </c>
      <c r="DC17" s="28">
        <f>2*(DBT_st_nl_cost*DBT_st_nl_demand/1000000+(DBT_st_invest*(M17+1/DBT_st_lifetime+DBT_st_opex)/(Storage!$M$63/1000000)+DBT_st_e_demand*1000*$AU17/100)*(DD17+DBT_st_ab_losses)/1000000)+Carriers!$T$18/Carriers!$T$23*((DD17+DBT_st_ab_losses)/365.25*short_st_duration_hrs/24)*(h2_short_st_invest*(1/gh2_short_st_lifetime+$M17+h2_short_st_opex)+h2_short_st_e_demand*1000*$AU17/100)/1000000</f>
        <v>4493.7282708328421</v>
      </c>
      <c r="DD17" s="63">
        <f>Storage!$M$57/((1-Shipping!$N$37)^($F17/24/Shipping!$N$44+0.5*Shipping!$N$59))</f>
        <v>219354838.70967743</v>
      </c>
      <c r="DE17" s="28" t="str">
        <f>IF($E17="","No Port",IF(AND(ship_choice="VLCC",G17="Panama"),"Ship cannot pass through Panama",IF(ship_choice="VLCC",((F17/24/Shipping!$AD$44+F17/24/Shipping!$AD$50+Shipping!$AD$59+Shipping!$AD$64)*(Shipping!$AD$22+wacc_nl*Shipping!$AD$19/365.25*1000000+Shipping!$AD$35)+(F17/24/Shipping!$AD$44*Shipping!$AD$45+Shipping!$AD$64*Shipping!$AD$65)*IF(bunker_choice="HFO",$H17,IF(bunker_choice="hydrogen",$BD17*hfo_e_density_lhv/h2_e_density_lhv,(DB17+DC17)*1000000/DD17*hfo_e_density_lhv/DBT_e_density_lhv))+(F17/24/Shipping!$AD$50*Shipping!$AD$51+Shipping!$AD$59*Shipping!$AD$60)*IF(bunker_choice="HFO",bunker_price_ROT,IF(bunker_choice="hydrogen",$BD17*hfo_e_density_lhv/h2_e_density_lhv,(DB17+DC17)*1000000/DD17*hfo_e_density_lhv/DBT_e_density_lhv))+Shipping!$AD$73+IF(G17="Panama",Shipping!$AD$55,0)+IF(G17="Suez",Shipping!$AD$56,0))/Shipping!$AD$31*DD17/1000000+IF(inland_transport_to_port="hv dc grid",$BM17/100*1000*DG17,IF(inland_transport_to_port="pipeline",$BN17,0)),((F17/24/Shipping!$N$44+F17/24/Shipping!$N$50+Shipping!$N$59+Shipping!$N$64)*(Shipping!$N$22+wacc_nl*Shipping!$N$19/365.25*1000000+Shipping!$N$35)+(F17/24/Shipping!$N$44*Shipping!$N$45+Shipping!$N$64*Shipping!$N$65)*IF(bunker_choice="HFO",$H17,IF(bunker_choice="hydrogen",$BD17*hfo_e_density_lhv/h2_e_density_lhv,(DB17+DC17)*1000000/DD17*hfo_e_density_lhv/DBT_e_density_lhv))+(F17/24/Shipping!$N$50*Shipping!$N$51+Shipping!$N$59*Shipping!$N$60)*IF(bunker_choice="HFO",bunker_price_ROT,IF(bunker_choice="hydrogen",$BD17*hfo_e_density_lhv/h2_e_density_lhv,(DB17+DC17)*1000000/DD17*hfo_e_density_lhv/DBT_e_density_lhv))+Shipping!$N$73+IF(G17="Panama",Shipping!$N$55,0)+IF(G17="Suez",Shipping!$N$56,0))/Shipping!$N$31*Shipping!$N$86/1000000+IF(inland_transport_to_port="hv dc grid",$BM17/100*1000*DG17,IF(inland_transport_to_port="pipeline",$BN17,0)))))</f>
        <v>No Port</v>
      </c>
      <c r="DF17" s="28" t="str">
        <f t="shared" si="53"/>
        <v/>
      </c>
      <c r="DG17" s="29">
        <f>((Carriers!$T$18/Carriers!$T$23*alk_el_e_demand)+DBT_e_demand)*(DD17+DBT_st_ab_losses)/1000000+DBT_st_e_demand*DD17/1000000</f>
        <v>703.88335483870969</v>
      </c>
      <c r="DH17" s="29">
        <f t="shared" si="23"/>
        <v>0.21935483870967742</v>
      </c>
      <c r="DI17" s="28" t="str">
        <f>IFERROR(DF17*1000000/Storage!$M$12,"")</f>
        <v/>
      </c>
      <c r="DJ17" s="28" t="str">
        <f>IF($E17="","No Port",((F17/24/Shipping!$N$44+F17/24/Shipping!$N$50+Shipping!$N$59+Shipping!$N$64)*Carriers!$T$39*wacc_nl))</f>
        <v>No Port</v>
      </c>
      <c r="DK17" s="100">
        <f>H2_retrieval!$L$25*h2_demand_kt/1000+(co2_liq_e_demand+co2_st_e_demand*2)*Storage!$M$12*co2_density/DBT_density/1000000</f>
        <v>206.61934861671787</v>
      </c>
      <c r="DL17" s="28" t="str">
        <f>IFERROR(((DF17*(1+H2_retrieval!$L$34)+DJ17)*1000000/H2_retrieval!$L$8)+h2_regen_lohc,"")</f>
        <v/>
      </c>
      <c r="DM17" s="149">
        <f t="shared" si="24"/>
        <v>58096.504302852642</v>
      </c>
      <c r="DN17" s="16">
        <f>2*(nabh4_st_nl_cost*nabh4_st_nl_demand/1000000+(nabh4_st_invest*(M17+1/nabh4_st_lifetime+nabh4_st_opex)/(Storage!$O$63/1000000)+nabh4_st_e_demand*1000*$AU17/100)*(DO17+nabh4_st_ab_losses)/1000000)+(h2_demand_kt*1000/365.25*short_st_duration_hrs/24)*(h2_short_st_invest*(1/gh2_short_st_lifetime+$M17+h2_short_st_opex)+h2_short_st_e_demand*1000*$AU17/100)/1000000</f>
        <v>1544.0458938875604</v>
      </c>
      <c r="DO17" s="63">
        <f>Storage!$O$57/((1-Shipping!$P$37)^($F17/24/Shipping!$P$44+0.5*Shipping!$P$59))</f>
        <v>63920000</v>
      </c>
      <c r="DP17" s="16" t="str">
        <f>IF($E17="","No Port",((F17/24/Shipping!$P$44+F17/24/Shipping!$P$50+Shipping!$P$59+Shipping!$P$64)*(Shipping!$P$22+wacc_nl*Shipping!$P$19/365.25*1000000+Shipping!$P$35)+(F17/24/Shipping!$P$44*Shipping!$P$45+Shipping!$P$64*Shipping!$P$65)*IF(bunker_choice="HFO",$H17,IF(bunker_choice="hydrogen",$BD17*hfo_e_density_lhv/h2_e_density_lhv,(DM17+DN17)*1000000/DO17*hfo_e_density_lhv/nabh4_e_density_lhv))+(F17/24/Shipping!$P$50*Shipping!$P$51+Shipping!$P$59*Shipping!$P$60)*IF(bunker_choice="HFO",bunker_price_ROT,IF(bunker_choice="hydrogen",$BD17*hfo_e_density_lhv/h2_e_density_lhv,(DM17+DN17)*1000000/DO17*hfo_e_density_lhv/nabh4_e_density_lhv))+Shipping!$P$73+IF(G17="Panama",Shipping!$P$55,0)+IF(G17="Suez",Shipping!$P$56,0))/Shipping!$P$31*(DO17+nabh4_st_ab_losses)/1000000+IF(inland_transport_to_port="hv dc grid",$BM17/100*1000*DR17,IF(inland_transport_to_port="pipeline",$BN17,0)))</f>
        <v>No Port</v>
      </c>
      <c r="DQ17" s="28" t="str">
        <f t="shared" si="38"/>
        <v/>
      </c>
      <c r="DR17" s="29">
        <f>((Carriers!$V$18/Carriers!$V$23*alk_el_e_demand)+nabh4_e_demand)*(DO17+nabh4_st_ab_losses)/1000000+nabh4_st_e_demand*DO17/1000000</f>
        <v>980.02139682539689</v>
      </c>
      <c r="DS17" s="28">
        <f t="shared" si="25"/>
        <v>3.1960000000000002</v>
      </c>
      <c r="DT17" s="28" t="str">
        <f>IFERROR(DQ17*1000000/Storage!$O$12,"")</f>
        <v/>
      </c>
      <c r="DU17" s="28" t="str">
        <f>IF($E17="","No Port",((F17/24/Shipping!$P$44+F17/24/Shipping!$P$50+Shipping!$P$59+Shipping!$P$64)*Carriers!$V$39*wacc_nl))</f>
        <v>No Port</v>
      </c>
      <c r="DV17" s="100">
        <f>H2_retrieval!$N$25*h2_demand_kt/1000+(co2_liq_e_demand+co2_st_e_demand*2)*Storage!$O$12*co2_density/nabh4_density/1000000</f>
        <v>18.783638728971958</v>
      </c>
      <c r="DW17" s="28" t="str">
        <f>IFERROR(((DQ17*(1+H2_retrieval!$N$34)+DU17)*1000000/H2_retrieval!$N$8)+h2_regen_nabh4,"")</f>
        <v/>
      </c>
      <c r="DX17" s="149">
        <f>(Dme_invest*(M17+1/Dme_lifetime)/Dme_prod+Dme_opex+Dme_e_demand*1000*$AU17/100+Carriers!$X$21/Carriers!$X$23*(CO17*1000000/CS17))*(EB17+Dme_st_ab_losses)/1000000</f>
        <v>119414.46989710219</v>
      </c>
      <c r="DY17" s="86">
        <f>(Dme_invest*(M17+1/Dme_lifetime)/Dme_prod+Dme_opex+Dme_e_demand*1000*$AU17/100+Carriers!$X$21/Carriers!$X$23*(CP17*1000000/CS17))*(EB17+Dme_st_ab_losses)/1000000</f>
        <v>144309.49788969904</v>
      </c>
      <c r="DZ17" s="63">
        <f>Dme_st_nl_cost*Dme_st_nl_demand/1000000+(Dme_st_invest*(M17+1/Dme_st_lifetime+Dme_st_opex)/(Storage!$Q$63/1000000)+Dme_st_e_demand*1000*$AU17/100)*(EB17+Dme_st_ab_losses)/1000000+co2_st_nl_cost*Storage!$Q$12*co2_density/Dme_density/1000000+(co2_st_opex_lev+co2_st_invest_lev+co2_st_e_demand*1000*$AU17/100)*Storage!$Q$12/1000000+co2_st_invest_lev*Storage!$Q$12*co2_st_lifetime*M17/1000000+(h2_demand_kt*1000/365.25*short_st_duration_hrs/24)*(h2_short_st_invest*(1/gh2_short_st_lifetime+$M17+h2_short_st_opex)+h2_short_st_e_demand*1000*$AU17/100)/1000000</f>
        <v>6375.2422077276142</v>
      </c>
      <c r="EA17" s="63">
        <f>Dme_st_nl_cost*Dme_st_nl_demand/1000000+(Dme_st_invest*(M17+1/Dme_st_lifetime+Dme_st_opex)/(Storage!$Q$63/1000000)+Dme_st_e_demand*1000*$AU17/100)*(EB17+Dme_st_ab_losses)/1000000+(h2_demand_kt*1000/365.25*short_st_duration_hrs/24)*(h2_short_st_invest*(1/gh2_short_st_lifetime+$M17+h2_short_st_opex)+h2_short_st_e_demand*1000*$AU17/100)/1000000</f>
        <v>3277.3957153789975</v>
      </c>
      <c r="EB17" s="63">
        <f>Storage!$Q$57/((1-Shipping!$R$37)^($F17/24/Shipping!$R$44+0.5*Shipping!$R$59))</f>
        <v>103547089.94708996</v>
      </c>
      <c r="EC17" s="153" t="str">
        <f>IF($E17="","No Port",IF(AND(ship_choice="VLCC",G17="Panama"),"Ship cannot pass through Panama",IF(ship_choice="VLCC",((F17/24/Shipping!$AD$44+F17/24/Shipping!$AD$50+Shipping!$AD$59+Shipping!$AD$64)*(Shipping!$AD$22+wacc_nl*Shipping!$AD$19/365.25*1000000+Shipping!$AD$35)+(F17/24/Shipping!$AD$44*Shipping!$AD$45+Shipping!$AD$64*Shipping!$AD$65)*IF(bunker_choice="HFO",$H17,IF(bunker_choice="hydrogen",$BD17*hfo_e_density_lhv/h2_e_density_lhv,(DX17+DZ17)*1000000/EB17*hfo_e_density_lhv/Dme_e_density_lhv))+(F17/24/Shipping!$AD$50*Shipping!$AD$51+Shipping!$AD$59*Shipping!$AD$60)*IF(bunker_choice="HFO",bunker_price_ROT,IF(bunker_choice="hydrogen",$BD17*hfo_e_density_lhv/h2_e_density_lhv,(DX17+DZ17)*1000000/EB17*hfo_e_density_lhv/Dme_e_density_lhv))+Shipping!$AD$73+IF(G17="Panama",Shipping!$AD$55,0)+IF(G17="Suez",Shipping!$AD$56,0))/Shipping!$AD$31*(EB17+Dme_st_ab_losses)/1000000+IF(inland_transport_to_port="hv dc grid",$BM17/100*1000*EE17,IF(inland_transport_to_port="pipeline",$BN17,0)),((F17/24/Shipping!$R$44+F17/24/Shipping!$R$50+Shipping!$R$59+Shipping!$R$64)*(Shipping!$R$22+wacc_nl*Shipping!$R$19/365.25*1000000+Shipping!$R$35)+(F17/24/Shipping!$R$44*Shipping!$R$45+Shipping!$R$64*Shipping!$R$65)*IF(bunker_choice="HFO",$H17,IF(bunker_choice="hydrogen",$BD17*hfo_e_density_lhv/h2_e_density_lhv,(DX17+DZ17)*1000000/EB17*hfo_e_density_lhv/Dme_e_density_lhv))+(F17/24/Shipping!$R$50*Shipping!$R$51+Shipping!$R$59*Shipping!$R$60)*IF(bunker_choice="HFO",bunker_price_ROT,IF(bunker_choice="hydrogen",$BD17*hfo_e_density_lhv/h2_e_density_lhv,(DX17+DZ17)*1000000/EB17*hfo_e_density_lhv/Dme_e_density_lhv))+Shipping!$R$73+IF(G17="Panama",Shipping!$R$55,0)+IF(G17="Suez",Shipping!$R$56,0))/Shipping!$R$31*(EB17+Dme_st_ab_losses)/1000000+IF(inland_transport_to_port="hv dc grid",$BM17/100*1000*EE17,IF(inland_transport_to_port="pipeline",$BN17,0)))))</f>
        <v>No Port</v>
      </c>
      <c r="ED17" s="28" t="str">
        <f t="shared" si="39"/>
        <v/>
      </c>
      <c r="EE17" s="29">
        <f>(Dme_e_demand)*(EB17+Dme_st_ab_losses)/1000000+Dme_st_e_demand*DZ17/1000000+$CV17*(Carriers!$X$21/Carriers!$X$23*EB17)/$CS17</f>
        <v>1550.216823919478</v>
      </c>
      <c r="EF17" s="29">
        <f t="shared" si="26"/>
        <v>1.0354708994708997</v>
      </c>
      <c r="EG17" s="28" t="str">
        <f>IFERROR(ED17*1000000/Storage!$Q$12,"")</f>
        <v/>
      </c>
      <c r="EH17" s="28" t="str">
        <f>IF($E17="","No Port",((F17/24/Shipping!$R$44+F17/24/Shipping!$R$50+Shipping!$R$59+Shipping!$R$64)*Carriers!$X$39*wacc_nl))</f>
        <v>No Port</v>
      </c>
      <c r="EI17" s="100">
        <f>H2_retrieval!$P$25*h2_demand_kt/1000+(co2_liq_e_demand+co2_st_e_demand*2)*Storage!$Q$12*co2_density/Dme_density/1000000</f>
        <v>252.45335899349112</v>
      </c>
      <c r="EJ17" s="28" t="str">
        <f>IFERROR((((DX17+DZ17+EC17)*(1+H2_retrieval!$P$34)+EH17)*1000000/H2_retrieval!$P$8)+h2_regen_dme,"")</f>
        <v/>
      </c>
      <c r="EK17" s="149">
        <f>(ome_invest*(M17+1/ome_lifetime)/ome_prod+ome_opex+ome_e_demand*1000*$AU17/100+Carriers!$Z$21/Carriers!$Z$23*(CO17*1000000/CS17))*(EO17+ome_st_ab_losses)/1000000</f>
        <v>258476.74188834176</v>
      </c>
      <c r="EL17" s="86">
        <f>(ome_invest*(M17+1/ome_lifetime)/ome_prod+ome_opex+ome_e_demand*1000*$AU17/100+Carriers!$Z$21/Carriers!$Z$23*(CP17*1000000/CS17))*(EO17+ome_st_ab_losses)/1000000</f>
        <v>310736.25178646739</v>
      </c>
      <c r="EM17" s="63">
        <f>ome_st_nl_cost*ome_st_nl_demand/1000000+(ome_st_invest*(M17+1/ome_st_lifetime+ome_st_opex)/(Storage!$S$63/1000000)+ome_st_e_demand*1000*$AU17/100)*(EO17+ome_st_ab_losses)/1000000+co2_st_nl_cost*Storage!$S$12*co2_density/ome_density/1000000+(co2_st_opex_lev+co2_st_invest_lev+co2_st_e_demand*1000*$AU17/100)*Storage!$S$12/1000000+co2_st_invest_lev*Storage!$S$12*co2_st_lifetime*M17/1000000+(h2_demand_kt*1000/365.25*short_st_duration_hrs/24)*(h2_short_st_invest*(1/gh2_short_st_lifetime+$M17+h2_short_st_opex)+h2_short_st_e_demand*1000*$AU17/100)/1000000</f>
        <v>5477.797074840144</v>
      </c>
      <c r="EN17" s="63">
        <f>ome_st_nl_cost*ome_st_nl_demand/1000000+(ome_st_invest*(M17+1/ome_st_lifetime+ome_st_opex)/(Storage!$S$63/1000000)+ome_st_e_demand*1000*$AU17/100)*(EO17+ome_st_ab_losses)/1000000+(h2_demand_kt*1000/365.25*short_st_duration_hrs/24)*(h2_short_st_invest*(1/gh2_short_st_lifetime+$M17+h2_short_st_opex)+h2_short_st_e_demand*1000*$AU17/100)/1000000</f>
        <v>1978.9012338411144</v>
      </c>
      <c r="EO17" s="63">
        <f>Storage!$S$57/((1-Shipping!$T$37)^($F17/24/Shipping!$T$44+0.5*Shipping!$T$59))</f>
        <v>128282539.68253967</v>
      </c>
      <c r="EP17" s="28" t="str">
        <f>IF($E17="","No Port",IF(AND(ship_choice="VLCC",G17="Panama"),"Ship cannot pass through Panama",IF(ship_choice="VLCC",((F17/24/Shipping!$AD$44+F17/24/Shipping!$AD$50+Shipping!$AD$59+Shipping!$AD$64)*(Shipping!$AD$22+wacc_nl*Shipping!$AD$19/365.25*1000000+Shipping!$AD$35)+(F17/24/Shipping!$AD$44*Shipping!$AD$45+Shipping!$AD$64*Shipping!$AD$65)*IF(bunker_choice="HFO",$H17,IF(bunker_choice="hydrogen",$BD17*hfo_e_density_lhv/h2_e_density_lhv,(EK17+EM17)*1000000/EO17*hfo_e_density_lhv/Dme_e_density_lhv))+(F17/24/Shipping!$AD$50*Shipping!$AD$51+Shipping!$AD$59*Shipping!$AD$60)*IF(bunker_choice="HFO",bunker_price_ROT,IF(bunker_choice="hydrogen",$BD17*hfo_e_density_lhv/h2_e_density_lhv,(EK17+EM17)*1000000/EO17*hfo_e_density_lhv/ome_e_density_lhv))+Shipping!$AD$73+IF(G17="Panama",Shipping!$AD$55,0)+IF(G17="Suez",Shipping!$AD$56,0))/Shipping!$AD$31*(EO17+ome_st_ab_losses)/1000000+IF(inland_transport_to_port="hv dc grid",$BM17/100*1000*ER17,IF(inland_transport_to_port="pipeline",$BN17,0)),((F17/24/Shipping!$T$44+F17/24/Shipping!$T$50+Shipping!$T$59+Shipping!$T$64)*(Shipping!$T$22+wacc_nl*Shipping!$T$19/365.25*1000000+Shipping!$T$35)+(F17/24/Shipping!$T$44*Shipping!$T$45+Shipping!$T$64*Shipping!$T$65)*IF(bunker_choice="HFO",$H17,IF(bunker_choice="hydrogen",$BD17*hfo_e_density_lhv/h2_e_density_lhv,(EK17+EM17)*1000000/EO17*hfo_e_density_lhv/Dme_e_density_lhv))+(F17/24/Shipping!$T$50*Shipping!$T$51+Shipping!$T$59*Shipping!$T$60)*IF(bunker_choice="HFO",bunker_price_ROT,IF(bunker_choice="hydrogen",$BD17*hfo_e_density_lhv/h2_e_density_lhv,(EK17+EM17)*1000000/EO17*hfo_e_density_lhv/ome_e_density_lhv))+Shipping!$T$73+IF(G17="Panama",Shipping!$T$55,0)+IF(G17="Suez",Shipping!$T$56,0))/Shipping!$T$31*(EO17+ome_st_ab_losses)/1000000+IF(inland_transport_to_port="hv dc grid",$BM17/100*1000*ER17,IF(inland_transport_to_port="pipeline",$BN17,0)))))</f>
        <v>No Port</v>
      </c>
      <c r="EQ17" s="28" t="str">
        <f t="shared" si="40"/>
        <v/>
      </c>
      <c r="ER17" s="29">
        <f>(ome_e_demand)*(EO17+ome_st_ab_losses)/1000000+ome_st_e_demand*EM17/1000000+$CV17*(Carriers!$Z$21/Carriers!$Z$23*EO17)/$CS17</f>
        <v>3352.0814583574793</v>
      </c>
      <c r="ES17" s="29">
        <f t="shared" si="27"/>
        <v>0.1924238095238095</v>
      </c>
      <c r="ET17" s="28" t="str">
        <f>IFERROR(EQ17*1000000/Storage!$S$12,"")</f>
        <v/>
      </c>
      <c r="EU17" s="28" t="str">
        <f>IF($E17="","No Port",((F17/24/Shipping!$T$44+F17/24/Shipping!$T$50+Shipping!$T$59+Shipping!$T$64)*Carriers!$Z$39*wacc_nl))</f>
        <v>No Port</v>
      </c>
      <c r="EV17" s="100">
        <f>H2_retrieval!$R$25*h2_demand_kt/1000+(co2_liq_e_demand+co2_st_e_demand*2)*Storage!$S$12*co2_density/ome_density/1000000</f>
        <v>254.51942895252085</v>
      </c>
      <c r="EW17" s="28" t="str">
        <f>IFERROR((((EK17+EM17+EP17)*(1+H2_retrieval!$R$34)+EU17)*1000000/H2_retrieval!$R$8)+h2_regen_ome,"")</f>
        <v/>
      </c>
      <c r="EX17" s="149">
        <f>(sng_invest*(M17+1/sng_lifetime)/sng_prod+lng_invest*(M17+1/lng_lifetime)/lng_prod+sng_opex+lng_opex+(sng_e_demand+lng_e_demand)*1000*$AU17/100+Carriers!$AB$18/Carriers!$AB$23*BD17+Carriers!$AB$20/Carriers!$AB$23*co2_liq_cost)*(FB17+lng_st_ab_losses)/1000000</f>
        <v>90179.060030255627</v>
      </c>
      <c r="EY17" s="86">
        <f>(sng_invest*(M17+1/sng_lifetime)/sng_prod+lng_invest*(M17+1/lng_lifetime)/lng_prod+sng_opex+lng_opex+(sng_e_demand+lng_e_demand)*1000*$AU17/100+Carriers!$AB$18/Carriers!$AB$23*BD17+Carriers!$AB$20/Carriers!$AB$23*BP17)*(FB17+lng_st_ab_losses)/1000000</f>
        <v>103747.98408584764</v>
      </c>
      <c r="EZ17" s="63">
        <f>lng_st_nl_cost*lng_st_nl_demand/1000000+(lng_st_invest*(M17+1/lng_st_lifetime+lng_st_opex)/(Storage!$U$63/1000000)+lng_st_e_demand*1000*$AU17/100)*(FB17+lng_st_ab_losses)/1000000+co2_st_nl_cost*Storage!$U$12*co2_density/lng_density/1000000+(co2_st_opex_lev+co2_st_invest_lev+co2_st_e_demand*1000*$AU17/100)*Storage!$U$12/1000000+co2_st_invest_lev*Storage!$U$12*co2_st_lifetime*M17/1000000+Carriers!$AB$18/Carriers!$AB$23*((FB17+lng_st_ab_losses)/365.25*short_st_duration_hrs/24)*(h2_short_st_invest*(1/gh2_short_st_lifetime+$M17+h2_short_st_opex)+h2_short_st_e_demand*1000*$AU17/100)/1000000+Carriers!$AB$20/Carriers!$AB$23*((FB17+lng_st_ab_losses)/365.25*short_st_duration_hrs/24)*(co2_short_st_invest*(1/co2_short_st_lifetime+$M17+co2_short_st_opex)+co2_short_st_e_demand*1000*$AU17/100)/1000000</f>
        <v>6737.1297578081858</v>
      </c>
      <c r="FA17" s="63">
        <f>lng_st_nl_cost*lng_st_nl_demand/1000000+(lng_st_invest*(M17+1/lng_st_lifetime+lng_st_opex)/(Storage!$U$63/1000000)+lng_st_e_demand*1000*$AU17/100)*(FB17+lng_st_ab_losses)/1000000+Carriers!$AB$18/Carriers!$AB$23*((FB17+lng_st_ab_losses)/365.25*short_st_duration_hrs/24)*(h2_short_st_invest*(1/gh2_short_st_lifetime+$M17+h2_short_st_opex)+h2_short_st_e_demand*1000*$AU17/100)/1000000+Carriers!$AB$20/Carriers!$AB$23*((FB17+lng_st_ab_losses)/365.25*short_st_duration_hrs/24)*(co2_short_st_invest*(1/co2_short_st_lifetime+$M17+co2_short_st_opex)+co2_short_st_e_demand*1000*$AU17/100)/1000000</f>
        <v>5085.2750316252141</v>
      </c>
      <c r="FB17" s="63">
        <f>Storage!$U$57/((1-Shipping!$V$37)^($F17/24/Shipping!$V$44+0.5*Shipping!$V$59))</f>
        <v>40707231.50721889</v>
      </c>
      <c r="FC17" s="28" t="str">
        <f>IF($E17="","No Port",IF(G17="Panama","Ship cannot pass through Panama",((F17/24/Shipping!$V$44+F17/24/Shipping!$V$50+Shipping!$V$59+Shipping!$V$64)*(Shipping!$V$22+wacc_nl*Shipping!$V$19/365.25*1000000+Shipping!$V$35)+(F17/24/Shipping!$V$44*Shipping!$V$45+Shipping!$V$64*Shipping!$V$65)*IF(bunker_choice="HFO",$H17,IF(bunker_choice="hydrogen",$BD17*hfo_e_density_lhv/h2_e_density_lhv,(EX17+EZ17)*1000000/FB17*hfo_e_density_lhv/lng_e_density_lhv))+(F17/24/Shipping!$V$50*Shipping!$V$51+Shipping!$V$59*Shipping!$V$60)*IF(bunker_choice="HFO",bunker_price_ROT,IF(bunker_choice="hydrogen",$BD17*hfo_e_density_lhv/h2_e_density_lhv,(EX17+EZ17)*1000000/FB17*hfo_e_density_lhv/lng_e_density_lhv))+Shipping!$V$73+IF(G17="Panama",Shipping!$V$55,0)+IF(G17="Suez",Shipping!$V$56,0))/Shipping!$V$31*(FB17+lng_st_ab_losses)/1000000)+IF(inland_transport_to_port="hv dc grid",$BM17/100*1000*FE17,IF(inland_transport_to_port="pipeline",$BN17,0)))</f>
        <v>No Port</v>
      </c>
      <c r="FD17" s="28" t="str">
        <f t="shared" si="41"/>
        <v/>
      </c>
      <c r="FE17" s="29">
        <f>((Carriers!$AB$18/Carriers!$AB$23*alk_el_e_demand)+sng_e_demand+lng_e_demand)*(FB17+lng_st_ab_losses)/1000000+lng_st_e_demand*EZ17/1000000</f>
        <v>1091.7518937712446</v>
      </c>
      <c r="FF17" s="29">
        <f t="shared" si="28"/>
        <v>0.8126185861001558</v>
      </c>
      <c r="FG17" s="28" t="str">
        <f>IFERROR(FD17*1000000/Storage!$U$12,"")</f>
        <v/>
      </c>
      <c r="FH17" s="28" t="str">
        <f>IF($E17="","No Port",((F17/24/Shipping!$V$44+F17/24/Shipping!$V$50+Shipping!$V$59+Shipping!$V$64)*Carriers!$AB$39*wacc_nl))</f>
        <v>No Port</v>
      </c>
      <c r="FI17" s="100">
        <f>H2_retrieval!$T$25*h2_demand_kt/1000+(co2_liq_e_demand+co2_st_e_demand*2)*Storage!$U$12*co2_density/lng_density/1000000</f>
        <v>236.51371749646054</v>
      </c>
      <c r="FJ17" s="28" t="str">
        <f>IFERROR((((EX17+EZ17+FC17)*(1+H2_retrieval!$T$34)+FH17)*1000000/H2_retrieval!$T$8)+h2_regen_lng,"")</f>
        <v/>
      </c>
      <c r="FK17" s="149">
        <f>(lh2_invest*(M17+1/lh2_lifetime)/lh2_prod+lh2_opex+lh2_e_demand*1000*$AU17/100+Carriers!$AD$18/Carriers!$AD$23*BD17)*(FM17+lh2_st_ab_losses)/1000000</f>
        <v>68814.062903667247</v>
      </c>
      <c r="FL17" s="28">
        <f>lh2_st_nl_cost*lh2_st_nl_demand/1000000+(lh2_st_invest*(M17+1/lh2_st_lifetime+lh2_st_opex)/(Storage!$Y$63/1000000)+lh2_st_e_demand*1000*$AU17/100)*(FM17+lh2_st_ab_losses)/1000000+((FM17+lh2_st_ab_losses)/365.25*short_st_duration_hrs/24)*(h2_short_st_invest*(1/gh2_short_st_lifetime+$M17+h2_short_st_opex)+h2_short_st_e_demand*1000*$AU17/100)/1000000</f>
        <v>58414.434742013378</v>
      </c>
      <c r="FM17" s="63">
        <f>Storage!$Y$57/((1-Shipping!$Z$37)^($F17/24/Shipping!$Z$44+0.5*Shipping!$Z$59))</f>
        <v>13659984.090217989</v>
      </c>
      <c r="FN17" s="28" t="str">
        <f>IF($E17="","No Port",IF(G17="Panama","Ship cannot pass through Panama",((F17/24/Shipping!$Z$44+F17/24/Shipping!$Z$50+Shipping!$Z$59+Shipping!$Z$64)*(Shipping!$Z$22+wacc_nl*Shipping!$Z$19/365.25*1000000+Shipping!$Z$35)+(F17/24/Shipping!$Z$44*Shipping!$Z$45+Shipping!$Z$64*Shipping!$Z$65)*IF(bunker_choice="HFO",$H17,IF(bunker_choice="hydrogen",$BD17*hfo_e_density_lhv/h2_e_density_lhv,(FK17+FL17)*1000000/FM17*hfo_e_density_lhv/lh2_e_density_lhv))+(F17/24/Shipping!$Z$50*Shipping!$Z$51+Shipping!$Z$59*Shipping!$Z$60)*IF(bunker_choice="HFO",bunker_price_ROT,IF(bunker_choice="hydrogen",$BD17*hfo_e_density_lhv/h2_e_density_lhv,(FK17+FL17)*1000000/FM17*hfo_e_density_lhv/lh2_e_density_lhv))+Shipping!$Z$73+IF(G17="Panama",Shipping!$Z$55,0)+IF(G17="Suez",Shipping!$Z$56,0))/Shipping!$Z$31*(FM17+lh2_st_ab_losses)/1000000)+IF(inland_transport_to_port="hv dc grid",$BM17/100*1000*FP17,IF(inland_transport_to_port="pipeline",$BN17,0)))</f>
        <v>No Port</v>
      </c>
      <c r="FO17" s="28" t="str">
        <f t="shared" si="42"/>
        <v/>
      </c>
      <c r="FP17" s="29">
        <f>((Carriers!$AD$18/Carriers!$AD$23*alk_el_e_demand)+lh2_e_demand)*(FM17+lh2_st_ab_losses)/1000000+lh2_st_e_demand*FM17/1000000</f>
        <v>791.60233245091877</v>
      </c>
      <c r="FQ17" s="100">
        <f t="shared" si="29"/>
        <v>1.361902463475859</v>
      </c>
      <c r="FR17" s="28" t="str">
        <f>IFERROR(FO17*1000000/Storage!$Y$12,"")</f>
        <v/>
      </c>
      <c r="FS17" s="100">
        <f>H2_retrieval!$V$25*h2_demand_kt/1000</f>
        <v>8.16</v>
      </c>
      <c r="FT17" s="28" t="str">
        <f>IFERROR(FR17*(1+H2_retrieval!$V$34)/Carrier_properties!$U$7+H2_retrieval!$V$38,"")</f>
        <v/>
      </c>
      <c r="FU17" s="12"/>
      <c r="FV17" s="24">
        <f t="shared" si="30"/>
        <v>3.1369311072162192</v>
      </c>
      <c r="FW17" s="24" t="str">
        <f t="shared" si="43"/>
        <v/>
      </c>
      <c r="FX17" s="24" t="str">
        <f t="shared" si="44"/>
        <v/>
      </c>
      <c r="FY17" s="24">
        <f t="shared" si="45"/>
        <v>3.1369311072162192</v>
      </c>
      <c r="FZ17" s="28">
        <f t="shared" si="46"/>
        <v>3928.7820935154004</v>
      </c>
      <c r="GA17" s="28">
        <f t="shared" si="47"/>
        <v>861.16958679422453</v>
      </c>
      <c r="GB17" s="28">
        <f t="shared" si="48"/>
        <v>522.96506469571909</v>
      </c>
      <c r="GC17" s="28">
        <f t="shared" si="49"/>
        <v>960.08676076830102</v>
      </c>
      <c r="GD17" s="28">
        <f t="shared" si="50"/>
        <v>1393.6605844107999</v>
      </c>
      <c r="GE17" s="28">
        <f t="shared" si="51"/>
        <v>2422.2801680996126</v>
      </c>
      <c r="GF17" s="28">
        <f t="shared" si="52"/>
        <v>2548.6376804438128</v>
      </c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</row>
    <row r="18" spans="1:214" x14ac:dyDescent="0.2">
      <c r="A18" s="40" t="s">
        <v>38</v>
      </c>
      <c r="B18" s="12">
        <v>7624</v>
      </c>
      <c r="C18" s="12">
        <v>1</v>
      </c>
      <c r="D18" s="12">
        <f t="shared" si="0"/>
        <v>0</v>
      </c>
      <c r="E18" s="12" t="s">
        <v>700</v>
      </c>
      <c r="F18" s="12">
        <v>8013</v>
      </c>
      <c r="G18" s="12" t="s">
        <v>692</v>
      </c>
      <c r="H18" s="16">
        <f t="shared" si="1"/>
        <v>382.75862068965517</v>
      </c>
      <c r="I18" s="16">
        <v>130170</v>
      </c>
      <c r="J18" s="16">
        <f t="shared" si="31"/>
        <v>203.55441013287833</v>
      </c>
      <c r="K18" s="27">
        <f t="shared" si="32"/>
        <v>244.26529215945399</v>
      </c>
      <c r="L18" s="103">
        <v>0.13800000000000001</v>
      </c>
      <c r="M18" s="103">
        <f t="shared" si="2"/>
        <v>0.13901509567616172</v>
      </c>
      <c r="N18" s="122">
        <f t="shared" si="33"/>
        <v>0.9</v>
      </c>
      <c r="O18" s="46">
        <f t="shared" si="3"/>
        <v>40</v>
      </c>
      <c r="P18" s="70">
        <f t="array" ref="P18">SUMPRODUCT(IF(Solar_data!A$4:A$777=A18,Solar_data!C$4:C$777),IF(Solar_data!A$4:A$777=A18,Solar_data!I$4:I$777))/SUMIF(Solar_data!A$4:A$777,A18,Solar_data!I$4:I$777)</f>
        <v>1892.9605903331274</v>
      </c>
      <c r="Q18" s="16">
        <f t="array" ref="Q18">MAX(IF(Solar_data!$A$777:'Solar_data'!$A$4=Country_details!$A18,Solar_data!$C$4:'Solar_data'!$C$777))</f>
        <v>1916.25</v>
      </c>
      <c r="R18" s="16">
        <f t="array" ref="R18">MIN(IF(Solar_data!$A$777:'Solar_data'!$A$4=Country_details!A18,Solar_data!$C$4:'Solar_data'!$C$777))</f>
        <v>1733.75</v>
      </c>
      <c r="S18" s="24">
        <f t="shared" si="4"/>
        <v>2.5848817491514664</v>
      </c>
      <c r="T18" s="24">
        <f t="shared" si="5"/>
        <v>2.5534660309537305</v>
      </c>
      <c r="U18" s="24">
        <f t="shared" si="6"/>
        <v>2.8222519289488606</v>
      </c>
      <c r="V18" s="16">
        <f t="array" ref="V18">SUM(IF(Solar_data!$A$777:'Solar_data'!$A$4=Country_details!$A18,Solar_data!$I$4:'Solar_data'!$I$777))</f>
        <v>1026.1463058398579</v>
      </c>
      <c r="W18" s="148"/>
      <c r="X18" s="16" t="str">
        <f>IFERROR(INDEX(Onshore_wind_data!$J$5:'Onshore_wind_data'!$J$221,MATCH(A18,Onshore_wind_data!$B$5:'Onshore_wind_data'!$B$221,0)),"")</f>
        <v/>
      </c>
      <c r="Y18" s="16" t="str">
        <f>IFERROR(INDEX(Onshore_wind_data!$K$5:'Onshore_wind_data'!$K$221,MATCH(A18,Onshore_wind_data!$B$5:'Onshore_wind_data'!$B$221,0)),"")</f>
        <v/>
      </c>
      <c r="Z18" s="16" t="str">
        <f>IFERROR(INDEX(Onshore_wind_data!$L$5:'Onshore_wind_data'!$L$221,MATCH(A18,Onshore_wind_data!$B$5:'Onshore_wind_data'!$B$221,0)),"")</f>
        <v/>
      </c>
      <c r="AA18" s="24" t="str">
        <f t="shared" si="7"/>
        <v/>
      </c>
      <c r="AB18" s="24" t="str">
        <f t="shared" si="8"/>
        <v/>
      </c>
      <c r="AC18" s="24" t="str">
        <f t="shared" si="9"/>
        <v/>
      </c>
      <c r="AD18" s="16">
        <f>IFERROR(INDEX(Onshore_wind_data!$I$5:'Onshore_wind_data'!$I$221,MATCH(A18,Onshore_wind_data!$B$5:'Onshore_wind_data'!$B$221,0)),"")</f>
        <v>0</v>
      </c>
      <c r="AE18" s="148"/>
      <c r="AF18" s="16" t="str">
        <f>INDEX(Offshore_wind_data!$AA$7:$AA$192,MATCH(Country_details!A18,Offshore_wind_data!$A$7:$A$192,0))</f>
        <v/>
      </c>
      <c r="AG18" s="16" t="str">
        <f>INDEX(Offshore_wind_data!$Y$7:$Y$192,MATCH(Country_details!A18,Offshore_wind_data!$A$7:$A$192,0))</f>
        <v/>
      </c>
      <c r="AH18" s="16" t="str">
        <f>INDEX(Offshore_wind_data!$Z$7:$Z$192,MATCH(Country_details!A18,Offshore_wind_data!$A$7:$A$192,0))</f>
        <v/>
      </c>
      <c r="AI18" s="24" t="str">
        <f t="shared" si="10"/>
        <v/>
      </c>
      <c r="AJ18" s="24" t="str">
        <f t="shared" si="11"/>
        <v/>
      </c>
      <c r="AK18" s="24" t="str">
        <f t="shared" si="12"/>
        <v/>
      </c>
      <c r="AL18" s="16">
        <f>INDEX(Offshore_wind_data!$W$7:$W$191,MATCH(A18,Offshore_wind_data!$A$7:$A$191,0))</f>
        <v>0</v>
      </c>
      <c r="AM18" s="148"/>
      <c r="AN18" s="12">
        <v>164.7</v>
      </c>
      <c r="AO18" s="12">
        <v>201.9</v>
      </c>
      <c r="AP18" s="34">
        <f>0.2155*11.63</f>
        <v>2.506265</v>
      </c>
      <c r="AQ18" s="15">
        <f t="shared" si="13"/>
        <v>50</v>
      </c>
      <c r="AR18" s="12">
        <f t="shared" si="34"/>
        <v>10095</v>
      </c>
      <c r="AS18" s="16">
        <f t="shared" si="35"/>
        <v>-9068.8536941601415</v>
      </c>
      <c r="AT18" s="12"/>
      <c r="AU18" s="24">
        <f t="shared" si="14"/>
        <v>2.5848817491514664</v>
      </c>
      <c r="AV18" s="16">
        <f t="shared" si="15"/>
        <v>1892.9605903331274</v>
      </c>
      <c r="AW18" s="149">
        <f>HV_DC_Grid!$E$3/(1-AX18)*AU18/100*1000</f>
        <v>3045.3122730530185</v>
      </c>
      <c r="AX18" s="31">
        <f>(1-(1-HV_DC_Grid!$E$25)^(B18*C18*HV_DC_Grid!$E$8/1000))+(1-(1-HV_DC_Grid!$E$26)^(B18*D18*HV_DC_Grid!$E$8/1000))+HV_DC_Grid!$E$35*HV_DC_Grid!$E$28</f>
        <v>0.15119320536542435</v>
      </c>
      <c r="AY18" s="28">
        <f>B18*nl_e_demand/IF(hv_dc_flh="electricity FLH",$AV18,hv_dc_custom)*1000*hv_dc_capacity_multiplier*hv_dc_length_multiplier*1000*(C18*hv_dc_overhead_invest*(hv_dc_overhead_opex+M18+1/hv_dc_lifetime)+D18*hv_dc_sea_invest*(hv_dc_sea_opex+M18+1/hv_dc_lifetime))/1000000+HV_DC_Grid!$E$10*1000*hv_dc_station_invest*hv_dc_station_number*(hv_dc_station_opex+M18+1/hv_dc_lifetime)/1000000</f>
        <v>7464.3288048021686</v>
      </c>
      <c r="AZ18" s="24">
        <f>(AW18+AY18)/(HV_DC_Grid!$E$3*1000)*100</f>
        <v>10.509641077855187</v>
      </c>
      <c r="BA18" s="28">
        <f>MIN(((Carriers!$F$26+Carriers!$F$27)*(alk_el_opex+wacc_nl+1/alk_el_lifetime)+IF(hv_dc_flh="electricity FLH",$AV18,hv_dc_custom)*AZ18/100)/(IF(hv_dc_flh="electricity FLH",$AV18,hv_dc_custom)/alk_el_e_demand)*1000,((Carriers!$H$26+Carriers!$H$27)*(pem_el_opex+wacc_nl+1/pem_el_lifetime)+IF(hv_dc_flh="electricity FLH",$AV18,hv_dc_custom)*AZ18/100)/(IF(hv_dc_flh="electricity FLH",$AV18,hv_dc_custom)/pem_el_e_demand)*1000)</f>
        <v>5722.8490315613526</v>
      </c>
      <c r="BB18" s="12"/>
      <c r="BC18" s="12"/>
      <c r="BD18" s="149">
        <f>MIN(((Carriers!$F$26+Carriers!$F$27)*(alk_el_opex+M18+1/alk_el_lifetime)+$AV18*$AU18/100)/($AV18/alk_el_e_demand)*1000,((Carriers!$H$26+Carriers!$H$27)*(pem_el_opex+M18+1/pem_el_lifetime)+$AV18*$AU18/100)/($AV18/pem_el_e_demand)*1000)</f>
        <v>3249.7762699655764</v>
      </c>
      <c r="BE18" s="28">
        <f>Storage!$AC$50</f>
        <v>8.1664117557772418</v>
      </c>
      <c r="BF18" s="28">
        <f>((Pipeline!$D$22*Pipeline!$D$24*B18*(pipeline_opex+M18+1/pipeline_lifetime))*(Pipeline!$D$39/Pipeline!$D$3)+(Pipeline!$D$57*(pipeline_comp_opex+M18+1/pipeline_comp_lifetime)+Pipeline!$D$47*1000*Pipeline!$D$45*$AU18/100/1000000))*(Pipeline!$D$75/Pipeline!$D$45)</f>
        <v>18379.232751584455</v>
      </c>
      <c r="BG18" s="28">
        <f>BD18+(BE18+BF18)/Storage!$AC$12*1000000</f>
        <v>4601.7909143288289</v>
      </c>
      <c r="BH18" s="28"/>
      <c r="BI18" s="28"/>
      <c r="BJ18" s="28">
        <f>IF($E18="","No Port",BK18*HV_DC_Grid!$E$3*$AU18/100*1000)</f>
        <v>48.380351000566904</v>
      </c>
      <c r="BK18" s="31">
        <f>IFERROR((1-(1-HV_DC_Grid!$E$25)^(K18*HV_DC_Grid!$E$8/1000))+HV_DC_Grid!$E$35*HV_DC_Grid!$E$28,"")</f>
        <v>1.8716659288746426E-2</v>
      </c>
      <c r="BL18" s="28">
        <f>IFERROR(K18*nl_e_demand/IF(hv_dc_flh="electricity FLH",$AV18,hv_dc_custom)*1000*hv_dc_capacity_multiplier*hv_dc_length_multiplier*1000*(hv_dc_overhead_invest*(hv_dc_overhead_opex+M18+1/hv_dc_lifetime))/1000000+HV_DC_Grid!$E$10*1000*hv_dc_station_invest*hv_dc_station_number*(hv_dc_station_opex+M18+1/hv_dc_lifetime)/1000000,"")</f>
        <v>683.83073100446984</v>
      </c>
      <c r="BM18" s="29">
        <f>IFERROR((BJ18+BL18)/(HV_DC_Grid!$E$3*1000)*100,"")</f>
        <v>0.73221108200503671</v>
      </c>
      <c r="BN18" s="28">
        <f>IFERROR(((Pipeline!$D$22*Pipeline!$D$24*K18*(pipeline_opex+M18+1/pipeline_lifetime))*(Pipeline!$D$39/Pipeline!$D$3)+(Pipeline!$D$57*(pipeline_comp_opex+M18+1/pipeline_comp_lifetime)+Pipeline!$D$47*1000*Pipeline!$D$45*S18/100/1000000))*(Pipeline!$D$75/Pipeline!$D$45),"")</f>
        <v>672.01789007991044</v>
      </c>
      <c r="BO18" s="28"/>
      <c r="BP18" s="150">
        <f t="shared" si="16"/>
        <v>120.22439745841393</v>
      </c>
      <c r="BQ18" s="34">
        <f t="shared" si="17"/>
        <v>35.998930439089577</v>
      </c>
      <c r="BR18" s="151">
        <f>(nh3_invest*(M18+1/nh3_lifetime)/nh3_prod+nh3_opex+nh3_e_demand*1000*$AU18/100+Carriers!$N$18/Carriers!$N$23*BD18+Carriers!$N$19/Carriers!$N$23*BQ18)*(BT18+nh3_st_ab_losses)/1000000</f>
        <v>59009.607635709726</v>
      </c>
      <c r="BS18" s="63">
        <f>nh3_st_nl_cost*nh3_st_nl_demand/1000000+(nh3_st_invest*(M18+1/nh3_st_lifetime+nh3_st_opex)/(Storage!$G$63/1000000)+nh3_st_e_demand*1000*$AU18/100)*(BT18+nh3_st_ab_losses)/1000000+Carriers!$N$18/Carriers!$N$23*((BT18+nh3_st_ab_losses)/365.25*short_st_duration_hrs/24)*(h2_short_st_invest*(1/gh2_short_st_lifetime+$M18+h2_short_st_opex)+h2_short_st_e_demand*1000*$AU18/100)/1000000+Carriers!$N$19/Carriers!$N$23*((BT18+nh3_st_ab_losses)/365.25*short_st_duration_hrs/24)*(n2_short_st_invest*(1/n2_short_st_lifetime+$M18+n2_short_st_opex)+n2_short_st_e_demand*1000*$AU18/100)/1000000</f>
        <v>3656.6849317825404</v>
      </c>
      <c r="BT18" s="63">
        <f>Storage!$G$57/((1-Shipping!$H$37)^(F18/24/Shipping!$H$44+0.5*Shipping!$H$59))</f>
        <v>80849311.548708454</v>
      </c>
      <c r="BU18" s="63">
        <f>IF($E18="","No Port",((F18/24/Shipping!$H$44+F18/24/Shipping!$H$50+Shipping!$H$59+Shipping!$H$64)*(Shipping!$H$22+wacc_nl*Shipping!$H$19/365.25*1000000+Shipping!$H$35)+(F18/24/Shipping!$H$44*Shipping!$H$45+Shipping!$H$64*Shipping!$H$65)*IF(bunker_choice="HFO",H18,IF(bunker_choice="hydrogen",BD18*hfo_e_density_lhv/h2_e_density_lhv,(BR18+BS18)*1000000/BT18*hfo_e_density_lhv/nh3_e_density_lhv))+(F18/24/Shipping!$H$50*Shipping!$H$51+Shipping!$H$59*Shipping!$H$60)*IF(bunker_choice="HFO",bunker_price_ROT,IF(bunker_choice="hydrogen",BD18*hfo_e_density_lhv/h2_e_density_lhv,(BR18+BS18)*1000000/BT18*hfo_e_density_lhv/nh3_e_density_lhv))+Shipping!$H$73+IF(G18="Panama",Shipping!$H$55,0)+IF(G18="Suez",Shipping!$H$56,0))/Shipping!$H$31*BT18/1000000+IF(inland_transport_to_port="hv dc grid",$BM18/100*1000*BW18,IF(inland_transport_to_port="pipeline",$BN18,0)))</f>
        <v>6606.9260409024982</v>
      </c>
      <c r="BV18" s="63">
        <f t="shared" si="18"/>
        <v>69273.21860839476</v>
      </c>
      <c r="BW18" s="33">
        <f>((Carriers!$N$18/Carriers!$N$23*alk_el_e_demand)+(Carriers!$N$19/Carriers!$N$23*n2_e_demand)+nh3_e_demand)*(BT18+nh3_st_ab_losses)/1000000+nh3_st_e_demand*BT18/1000000</f>
        <v>798.3929542318607</v>
      </c>
      <c r="BX18" s="33">
        <f t="shared" si="19"/>
        <v>0.76626754477640768</v>
      </c>
      <c r="BY18" s="63">
        <f>IFERROR(BV18*1000000/Storage!$G$12,"")</f>
        <v>904.78758824818999</v>
      </c>
      <c r="BZ18" s="63">
        <f>H2_retrieval!$F$25*h2_demand_kt/1000</f>
        <v>80</v>
      </c>
      <c r="CA18" s="63">
        <f>IFERROR(BY18*(1+H2_retrieval!$F$34)/Carrier_properties!$E$7+H2_retrieval!$F$38,"")</f>
        <v>5502.8449949668793</v>
      </c>
      <c r="CB18" s="149">
        <f>(FA_invest*(M18+1/FA_lifetime)/FA_prod+FA_opex+FA_e_demand*1000*$AU18/100+Carriers!$P$18/Carriers!$P$23*BD18+Carriers!$P$20/Carriers!$P$23*co2_liq_cost)*(CF18+FA_st_ab_losses)/1000000</f>
        <v>112107.73553319644</v>
      </c>
      <c r="CC18" s="86">
        <f>(FA_invest*(M18+1/FA_lifetime)/FA_prod+FA_opex+FA_e_demand*1000*$AU18/100+Carriers!$P$18/Carriers!$P$23*BD18+Carriers!$P$20/Carriers!$P$23*BP18)*(CF18+FA_st_ab_losses)/1000000</f>
        <v>141218.15879699017</v>
      </c>
      <c r="CD18" s="63">
        <f>FA_st_nl_cost*FA_st_nl_demand/1000000+(FA_st_invest*(M18+1/FA_st_lifetime+FA_st_opex)/(Storage!$I$63/1000000)+FA_st_e_demand*1000*$AU18/100)*(CF18+FA_st_ab_losses)/1000000+co2_st_nl_cost*Storage!$I$12*co2_density/FA_density/1000000+(co2_st_opex_lev+co2_st_invest_lev+co2_st_e_demand*1000*$AU18/100)*Storage!$I$12/1000000+co2_st_invest_lev*Storage!$I$12*co2_st_lifetime*M18/1000000+Carriers!$P$18/Carriers!$P$23*((CF18+FA_st_ab_losses)/365.25*short_st_duration_hrs/24)*(h2_short_st_invest*(1/gh2_short_st_lifetime+$M18+h2_short_st_opex)+h2_short_st_e_demand*1000*$AU18/100)/1000000+Carriers!$P$20/Carriers!$P$23*((CF18+FA_st_ab_losses)/365.25*short_st_duration_hrs/24)*(co2_short_st_invest*(1/co2_short_st_lifetime+$M18+co2_short_st_opex)+co2_short_st_e_demand*1000*$AU18/100)/1000000</f>
        <v>12200.36862931324</v>
      </c>
      <c r="CE18" s="63">
        <f>FA_st_nl_cost*FA_st_nl_demand/1000000+(FA_st_invest*(M18+1/FA_st_lifetime+FA_st_opex)/(Storage!$I$63/1000000)+FA_st_e_demand*1000*$AU18/100)*(CF18+FA_st_ab_losses)/1000000+Carriers!$P$18/Carriers!$P$23*((CF18+FA_st_ab_losses)/365.25*short_st_duration_hrs/24)*(h2_short_st_invest*(1/gh2_short_st_lifetime+$M18+h2_short_st_opex)+h2_short_st_e_demand*1000*$AU18/100)/1000000+Carriers!$P$20/Carriers!$P$23*((CF18+FA_st_ab_losses)/365.25*short_st_duration_hrs/24)*(co2_short_st_invest*(1/co2_short_st_lifetime+$M18+co2_short_st_opex)+co2_short_st_e_demand*1000*$AU18/100)/1000000</f>
        <v>5340.4919740604391</v>
      </c>
      <c r="CF18" s="63">
        <f>Storage!$I$57/((1-Shipping!$J$37)^($F18/24/Shipping!$J$44+0.5*Shipping!$J$59))</f>
        <v>310425396.82539684</v>
      </c>
      <c r="CG18" s="28">
        <f>IF($E18="","No Port",((F18/24/Shipping!$J$44+F18/24/Shipping!$J$50+Shipping!$J$59+Shipping!$J$64)*(Shipping!$J$22+wacc_nl*Shipping!$J$19/365.25*1000000+Shipping!$J$35)+(F18/24/Shipping!$J$44*Shipping!$J$45+Shipping!$J$64*Shipping!$J$65)*IF(bunker_choice="HFO",$H18,IF(bunker_choice="hydrogen",$BD18*hfo_e_density_lhv/h2_e_density_lhv,(CB18+CD18)*1000000/CF18*hfo_e_density_lhv/FA_e_density_lhv))+(F18/24/Shipping!$J$50*Shipping!$J$51+Shipping!$J$59*Shipping!$J$60)*IF(bunker_choice="HFO",bunker_price_ROT,IF(bunker_choice="hydrogen",$BD18*hfo_e_density_lhv/h2_e_density_lhv,(CB18+CD18)*1000000/CF18*hfo_e_density_lhv/FA_e_density_lhv))+Shipping!$J$73+IF(G18="Panama",Shipping!$J$55,0)+IF(G18="Suez",Shipping!$J$56,0))/Shipping!$J$31*CF18/1000000+IF(inland_transport_to_port="hv dc grid",$BM18/100*1000*CI18,IF(inland_transport_to_port="pipeline",$BN18,0)))</f>
        <v>26597.250281667981</v>
      </c>
      <c r="CH18" s="28">
        <f t="shared" si="36"/>
        <v>173155.9010527186</v>
      </c>
      <c r="CI18" s="29">
        <f>((Carriers!$P$18/Carriers!$P$23*alk_el_e_demand)+FA_e_demand)*(CF18+FA_st_ab_losses)/1000000+FA_st_e_demand*CF18/1000000</f>
        <v>1897.8881241622576</v>
      </c>
      <c r="CJ18" s="29">
        <f t="shared" si="20"/>
        <v>0.46563809523809524</v>
      </c>
      <c r="CK18" s="28">
        <f>IFERROR(CH18*1000000/Storage!$I$12,"")</f>
        <v>557.80198019723423</v>
      </c>
      <c r="CL18" s="28">
        <f>IF($E18="","No Port",((F18/24/Shipping!$J$44+F18/24/Shipping!$J$50+Shipping!$J$59+Shipping!$J$64)*Carriers!$P$39*wacc_nl))</f>
        <v>376.83747339581402</v>
      </c>
      <c r="CM18" s="29">
        <f>H2_retrieval!$H$25*h2_demand_kt/1000+(co2_liq_e_demand+co2_st_e_demand*2)*Storage!$I$12*co2_density/FA_density/1000000</f>
        <v>94.204253879484654</v>
      </c>
      <c r="CN18" s="28">
        <f>IFERROR((((CB18+CD18+CG18)*(1+H2_retrieval!$H$34)+CL18)*1000000/H2_retrieval!$H$8)+h2_regen_fa,"")</f>
        <v>11213.377949941474</v>
      </c>
      <c r="CO18" s="149">
        <f>(meoh_invest*(M18+1/meoh_lifetime)/meoh_prod+meoh_opex+meoh_e_demand*1000*$AU18/100+Carriers!$R$18/Carriers!$R$23*BD18+Carriers!$R$20/Carriers!$R$23*co2_liq_cost)*(CS18+meoh_st_ab_losses)/1000000</f>
        <v>70914.118578827081</v>
      </c>
      <c r="CP18" s="86">
        <f>(meoh_invest*(M18+1/meoh_lifetime)/meoh_prod+meoh_opex+meoh_e_demand*1000*$AU18/100+Carriers!$R$18/Carriers!$R$23*BD18+Carriers!$R$20/Carriers!$R$23*BP18)*(CS18+meoh_st_ab_losses)/1000000</f>
        <v>88002.83572689943</v>
      </c>
      <c r="CQ18" s="63">
        <f>meoh_st_nl_cost*meoh_st_nl_demand/1000000+(meoh_st_invest*(M18+1/meoh_st_lifetime+meoh_st_opex)/(Storage!$K$63/1000000)+meoh_st_e_demand*1000*$AU18/100)*(CS18+meoh_st_ab_losses)/1000000+co2_st_nl_cost*Storage!$K$12*co2_density/meoh_density/1000000+(co2_st_opex_lev+co2_st_invest_lev+co2_st_e_demand*1000*IFERROR(MIN(S18,AA18,AI18),S18)/100)*Storage!$K$12/1000000+co2_st_invest_lev*Storage!$K$12*co2_st_lifetime*M18/1000000+Carriers!$R$18/Carriers!$R$23*((CS18+meoh_st_ab_losses)/365.25*short_st_duration_hrs/24)*(h2_short_st_invest*(1/gh2_short_st_lifetime+$M18+h2_short_st_opex)+h2_short_st_e_demand*1000*$AU18/100)/1000000+Carriers!$R$20/Carriers!$R$23*((CF18+meoh_st_ab_losses)/365.25*short_st_duration_hrs/24)*(co2_short_st_invest*(1/co2_short_st_lifetime+$M18+co2_short_st_opex)+co2_short_st_e_demand*1000*$AU18/100)/1000000</f>
        <v>5106.8865649150621</v>
      </c>
      <c r="CR18" s="63">
        <f>meoh_st_nl_cost*meoh_st_nl_demand/1000000+(meoh_st_invest*(M18+1/meoh_st_lifetime+meoh_st_opex)/(Storage!$K$63/1000000)+meoh_st_e_demand*1000*$AU18/100)*(CS18+meoh_st_ab_losses)/1000000+Carriers!$R$18/Carriers!$R$23*((CS18+meoh_st_ab_losses)/365.25*short_st_duration_hrs/24)*(h2_short_st_invest*(1/gh2_short_st_lifetime+$M18+h2_short_st_opex)+h2_short_st_e_demand*1000*$AU18/100)/1000000+Carriers!$R$20/Carriers!$R$23*((CF18+meoh_st_ab_losses)/365.25*short_st_duration_hrs/24)*(co2_short_st_invest*(1/co2_short_st_lifetime+$M18+co2_short_st_opex)+co2_short_st_e_demand*1000*$AU18/100)/1000000</f>
        <v>2120.2894982714292</v>
      </c>
      <c r="CS18" s="63">
        <f>Storage!$K$57/((1-Shipping!$L$37)^($F18/24/Shipping!$L$44+0.5*Shipping!$L$59))</f>
        <v>108044444.44444443</v>
      </c>
      <c r="CT18" s="28">
        <f>IF($E18="","No Port",IF(AND(ship_choice="VLCC",G18="Panama"),"Ship cannot pass through Panama",IF(ship_choice="VLCC",((F18/24/Shipping!$AD$44+F18/24/Shipping!$AD$50+Shipping!$AD$59+Shipping!$AD$64)*(Shipping!$AD$22+wacc_nl*Shipping!$AD$19/365.25*1000000+Shipping!$AD$35)+(F18/24/Shipping!$AD$44*Shipping!$AD$45+Shipping!$AD$64*Shipping!$AD$65)*IF(bunker_choice="HFO",$H18,IF(bunker_choice="hydrogen",$BD18*hfo_e_density_lhv/h2_e_density_lhv,(CO18+CQ18)*1000000/CS18*hfo_e_density_lhv/meoh_e_density_lhv))+(F18/24/Shipping!$AD$50*Shipping!$AD$51+Shipping!$AD$59*Shipping!$AD$60)*IF(bunker_choice="HFO",bunker_price_ROT,IF(bunker_choice="hydrogen",$BD18*hfo_e_density_lhv/h2_e_density_lhv,(CO18+CQ18)*1000000/CS18*hfo_e_density_lhv/meoh_e_density_lhv))+Shipping!$AD$73+IF(G18="Panama",Shipping!$AD$55,0)+IF(G18="Suez",Shipping!$AD$56,0))/Shipping!$AD$31*CS18/1000000+IF(inland_transport_to_port="hv dc grid",$BM18/100*1000*CV18,IF(inland_transport_to_port="pipeline",$BN18,0)),((F18/24/Shipping!$L$44+F18/24/Shipping!$L$50+Shipping!$L$59+Shipping!$L$64)*(Shipping!$L$22+wacc_nl*Shipping!$L$19/365.25*1000000+Shipping!$L$35)+(F18/24/Shipping!$L$44*Shipping!$L$45+Shipping!$L$64*Shipping!$L$65)*IF(bunker_choice="HFO",$H18,IF(bunker_choice="hydrogen",$BD18*hfo_e_density_lhv/h2_e_density_lhv,(CO18+CQ18)*1000000/CS18*hfo_e_density_lhv/meoh_e_density_lhv))+(F18/24/Shipping!$L$50*Shipping!$L$51+Shipping!$L$59*Shipping!$L$60)*IF(bunker_choice="HFO",bunker_price_ROT,IF(bunker_choice="hydrogen",$BD18*hfo_e_density_lhv/h2_e_density_lhv,(CO18+CQ18)*1000000/CS18*hfo_e_density_lhv/meoh_e_density_lhv))+Shipping!$L$73+IF(G18="Panama",Shipping!$L$55,0)+IF(G18="Suez",Shipping!$L$56,0))/Shipping!$L$31*CS18/1000000+IF(inland_transport_to_port="hv dc grid",$BM18/100*1000*CV18,IF(inland_transport_to_port="pipeline",$BN18,0)))))</f>
        <v>9275.2804702935809</v>
      </c>
      <c r="CU18" s="28">
        <f t="shared" si="37"/>
        <v>99398.405695464447</v>
      </c>
      <c r="CV18" s="29">
        <f>((Carriers!$R$18/Carriers!$R$23*alk_el_e_demand)+meoh_e_demand)*(CS18+meoh_st_ab_losses)/1000000+meoh_st_e_demand*CS18/1000000</f>
        <v>1119.9789871111109</v>
      </c>
      <c r="CW18" s="29">
        <f t="shared" si="21"/>
        <v>0.16206666666666666</v>
      </c>
      <c r="CX18" s="28">
        <f>IFERROR(CU18*1000000/Storage!$K$12,"")</f>
        <v>919.97701692634735</v>
      </c>
      <c r="CY18" s="28">
        <f>IF($E18="","No Port",((F18/24/Shipping!$L$44+F18/24/Shipping!$L$50+Shipping!$L$59+Shipping!$L$64)*Carriers!$R$39*wacc_nl))</f>
        <v>135.14491595821301</v>
      </c>
      <c r="CZ18" s="29">
        <f>H2_retrieval!$J$25*h2_demand_kt/1000+(co2_liq_e_demand+co2_st_e_demand*2)*Storage!$K$12*co2_density/meoh_density/1000000</f>
        <v>251.05079059698966</v>
      </c>
      <c r="DA18" s="28">
        <f>IFERROR((((CO18+CQ18+CT18)*(1+H2_retrieval!$J$34)+CY18)*1000000/H2_retrieval!$J$8)+h2_regen_meoh,"")</f>
        <v>7451.8513762839057</v>
      </c>
      <c r="DB18" s="149">
        <f>(DBT_invest*(M18+1/DBT_lifetime)/DBT_prod+DBT_opex+DBT_e_demand*1000*$AU18/100+Carriers!$T$18/Carriers!$T$23*BD18)*(DD18+DBT_st_ab_losses)/1000000</f>
        <v>47610.000998585296</v>
      </c>
      <c r="DC18" s="28">
        <f>2*(DBT_st_nl_cost*DBT_st_nl_demand/1000000+(DBT_st_invest*(M18+1/DBT_st_lifetime+DBT_st_opex)/(Storage!$M$63/1000000)+DBT_st_e_demand*1000*$AU18/100)*(DD18+DBT_st_ab_losses)/1000000)+Carriers!$T$18/Carriers!$T$23*((DD18+DBT_st_ab_losses)/365.25*short_st_duration_hrs/24)*(h2_short_st_invest*(1/gh2_short_st_lifetime+$M18+h2_short_st_opex)+h2_short_st_e_demand*1000*$AU18/100)/1000000</f>
        <v>4340.3664284343167</v>
      </c>
      <c r="DD18" s="63">
        <f>Storage!$M$57/((1-Shipping!$N$37)^($F18/24/Shipping!$N$44+0.5*Shipping!$N$59))</f>
        <v>219354838.70967743</v>
      </c>
      <c r="DE18" s="28">
        <f>IF($E18="","No Port",IF(AND(ship_choice="VLCC",G18="Panama"),"Ship cannot pass through Panama",IF(ship_choice="VLCC",((F18/24/Shipping!$AD$44+F18/24/Shipping!$AD$50+Shipping!$AD$59+Shipping!$AD$64)*(Shipping!$AD$22+wacc_nl*Shipping!$AD$19/365.25*1000000+Shipping!$AD$35)+(F18/24/Shipping!$AD$44*Shipping!$AD$45+Shipping!$AD$64*Shipping!$AD$65)*IF(bunker_choice="HFO",$H18,IF(bunker_choice="hydrogen",$BD18*hfo_e_density_lhv/h2_e_density_lhv,(DB18+DC18)*1000000/DD18*hfo_e_density_lhv/DBT_e_density_lhv))+(F18/24/Shipping!$AD$50*Shipping!$AD$51+Shipping!$AD$59*Shipping!$AD$60)*IF(bunker_choice="HFO",bunker_price_ROT,IF(bunker_choice="hydrogen",$BD18*hfo_e_density_lhv/h2_e_density_lhv,(DB18+DC18)*1000000/DD18*hfo_e_density_lhv/DBT_e_density_lhv))+Shipping!$AD$73+IF(G18="Panama",Shipping!$AD$55,0)+IF(G18="Suez",Shipping!$AD$56,0))/Shipping!$AD$31*DD18/1000000+IF(inland_transport_to_port="hv dc grid",$BM18/100*1000*DG18,IF(inland_transport_to_port="pipeline",$BN18,0)),((F18/24/Shipping!$N$44+F18/24/Shipping!$N$50+Shipping!$N$59+Shipping!$N$64)*(Shipping!$N$22+wacc_nl*Shipping!$N$19/365.25*1000000+Shipping!$N$35)+(F18/24/Shipping!$N$44*Shipping!$N$45+Shipping!$N$64*Shipping!$N$65)*IF(bunker_choice="HFO",$H18,IF(bunker_choice="hydrogen",$BD18*hfo_e_density_lhv/h2_e_density_lhv,(DB18+DC18)*1000000/DD18*hfo_e_density_lhv/DBT_e_density_lhv))+(F18/24/Shipping!$N$50*Shipping!$N$51+Shipping!$N$59*Shipping!$N$60)*IF(bunker_choice="HFO",bunker_price_ROT,IF(bunker_choice="hydrogen",$BD18*hfo_e_density_lhv/h2_e_density_lhv,(DB18+DC18)*1000000/DD18*hfo_e_density_lhv/DBT_e_density_lhv))+Shipping!$N$73+IF(G18="Panama",Shipping!$N$55,0)+IF(G18="Suez",Shipping!$N$56,0))/Shipping!$N$31*Shipping!$N$86/1000000+IF(inland_transport_to_port="hv dc grid",$BM18/100*1000*DG18,IF(inland_transport_to_port="pipeline",$BN18,0)))))</f>
        <v>16919.682012015281</v>
      </c>
      <c r="DF18" s="28">
        <f t="shared" si="53"/>
        <v>68870.04943903489</v>
      </c>
      <c r="DG18" s="29">
        <f>((Carriers!$T$18/Carriers!$T$23*alk_el_e_demand)+DBT_e_demand)*(DD18+DBT_st_ab_losses)/1000000+DBT_st_e_demand*DD18/1000000</f>
        <v>703.88335483870969</v>
      </c>
      <c r="DH18" s="29">
        <f t="shared" si="23"/>
        <v>0.21935483870967742</v>
      </c>
      <c r="DI18" s="28">
        <f>IFERROR(DF18*1000000/Storage!$M$12,"")</f>
        <v>313.96640185442379</v>
      </c>
      <c r="DJ18" s="28">
        <f>IF($E18="","No Port",((F18/24/Shipping!$N$44+F18/24/Shipping!$N$50+Shipping!$N$59+Shipping!$N$64)*Carriers!$T$39*wacc_nl))</f>
        <v>9843.0482641818417</v>
      </c>
      <c r="DK18" s="100">
        <f>H2_retrieval!$L$25*h2_demand_kt/1000+(co2_liq_e_demand+co2_st_e_demand*2)*Storage!$M$12*co2_density/DBT_density/1000000</f>
        <v>206.61934861671787</v>
      </c>
      <c r="DL18" s="28">
        <f>IFERROR(((DF18*(1+H2_retrieval!$L$34)+DJ18)*1000000/H2_retrieval!$L$8)+h2_regen_lohc,"")</f>
        <v>6258.3775529341438</v>
      </c>
      <c r="DM18" s="149">
        <f t="shared" si="24"/>
        <v>51822.579793922407</v>
      </c>
      <c r="DN18" s="16">
        <f>2*(nabh4_st_nl_cost*nabh4_st_nl_demand/1000000+(nabh4_st_invest*(M18+1/nabh4_st_lifetime+nabh4_st_opex)/(Storage!$O$63/1000000)+nabh4_st_e_demand*1000*$AU18/100)*(DO18+nabh4_st_ab_losses)/1000000)+(h2_demand_kt*1000/365.25*short_st_duration_hrs/24)*(h2_short_st_invest*(1/gh2_short_st_lifetime+$M18+h2_short_st_opex)+h2_short_st_e_demand*1000*$AU18/100)/1000000</f>
        <v>1464.1771183430726</v>
      </c>
      <c r="DO18" s="63">
        <f>Storage!$O$57/((1-Shipping!$P$37)^($F18/24/Shipping!$P$44+0.5*Shipping!$P$59))</f>
        <v>63920000</v>
      </c>
      <c r="DP18" s="16">
        <f>IF($E18="","No Port",((F18/24/Shipping!$P$44+F18/24/Shipping!$P$50+Shipping!$P$59+Shipping!$P$64)*(Shipping!$P$22+wacc_nl*Shipping!$P$19/365.25*1000000+Shipping!$P$35)+(F18/24/Shipping!$P$44*Shipping!$P$45+Shipping!$P$64*Shipping!$P$65)*IF(bunker_choice="HFO",$H18,IF(bunker_choice="hydrogen",$BD18*hfo_e_density_lhv/h2_e_density_lhv,(DM18+DN18)*1000000/DO18*hfo_e_density_lhv/nabh4_e_density_lhv))+(F18/24/Shipping!$P$50*Shipping!$P$51+Shipping!$P$59*Shipping!$P$60)*IF(bunker_choice="HFO",bunker_price_ROT,IF(bunker_choice="hydrogen",$BD18*hfo_e_density_lhv/h2_e_density_lhv,(DM18+DN18)*1000000/DO18*hfo_e_density_lhv/nabh4_e_density_lhv))+Shipping!$P$73+IF(G18="Panama",Shipping!$P$55,0)+IF(G18="Suez",Shipping!$P$56,0))/Shipping!$P$31*(DO18+nabh4_st_ab_losses)/1000000+IF(inland_transport_to_port="hv dc grid",$BM18/100*1000*DR18,IF(inland_transport_to_port="pipeline",$BN18,0)))</f>
        <v>4709.1561793010142</v>
      </c>
      <c r="DQ18" s="28">
        <f t="shared" si="38"/>
        <v>57995.913091566494</v>
      </c>
      <c r="DR18" s="29">
        <f>((Carriers!$V$18/Carriers!$V$23*alk_el_e_demand)+nabh4_e_demand)*(DO18+nabh4_st_ab_losses)/1000000+nabh4_st_e_demand*DO18/1000000</f>
        <v>980.02139682539689</v>
      </c>
      <c r="DS18" s="28">
        <f t="shared" si="25"/>
        <v>3.1960000000000002</v>
      </c>
      <c r="DT18" s="28">
        <f>IFERROR(DQ18*1000000/Storage!$O$12,"")</f>
        <v>907.32029242125293</v>
      </c>
      <c r="DU18" s="28">
        <f>IF($E18="","No Port",((F18/24/Shipping!$P$44+F18/24/Shipping!$P$50+Shipping!$P$59+Shipping!$P$64)*Carriers!$V$39*wacc_nl))</f>
        <v>903.55573866443751</v>
      </c>
      <c r="DV18" s="100">
        <f>H2_retrieval!$N$25*h2_demand_kt/1000+(co2_liq_e_demand+co2_st_e_demand*2)*Storage!$O$12*co2_density/nabh4_density/1000000</f>
        <v>18.783638728971958</v>
      </c>
      <c r="DW18" s="28">
        <f>IFERROR(((DQ18*(1+H2_retrieval!$N$34)+DU18)*1000000/H2_retrieval!$N$8)+h2_regen_nabh4,"")</f>
        <v>4423.0056142787462</v>
      </c>
      <c r="DX18" s="149">
        <f>(Dme_invest*(M18+1/Dme_lifetime)/Dme_prod+Dme_opex+Dme_e_demand*1000*$AU18/100+Carriers!$X$21/Carriers!$X$23*(CO18*1000000/CS18))*(EB18+Dme_st_ab_losses)/1000000</f>
        <v>99490.937172279635</v>
      </c>
      <c r="DY18" s="86">
        <f>(Dme_invest*(M18+1/Dme_lifetime)/Dme_prod+Dme_opex+Dme_e_demand*1000*$AU18/100+Carriers!$X$21/Carriers!$X$23*(CP18*1000000/CS18))*(EB18+Dme_st_ab_losses)/1000000</f>
        <v>122674.58473768107</v>
      </c>
      <c r="DZ18" s="63">
        <f>Dme_st_nl_cost*Dme_st_nl_demand/1000000+(Dme_st_invest*(M18+1/Dme_st_lifetime+Dme_st_opex)/(Storage!$Q$63/1000000)+Dme_st_e_demand*1000*$AU18/100)*(EB18+Dme_st_ab_losses)/1000000+co2_st_nl_cost*Storage!$Q$12*co2_density/Dme_density/1000000+(co2_st_opex_lev+co2_st_invest_lev+co2_st_e_demand*1000*$AU18/100)*Storage!$Q$12/1000000+co2_st_invest_lev*Storage!$Q$12*co2_st_lifetime*M18/1000000+(h2_demand_kt*1000/365.25*short_st_duration_hrs/24)*(h2_short_st_invest*(1/gh2_short_st_lifetime+$M18+h2_short_st_opex)+h2_short_st_e_demand*1000*$AU18/100)/1000000</f>
        <v>6149.5169925925611</v>
      </c>
      <c r="EA18" s="63">
        <f>Dme_st_nl_cost*Dme_st_nl_demand/1000000+(Dme_st_invest*(M18+1/Dme_st_lifetime+Dme_st_opex)/(Storage!$Q$63/1000000)+Dme_st_e_demand*1000*$AU18/100)*(EB18+Dme_st_ab_losses)/1000000+(h2_demand_kt*1000/365.25*short_st_duration_hrs/24)*(h2_short_st_invest*(1/gh2_short_st_lifetime+$M18+h2_short_st_opex)+h2_short_st_e_demand*1000*$AU18/100)/1000000</f>
        <v>3160.3364581916558</v>
      </c>
      <c r="EB18" s="63">
        <f>Storage!$Q$57/((1-Shipping!$R$37)^($F18/24/Shipping!$R$44+0.5*Shipping!$R$59))</f>
        <v>103547089.94708996</v>
      </c>
      <c r="EC18" s="153">
        <f>IF($E18="","No Port",IF(AND(ship_choice="VLCC",G18="Panama"),"Ship cannot pass through Panama",IF(ship_choice="VLCC",((F18/24/Shipping!$AD$44+F18/24/Shipping!$AD$50+Shipping!$AD$59+Shipping!$AD$64)*(Shipping!$AD$22+wacc_nl*Shipping!$AD$19/365.25*1000000+Shipping!$AD$35)+(F18/24/Shipping!$AD$44*Shipping!$AD$45+Shipping!$AD$64*Shipping!$AD$65)*IF(bunker_choice="HFO",$H18,IF(bunker_choice="hydrogen",$BD18*hfo_e_density_lhv/h2_e_density_lhv,(DX18+DZ18)*1000000/EB18*hfo_e_density_lhv/Dme_e_density_lhv))+(F18/24/Shipping!$AD$50*Shipping!$AD$51+Shipping!$AD$59*Shipping!$AD$60)*IF(bunker_choice="HFO",bunker_price_ROT,IF(bunker_choice="hydrogen",$BD18*hfo_e_density_lhv/h2_e_density_lhv,(DX18+DZ18)*1000000/EB18*hfo_e_density_lhv/Dme_e_density_lhv))+Shipping!$AD$73+IF(G18="Panama",Shipping!$AD$55,0)+IF(G18="Suez",Shipping!$AD$56,0))/Shipping!$AD$31*(EB18+Dme_st_ab_losses)/1000000+IF(inland_transport_to_port="hv dc grid",$BM18/100*1000*EE18,IF(inland_transport_to_port="pipeline",$BN18,0)),((F18/24/Shipping!$R$44+F18/24/Shipping!$R$50+Shipping!$R$59+Shipping!$R$64)*(Shipping!$R$22+wacc_nl*Shipping!$R$19/365.25*1000000+Shipping!$R$35)+(F18/24/Shipping!$R$44*Shipping!$R$45+Shipping!$R$64*Shipping!$R$65)*IF(bunker_choice="HFO",$H18,IF(bunker_choice="hydrogen",$BD18*hfo_e_density_lhv/h2_e_density_lhv,(DX18+DZ18)*1000000/EB18*hfo_e_density_lhv/Dme_e_density_lhv))+(F18/24/Shipping!$R$50*Shipping!$R$51+Shipping!$R$59*Shipping!$R$60)*IF(bunker_choice="HFO",bunker_price_ROT,IF(bunker_choice="hydrogen",$BD18*hfo_e_density_lhv/h2_e_density_lhv,(DX18+DZ18)*1000000/EB18*hfo_e_density_lhv/Dme_e_density_lhv))+Shipping!$R$73+IF(G18="Panama",Shipping!$R$55,0)+IF(G18="Suez",Shipping!$R$56,0))/Shipping!$R$31*(EB18+Dme_st_ab_losses)/1000000+IF(inland_transport_to_port="hv dc grid",$BM18/100*1000*EE18,IF(inland_transport_to_port="pipeline",$BN18,0)))))</f>
        <v>9130.2852604411764</v>
      </c>
      <c r="ED18" s="28">
        <f t="shared" si="39"/>
        <v>134965.2064563139</v>
      </c>
      <c r="EE18" s="29">
        <f>(Dme_e_demand)*(EB18+Dme_st_ab_losses)/1000000+Dme_st_e_demand*DZ18/1000000+$CV18*(Carriers!$X$21/Carriers!$X$23*EB18)/$CS18</f>
        <v>1550.2168216622258</v>
      </c>
      <c r="EF18" s="29">
        <f t="shared" si="26"/>
        <v>1.0354708994708997</v>
      </c>
      <c r="EG18" s="28">
        <f>IFERROR(ED18*1000000/Storage!$Q$12,"")</f>
        <v>1303.4186332544723</v>
      </c>
      <c r="EH18" s="28">
        <f>IF($E18="","No Port",((F18/24/Shipping!$R$44+F18/24/Shipping!$R$50+Shipping!$R$59+Shipping!$R$64)*Carriers!$X$39*wacc_nl))</f>
        <v>140.91818932117096</v>
      </c>
      <c r="EI18" s="100">
        <f>H2_retrieval!$P$25*h2_demand_kt/1000+(co2_liq_e_demand+co2_st_e_demand*2)*Storage!$Q$12*co2_density/Dme_density/1000000</f>
        <v>252.45335899349112</v>
      </c>
      <c r="EJ18" s="28">
        <f>IFERROR((((DX18+DZ18+EC18)*(1+H2_retrieval!$P$34)+EH18)*1000000/H2_retrieval!$P$8)+h2_regen_dme,"")</f>
        <v>9619.5151325074785</v>
      </c>
      <c r="EK18" s="149">
        <f>(ome_invest*(M18+1/ome_lifetime)/ome_prod+ome_opex+ome_e_demand*1000*$AU18/100+Carriers!$Z$21/Carriers!$Z$23*(CO18*1000000/CS18))*(EO18+ome_st_ab_losses)/1000000</f>
        <v>215904.90450006525</v>
      </c>
      <c r="EL18" s="86">
        <f>(ome_invest*(M18+1/ome_lifetime)/ome_prod+ome_opex+ome_e_demand*1000*$AU18/100+Carriers!$Z$21/Carriers!$Z$23*(CP18*1000000/CS18))*(EO18+ome_st_ab_losses)/1000000</f>
        <v>264571.89373900264</v>
      </c>
      <c r="EM18" s="63">
        <f>ome_st_nl_cost*ome_st_nl_demand/1000000+(ome_st_invest*(M18+1/ome_st_lifetime+ome_st_opex)/(Storage!$S$63/1000000)+ome_st_e_demand*1000*$AU18/100)*(EO18+ome_st_ab_losses)/1000000+co2_st_nl_cost*Storage!$S$12*co2_density/ome_density/1000000+(co2_st_opex_lev+co2_st_invest_lev+co2_st_e_demand*1000*$AU18/100)*Storage!$S$12/1000000+co2_st_invest_lev*Storage!$S$12*co2_st_lifetime*M18/1000000+(h2_demand_kt*1000/365.25*short_st_duration_hrs/24)*(h2_short_st_invest*(1/gh2_short_st_lifetime+$M18+h2_short_st_opex)+h2_short_st_e_demand*1000*$AU18/100)/1000000</f>
        <v>5269.4499721603925</v>
      </c>
      <c r="EN18" s="63">
        <f>ome_st_nl_cost*ome_st_nl_demand/1000000+(ome_st_invest*(M18+1/ome_st_lifetime+ome_st_opex)/(Storage!$S$63/1000000)+ome_st_e_demand*1000*$AU18/100)*(EO18+ome_st_ab_losses)/1000000+(h2_demand_kt*1000/365.25*short_st_duration_hrs/24)*(h2_short_st_invest*(1/gh2_short_st_lifetime+$M18+h2_short_st_opex)+h2_short_st_e_demand*1000*$AU18/100)/1000000</f>
        <v>1905.1783400086749</v>
      </c>
      <c r="EO18" s="63">
        <f>Storage!$S$57/((1-Shipping!$T$37)^($F18/24/Shipping!$T$44+0.5*Shipping!$T$59))</f>
        <v>128282539.68253967</v>
      </c>
      <c r="EP18" s="28">
        <f>IF($E18="","No Port",IF(AND(ship_choice="VLCC",G18="Panama"),"Ship cannot pass through Panama",IF(ship_choice="VLCC",((F18/24/Shipping!$AD$44+F18/24/Shipping!$AD$50+Shipping!$AD$59+Shipping!$AD$64)*(Shipping!$AD$22+wacc_nl*Shipping!$AD$19/365.25*1000000+Shipping!$AD$35)+(F18/24/Shipping!$AD$44*Shipping!$AD$45+Shipping!$AD$64*Shipping!$AD$65)*IF(bunker_choice="HFO",$H18,IF(bunker_choice="hydrogen",$BD18*hfo_e_density_lhv/h2_e_density_lhv,(EK18+EM18)*1000000/EO18*hfo_e_density_lhv/Dme_e_density_lhv))+(F18/24/Shipping!$AD$50*Shipping!$AD$51+Shipping!$AD$59*Shipping!$AD$60)*IF(bunker_choice="HFO",bunker_price_ROT,IF(bunker_choice="hydrogen",$BD18*hfo_e_density_lhv/h2_e_density_lhv,(EK18+EM18)*1000000/EO18*hfo_e_density_lhv/ome_e_density_lhv))+Shipping!$AD$73+IF(G18="Panama",Shipping!$AD$55,0)+IF(G18="Suez",Shipping!$AD$56,0))/Shipping!$AD$31*(EO18+ome_st_ab_losses)/1000000+IF(inland_transport_to_port="hv dc grid",$BM18/100*1000*ER18,IF(inland_transport_to_port="pipeline",$BN18,0)),((F18/24/Shipping!$T$44+F18/24/Shipping!$T$50+Shipping!$T$59+Shipping!$T$64)*(Shipping!$T$22+wacc_nl*Shipping!$T$19/365.25*1000000+Shipping!$T$35)+(F18/24/Shipping!$T$44*Shipping!$T$45+Shipping!$T$64*Shipping!$T$65)*IF(bunker_choice="HFO",$H18,IF(bunker_choice="hydrogen",$BD18*hfo_e_density_lhv/h2_e_density_lhv,(EK18+EM18)*1000000/EO18*hfo_e_density_lhv/Dme_e_density_lhv))+(F18/24/Shipping!$T$50*Shipping!$T$51+Shipping!$T$59*Shipping!$T$60)*IF(bunker_choice="HFO",bunker_price_ROT,IF(bunker_choice="hydrogen",$BD18*hfo_e_density_lhv/h2_e_density_lhv,(EK18+EM18)*1000000/EO18*hfo_e_density_lhv/ome_e_density_lhv))+Shipping!$T$73+IF(G18="Panama",Shipping!$T$55,0)+IF(G18="Suez",Shipping!$T$56,0))/Shipping!$T$31*(EO18+ome_st_ab_losses)/1000000+IF(inland_transport_to_port="hv dc grid",$BM18/100*1000*ER18,IF(inland_transport_to_port="pipeline",$BN18,0)))))</f>
        <v>10321.169347228062</v>
      </c>
      <c r="EQ18" s="28">
        <f t="shared" si="40"/>
        <v>276798.24142623937</v>
      </c>
      <c r="ER18" s="29">
        <f>(ome_e_demand)*(EO18+ome_st_ab_losses)/1000000+ome_st_e_demand*EM18/1000000+$CV18*(Carriers!$Z$21/Carriers!$Z$23*EO18)/$CS18</f>
        <v>3352.0814580449583</v>
      </c>
      <c r="ES18" s="29">
        <f t="shared" si="27"/>
        <v>0.1924238095238095</v>
      </c>
      <c r="ET18" s="28">
        <f>IFERROR(EQ18*1000000/Storage!$S$12,"")</f>
        <v>2157.7234291683885</v>
      </c>
      <c r="EU18" s="28">
        <f>IF($E18="","No Port",((F18/24/Shipping!$T$44+F18/24/Shipping!$T$50+Shipping!$T$59+Shipping!$T$64)*Carriers!$Z$39*wacc_nl))</f>
        <v>160.45927334299316</v>
      </c>
      <c r="EV18" s="100">
        <f>H2_retrieval!$R$25*h2_demand_kt/1000+(co2_liq_e_demand+co2_st_e_demand*2)*Storage!$S$12*co2_density/ome_density/1000000</f>
        <v>254.51942895252085</v>
      </c>
      <c r="EW18" s="28">
        <f>IFERROR((((EK18+EM18+EP18)*(1+H2_retrieval!$R$34)+EU18)*1000000/H2_retrieval!$R$8)+h2_regen_ome,"")</f>
        <v>18203.656711784108</v>
      </c>
      <c r="EX18" s="149">
        <f>(sng_invest*(M18+1/sng_lifetime)/sng_prod+lng_invest*(M18+1/lng_lifetime)/lng_prod+sng_opex+lng_opex+(sng_e_demand+lng_e_demand)*1000*$AU18/100+Carriers!$AB$18/Carriers!$AB$23*BD18+Carriers!$AB$20/Carriers!$AB$23*co2_liq_cost)*(FB18+lng_st_ab_losses)/1000000</f>
        <v>77682.641510487971</v>
      </c>
      <c r="EY18" s="86">
        <f>(sng_invest*(M18+1/sng_lifetime)/sng_prod+lng_invest*(M18+1/lng_lifetime)/lng_prod+sng_opex+lng_opex+(sng_e_demand+lng_e_demand)*1000*$AU18/100+Carriers!$AB$18/Carriers!$AB$23*BD18+Carriers!$AB$20/Carriers!$AB$23*BP18)*(FB18+lng_st_ab_losses)/1000000</f>
        <v>90648.376532594353</v>
      </c>
      <c r="EZ18" s="63">
        <f>lng_st_nl_cost*lng_st_nl_demand/1000000+(lng_st_invest*(M18+1/lng_st_lifetime+lng_st_opex)/(Storage!$U$63/1000000)+lng_st_e_demand*1000*$AU18/100)*(FB18+lng_st_ab_losses)/1000000+co2_st_nl_cost*Storage!$U$12*co2_density/lng_density/1000000+(co2_st_opex_lev+co2_st_invest_lev+co2_st_e_demand*1000*$AU18/100)*Storage!$U$12/1000000+co2_st_invest_lev*Storage!$U$12*co2_st_lifetime*M18/1000000+Carriers!$AB$18/Carriers!$AB$23*((FB18+lng_st_ab_losses)/365.25*short_st_duration_hrs/24)*(h2_short_st_invest*(1/gh2_short_st_lifetime+$M18+h2_short_st_opex)+h2_short_st_e_demand*1000*$AU18/100)/1000000+Carriers!$AB$20/Carriers!$AB$23*((FB18+lng_st_ab_losses)/365.25*short_st_duration_hrs/24)*(co2_short_st_invest*(1/co2_short_st_lifetime+$M18+co2_short_st_opex)+co2_short_st_e_demand*1000*$AU18/100)/1000000</f>
        <v>6602.0408497458693</v>
      </c>
      <c r="FA18" s="63">
        <f>lng_st_nl_cost*lng_st_nl_demand/1000000+(lng_st_invest*(M18+1/lng_st_lifetime+lng_st_opex)/(Storage!$U$63/1000000)+lng_st_e_demand*1000*$AU18/100)*(FB18+lng_st_ab_losses)/1000000+Carriers!$AB$18/Carriers!$AB$23*((FB18+lng_st_ab_losses)/365.25*short_st_duration_hrs/24)*(h2_short_st_invest*(1/gh2_short_st_lifetime+$M18+h2_short_st_opex)+h2_short_st_e_demand*1000*$AU18/100)/1000000+Carriers!$AB$20/Carriers!$AB$23*((FB18+lng_st_ab_losses)/365.25*short_st_duration_hrs/24)*(co2_short_st_invest*(1/co2_short_st_lifetime+$M18+co2_short_st_opex)+co2_short_st_e_demand*1000*$AU18/100)/1000000</f>
        <v>4992.7765337661704</v>
      </c>
      <c r="FB18" s="63">
        <f>Storage!$U$57/((1-Shipping!$V$37)^($F18/24/Shipping!$V$44+0.5*Shipping!$V$59))</f>
        <v>41770227.688821018</v>
      </c>
      <c r="FC18" s="28">
        <f>IF($E18="","No Port",IF(G18="Panama","Ship cannot pass through Panama",((F18/24/Shipping!$V$44+F18/24/Shipping!$V$50+Shipping!$V$59+Shipping!$V$64)*(Shipping!$V$22+wacc_nl*Shipping!$V$19/365.25*1000000+Shipping!$V$35)+(F18/24/Shipping!$V$44*Shipping!$V$45+Shipping!$V$64*Shipping!$V$65)*IF(bunker_choice="HFO",$H18,IF(bunker_choice="hydrogen",$BD18*hfo_e_density_lhv/h2_e_density_lhv,(EX18+EZ18)*1000000/FB18*hfo_e_density_lhv/lng_e_density_lhv))+(F18/24/Shipping!$V$50*Shipping!$V$51+Shipping!$V$59*Shipping!$V$60)*IF(bunker_choice="HFO",bunker_price_ROT,IF(bunker_choice="hydrogen",$BD18*hfo_e_density_lhv/h2_e_density_lhv,(EX18+EZ18)*1000000/FB18*hfo_e_density_lhv/lng_e_density_lhv))+Shipping!$V$73+IF(G18="Panama",Shipping!$V$55,0)+IF(G18="Suez",Shipping!$V$56,0))/Shipping!$V$31*(FB18+lng_st_ab_losses)/1000000)+IF(inland_transport_to_port="hv dc grid",$BM18/100*1000*FE18,IF(inland_transport_to_port="pipeline",$BN18,0)))</f>
        <v>3829.1421375322202</v>
      </c>
      <c r="FD18" s="28">
        <f t="shared" si="41"/>
        <v>99470.295203892747</v>
      </c>
      <c r="FE18" s="29">
        <f>((Carriers!$AB$18/Carriers!$AB$23*alk_el_e_demand)+sng_e_demand+lng_e_demand)*(FB18+lng_st_ab_losses)/1000000+lng_st_e_demand*EZ18/1000000</f>
        <v>1120.2282857252681</v>
      </c>
      <c r="FF18" s="29">
        <f t="shared" si="28"/>
        <v>0.8126185861001558</v>
      </c>
      <c r="FG18" s="28">
        <f>IFERROR(FD18*1000000/Storage!$U$12,"")</f>
        <v>2450.9655029119381</v>
      </c>
      <c r="FH18" s="28">
        <f>IF($E18="","No Port",((F18/24/Shipping!$V$44+F18/24/Shipping!$V$50+Shipping!$V$59+Shipping!$V$64)*Carriers!$AB$39*wacc_nl))</f>
        <v>46.992497337102556</v>
      </c>
      <c r="FI18" s="100">
        <f>H2_retrieval!$T$25*h2_demand_kt/1000+(co2_liq_e_demand+co2_st_e_demand*2)*Storage!$U$12*co2_density/lng_density/1000000</f>
        <v>236.51371749646054</v>
      </c>
      <c r="FJ18" s="28">
        <f>IFERROR((((EX18+EZ18+FC18)*(1+H2_retrieval!$T$34)+FH18)*1000000/H2_retrieval!$T$8)+h2_regen_lng,"")</f>
        <v>7652.5415575419383</v>
      </c>
      <c r="FK18" s="149">
        <f>(lh2_invest*(M18+1/lh2_lifetime)/lh2_prod+lh2_opex+lh2_e_demand*1000*$AU18/100+Carriers!$AD$18/Carriers!$AD$23*BD18)*(FM18+lh2_st_ab_losses)/1000000</f>
        <v>60886.520672655628</v>
      </c>
      <c r="FL18" s="28">
        <f>lh2_st_nl_cost*lh2_st_nl_demand/1000000+(lh2_st_invest*(M18+1/lh2_st_lifetime+lh2_st_opex)/(Storage!$Y$63/1000000)+lh2_st_e_demand*1000*$AU18/100)*(FM18+lh2_st_ab_losses)/1000000+((FM18+lh2_st_ab_losses)/365.25*short_st_duration_hrs/24)*(h2_short_st_invest*(1/gh2_short_st_lifetime+$M18+h2_short_st_opex)+h2_short_st_e_demand*1000*$AU18/100)/1000000</f>
        <v>58013.1589716292</v>
      </c>
      <c r="FM18" s="63">
        <f>Storage!$Y$57/((1-Shipping!$Z$37)^($F18/24/Shipping!$Z$44+0.5*Shipping!$Z$59))</f>
        <v>14235389.741031811</v>
      </c>
      <c r="FN18" s="28">
        <f>IF($E18="","No Port",IF(G18="Panama","Ship cannot pass through Panama",((F18/24/Shipping!$Z$44+F18/24/Shipping!$Z$50+Shipping!$Z$59+Shipping!$Z$64)*(Shipping!$Z$22+wacc_nl*Shipping!$Z$19/365.25*1000000+Shipping!$Z$35)+(F18/24/Shipping!$Z$44*Shipping!$Z$45+Shipping!$Z$64*Shipping!$Z$65)*IF(bunker_choice="HFO",$H18,IF(bunker_choice="hydrogen",$BD18*hfo_e_density_lhv/h2_e_density_lhv,(FK18+FL18)*1000000/FM18*hfo_e_density_lhv/lh2_e_density_lhv))+(F18/24/Shipping!$Z$50*Shipping!$Z$51+Shipping!$Z$59*Shipping!$Z$60)*IF(bunker_choice="HFO",bunker_price_ROT,IF(bunker_choice="hydrogen",$BD18*hfo_e_density_lhv/h2_e_density_lhv,(FK18+FL18)*1000000/FM18*hfo_e_density_lhv/lh2_e_density_lhv))+Shipping!$Z$73+IF(G18="Panama",Shipping!$Z$55,0)+IF(G18="Suez",Shipping!$Z$56,0))/Shipping!$Z$31*(FM18+lh2_st_ab_losses)/1000000)+IF(inland_transport_to_port="hv dc grid",$BM18/100*1000*FP18,IF(inland_transport_to_port="pipeline",$BN18,0)))</f>
        <v>6335.1101015249178</v>
      </c>
      <c r="FO18" s="28">
        <f t="shared" si="42"/>
        <v>125234.78974580974</v>
      </c>
      <c r="FP18" s="29">
        <f>((Carriers!$AD$18/Carriers!$AD$23*alk_el_e_demand)+lh2_e_demand)*(FM18+lh2_st_ab_losses)/1000000+lh2_st_e_demand*FM18/1000000</f>
        <v>824.90105746351458</v>
      </c>
      <c r="FQ18" s="100">
        <f t="shared" si="29"/>
        <v>1.361902463475859</v>
      </c>
      <c r="FR18" s="28">
        <f>IFERROR(FO18*1000000/Storage!$Y$12,"")</f>
        <v>9208.44042248601</v>
      </c>
      <c r="FS18" s="100">
        <f>H2_retrieval!$V$25*h2_demand_kt/1000</f>
        <v>8.16</v>
      </c>
      <c r="FT18" s="28">
        <f>IFERROR(FR18*(1+H2_retrieval!$V$34)/Carrier_properties!$U$7+H2_retrieval!$V$38,"")</f>
        <v>9240.409148354478</v>
      </c>
      <c r="FU18" s="12"/>
      <c r="FV18" s="24">
        <f t="shared" si="30"/>
        <v>2.5848817491514664</v>
      </c>
      <c r="FW18" s="24" t="str">
        <f t="shared" si="43"/>
        <v/>
      </c>
      <c r="FX18" s="24" t="str">
        <f t="shared" si="44"/>
        <v/>
      </c>
      <c r="FY18" s="24">
        <f t="shared" si="45"/>
        <v>2.5848817491514664</v>
      </c>
      <c r="FZ18" s="28">
        <f t="shared" si="46"/>
        <v>3249.7762699655764</v>
      </c>
      <c r="GA18" s="28">
        <f t="shared" si="47"/>
        <v>729.87149185752571</v>
      </c>
      <c r="GB18" s="28">
        <f t="shared" si="48"/>
        <v>454.91818723975194</v>
      </c>
      <c r="GC18" s="28">
        <f t="shared" si="49"/>
        <v>814.50588393880605</v>
      </c>
      <c r="GD18" s="28">
        <f t="shared" si="50"/>
        <v>1184.7226686946472</v>
      </c>
      <c r="GE18" s="28">
        <f t="shared" si="51"/>
        <v>2062.4154650643632</v>
      </c>
      <c r="GF18" s="28">
        <f t="shared" si="52"/>
        <v>2170.1671632700873</v>
      </c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</row>
    <row r="19" spans="1:214" x14ac:dyDescent="0.2">
      <c r="A19" s="40" t="s">
        <v>39</v>
      </c>
      <c r="B19" s="12">
        <v>190</v>
      </c>
      <c r="C19" s="12">
        <v>1</v>
      </c>
      <c r="D19" s="12">
        <f t="shared" si="0"/>
        <v>0</v>
      </c>
      <c r="E19" s="12" t="s">
        <v>701</v>
      </c>
      <c r="F19" s="12">
        <v>149</v>
      </c>
      <c r="G19" s="12"/>
      <c r="H19" s="16">
        <f t="shared" si="1"/>
        <v>382.75862068965517</v>
      </c>
      <c r="I19" s="16">
        <v>30280</v>
      </c>
      <c r="J19" s="16">
        <f t="shared" si="31"/>
        <v>98.175472260871658</v>
      </c>
      <c r="K19" s="27">
        <f t="shared" si="32"/>
        <v>117.81056671304599</v>
      </c>
      <c r="L19" s="103">
        <v>7.5999999999999998E-2</v>
      </c>
      <c r="M19" s="103">
        <f t="shared" si="2"/>
        <v>9.5174475242595757E-2</v>
      </c>
      <c r="N19" s="122">
        <f t="shared" si="33"/>
        <v>0.9</v>
      </c>
      <c r="O19" s="46">
        <f t="shared" si="3"/>
        <v>40</v>
      </c>
      <c r="P19" s="70">
        <f t="array" ref="P19">SUMPRODUCT(IF(Solar_data!A$4:A$777=A19,Solar_data!C$4:C$777),IF(Solar_data!A$4:A$777=A19,Solar_data!I$4:I$777))/SUMIF(Solar_data!A$4:A$777,A19,Solar_data!I$4:I$777)</f>
        <v>1131.2653250651986</v>
      </c>
      <c r="Q19" s="16">
        <f t="array" ref="Q19">MAX(IF(Solar_data!$A$777:'Solar_data'!$A$4=Country_details!$A19,Solar_data!$C$4:'Solar_data'!$C$777))</f>
        <v>1186.25</v>
      </c>
      <c r="R19" s="16">
        <f t="array" ref="R19">MIN(IF(Solar_data!$A$777:'Solar_data'!$A$4=Country_details!A19,Solar_data!$C$4:'Solar_data'!$C$777))</f>
        <v>1003.75</v>
      </c>
      <c r="S19" s="24">
        <f t="shared" si="4"/>
        <v>3.2660498895352803</v>
      </c>
      <c r="T19" s="24">
        <f t="shared" si="5"/>
        <v>3.114663005238596</v>
      </c>
      <c r="U19" s="24">
        <f t="shared" si="6"/>
        <v>3.6809653698274309</v>
      </c>
      <c r="V19" s="16">
        <f t="array" ref="V19">SUM(IF(Solar_data!$A$777:'Solar_data'!$A$4=Country_details!$A19,Solar_data!$I$4:'Solar_data'!$I$777))</f>
        <v>138.82490287834275</v>
      </c>
      <c r="W19" s="148"/>
      <c r="X19" s="16">
        <f>IFERROR(INDEX(Onshore_wind_data!$J$5:'Onshore_wind_data'!$J$221,MATCH(A19,Onshore_wind_data!$B$5:'Onshore_wind_data'!$B$221,0)),"")</f>
        <v>3014.2148196387111</v>
      </c>
      <c r="Y19" s="16">
        <f>IFERROR(INDEX(Onshore_wind_data!$K$5:'Onshore_wind_data'!$K$221,MATCH(A19,Onshore_wind_data!$B$5:'Onshore_wind_data'!$B$221,0)),"")</f>
        <v>3285.5</v>
      </c>
      <c r="Z19" s="16">
        <f>IFERROR(INDEX(Onshore_wind_data!$L$5:'Onshore_wind_data'!$L$221,MATCH(A19,Onshore_wind_data!$B$5:'Onshore_wind_data'!$B$221,0)),"")</f>
        <v>2847.5</v>
      </c>
      <c r="AA19" s="24">
        <f t="shared" si="7"/>
        <v>4.0103616844558907</v>
      </c>
      <c r="AB19" s="24">
        <f t="shared" si="8"/>
        <v>3.6792243559270159</v>
      </c>
      <c r="AC19" s="24">
        <f t="shared" si="9"/>
        <v>4.2451594807368602</v>
      </c>
      <c r="AD19" s="16">
        <f>IFERROR(INDEX(Onshore_wind_data!$I$5:'Onshore_wind_data'!$I$221,MATCH(A19,Onshore_wind_data!$B$5:'Onshore_wind_data'!$B$221,0)),"")</f>
        <v>63.873623400000007</v>
      </c>
      <c r="AE19" s="148"/>
      <c r="AF19" s="16">
        <f>INDEX(Offshore_wind_data!$AA$7:$AA$192,MATCH(Country_details!A19,Offshore_wind_data!$A$7:$A$192,0))</f>
        <v>4204.8</v>
      </c>
      <c r="AG19" s="16">
        <f>INDEX(Offshore_wind_data!$Y$7:$Y$192,MATCH(Country_details!A19,Offshore_wind_data!$A$7:$A$192,0))</f>
        <v>4204.8</v>
      </c>
      <c r="AH19" s="16">
        <f>INDEX(Offshore_wind_data!$Z$7:$Z$192,MATCH(Country_details!A19,Offshore_wind_data!$A$7:$A$192,0))</f>
        <v>4204.8</v>
      </c>
      <c r="AI19" s="24">
        <f t="shared" si="10"/>
        <v>5.4995306635186942</v>
      </c>
      <c r="AJ19" s="24">
        <f t="shared" si="11"/>
        <v>5.4995306635186942</v>
      </c>
      <c r="AK19" s="24">
        <f t="shared" si="12"/>
        <v>5.4995306635186942</v>
      </c>
      <c r="AL19" s="16">
        <f>INDEX(Offshore_wind_data!$W$7:$W$191,MATCH(A19,Offshore_wind_data!$A$7:$A$191,0))</f>
        <v>65.847168000000011</v>
      </c>
      <c r="AM19" s="148"/>
      <c r="AN19" s="12">
        <v>11.4</v>
      </c>
      <c r="AO19" s="12">
        <v>12.5</v>
      </c>
      <c r="AP19" s="34">
        <f>2.8815*11.63</f>
        <v>33.511845000000001</v>
      </c>
      <c r="AQ19" s="15">
        <f t="shared" si="13"/>
        <v>50</v>
      </c>
      <c r="AR19" s="12">
        <f t="shared" si="34"/>
        <v>625</v>
      </c>
      <c r="AS19" s="16">
        <f t="shared" si="35"/>
        <v>-356.45430572165719</v>
      </c>
      <c r="AT19" s="12"/>
      <c r="AU19" s="24">
        <f t="shared" si="14"/>
        <v>3.8072454964055273</v>
      </c>
      <c r="AV19" s="16">
        <f t="shared" si="15"/>
        <v>4145.4801447039099</v>
      </c>
      <c r="AW19" s="149">
        <f>HV_DC_Grid!$E$3/(1-AX19)*AU19/100*1000</f>
        <v>3875.7325799154091</v>
      </c>
      <c r="AX19" s="31">
        <f>(1-(1-HV_DC_Grid!$E$25)^(B19*C19*HV_DC_Grid!$E$8/1000))+(1-(1-HV_DC_Grid!$E$26)^(B19*D19*HV_DC_Grid!$E$8/1000))+HV_DC_Grid!$E$35*HV_DC_Grid!$E$28</f>
        <v>1.7670745361739168E-2</v>
      </c>
      <c r="AY19" s="28">
        <f>B19*nl_e_demand/IF(hv_dc_flh="electricity FLH",$AV19,hv_dc_custom)*1000*hv_dc_capacity_multiplier*hv_dc_length_multiplier*1000*(C19*hv_dc_overhead_invest*(hv_dc_overhead_opex+M19+1/hv_dc_lifetime)+D19*hv_dc_sea_invest*(hv_dc_sea_opex+M19+1/hv_dc_lifetime))/1000000+HV_DC_Grid!$E$10*1000*hv_dc_station_invest*hv_dc_station_number*(hv_dc_station_opex+M19+1/hv_dc_lifetime)/1000000</f>
        <v>474.25164820382486</v>
      </c>
      <c r="AZ19" s="24">
        <f>(AW19+AY19)/(HV_DC_Grid!$E$3*1000)*100</f>
        <v>4.3499842281192347</v>
      </c>
      <c r="BA19" s="28">
        <f>MIN(((Carriers!$F$26+Carriers!$F$27)*(alk_el_opex+wacc_nl+1/alk_el_lifetime)+IF(hv_dc_flh="electricity FLH",$AV19,hv_dc_custom)*AZ19/100)/(IF(hv_dc_flh="electricity FLH",$AV19,hv_dc_custom)/alk_el_e_demand)*1000,((Carriers!$H$26+Carriers!$H$27)*(pem_el_opex+wacc_nl+1/pem_el_lifetime)+IF(hv_dc_flh="electricity FLH",$AV19,hv_dc_custom)*AZ19/100)/(IF(hv_dc_flh="electricity FLH",$AV19,hv_dc_custom)/pem_el_e_demand)*1000)</f>
        <v>2558.6333078519951</v>
      </c>
      <c r="BB19" s="12"/>
      <c r="BC19" s="12"/>
      <c r="BD19" s="149">
        <f>MIN(((Carriers!$F$26+Carriers!$F$27)*(alk_el_opex+M19+1/alk_el_lifetime)+$AV19*$AU19/100)/($AV19/alk_el_e_demand)*1000,((Carriers!$H$26+Carriers!$H$27)*(pem_el_opex+M19+1/pem_el_lifetime)+$AV19*$AU19/100)/($AV19/pem_el_e_demand)*1000)</f>
        <v>2643.251507149716</v>
      </c>
      <c r="BE19" s="28">
        <f>Storage!$AC$50</f>
        <v>8.1664117557772418</v>
      </c>
      <c r="BF19" s="28">
        <f>((Pipeline!$D$22*Pipeline!$D$24*B19*(pipeline_opex+M19+1/pipeline_lifetime))*(Pipeline!$D$39/Pipeline!$D$3)+(Pipeline!$D$57*(pipeline_comp_opex+M19+1/pipeline_comp_lifetime)+Pipeline!$D$47*1000*Pipeline!$D$45*$AU19/100/1000000))*(Pipeline!$D$75/Pipeline!$D$45)</f>
        <v>474.6846746468056</v>
      </c>
      <c r="BG19" s="28">
        <f>BD19+(BE19+BF19)/Storage!$AC$12*1000000</f>
        <v>2678.7552635028469</v>
      </c>
      <c r="BH19" s="28"/>
      <c r="BI19" s="28"/>
      <c r="BJ19" s="28">
        <f>IF($E19="","No Port",BK19*HV_DC_Grid!$E$3*$AU19/100*1000)</f>
        <v>61.973033057529925</v>
      </c>
      <c r="BK19" s="31">
        <f>IFERROR((1-(1-HV_DC_Grid!$E$25)^(K19*HV_DC_Grid!$E$8/1000))+HV_DC_Grid!$E$35*HV_DC_Grid!$E$28,"")</f>
        <v>1.6277656146954408E-2</v>
      </c>
      <c r="BL19" s="28">
        <f>IFERROR(K19*nl_e_demand/IF(hv_dc_flh="electricity FLH",$AV19,hv_dc_custom)*1000*hv_dc_capacity_multiplier*hv_dc_length_multiplier*1000*(hv_dc_overhead_invest*(hv_dc_overhead_opex+M19+1/hv_dc_lifetime))/1000000+HV_DC_Grid!$E$10*1000*hv_dc_station_invest*hv_dc_station_number*(hv_dc_station_opex+M19+1/hv_dc_lifetime)/1000000,"")</f>
        <v>424.63431817594375</v>
      </c>
      <c r="BM19" s="29">
        <f>IFERROR((BJ19+BL19)/(HV_DC_Grid!$E$3*1000)*100,"")</f>
        <v>0.48660735123347365</v>
      </c>
      <c r="BN19" s="28">
        <f>IFERROR(((Pipeline!$D$22*Pipeline!$D$24*K19*(pipeline_opex+M19+1/pipeline_lifetime))*(Pipeline!$D$39/Pipeline!$D$3)+(Pipeline!$D$57*(pipeline_comp_opex+M19+1/pipeline_comp_lifetime)+Pipeline!$D$47*1000*Pipeline!$D$45*S19/100/1000000))*(Pipeline!$D$75/Pipeline!$D$45),"")</f>
        <v>323.74924736228996</v>
      </c>
      <c r="BO19" s="28"/>
      <c r="BP19" s="150">
        <f t="shared" si="16"/>
        <v>105.02708785152828</v>
      </c>
      <c r="BQ19" s="34">
        <f t="shared" si="17"/>
        <v>30.4393969081056</v>
      </c>
      <c r="BR19" s="151">
        <f>(nh3_invest*(M19+1/nh3_lifetime)/nh3_prod+nh3_opex+nh3_e_demand*1000*$AU19/100+Carriers!$N$18/Carriers!$N$23*BD19+Carriers!$N$19/Carriers!$N$23*BQ19)*(BT19+nh3_st_ab_losses)/1000000</f>
        <v>46476.552335693312</v>
      </c>
      <c r="BS19" s="63">
        <f>nh3_st_nl_cost*nh3_st_nl_demand/1000000+(nh3_st_invest*(M19+1/nh3_st_lifetime+nh3_st_opex)/(Storage!$G$63/1000000)+nh3_st_e_demand*1000*$AU19/100)*(BT19+nh3_st_ab_losses)/1000000+Carriers!$N$18/Carriers!$N$23*((BT19+nh3_st_ab_losses)/365.25*short_st_duration_hrs/24)*(h2_short_st_invest*(1/gh2_short_st_lifetime+$M19+h2_short_st_opex)+h2_short_st_e_demand*1000*$AU19/100)/1000000+Carriers!$N$19/Carriers!$N$23*((BT19+nh3_st_ab_losses)/365.25*short_st_duration_hrs/24)*(n2_short_st_invest*(1/n2_short_st_lifetime+$M19+n2_short_st_opex)+n2_short_st_e_demand*1000*$AU19/100)/1000000</f>
        <v>3038.6909946146129</v>
      </c>
      <c r="BT19" s="63">
        <f>Storage!$G$57/((1-Shipping!$H$37)^(F19/24/Shipping!$H$44+0.5*Shipping!$H$59))</f>
        <v>76929613.500241205</v>
      </c>
      <c r="BU19" s="63">
        <f>IF($E19="","No Port",((F19/24/Shipping!$H$44+F19/24/Shipping!$H$50+Shipping!$H$59+Shipping!$H$64)*(Shipping!$H$22+wacc_nl*Shipping!$H$19/365.25*1000000+Shipping!$H$35)+(F19/24/Shipping!$H$44*Shipping!$H$45+Shipping!$H$64*Shipping!$H$65)*IF(bunker_choice="HFO",H19,IF(bunker_choice="hydrogen",BD19*hfo_e_density_lhv/h2_e_density_lhv,(BR19+BS19)*1000000/BT19*hfo_e_density_lhv/nh3_e_density_lhv))+(F19/24/Shipping!$H$50*Shipping!$H$51+Shipping!$H$59*Shipping!$H$60)*IF(bunker_choice="HFO",bunker_price_ROT,IF(bunker_choice="hydrogen",BD19*hfo_e_density_lhv/h2_e_density_lhv,(BR19+BS19)*1000000/BT19*hfo_e_density_lhv/nh3_e_density_lhv))+Shipping!$H$73+IF(G19="Panama",Shipping!$H$55,0)+IF(G19="Suez",Shipping!$H$56,0))/Shipping!$H$31*BT19/1000000+IF(inland_transport_to_port="hv dc grid",$BM19/100*1000*BW19,IF(inland_transport_to_port="pipeline",$BN19,0)))</f>
        <v>846.42406224018714</v>
      </c>
      <c r="BV19" s="63">
        <f t="shared" si="18"/>
        <v>50361.667392548108</v>
      </c>
      <c r="BW19" s="33">
        <f>((Carriers!$N$18/Carriers!$N$23*alk_el_e_demand)+(Carriers!$N$19/Carriers!$N$23*n2_e_demand)+nh3_e_demand)*(BT19+nh3_st_ab_losses)/1000000+nh3_st_e_demand*BT19/1000000</f>
        <v>759.71613074388006</v>
      </c>
      <c r="BX19" s="33">
        <f t="shared" si="19"/>
        <v>0.76626754477640768</v>
      </c>
      <c r="BY19" s="63">
        <f>IFERROR(BV19*1000000/Storage!$G$12,"")</f>
        <v>657.78106598239106</v>
      </c>
      <c r="BZ19" s="63">
        <f>H2_retrieval!$F$25*h2_demand_kt/1000</f>
        <v>80</v>
      </c>
      <c r="CA19" s="63">
        <f>IFERROR(BY19*(1+H2_retrieval!$F$34)/Carrier_properties!$E$7+H2_retrieval!$F$38,"")</f>
        <v>4112.2897585075671</v>
      </c>
      <c r="CB19" s="149">
        <f>(FA_invest*(M19+1/FA_lifetime)/FA_prod+FA_opex+FA_e_demand*1000*$AU19/100+Carriers!$P$18/Carriers!$P$23*BD19+Carriers!$P$20/Carriers!$P$23*co2_liq_cost)*(CF19+FA_st_ab_losses)/1000000</f>
        <v>107511.91812608155</v>
      </c>
      <c r="CC19" s="86">
        <f>(FA_invest*(M19+1/FA_lifetime)/FA_prod+FA_opex+FA_e_demand*1000*$AU19/100+Carriers!$P$18/Carriers!$P$23*BD19+Carriers!$P$20/Carriers!$P$23*BP19)*(CF19+FA_st_ab_losses)/1000000</f>
        <v>132706.39942971009</v>
      </c>
      <c r="CD19" s="63">
        <f>FA_st_nl_cost*FA_st_nl_demand/1000000+(FA_st_invest*(M19+1/FA_st_lifetime+FA_st_opex)/(Storage!$I$63/1000000)+FA_st_e_demand*1000*$AU19/100)*(CF19+FA_st_ab_losses)/1000000+co2_st_nl_cost*Storage!$I$12*co2_density/FA_density/1000000+(co2_st_opex_lev+co2_st_invest_lev+co2_st_e_demand*1000*$AU19/100)*Storage!$I$12/1000000+co2_st_invest_lev*Storage!$I$12*co2_st_lifetime*M19/1000000+Carriers!$P$18/Carriers!$P$23*((CF19+FA_st_ab_losses)/365.25*short_st_duration_hrs/24)*(h2_short_st_invest*(1/gh2_short_st_lifetime+$M19+h2_short_st_opex)+h2_short_st_e_demand*1000*$AU19/100)/1000000+Carriers!$P$20/Carriers!$P$23*((CF19+FA_st_ab_losses)/365.25*short_st_duration_hrs/24)*(co2_short_st_invest*(1/co2_short_st_lifetime+$M19+co2_short_st_opex)+co2_short_st_e_demand*1000*$AU19/100)/1000000</f>
        <v>11173.548683911042</v>
      </c>
      <c r="CE19" s="63">
        <f>FA_st_nl_cost*FA_st_nl_demand/1000000+(FA_st_invest*(M19+1/FA_st_lifetime+FA_st_opex)/(Storage!$I$63/1000000)+FA_st_e_demand*1000*$AU19/100)*(CF19+FA_st_ab_losses)/1000000+Carriers!$P$18/Carriers!$P$23*((CF19+FA_st_ab_losses)/365.25*short_st_duration_hrs/24)*(h2_short_st_invest*(1/gh2_short_st_lifetime+$M19+h2_short_st_opex)+h2_short_st_e_demand*1000*$AU19/100)/1000000+Carriers!$P$20/Carriers!$P$23*((CF19+FA_st_ab_losses)/365.25*short_st_duration_hrs/24)*(co2_short_st_invest*(1/co2_short_st_lifetime+$M19+co2_short_st_opex)+co2_short_st_e_demand*1000*$AU19/100)/1000000</f>
        <v>4572.4108546812695</v>
      </c>
      <c r="CF19" s="63">
        <f>Storage!$I$57/((1-Shipping!$J$37)^($F19/24/Shipping!$J$44+0.5*Shipping!$J$59))</f>
        <v>310425396.82539684</v>
      </c>
      <c r="CG19" s="28">
        <f>IF($E19="","No Port",((F19/24/Shipping!$J$44+F19/24/Shipping!$J$50+Shipping!$J$59+Shipping!$J$64)*(Shipping!$J$22+wacc_nl*Shipping!$J$19/365.25*1000000+Shipping!$J$35)+(F19/24/Shipping!$J$44*Shipping!$J$45+Shipping!$J$64*Shipping!$J$65)*IF(bunker_choice="HFO",$H19,IF(bunker_choice="hydrogen",$BD19*hfo_e_density_lhv/h2_e_density_lhv,(CB19+CD19)*1000000/CF19*hfo_e_density_lhv/FA_e_density_lhv))+(F19/24/Shipping!$J$50*Shipping!$J$51+Shipping!$J$59*Shipping!$J$60)*IF(bunker_choice="HFO",bunker_price_ROT,IF(bunker_choice="hydrogen",$BD19*hfo_e_density_lhv/h2_e_density_lhv,(CB19+CD19)*1000000/CF19*hfo_e_density_lhv/FA_e_density_lhv))+Shipping!$J$73+IF(G19="Panama",Shipping!$J$55,0)+IF(G19="Suez",Shipping!$J$56,0))/Shipping!$J$31*CF19/1000000+IF(inland_transport_to_port="hv dc grid",$BM19/100*1000*CI19,IF(inland_transport_to_port="pipeline",$BN19,0)))</f>
        <v>2393.2283021882217</v>
      </c>
      <c r="CH19" s="28">
        <f t="shared" si="36"/>
        <v>139672.03858657958</v>
      </c>
      <c r="CI19" s="29">
        <f>((Carriers!$P$18/Carriers!$P$23*alk_el_e_demand)+FA_e_demand)*(CF19+FA_st_ab_losses)/1000000+FA_st_e_demand*CF19/1000000</f>
        <v>1897.8881241622576</v>
      </c>
      <c r="CJ19" s="29">
        <f t="shared" si="20"/>
        <v>0.46563809523809524</v>
      </c>
      <c r="CK19" s="28">
        <f>IFERROR(CH19*1000000/Storage!$I$12,"")</f>
        <v>449.93753737597734</v>
      </c>
      <c r="CL19" s="28">
        <f>IF($E19="","No Port",((F19/24/Shipping!$J$44+F19/24/Shipping!$J$50+Shipping!$J$59+Shipping!$J$64)*Carriers!$P$39*wacc_nl))</f>
        <v>50.932943451386272</v>
      </c>
      <c r="CM19" s="29">
        <f>H2_retrieval!$H$25*h2_demand_kt/1000+(co2_liq_e_demand+co2_st_e_demand*2)*Storage!$I$12*co2_density/FA_density/1000000</f>
        <v>94.204253879484654</v>
      </c>
      <c r="CN19" s="28">
        <f>IFERROR((((CB19+CD19+CG19)*(1+H2_retrieval!$H$34)+CL19)*1000000/H2_retrieval!$H$8)+h2_regen_fa,"")</f>
        <v>8996.2776659752053</v>
      </c>
      <c r="CO19" s="149">
        <f>(meoh_invest*(M19+1/meoh_lifetime)/meoh_prod+meoh_opex+meoh_e_demand*1000*$AU19/100+Carriers!$R$18/Carriers!$R$23*BD19+Carriers!$R$20/Carriers!$R$23*co2_liq_cost)*(CS19+meoh_st_ab_losses)/1000000</f>
        <v>58694.193481862632</v>
      </c>
      <c r="CP19" s="86">
        <f>(meoh_invest*(M19+1/meoh_lifetime)/meoh_prod+meoh_opex+meoh_e_demand*1000*$AU19/100+Carriers!$R$18/Carriers!$R$23*BD19+Carriers!$R$20/Carriers!$R$23*BP19)*(CS19+meoh_st_ab_losses)/1000000</f>
        <v>73484.131806998339</v>
      </c>
      <c r="CQ19" s="63">
        <f>meoh_st_nl_cost*meoh_st_nl_demand/1000000+(meoh_st_invest*(M19+1/meoh_st_lifetime+meoh_st_opex)/(Storage!$K$63/1000000)+meoh_st_e_demand*1000*$AU19/100)*(CS19+meoh_st_ab_losses)/1000000+co2_st_nl_cost*Storage!$K$12*co2_density/meoh_density/1000000+(co2_st_opex_lev+co2_st_invest_lev+co2_st_e_demand*1000*IFERROR(MIN(S19,AA19,AI19),S19)/100)*Storage!$K$12/1000000+co2_st_invest_lev*Storage!$K$12*co2_st_lifetime*M19/1000000+Carriers!$R$18/Carriers!$R$23*((CS19+meoh_st_ab_losses)/365.25*short_st_duration_hrs/24)*(h2_short_st_invest*(1/gh2_short_st_lifetime+$M19+h2_short_st_opex)+h2_short_st_e_demand*1000*$AU19/100)/1000000+Carriers!$R$20/Carriers!$R$23*((CF19+meoh_st_ab_losses)/365.25*short_st_duration_hrs/24)*(co2_short_st_invest*(1/co2_short_st_lifetime+$M19+co2_short_st_opex)+co2_short_st_e_demand*1000*$AU19/100)/1000000</f>
        <v>4606.1320842058476</v>
      </c>
      <c r="CR19" s="63">
        <f>meoh_st_nl_cost*meoh_st_nl_demand/1000000+(meoh_st_invest*(M19+1/meoh_st_lifetime+meoh_st_opex)/(Storage!$K$63/1000000)+meoh_st_e_demand*1000*$AU19/100)*(CS19+meoh_st_ab_losses)/1000000+Carriers!$R$18/Carriers!$R$23*((CS19+meoh_st_ab_losses)/365.25*short_st_duration_hrs/24)*(h2_short_st_invest*(1/gh2_short_st_lifetime+$M19+h2_short_st_opex)+h2_short_st_e_demand*1000*$AU19/100)/1000000+Carriers!$R$20/Carriers!$R$23*((CF19+meoh_st_ab_losses)/365.25*short_st_duration_hrs/24)*(co2_short_st_invest*(1/co2_short_st_lifetime+$M19+co2_short_st_opex)+co2_short_st_e_demand*1000*$AU19/100)/1000000</f>
        <v>1768.0629823511349</v>
      </c>
      <c r="CS19" s="63">
        <f>Storage!$K$57/((1-Shipping!$L$37)^($F19/24/Shipping!$L$44+0.5*Shipping!$L$59))</f>
        <v>108044444.44444443</v>
      </c>
      <c r="CT19" s="28">
        <f>IF($E19="","No Port",IF(AND(ship_choice="VLCC",G19="Panama"),"Ship cannot pass through Panama",IF(ship_choice="VLCC",((F19/24/Shipping!$AD$44+F19/24/Shipping!$AD$50+Shipping!$AD$59+Shipping!$AD$64)*(Shipping!$AD$22+wacc_nl*Shipping!$AD$19/365.25*1000000+Shipping!$AD$35)+(F19/24/Shipping!$AD$44*Shipping!$AD$45+Shipping!$AD$64*Shipping!$AD$65)*IF(bunker_choice="HFO",$H19,IF(bunker_choice="hydrogen",$BD19*hfo_e_density_lhv/h2_e_density_lhv,(CO19+CQ19)*1000000/CS19*hfo_e_density_lhv/meoh_e_density_lhv))+(F19/24/Shipping!$AD$50*Shipping!$AD$51+Shipping!$AD$59*Shipping!$AD$60)*IF(bunker_choice="HFO",bunker_price_ROT,IF(bunker_choice="hydrogen",$BD19*hfo_e_density_lhv/h2_e_density_lhv,(CO19+CQ19)*1000000/CS19*hfo_e_density_lhv/meoh_e_density_lhv))+Shipping!$AD$73+IF(G19="Panama",Shipping!$AD$55,0)+IF(G19="Suez",Shipping!$AD$56,0))/Shipping!$AD$31*CS19/1000000+IF(inland_transport_to_port="hv dc grid",$BM19/100*1000*CV19,IF(inland_transport_to_port="pipeline",$BN19,0)),((F19/24/Shipping!$L$44+F19/24/Shipping!$L$50+Shipping!$L$59+Shipping!$L$64)*(Shipping!$L$22+wacc_nl*Shipping!$L$19/365.25*1000000+Shipping!$L$35)+(F19/24/Shipping!$L$44*Shipping!$L$45+Shipping!$L$64*Shipping!$L$65)*IF(bunker_choice="HFO",$H19,IF(bunker_choice="hydrogen",$BD19*hfo_e_density_lhv/h2_e_density_lhv,(CO19+CQ19)*1000000/CS19*hfo_e_density_lhv/meoh_e_density_lhv))+(F19/24/Shipping!$L$50*Shipping!$L$51+Shipping!$L$59*Shipping!$L$60)*IF(bunker_choice="HFO",bunker_price_ROT,IF(bunker_choice="hydrogen",$BD19*hfo_e_density_lhv/h2_e_density_lhv,(CO19+CQ19)*1000000/CS19*hfo_e_density_lhv/meoh_e_density_lhv))+Shipping!$L$73+IF(G19="Panama",Shipping!$L$55,0)+IF(G19="Suez",Shipping!$L$56,0))/Shipping!$L$31*CS19/1000000+IF(inland_transport_to_port="hv dc grid",$BM19/100*1000*CV19,IF(inland_transport_to_port="pipeline",$BN19,0)))))</f>
        <v>995.76738599167652</v>
      </c>
      <c r="CU19" s="28">
        <f t="shared" si="37"/>
        <v>76247.962175341163</v>
      </c>
      <c r="CV19" s="29">
        <f>((Carriers!$R$18/Carriers!$R$23*alk_el_e_demand)+meoh_e_demand)*(CS19+meoh_st_ab_losses)/1000000+meoh_st_e_demand*CS19/1000000</f>
        <v>1119.9789871111109</v>
      </c>
      <c r="CW19" s="29">
        <f t="shared" si="21"/>
        <v>0.16206666666666666</v>
      </c>
      <c r="CX19" s="28">
        <f>IFERROR(CU19*1000000/Storage!$K$12,"")</f>
        <v>705.70923444885898</v>
      </c>
      <c r="CY19" s="28">
        <f>IF($E19="","No Port",((F19/24/Shipping!$L$44+F19/24/Shipping!$L$50+Shipping!$L$59+Shipping!$L$64)*Carriers!$R$39*wacc_nl))</f>
        <v>17.801466792331688</v>
      </c>
      <c r="CZ19" s="29">
        <f>H2_retrieval!$J$25*h2_demand_kt/1000+(co2_liq_e_demand+co2_st_e_demand*2)*Storage!$K$12*co2_density/meoh_density/1000000</f>
        <v>251.05079059698966</v>
      </c>
      <c r="DA19" s="28">
        <f>IFERROR((((CO19+CQ19+CT19)*(1+H2_retrieval!$J$34)+CY19)*1000000/H2_retrieval!$J$8)+h2_regen_meoh,"")</f>
        <v>5899.0913681117408</v>
      </c>
      <c r="DB19" s="149">
        <f>(DBT_invest*(M19+1/DBT_lifetime)/DBT_prod+DBT_opex+DBT_e_demand*1000*$AU19/100+Carriers!$T$18/Carriers!$T$23*BD19)*(DD19+DBT_st_ab_losses)/1000000</f>
        <v>38941.249949531033</v>
      </c>
      <c r="DC19" s="28">
        <f>2*(DBT_st_nl_cost*DBT_st_nl_demand/1000000+(DBT_st_invest*(M19+1/DBT_st_lifetime+DBT_st_opex)/(Storage!$M$63/1000000)+DBT_st_e_demand*1000*$AU19/100)*(DD19+DBT_st_ab_losses)/1000000)+Carriers!$T$18/Carriers!$T$23*((DD19+DBT_st_ab_losses)/365.25*short_st_duration_hrs/24)*(h2_short_st_invest*(1/gh2_short_st_lifetime+$M19+h2_short_st_opex)+h2_short_st_e_demand*1000*$AU19/100)/1000000</f>
        <v>3721.8874285601519</v>
      </c>
      <c r="DD19" s="63">
        <f>Storage!$M$57/((1-Shipping!$N$37)^($F19/24/Shipping!$N$44+0.5*Shipping!$N$59))</f>
        <v>219354838.70967743</v>
      </c>
      <c r="DE19" s="28">
        <f>IF($E19="","No Port",IF(AND(ship_choice="VLCC",G19="Panama"),"Ship cannot pass through Panama",IF(ship_choice="VLCC",((F19/24/Shipping!$AD$44+F19/24/Shipping!$AD$50+Shipping!$AD$59+Shipping!$AD$64)*(Shipping!$AD$22+wacc_nl*Shipping!$AD$19/365.25*1000000+Shipping!$AD$35)+(F19/24/Shipping!$AD$44*Shipping!$AD$45+Shipping!$AD$64*Shipping!$AD$65)*IF(bunker_choice="HFO",$H19,IF(bunker_choice="hydrogen",$BD19*hfo_e_density_lhv/h2_e_density_lhv,(DB19+DC19)*1000000/DD19*hfo_e_density_lhv/DBT_e_density_lhv))+(F19/24/Shipping!$AD$50*Shipping!$AD$51+Shipping!$AD$59*Shipping!$AD$60)*IF(bunker_choice="HFO",bunker_price_ROT,IF(bunker_choice="hydrogen",$BD19*hfo_e_density_lhv/h2_e_density_lhv,(DB19+DC19)*1000000/DD19*hfo_e_density_lhv/DBT_e_density_lhv))+Shipping!$AD$73+IF(G19="Panama",Shipping!$AD$55,0)+IF(G19="Suez",Shipping!$AD$56,0))/Shipping!$AD$31*DD19/1000000+IF(inland_transport_to_port="hv dc grid",$BM19/100*1000*DG19,IF(inland_transport_to_port="pipeline",$BN19,0)),((F19/24/Shipping!$N$44+F19/24/Shipping!$N$50+Shipping!$N$59+Shipping!$N$64)*(Shipping!$N$22+wacc_nl*Shipping!$N$19/365.25*1000000+Shipping!$N$35)+(F19/24/Shipping!$N$44*Shipping!$N$45+Shipping!$N$64*Shipping!$N$65)*IF(bunker_choice="HFO",$H19,IF(bunker_choice="hydrogen",$BD19*hfo_e_density_lhv/h2_e_density_lhv,(DB19+DC19)*1000000/DD19*hfo_e_density_lhv/DBT_e_density_lhv))+(F19/24/Shipping!$N$50*Shipping!$N$51+Shipping!$N$59*Shipping!$N$60)*IF(bunker_choice="HFO",bunker_price_ROT,IF(bunker_choice="hydrogen",$BD19*hfo_e_density_lhv/h2_e_density_lhv,(DB19+DC19)*1000000/DD19*hfo_e_density_lhv/DBT_e_density_lhv))+Shipping!$N$73+IF(G19="Panama",Shipping!$N$55,0)+IF(G19="Suez",Shipping!$N$56,0))/Shipping!$N$31*Shipping!$N$86/1000000+IF(inland_transport_to_port="hv dc grid",$BM19/100*1000*DG19,IF(inland_transport_to_port="pipeline",$BN19,0)))))</f>
        <v>1561.3671292909075</v>
      </c>
      <c r="DF19" s="28">
        <f t="shared" si="53"/>
        <v>44224.504507382087</v>
      </c>
      <c r="DG19" s="29">
        <f>((Carriers!$T$18/Carriers!$T$23*alk_el_e_demand)+DBT_e_demand)*(DD19+DBT_st_ab_losses)/1000000+DBT_st_e_demand*DD19/1000000</f>
        <v>703.88335483870969</v>
      </c>
      <c r="DH19" s="29">
        <f t="shared" si="23"/>
        <v>0.21935483870967742</v>
      </c>
      <c r="DI19" s="28">
        <f>IFERROR(DF19*1000000/Storage!$M$12,"")</f>
        <v>201.61171172483009</v>
      </c>
      <c r="DJ19" s="28">
        <f>IF($E19="","No Port",((F19/24/Shipping!$N$44+F19/24/Shipping!$N$50+Shipping!$N$59+Shipping!$N$64)*Carriers!$T$39*wacc_nl))</f>
        <v>1296.5393153548569</v>
      </c>
      <c r="DK19" s="100">
        <f>H2_retrieval!$L$25*h2_demand_kt/1000+(co2_liq_e_demand+co2_st_e_demand*2)*Storage!$M$12*co2_density/DBT_density/1000000</f>
        <v>206.61934861671787</v>
      </c>
      <c r="DL19" s="28">
        <f>IFERROR(((DF19*(1+H2_retrieval!$L$34)+DJ19)*1000000/H2_retrieval!$L$8)+h2_regen_lohc,"")</f>
        <v>3817.7853558400407</v>
      </c>
      <c r="DM19" s="149">
        <f t="shared" si="24"/>
        <v>60119.95912313908</v>
      </c>
      <c r="DN19" s="16">
        <f>2*(nabh4_st_nl_cost*nabh4_st_nl_demand/1000000+(nabh4_st_invest*(M19+1/nabh4_st_lifetime+nabh4_st_opex)/(Storage!$O$63/1000000)+nabh4_st_e_demand*1000*$AU19/100)*(DO19+nabh4_st_ab_losses)/1000000)+(h2_demand_kt*1000/365.25*short_st_duration_hrs/24)*(h2_short_st_invest*(1/gh2_short_st_lifetime+$M19+h2_short_st_opex)+h2_short_st_e_demand*1000*$AU19/100)/1000000</f>
        <v>1358.0827416436923</v>
      </c>
      <c r="DO19" s="63">
        <f>Storage!$O$57/((1-Shipping!$P$37)^($F19/24/Shipping!$P$44+0.5*Shipping!$P$59))</f>
        <v>63920000</v>
      </c>
      <c r="DP19" s="16">
        <f>IF($E19="","No Port",((F19/24/Shipping!$P$44+F19/24/Shipping!$P$50+Shipping!$P$59+Shipping!$P$64)*(Shipping!$P$22+wacc_nl*Shipping!$P$19/365.25*1000000+Shipping!$P$35)+(F19/24/Shipping!$P$44*Shipping!$P$45+Shipping!$P$64*Shipping!$P$65)*IF(bunker_choice="HFO",$H19,IF(bunker_choice="hydrogen",$BD19*hfo_e_density_lhv/h2_e_density_lhv,(DM19+DN19)*1000000/DO19*hfo_e_density_lhv/nabh4_e_density_lhv))+(F19/24/Shipping!$P$50*Shipping!$P$51+Shipping!$P$59*Shipping!$P$60)*IF(bunker_choice="HFO",bunker_price_ROT,IF(bunker_choice="hydrogen",$BD19*hfo_e_density_lhv/h2_e_density_lhv,(DM19+DN19)*1000000/DO19*hfo_e_density_lhv/nabh4_e_density_lhv))+Shipping!$P$73+IF(G19="Panama",Shipping!$P$55,0)+IF(G19="Suez",Shipping!$P$56,0))/Shipping!$P$31*(DO19+nabh4_st_ab_losses)/1000000+IF(inland_transport_to_port="hv dc grid",$BM19/100*1000*DR19,IF(inland_transport_to_port="pipeline",$BN19,0)))</f>
        <v>645.00166545143179</v>
      </c>
      <c r="DQ19" s="28">
        <f t="shared" si="38"/>
        <v>62123.043530234208</v>
      </c>
      <c r="DR19" s="29">
        <f>((Carriers!$V$18/Carriers!$V$23*alk_el_e_demand)+nabh4_e_demand)*(DO19+nabh4_st_ab_losses)/1000000+nabh4_st_e_demand*DO19/1000000</f>
        <v>980.02139682539689</v>
      </c>
      <c r="DS19" s="28">
        <f t="shared" si="25"/>
        <v>3.1960000000000002</v>
      </c>
      <c r="DT19" s="28">
        <f>IFERROR(DQ19*1000000/Storage!$O$12,"")</f>
        <v>971.88741442794446</v>
      </c>
      <c r="DU19" s="28">
        <f>IF($E19="","No Port",((F19/24/Shipping!$P$44+F19/24/Shipping!$P$50+Shipping!$P$59+Shipping!$P$64)*Carriers!$V$39*wacc_nl))</f>
        <v>138.48022465005926</v>
      </c>
      <c r="DV19" s="100">
        <f>H2_retrieval!$N$25*h2_demand_kt/1000+(co2_liq_e_demand+co2_st_e_demand*2)*Storage!$O$12*co2_density/nabh4_density/1000000</f>
        <v>18.783638728971958</v>
      </c>
      <c r="DW19" s="28">
        <f>IFERROR(((DQ19*(1+H2_retrieval!$N$34)+DU19)*1000000/H2_retrieval!$N$8)+h2_regen_nabh4,"")</f>
        <v>4676.284844677768</v>
      </c>
      <c r="DX19" s="149">
        <f>(Dme_invest*(M19+1/Dme_lifetime)/Dme_prod+Dme_opex+Dme_e_demand*1000*$AU19/100+Carriers!$X$21/Carriers!$X$23*(CO19*1000000/CS19))*(EB19+Dme_st_ab_losses)/1000000</f>
        <v>82811.971790731055</v>
      </c>
      <c r="DY19" s="86">
        <f>(Dme_invest*(M19+1/Dme_lifetime)/Dme_prod+Dme_opex+Dme_e_demand*1000*$AU19/100+Carriers!$X$21/Carriers!$X$23*(CP19*1000000/CS19))*(EB19+Dme_st_ab_losses)/1000000</f>
        <v>102876.94885559214</v>
      </c>
      <c r="DZ19" s="63">
        <f>Dme_st_nl_cost*Dme_st_nl_demand/1000000+(Dme_st_invest*(M19+1/Dme_st_lifetime+Dme_st_opex)/(Storage!$Q$63/1000000)+Dme_st_e_demand*1000*$AU19/100)*(EB19+Dme_st_ab_losses)/1000000+co2_st_nl_cost*Storage!$Q$12*co2_density/Dme_density/1000000+(co2_st_opex_lev+co2_st_invest_lev+co2_st_e_demand*1000*$AU19/100)*Storage!$Q$12/1000000+co2_st_invest_lev*Storage!$Q$12*co2_st_lifetime*M19/1000000+(h2_demand_kt*1000/365.25*short_st_duration_hrs/24)*(h2_short_st_invest*(1/gh2_short_st_lifetime+$M19+h2_short_st_opex)+h2_short_st_e_demand*1000*$AU19/100)/1000000</f>
        <v>5615.7231445806738</v>
      </c>
      <c r="EA19" s="63">
        <f>Dme_st_nl_cost*Dme_st_nl_demand/1000000+(Dme_st_invest*(M19+1/Dme_st_lifetime+Dme_st_opex)/(Storage!$Q$63/1000000)+Dme_st_e_demand*1000*$AU19/100)*(EB19+Dme_st_ab_losses)/1000000+(h2_demand_kt*1000/365.25*short_st_duration_hrs/24)*(h2_short_st_invest*(1/gh2_short_st_lifetime+$M19+h2_short_st_opex)+h2_short_st_e_demand*1000*$AU19/100)/1000000</f>
        <v>2712.8488620683038</v>
      </c>
      <c r="EB19" s="63">
        <f>Storage!$Q$57/((1-Shipping!$R$37)^($F19/24/Shipping!$R$44+0.5*Shipping!$R$59))</f>
        <v>103547089.94708996</v>
      </c>
      <c r="EC19" s="153">
        <f>IF($E19="","No Port",IF(AND(ship_choice="VLCC",G19="Panama"),"Ship cannot pass through Panama",IF(ship_choice="VLCC",((F19/24/Shipping!$AD$44+F19/24/Shipping!$AD$50+Shipping!$AD$59+Shipping!$AD$64)*(Shipping!$AD$22+wacc_nl*Shipping!$AD$19/365.25*1000000+Shipping!$AD$35)+(F19/24/Shipping!$AD$44*Shipping!$AD$45+Shipping!$AD$64*Shipping!$AD$65)*IF(bunker_choice="HFO",$H19,IF(bunker_choice="hydrogen",$BD19*hfo_e_density_lhv/h2_e_density_lhv,(DX19+DZ19)*1000000/EB19*hfo_e_density_lhv/Dme_e_density_lhv))+(F19/24/Shipping!$AD$50*Shipping!$AD$51+Shipping!$AD$59*Shipping!$AD$60)*IF(bunker_choice="HFO",bunker_price_ROT,IF(bunker_choice="hydrogen",$BD19*hfo_e_density_lhv/h2_e_density_lhv,(DX19+DZ19)*1000000/EB19*hfo_e_density_lhv/Dme_e_density_lhv))+Shipping!$AD$73+IF(G19="Panama",Shipping!$AD$55,0)+IF(G19="Suez",Shipping!$AD$56,0))/Shipping!$AD$31*(EB19+Dme_st_ab_losses)/1000000+IF(inland_transport_to_port="hv dc grid",$BM19/100*1000*EE19,IF(inland_transport_to_port="pipeline",$BN19,0)),((F19/24/Shipping!$R$44+F19/24/Shipping!$R$50+Shipping!$R$59+Shipping!$R$64)*(Shipping!$R$22+wacc_nl*Shipping!$R$19/365.25*1000000+Shipping!$R$35)+(F19/24/Shipping!$R$44*Shipping!$R$45+Shipping!$R$64*Shipping!$R$65)*IF(bunker_choice="HFO",$H19,IF(bunker_choice="hydrogen",$BD19*hfo_e_density_lhv/h2_e_density_lhv,(DX19+DZ19)*1000000/EB19*hfo_e_density_lhv/Dme_e_density_lhv))+(F19/24/Shipping!$R$50*Shipping!$R$51+Shipping!$R$59*Shipping!$R$60)*IF(bunker_choice="HFO",bunker_price_ROT,IF(bunker_choice="hydrogen",$BD19*hfo_e_density_lhv/h2_e_density_lhv,(DX19+DZ19)*1000000/EB19*hfo_e_density_lhv/Dme_e_density_lhv))+Shipping!$R$73+IF(G19="Panama",Shipping!$R$55,0)+IF(G19="Suez",Shipping!$R$56,0))/Shipping!$R$31*(EB19+Dme_st_ab_losses)/1000000+IF(inland_transport_to_port="hv dc grid",$BM19/100*1000*EE19,IF(inland_transport_to_port="pipeline",$BN19,0)))))</f>
        <v>1046.7508961449869</v>
      </c>
      <c r="ED19" s="28">
        <f t="shared" si="39"/>
        <v>106636.54861380544</v>
      </c>
      <c r="EE19" s="29">
        <f>(Dme_e_demand)*(EB19+Dme_st_ab_losses)/1000000+Dme_st_e_demand*DZ19/1000000+$CV19*(Carriers!$X$21/Carriers!$X$23*EB19)/$CS19</f>
        <v>1550.2168163242873</v>
      </c>
      <c r="EF19" s="29">
        <f t="shared" si="26"/>
        <v>1.0354708994708997</v>
      </c>
      <c r="EG19" s="28">
        <f>IFERROR(ED19*1000000/Storage!$Q$12,"")</f>
        <v>1029.8362674247448</v>
      </c>
      <c r="EH19" s="28">
        <f>IF($E19="","No Port",((F19/24/Shipping!$R$44+F19/24/Shipping!$R$50+Shipping!$R$59+Shipping!$R$64)*Carriers!$X$39*wacc_nl))</f>
        <v>17.284228901945173</v>
      </c>
      <c r="EI19" s="100">
        <f>H2_retrieval!$P$25*h2_demand_kt/1000+(co2_liq_e_demand+co2_st_e_demand*2)*Storage!$Q$12*co2_density/Dme_density/1000000</f>
        <v>252.45335899349112</v>
      </c>
      <c r="EJ19" s="28">
        <f>IFERROR((((DX19+DZ19+EC19)*(1+H2_retrieval!$P$34)+EH19)*1000000/H2_retrieval!$P$8)+h2_regen_dme,"")</f>
        <v>7750.4028123401349</v>
      </c>
      <c r="EK19" s="149">
        <f>(ome_invest*(M19+1/ome_lifetime)/ome_prod+ome_opex+ome_e_demand*1000*$AU19/100+Carriers!$Z$21/Carriers!$Z$23*(CO19*1000000/CS19))*(EO19+ome_st_ab_losses)/1000000</f>
        <v>181138.66749058236</v>
      </c>
      <c r="EL19" s="86">
        <f>(ome_invest*(M19+1/ome_lifetime)/ome_prod+ome_opex+ome_e_demand*1000*$AU19/100+Carriers!$Z$21/Carriers!$Z$23*(CP19*1000000/CS19))*(EO19+ome_st_ab_losses)/1000000</f>
        <v>223258.9602590258</v>
      </c>
      <c r="EM19" s="63">
        <f>ome_st_nl_cost*ome_st_nl_demand/1000000+(ome_st_invest*(M19+1/ome_st_lifetime+ome_st_opex)/(Storage!$S$63/1000000)+ome_st_e_demand*1000*$AU19/100)*(EO19+ome_st_ab_losses)/1000000+co2_st_nl_cost*Storage!$S$12*co2_density/ome_density/1000000+(co2_st_opex_lev+co2_st_invest_lev+co2_st_e_demand*1000*$AU19/100)*Storage!$S$12/1000000+co2_st_invest_lev*Storage!$S$12*co2_st_lifetime*M19/1000000+(h2_demand_kt*1000/365.25*short_st_duration_hrs/24)*(h2_short_st_invest*(1/gh2_short_st_lifetime+$M19+h2_short_st_opex)+h2_short_st_e_demand*1000*$AU19/100)/1000000</f>
        <v>4864.5918329440965</v>
      </c>
      <c r="EN19" s="63">
        <f>ome_st_nl_cost*ome_st_nl_demand/1000000+(ome_st_invest*(M19+1/ome_st_lifetime+ome_st_opex)/(Storage!$S$63/1000000)+ome_st_e_demand*1000*$AU19/100)*(EO19+ome_st_ab_losses)/1000000+(h2_demand_kt*1000/365.25*short_st_duration_hrs/24)*(h2_short_st_invest*(1/gh2_short_st_lifetime+$M19+h2_short_st_opex)+h2_short_st_e_demand*1000*$AU19/100)/1000000</f>
        <v>1607.2433908926464</v>
      </c>
      <c r="EO19" s="63">
        <f>Storage!$S$57/((1-Shipping!$T$37)^($F19/24/Shipping!$T$44+0.5*Shipping!$T$59))</f>
        <v>128282539.68253967</v>
      </c>
      <c r="EP19" s="28">
        <f>IF($E19="","No Port",IF(AND(ship_choice="VLCC",G19="Panama"),"Ship cannot pass through Panama",IF(ship_choice="VLCC",((F19/24/Shipping!$AD$44+F19/24/Shipping!$AD$50+Shipping!$AD$59+Shipping!$AD$64)*(Shipping!$AD$22+wacc_nl*Shipping!$AD$19/365.25*1000000+Shipping!$AD$35)+(F19/24/Shipping!$AD$44*Shipping!$AD$45+Shipping!$AD$64*Shipping!$AD$65)*IF(bunker_choice="HFO",$H19,IF(bunker_choice="hydrogen",$BD19*hfo_e_density_lhv/h2_e_density_lhv,(EK19+EM19)*1000000/EO19*hfo_e_density_lhv/Dme_e_density_lhv))+(F19/24/Shipping!$AD$50*Shipping!$AD$51+Shipping!$AD$59*Shipping!$AD$60)*IF(bunker_choice="HFO",bunker_price_ROT,IF(bunker_choice="hydrogen",$BD19*hfo_e_density_lhv/h2_e_density_lhv,(EK19+EM19)*1000000/EO19*hfo_e_density_lhv/ome_e_density_lhv))+Shipping!$AD$73+IF(G19="Panama",Shipping!$AD$55,0)+IF(G19="Suez",Shipping!$AD$56,0))/Shipping!$AD$31*(EO19+ome_st_ab_losses)/1000000+IF(inland_transport_to_port="hv dc grid",$BM19/100*1000*ER19,IF(inland_transport_to_port="pipeline",$BN19,0)),((F19/24/Shipping!$T$44+F19/24/Shipping!$T$50+Shipping!$T$59+Shipping!$T$64)*(Shipping!$T$22+wacc_nl*Shipping!$T$19/365.25*1000000+Shipping!$T$35)+(F19/24/Shipping!$T$44*Shipping!$T$45+Shipping!$T$64*Shipping!$T$65)*IF(bunker_choice="HFO",$H19,IF(bunker_choice="hydrogen",$BD19*hfo_e_density_lhv/h2_e_density_lhv,(EK19+EM19)*1000000/EO19*hfo_e_density_lhv/Dme_e_density_lhv))+(F19/24/Shipping!$T$50*Shipping!$T$51+Shipping!$T$59*Shipping!$T$60)*IF(bunker_choice="HFO",bunker_price_ROT,IF(bunker_choice="hydrogen",$BD19*hfo_e_density_lhv/h2_e_density_lhv,(EK19+EM19)*1000000/EO19*hfo_e_density_lhv/ome_e_density_lhv))+Shipping!$T$73+IF(G19="Panama",Shipping!$T$55,0)+IF(G19="Suez",Shipping!$T$56,0))/Shipping!$T$31*(EO19+ome_st_ab_losses)/1000000+IF(inland_transport_to_port="hv dc grid",$BM19/100*1000*ER19,IF(inland_transport_to_port="pipeline",$BN19,0)))))</f>
        <v>1066.9236230634619</v>
      </c>
      <c r="EQ19" s="28">
        <f t="shared" si="40"/>
        <v>225933.12727298189</v>
      </c>
      <c r="ER19" s="29">
        <f>(ome_e_demand)*(EO19+ome_st_ab_losses)/1000000+ome_st_e_demand*EM19/1000000+$CV19*(Carriers!$Z$21/Carriers!$Z$23*EO19)/$CS19</f>
        <v>3352.0814574376714</v>
      </c>
      <c r="ES19" s="29">
        <f t="shared" si="27"/>
        <v>0.1924238095238095</v>
      </c>
      <c r="ET19" s="28">
        <f>IFERROR(EQ19*1000000/Storage!$S$12,"")</f>
        <v>1761.2149543663368</v>
      </c>
      <c r="EU19" s="28">
        <f>IF($E19="","No Port",((F19/24/Shipping!$T$44+F19/24/Shipping!$T$50+Shipping!$T$59+Shipping!$T$64)*Carriers!$Z$39*wacc_nl))</f>
        <v>21.135907375310904</v>
      </c>
      <c r="EV19" s="100">
        <f>H2_retrieval!$R$25*h2_demand_kt/1000+(co2_liq_e_demand+co2_st_e_demand*2)*Storage!$S$12*co2_density/ome_density/1000000</f>
        <v>254.51942895252085</v>
      </c>
      <c r="EW19" s="28">
        <f>IFERROR((((EK19+EM19+EP19)*(1+H2_retrieval!$R$34)+EU19)*1000000/H2_retrieval!$R$8)+h2_regen_ome,"")</f>
        <v>14926.843164811205</v>
      </c>
      <c r="EX19" s="149">
        <f>(sng_invest*(M19+1/sng_lifetime)/sng_prod+lng_invest*(M19+1/lng_lifetime)/lng_prod+sng_opex+lng_opex+(sng_e_demand+lng_e_demand)*1000*$AU19/100+Carriers!$AB$18/Carriers!$AB$23*BD19+Carriers!$AB$20/Carriers!$AB$23*co2_liq_cost)*(FB19+lng_st_ab_losses)/1000000</f>
        <v>62379.043228113907</v>
      </c>
      <c r="EY19" s="86">
        <f>(sng_invest*(M19+1/sng_lifetime)/sng_prod+lng_invest*(M19+1/lng_lifetime)/lng_prod+sng_opex+lng_opex+(sng_e_demand+lng_e_demand)*1000*$AU19/100+Carriers!$AB$18/Carriers!$AB$23*BD19+Carriers!$AB$20/Carriers!$AB$23*BP19)*(FB19+lng_st_ab_losses)/1000000</f>
        <v>73320.606980666038</v>
      </c>
      <c r="EZ19" s="63">
        <f>lng_st_nl_cost*lng_st_nl_demand/1000000+(lng_st_invest*(M19+1/lng_st_lifetime+lng_st_opex)/(Storage!$U$63/1000000)+lng_st_e_demand*1000*$AU19/100)*(FB19+lng_st_ab_losses)/1000000+co2_st_nl_cost*Storage!$U$12*co2_density/lng_density/1000000+(co2_st_opex_lev+co2_st_invest_lev+co2_st_e_demand*1000*$AU19/100)*Storage!$U$12/1000000+co2_st_invest_lev*Storage!$U$12*co2_st_lifetime*M19/1000000+Carriers!$AB$18/Carriers!$AB$23*((FB19+lng_st_ab_losses)/365.25*short_st_duration_hrs/24)*(h2_short_st_invest*(1/gh2_short_st_lifetime+$M19+h2_short_st_opex)+h2_short_st_e_demand*1000*$AU19/100)/1000000+Carriers!$AB$20/Carriers!$AB$23*((FB19+lng_st_ab_losses)/365.25*short_st_duration_hrs/24)*(co2_short_st_invest*(1/co2_short_st_lifetime+$M19+co2_short_st_opex)+co2_short_st_e_demand*1000*$AU19/100)/1000000</f>
        <v>5777.4561224168174</v>
      </c>
      <c r="FA19" s="63">
        <f>lng_st_nl_cost*lng_st_nl_demand/1000000+(lng_st_invest*(M19+1/lng_st_lifetime+lng_st_opex)/(Storage!$U$63/1000000)+lng_st_e_demand*1000*$AU19/100)*(FB19+lng_st_ab_losses)/1000000+Carriers!$AB$18/Carriers!$AB$23*((FB19+lng_st_ab_losses)/365.25*short_st_duration_hrs/24)*(h2_short_st_invest*(1/gh2_short_st_lifetime+$M19+h2_short_st_opex)+h2_short_st_e_demand*1000*$AU19/100)/1000000+Carriers!$AB$20/Carriers!$AB$23*((FB19+lng_st_ab_losses)/365.25*short_st_duration_hrs/24)*(co2_short_st_invest*(1/co2_short_st_lifetime+$M19+co2_short_st_opex)+co2_short_st_e_demand*1000*$AU19/100)/1000000</f>
        <v>4202.0185792412412</v>
      </c>
      <c r="FB19" s="63">
        <f>Storage!$U$57/((1-Shipping!$V$37)^($F19/24/Shipping!$V$44+0.5*Shipping!$V$59))</f>
        <v>40726748.695816398</v>
      </c>
      <c r="FC19" s="28">
        <f>IF($E19="","No Port",IF(G19="Panama","Ship cannot pass through Panama",((F19/24/Shipping!$V$44+F19/24/Shipping!$V$50+Shipping!$V$59+Shipping!$V$64)*(Shipping!$V$22+wacc_nl*Shipping!$V$19/365.25*1000000+Shipping!$V$35)+(F19/24/Shipping!$V$44*Shipping!$V$45+Shipping!$V$64*Shipping!$V$65)*IF(bunker_choice="HFO",$H19,IF(bunker_choice="hydrogen",$BD19*hfo_e_density_lhv/h2_e_density_lhv,(EX19+EZ19)*1000000/FB19*hfo_e_density_lhv/lng_e_density_lhv))+(F19/24/Shipping!$V$50*Shipping!$V$51+Shipping!$V$59*Shipping!$V$60)*IF(bunker_choice="HFO",bunker_price_ROT,IF(bunker_choice="hydrogen",$BD19*hfo_e_density_lhv/h2_e_density_lhv,(EX19+EZ19)*1000000/FB19*hfo_e_density_lhv/lng_e_density_lhv))+Shipping!$V$73+IF(G19="Panama",Shipping!$V$55,0)+IF(G19="Suez",Shipping!$V$56,0))/Shipping!$V$31*(FB19+lng_st_ab_losses)/1000000)+IF(inland_transport_to_port="hv dc grid",$BM19/100*1000*FE19,IF(inland_transport_to_port="pipeline",$BN19,0)))</f>
        <v>605.53390330884645</v>
      </c>
      <c r="FD19" s="28">
        <f t="shared" si="41"/>
        <v>78128.159463216129</v>
      </c>
      <c r="FE19" s="29">
        <f>((Carriers!$AB$18/Carriers!$AB$23*alk_el_e_demand)+sng_e_demand+lng_e_demand)*(FB19+lng_st_ab_losses)/1000000+lng_st_e_demand*EZ19/1000000</f>
        <v>1092.2747166864203</v>
      </c>
      <c r="FF19" s="29">
        <f t="shared" si="28"/>
        <v>0.8126185861001558</v>
      </c>
      <c r="FG19" s="28">
        <f>IFERROR(FD19*1000000/Storage!$U$12,"")</f>
        <v>1925.0915387134762</v>
      </c>
      <c r="FH19" s="28">
        <f>IF($E19="","No Port",((F19/24/Shipping!$V$44+F19/24/Shipping!$V$50+Shipping!$V$59+Shipping!$V$64)*Carriers!$AB$39*wacc_nl))</f>
        <v>6.7339838112757588</v>
      </c>
      <c r="FI19" s="100">
        <f>H2_retrieval!$T$25*h2_demand_kt/1000+(co2_liq_e_demand+co2_st_e_demand*2)*Storage!$U$12*co2_density/lng_density/1000000</f>
        <v>236.51371749646054</v>
      </c>
      <c r="FJ19" s="28">
        <f>IFERROR((((EX19+EZ19+FC19)*(1+H2_retrieval!$T$34)+FH19)*1000000/H2_retrieval!$T$8)+h2_regen_lng,"")</f>
        <v>6226.6555459645615</v>
      </c>
      <c r="FK19" s="149">
        <f>(lh2_invest*(M19+1/lh2_lifetime)/lh2_prod+lh2_opex+lh2_e_demand*1000*$AU19/100+Carriers!$AD$18/Carriers!$AD$23*BD19)*(FM19+lh2_st_ab_losses)/1000000</f>
        <v>48701.96967061032</v>
      </c>
      <c r="FL19" s="28">
        <f>lh2_st_nl_cost*lh2_st_nl_demand/1000000+(lh2_st_invest*(M19+1/lh2_st_lifetime+lh2_st_opex)/(Storage!$Y$63/1000000)+lh2_st_e_demand*1000*$AU19/100)*(FM19+lh2_st_ab_losses)/1000000+((FM19+lh2_st_ab_losses)/365.25*short_st_duration_hrs/24)*(h2_short_st_invest*(1/gh2_short_st_lifetime+$M19+h2_short_st_opex)+h2_short_st_e_demand*1000*$AU19/100)/1000000</f>
        <v>49090.242571286573</v>
      </c>
      <c r="FM19" s="63">
        <f>Storage!$Y$57/((1-Shipping!$Z$37)^($F19/24/Shipping!$Z$44+0.5*Shipping!$Z$59))</f>
        <v>13670468.439246198</v>
      </c>
      <c r="FN19" s="28">
        <f>IF($E19="","No Port",IF(G19="Panama","Ship cannot pass through Panama",((F19/24/Shipping!$Z$44+F19/24/Shipping!$Z$50+Shipping!$Z$59+Shipping!$Z$64)*(Shipping!$Z$22+wacc_nl*Shipping!$Z$19/365.25*1000000+Shipping!$Z$35)+(F19/24/Shipping!$Z$44*Shipping!$Z$45+Shipping!$Z$64*Shipping!$Z$65)*IF(bunker_choice="HFO",$H19,IF(bunker_choice="hydrogen",$BD19*hfo_e_density_lhv/h2_e_density_lhv,(FK19+FL19)*1000000/FM19*hfo_e_density_lhv/lh2_e_density_lhv))+(F19/24/Shipping!$Z$50*Shipping!$Z$51+Shipping!$Z$59*Shipping!$Z$60)*IF(bunker_choice="HFO",bunker_price_ROT,IF(bunker_choice="hydrogen",$BD19*hfo_e_density_lhv/h2_e_density_lhv,(FK19+FL19)*1000000/FM19*hfo_e_density_lhv/lh2_e_density_lhv))+Shipping!$Z$73+IF(G19="Panama",Shipping!$Z$55,0)+IF(G19="Suez",Shipping!$Z$56,0))/Shipping!$Z$31*(FM19+lh2_st_ab_losses)/1000000)+IF(inland_transport_to_port="hv dc grid",$BM19/100*1000*FP19,IF(inland_transport_to_port="pipeline",$BN19,0)))</f>
        <v>878.50903392221539</v>
      </c>
      <c r="FO19" s="28">
        <f t="shared" si="42"/>
        <v>98670.721275819116</v>
      </c>
      <c r="FP19" s="29">
        <f>((Carriers!$AD$18/Carriers!$AD$23*alk_el_e_demand)+lh2_e_demand)*(FM19+lh2_st_ab_losses)/1000000+lh2_st_e_demand*FM19/1000000</f>
        <v>792.20906172918114</v>
      </c>
      <c r="FQ19" s="100">
        <f t="shared" si="29"/>
        <v>1.361902463475859</v>
      </c>
      <c r="FR19" s="28">
        <f>IFERROR(FO19*1000000/Storage!$Y$12,"")</f>
        <v>7255.2000938102292</v>
      </c>
      <c r="FS19" s="100">
        <f>H2_retrieval!$V$25*h2_demand_kt/1000</f>
        <v>8.16</v>
      </c>
      <c r="FT19" s="28">
        <f>IFERROR(FR19*(1+H2_retrieval!$V$34)/Carrier_properties!$U$7+H2_retrieval!$V$38,"")</f>
        <v>7287.1688196786963</v>
      </c>
      <c r="FU19" s="12"/>
      <c r="FV19" s="24">
        <f t="shared" si="30"/>
        <v>3.2660498895352803</v>
      </c>
      <c r="FW19" s="24">
        <f t="shared" si="43"/>
        <v>4.0103616844558907</v>
      </c>
      <c r="FX19" s="24">
        <f t="shared" si="44"/>
        <v>5.4995306635186942</v>
      </c>
      <c r="FY19" s="24">
        <f t="shared" si="45"/>
        <v>3.2660498895352803</v>
      </c>
      <c r="FZ19" s="28">
        <f t="shared" si="46"/>
        <v>2643.251507149716</v>
      </c>
      <c r="GA19" s="28">
        <f t="shared" si="47"/>
        <v>604.14384293699322</v>
      </c>
      <c r="GB19" s="28">
        <f t="shared" si="48"/>
        <v>427.4985255293164</v>
      </c>
      <c r="GC19" s="28">
        <f t="shared" si="49"/>
        <v>680.12873947242406</v>
      </c>
      <c r="GD19" s="28">
        <f t="shared" si="50"/>
        <v>993.52815137692198</v>
      </c>
      <c r="GE19" s="28">
        <f t="shared" si="51"/>
        <v>1740.3690386199394</v>
      </c>
      <c r="GF19" s="28">
        <f t="shared" si="52"/>
        <v>1800.3059249411135</v>
      </c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</row>
    <row r="20" spans="1:214" x14ac:dyDescent="0.2">
      <c r="A20" s="40" t="s">
        <v>40</v>
      </c>
      <c r="B20" s="12">
        <v>8760</v>
      </c>
      <c r="C20" s="12">
        <v>0</v>
      </c>
      <c r="D20" s="12">
        <f t="shared" si="0"/>
        <v>1</v>
      </c>
      <c r="E20" s="12" t="s">
        <v>702</v>
      </c>
      <c r="F20" s="12">
        <v>4820</v>
      </c>
      <c r="G20" s="12"/>
      <c r="H20" s="16">
        <f t="shared" si="1"/>
        <v>382.75862068965517</v>
      </c>
      <c r="I20" s="16">
        <v>22810</v>
      </c>
      <c r="J20" s="16">
        <f t="shared" si="31"/>
        <v>85.209439053735508</v>
      </c>
      <c r="K20" s="27">
        <f t="shared" si="32"/>
        <v>102.25132686448261</v>
      </c>
      <c r="L20" s="103">
        <v>0.14299999999999999</v>
      </c>
      <c r="M20" s="103">
        <f t="shared" si="2"/>
        <v>0.14255062958209444</v>
      </c>
      <c r="N20" s="122">
        <f t="shared" si="33"/>
        <v>0.9</v>
      </c>
      <c r="O20" s="46">
        <f t="shared" si="3"/>
        <v>40</v>
      </c>
      <c r="P20" s="70">
        <f t="array" ref="P20">SUMPRODUCT(IF(Solar_data!A$4:A$777=A20,Solar_data!C$4:C$777),IF(Solar_data!A$4:A$777=A20,Solar_data!I$4:I$777))/SUMIF(Solar_data!A$4:A$777,A20,Solar_data!I$4:I$777)</f>
        <v>1869.6335144012237</v>
      </c>
      <c r="Q20" s="16">
        <f t="array" ref="Q20">MAX(IF(Solar_data!$A$777:'Solar_data'!$A$4=Country_details!$A20,Solar_data!$C$4:'Solar_data'!$C$777))</f>
        <v>1916.25</v>
      </c>
      <c r="R20" s="16">
        <f t="array" ref="R20">MIN(IF(Solar_data!$A$777:'Solar_data'!$A$4=Country_details!A20,Solar_data!$C$4:'Solar_data'!$C$777))</f>
        <v>1733.75</v>
      </c>
      <c r="S20" s="24">
        <f t="shared" si="4"/>
        <v>2.6688210123229816</v>
      </c>
      <c r="T20" s="24">
        <f t="shared" si="5"/>
        <v>2.6038967820363976</v>
      </c>
      <c r="U20" s="24">
        <f t="shared" si="6"/>
        <v>2.8779911801454925</v>
      </c>
      <c r="V20" s="16">
        <f t="array" ref="V20">SUM(IF(Solar_data!$A$777:'Solar_data'!$A$4=Country_details!$A20,Solar_data!$I$4:'Solar_data'!$I$777))</f>
        <v>170.57198124641855</v>
      </c>
      <c r="W20" s="148"/>
      <c r="X20" s="16">
        <f>IFERROR(INDEX(Onshore_wind_data!$J$5:'Onshore_wind_data'!$J$221,MATCH(A20,Onshore_wind_data!$B$5:'Onshore_wind_data'!$B$221,0)),"")</f>
        <v>2993.6981004070558</v>
      </c>
      <c r="Y20" s="16">
        <f>IFERROR(INDEX(Onshore_wind_data!$K$5:'Onshore_wind_data'!$K$221,MATCH(A20,Onshore_wind_data!$B$5:'Onshore_wind_data'!$B$221,0)),"")</f>
        <v>3723.5</v>
      </c>
      <c r="Z20" s="16">
        <f>IFERROR(INDEX(Onshore_wind_data!$L$5:'Onshore_wind_data'!$L$221,MATCH(A20,Onshore_wind_data!$B$5:'Onshore_wind_data'!$B$221,0)),"")</f>
        <v>2847.5</v>
      </c>
      <c r="AA20" s="24">
        <f t="shared" si="7"/>
        <v>5.2706363551821456</v>
      </c>
      <c r="AB20" s="24">
        <f t="shared" si="8"/>
        <v>4.2375974337169753</v>
      </c>
      <c r="AC20" s="24">
        <f t="shared" si="9"/>
        <v>5.5412446161352618</v>
      </c>
      <c r="AD20" s="16">
        <f>IFERROR(INDEX(Onshore_wind_data!$I$5:'Onshore_wind_data'!$I$221,MATCH(A20,Onshore_wind_data!$B$5:'Onshore_wind_data'!$B$221,0)),"")</f>
        <v>11.0317775</v>
      </c>
      <c r="AE20" s="148"/>
      <c r="AF20" s="16">
        <f>INDEX(Offshore_wind_data!$AA$7:$AA$192,MATCH(Country_details!A20,Offshore_wind_data!$A$7:$A$192,0))</f>
        <v>3728.0829629629629</v>
      </c>
      <c r="AG20" s="16">
        <f>INDEX(Offshore_wind_data!$Y$7:$Y$192,MATCH(Country_details!A20,Offshore_wind_data!$A$7:$A$192,0))</f>
        <v>4204.8</v>
      </c>
      <c r="AH20" s="16">
        <f>INDEX(Offshore_wind_data!$Z$7:$Z$192,MATCH(Country_details!A20,Offshore_wind_data!$A$7:$A$192,0))</f>
        <v>3504</v>
      </c>
      <c r="AI20" s="24">
        <f t="shared" si="10"/>
        <v>7.9818739113689752</v>
      </c>
      <c r="AJ20" s="24">
        <f t="shared" si="11"/>
        <v>7.0769330625697346</v>
      </c>
      <c r="AK20" s="24">
        <f t="shared" si="12"/>
        <v>8.4923196750836816</v>
      </c>
      <c r="AL20" s="16">
        <f>INDEX(Offshore_wind_data!$W$7:$W$191,MATCH(A20,Offshore_wind_data!$A$7:$A$191,0))</f>
        <v>60.394943999999995</v>
      </c>
      <c r="AM20" s="148"/>
      <c r="AN20" s="12">
        <v>0.4</v>
      </c>
      <c r="AO20" s="12">
        <v>0.6</v>
      </c>
      <c r="AP20" s="34">
        <f>5.039*11.63</f>
        <v>58.603569999999998</v>
      </c>
      <c r="AQ20" s="15">
        <f t="shared" si="13"/>
        <v>50</v>
      </c>
      <c r="AR20" s="12">
        <f t="shared" si="34"/>
        <v>30</v>
      </c>
      <c r="AS20" s="16">
        <f t="shared" si="35"/>
        <v>211.99870274641853</v>
      </c>
      <c r="AT20" s="12"/>
      <c r="AU20" s="24">
        <f t="shared" si="14"/>
        <v>4.2704082094227349</v>
      </c>
      <c r="AV20" s="16">
        <f t="shared" si="15"/>
        <v>4863.3316148082795</v>
      </c>
      <c r="AW20" s="149">
        <f>HV_DC_Grid!$E$3/(1-AX20)*AU20/100*1000</f>
        <v>5144.8047710807941</v>
      </c>
      <c r="AX20" s="31">
        <f>(1-(1-HV_DC_Grid!$E$25)^(B20*C20*HV_DC_Grid!$E$8/1000))+(1-(1-HV_DC_Grid!$E$26)^(B20*D20*HV_DC_Grid!$E$8/1000))+HV_DC_Grid!$E$35*HV_DC_Grid!$E$28</f>
        <v>0.16995718993519182</v>
      </c>
      <c r="AY20" s="28">
        <f>B20*nl_e_demand/IF(hv_dc_flh="electricity FLH",$AV20,hv_dc_custom)*1000*hv_dc_capacity_multiplier*hv_dc_length_multiplier*1000*(C20*hv_dc_overhead_invest*(hv_dc_overhead_opex+M20+1/hv_dc_lifetime)+D20*hv_dc_sea_invest*(hv_dc_sea_opex+M20+1/hv_dc_lifetime))/1000000+HV_DC_Grid!$E$10*1000*hv_dc_station_invest*hv_dc_station_number*(hv_dc_station_opex+M20+1/hv_dc_lifetime)/1000000</f>
        <v>26455.195528545722</v>
      </c>
      <c r="AZ20" s="24">
        <f>(AW20+AY20)/(HV_DC_Grid!$E$3*1000)*100</f>
        <v>31.600000299626519</v>
      </c>
      <c r="BA20" s="28">
        <f>MIN(((Carriers!$F$26+Carriers!$F$27)*(alk_el_opex+wacc_nl+1/alk_el_lifetime)+IF(hv_dc_flh="electricity FLH",$AV20,hv_dc_custom)*AZ20/100)/(IF(hv_dc_flh="electricity FLH",$AV20,hv_dc_custom)/alk_el_e_demand)*1000,((Carriers!$H$26+Carriers!$H$27)*(pem_el_opex+wacc_nl+1/pem_el_lifetime)+IF(hv_dc_flh="electricity FLH",$AV20,hv_dc_custom)*AZ20/100)/(IF(hv_dc_flh="electricity FLH",$AV20,hv_dc_custom)/pem_el_e_demand)*1000)</f>
        <v>16288.40307047555</v>
      </c>
      <c r="BB20" s="12"/>
      <c r="BC20" s="12"/>
      <c r="BD20" s="149">
        <f>MIN(((Carriers!$F$26+Carriers!$F$27)*(alk_el_opex+M20+1/alk_el_lifetime)+$AV20*$AU20/100)/($AV20/alk_el_e_demand)*1000,((Carriers!$H$26+Carriers!$H$27)*(pem_el_opex+M20+1/pem_el_lifetime)+$AV20*$AU20/100)/($AV20/pem_el_e_demand)*1000)</f>
        <v>2954.8516757852312</v>
      </c>
      <c r="BE20" s="28">
        <f>Storage!$AC$50</f>
        <v>8.1664117557772418</v>
      </c>
      <c r="BF20" s="28">
        <f>((Pipeline!$D$22*Pipeline!$D$24*B20*(pipeline_opex+M20+1/pipeline_lifetime))*(Pipeline!$D$39/Pipeline!$D$3)+(Pipeline!$D$57*(pipeline_comp_opex+M20+1/pipeline_comp_lifetime)+Pipeline!$D$47*1000*Pipeline!$D$45*$AU20/100/1000000))*(Pipeline!$D$75/Pipeline!$D$45)</f>
        <v>21516.024431948143</v>
      </c>
      <c r="BG20" s="28">
        <f>BD20+(BE20+BF20)/Storage!$AC$12*1000000</f>
        <v>4537.5127672340486</v>
      </c>
      <c r="BH20" s="28"/>
      <c r="BI20" s="28"/>
      <c r="BJ20" s="28">
        <f>IF($E20="","No Port",BK20*HV_DC_Grid!$E$3*$AU20/100*1000)</f>
        <v>68.228925687319261</v>
      </c>
      <c r="BK20" s="31">
        <f>IFERROR((1-(1-HV_DC_Grid!$E$25)^(K20*HV_DC_Grid!$E$8/1000))+HV_DC_Grid!$E$35*HV_DC_Grid!$E$28,"")</f>
        <v>1.5977143715856221E-2</v>
      </c>
      <c r="BL20" s="28">
        <f>IFERROR(K20*nl_e_demand/IF(hv_dc_flh="electricity FLH",$AV20,hv_dc_custom)*1000*hv_dc_capacity_multiplier*hv_dc_length_multiplier*1000*(hv_dc_overhead_invest*(hv_dc_overhead_opex+M20+1/hv_dc_lifetime))/1000000+HV_DC_Grid!$E$10*1000*hv_dc_station_invest*hv_dc_station_number*(hv_dc_station_opex+M20+1/hv_dc_lifetime)/1000000,"")</f>
        <v>564.59093988760651</v>
      </c>
      <c r="BM20" s="29">
        <f>IFERROR((BJ20+BL20)/(HV_DC_Grid!$E$3*1000)*100,"")</f>
        <v>0.63281986557492576</v>
      </c>
      <c r="BN20" s="28">
        <f>IFERROR(((Pipeline!$D$22*Pipeline!$D$24*K20*(pipeline_opex+M20+1/pipeline_lifetime))*(Pipeline!$D$39/Pipeline!$D$3)+(Pipeline!$D$57*(pipeline_comp_opex+M20+1/pipeline_comp_lifetime)+Pipeline!$D$47*1000*Pipeline!$D$45*S20/100/1000000))*(Pipeline!$D$75/Pipeline!$D$45),"")</f>
        <v>338.06848933458821</v>
      </c>
      <c r="BO20" s="28"/>
      <c r="BP20" s="150">
        <f t="shared" si="16"/>
        <v>131.26255994287226</v>
      </c>
      <c r="BQ20" s="34">
        <f t="shared" si="17"/>
        <v>38.377323387379306</v>
      </c>
      <c r="BR20" s="151">
        <f>(nh3_invest*(M20+1/nh3_lifetime)/nh3_prod+nh3_opex+nh3_e_demand*1000*$AU20/100+Carriers!$N$18/Carriers!$N$23*BD20+Carriers!$N$19/Carriers!$N$23*BQ20)*(BT20+nh3_st_ab_losses)/1000000</f>
        <v>54824.687608043496</v>
      </c>
      <c r="BS20" s="63">
        <f>nh3_st_nl_cost*nh3_st_nl_demand/1000000+(nh3_st_invest*(M20+1/nh3_st_lifetime+nh3_st_opex)/(Storage!$G$63/1000000)+nh3_st_e_demand*1000*$AU20/100)*(BT20+nh3_st_ab_losses)/1000000+Carriers!$N$18/Carriers!$N$23*((BT20+nh3_st_ab_losses)/365.25*short_st_duration_hrs/24)*(h2_short_st_invest*(1/gh2_short_st_lifetime+$M20+h2_short_st_opex)+h2_short_st_e_demand*1000*$AU20/100)/1000000+Carriers!$N$19/Carriers!$N$23*((BT20+nh3_st_ab_losses)/365.25*short_st_duration_hrs/24)*(n2_short_st_invest*(1/n2_short_st_lifetime+$M20+n2_short_st_opex)+n2_short_st_e_demand*1000*$AU20/100)/1000000</f>
        <v>3663.5658384611365</v>
      </c>
      <c r="BT20" s="63">
        <f>Storage!$G$57/((1-Shipping!$H$37)^(F20/24/Shipping!$H$44+0.5*Shipping!$H$59))</f>
        <v>79234281.927826226</v>
      </c>
      <c r="BU20" s="63">
        <f>IF($E20="","No Port",((F20/24/Shipping!$H$44+F20/24/Shipping!$H$50+Shipping!$H$59+Shipping!$H$64)*(Shipping!$H$22+wacc_nl*Shipping!$H$19/365.25*1000000+Shipping!$H$35)+(F20/24/Shipping!$H$44*Shipping!$H$45+Shipping!$H$64*Shipping!$H$65)*IF(bunker_choice="HFO",H20,IF(bunker_choice="hydrogen",BD20*hfo_e_density_lhv/h2_e_density_lhv,(BR20+BS20)*1000000/BT20*hfo_e_density_lhv/nh3_e_density_lhv))+(F20/24/Shipping!$H$50*Shipping!$H$51+Shipping!$H$59*Shipping!$H$60)*IF(bunker_choice="HFO",bunker_price_ROT,IF(bunker_choice="hydrogen",BD20*hfo_e_density_lhv/h2_e_density_lhv,(BR20+BS20)*1000000/BT20*hfo_e_density_lhv/nh3_e_density_lhv))+Shipping!$H$73+IF(G20="Panama",Shipping!$H$55,0)+IF(G20="Suez",Shipping!$H$56,0))/Shipping!$H$31*BT20/1000000+IF(inland_transport_to_port="hv dc grid",$BM20/100*1000*BW20,IF(inland_transport_to_port="pipeline",$BN20,0)))</f>
        <v>3578.355315648992</v>
      </c>
      <c r="BV20" s="63">
        <f t="shared" si="18"/>
        <v>62066.608762153628</v>
      </c>
      <c r="BW20" s="33">
        <f>((Carriers!$N$18/Carriers!$N$23*alk_el_e_demand)+(Carriers!$N$19/Carriers!$N$23*n2_e_demand)+nh3_e_demand)*(BT20+nh3_st_ab_losses)/1000000+nh3_st_e_demand*BT20/1000000</f>
        <v>782.45697783716162</v>
      </c>
      <c r="BX20" s="33">
        <f t="shared" si="19"/>
        <v>0.76626754477640768</v>
      </c>
      <c r="BY20" s="63">
        <f>IFERROR(BV20*1000000/Storage!$G$12,"")</f>
        <v>810.6610084066117</v>
      </c>
      <c r="BZ20" s="63">
        <f>H2_retrieval!$F$25*h2_demand_kt/1000</f>
        <v>80</v>
      </c>
      <c r="CA20" s="63">
        <f>IFERROR(BY20*(1+H2_retrieval!$F$34)/Carrier_properties!$E$7+H2_retrieval!$F$38,"")</f>
        <v>4972.9472121550316</v>
      </c>
      <c r="CB20" s="149">
        <f>(FA_invest*(M20+1/FA_lifetime)/FA_prod+FA_opex+FA_e_demand*1000*$AU20/100+Carriers!$P$18/Carriers!$P$23*BD20+Carriers!$P$20/Carriers!$P$23*co2_liq_cost)*(CF20+FA_st_ab_losses)/1000000</f>
        <v>123188.43789530838</v>
      </c>
      <c r="CC20" s="86">
        <f>(FA_invest*(M20+1/FA_lifetime)/FA_prod+FA_opex+FA_e_demand*1000*$AU20/100+Carriers!$P$18/Carriers!$P$23*BD20+Carriers!$P$20/Carriers!$P$23*BP20)*(CF20+FA_st_ab_losses)/1000000</f>
        <v>155143.10166970061</v>
      </c>
      <c r="CD20" s="63">
        <f>FA_st_nl_cost*FA_st_nl_demand/1000000+(FA_st_invest*(M20+1/FA_st_lifetime+FA_st_opex)/(Storage!$I$63/1000000)+FA_st_e_demand*1000*$AU20/100)*(CF20+FA_st_ab_losses)/1000000+co2_st_nl_cost*Storage!$I$12*co2_density/FA_density/1000000+(co2_st_opex_lev+co2_st_invest_lev+co2_st_e_demand*1000*$AU20/100)*Storage!$I$12/1000000+co2_st_invest_lev*Storage!$I$12*co2_st_lifetime*M20/1000000+Carriers!$P$18/Carriers!$P$23*((CF20+FA_st_ab_losses)/365.25*short_st_duration_hrs/24)*(h2_short_st_invest*(1/gh2_short_st_lifetime+$M20+h2_short_st_opex)+h2_short_st_e_demand*1000*$AU20/100)/1000000+Carriers!$P$20/Carriers!$P$23*((CF20+FA_st_ab_losses)/365.25*short_st_duration_hrs/24)*(co2_short_st_invest*(1/co2_short_st_lifetime+$M20+co2_short_st_opex)+co2_short_st_e_demand*1000*$AU20/100)/1000000</f>
        <v>12845.764848194243</v>
      </c>
      <c r="CE20" s="63">
        <f>FA_st_nl_cost*FA_st_nl_demand/1000000+(FA_st_invest*(M20+1/FA_st_lifetime+FA_st_opex)/(Storage!$I$63/1000000)+FA_st_e_demand*1000*$AU20/100)*(CF20+FA_st_ab_losses)/1000000+Carriers!$P$18/Carriers!$P$23*((CF20+FA_st_ab_losses)/365.25*short_st_duration_hrs/24)*(h2_short_st_invest*(1/gh2_short_st_lifetime+$M20+h2_short_st_opex)+h2_short_st_e_demand*1000*$AU20/100)/1000000+Carriers!$P$20/Carriers!$P$23*((CF20+FA_st_ab_losses)/365.25*short_st_duration_hrs/24)*(co2_short_st_invest*(1/co2_short_st_lifetime+$M20+co2_short_st_opex)+co2_short_st_e_demand*1000*$AU20/100)/1000000</f>
        <v>5411.1909099641762</v>
      </c>
      <c r="CF20" s="63">
        <f>Storage!$I$57/((1-Shipping!$J$37)^($F20/24/Shipping!$J$44+0.5*Shipping!$J$59))</f>
        <v>310425396.82539684</v>
      </c>
      <c r="CG20" s="28">
        <f>IF($E20="","No Port",((F20/24/Shipping!$J$44+F20/24/Shipping!$J$50+Shipping!$J$59+Shipping!$J$64)*(Shipping!$J$22+wacc_nl*Shipping!$J$19/365.25*1000000+Shipping!$J$35)+(F20/24/Shipping!$J$44*Shipping!$J$45+Shipping!$J$64*Shipping!$J$65)*IF(bunker_choice="HFO",$H20,IF(bunker_choice="hydrogen",$BD20*hfo_e_density_lhv/h2_e_density_lhv,(CB20+CD20)*1000000/CF20*hfo_e_density_lhv/FA_e_density_lhv))+(F20/24/Shipping!$J$50*Shipping!$J$51+Shipping!$J$59*Shipping!$J$60)*IF(bunker_choice="HFO",bunker_price_ROT,IF(bunker_choice="hydrogen",$BD20*hfo_e_density_lhv/h2_e_density_lhv,(CB20+CD20)*1000000/CF20*hfo_e_density_lhv/FA_e_density_lhv))+Shipping!$J$73+IF(G20="Panama",Shipping!$J$55,0)+IF(G20="Suez",Shipping!$J$56,0))/Shipping!$J$31*CF20/1000000+IF(inland_transport_to_port="hv dc grid",$BM20/100*1000*CI20,IF(inland_transport_to_port="pipeline",$BN20,0)))</f>
        <v>14455.929037144873</v>
      </c>
      <c r="CH20" s="28">
        <f t="shared" si="36"/>
        <v>175010.22161680966</v>
      </c>
      <c r="CI20" s="29">
        <f>((Carriers!$P$18/Carriers!$P$23*alk_el_e_demand)+FA_e_demand)*(CF20+FA_st_ab_losses)/1000000+FA_st_e_demand*CF20/1000000</f>
        <v>1897.8881241622576</v>
      </c>
      <c r="CJ20" s="29">
        <f t="shared" si="20"/>
        <v>0.46563809523809524</v>
      </c>
      <c r="CK20" s="28">
        <f>IFERROR(CH20*1000000/Storage!$I$12,"")</f>
        <v>563.7754623383687</v>
      </c>
      <c r="CL20" s="28">
        <f>IF($E20="","No Port",((F20/24/Shipping!$J$44+F20/24/Shipping!$J$50+Shipping!$J$59+Shipping!$J$64)*Carriers!$P$39*wacc_nl))</f>
        <v>244.51128263887637</v>
      </c>
      <c r="CM20" s="29">
        <f>H2_retrieval!$H$25*h2_demand_kt/1000+(co2_liq_e_demand+co2_st_e_demand*2)*Storage!$I$12*co2_density/FA_density/1000000</f>
        <v>94.204253879484654</v>
      </c>
      <c r="CN20" s="28">
        <f>IFERROR((((CB20+CD20+CG20)*(1+H2_retrieval!$H$34)+CL20)*1000000/H2_retrieval!$H$8)+h2_regen_fa,"")</f>
        <v>11173.117004773307</v>
      </c>
      <c r="CO20" s="149">
        <f>(meoh_invest*(M20+1/meoh_lifetime)/meoh_prod+meoh_opex+meoh_e_demand*1000*$AU20/100+Carriers!$R$18/Carriers!$R$23*BD20+Carriers!$R$20/Carriers!$R$23*co2_liq_cost)*(CS20+meoh_st_ab_losses)/1000000</f>
        <v>65597.121695417518</v>
      </c>
      <c r="CP20" s="86">
        <f>(meoh_invest*(M20+1/meoh_lifetime)/meoh_prod+meoh_opex+meoh_e_demand*1000*$AU20/100+Carriers!$R$18/Carriers!$R$23*BD20+Carriers!$R$20/Carriers!$R$23*BP20)*(CS20+meoh_st_ab_losses)/1000000</f>
        <v>84355.495830138985</v>
      </c>
      <c r="CQ20" s="63">
        <f>meoh_st_nl_cost*meoh_st_nl_demand/1000000+(meoh_st_invest*(M20+1/meoh_st_lifetime+meoh_st_opex)/(Storage!$K$63/1000000)+meoh_st_e_demand*1000*$AU20/100)*(CS20+meoh_st_ab_losses)/1000000+co2_st_nl_cost*Storage!$K$12*co2_density/meoh_density/1000000+(co2_st_opex_lev+co2_st_invest_lev+co2_st_e_demand*1000*IFERROR(MIN(S20,AA20,AI20),S20)/100)*Storage!$K$12/1000000+co2_st_invest_lev*Storage!$K$12*co2_st_lifetime*M20/1000000+Carriers!$R$18/Carriers!$R$23*((CS20+meoh_st_ab_losses)/365.25*short_st_duration_hrs/24)*(h2_short_st_invest*(1/gh2_short_st_lifetime+$M20+h2_short_st_opex)+h2_short_st_e_demand*1000*$AU20/100)/1000000+Carriers!$R$20/Carriers!$R$23*((CF20+meoh_st_ab_losses)/365.25*short_st_duration_hrs/24)*(co2_short_st_invest*(1/co2_short_st_lifetime+$M20+co2_short_st_opex)+co2_short_st_e_demand*1000*$AU20/100)/1000000</f>
        <v>5165.9073585729648</v>
      </c>
      <c r="CR20" s="63">
        <f>meoh_st_nl_cost*meoh_st_nl_demand/1000000+(meoh_st_invest*(M20+1/meoh_st_lifetime+meoh_st_opex)/(Storage!$K$63/1000000)+meoh_st_e_demand*1000*$AU20/100)*(CS20+meoh_st_ab_losses)/1000000+Carriers!$R$18/Carriers!$R$23*((CS20+meoh_st_ab_losses)/365.25*short_st_duration_hrs/24)*(h2_short_st_invest*(1/gh2_short_st_lifetime+$M20+h2_short_st_opex)+h2_short_st_e_demand*1000*$AU20/100)/1000000+Carriers!$R$20/Carriers!$R$23*((CF20+meoh_st_ab_losses)/365.25*short_st_duration_hrs/24)*(co2_short_st_invest*(1/co2_short_st_lifetime+$M20+co2_short_st_opex)+co2_short_st_e_demand*1000*$AU20/100)/1000000</f>
        <v>2152.3278629624119</v>
      </c>
      <c r="CS20" s="63">
        <f>Storage!$K$57/((1-Shipping!$L$37)^($F20/24/Shipping!$L$44+0.5*Shipping!$L$59))</f>
        <v>108044444.44444443</v>
      </c>
      <c r="CT20" s="28">
        <f>IF($E20="","No Port",IF(AND(ship_choice="VLCC",G20="Panama"),"Ship cannot pass through Panama",IF(ship_choice="VLCC",((F20/24/Shipping!$AD$44+F20/24/Shipping!$AD$50+Shipping!$AD$59+Shipping!$AD$64)*(Shipping!$AD$22+wacc_nl*Shipping!$AD$19/365.25*1000000+Shipping!$AD$35)+(F20/24/Shipping!$AD$44*Shipping!$AD$45+Shipping!$AD$64*Shipping!$AD$65)*IF(bunker_choice="HFO",$H20,IF(bunker_choice="hydrogen",$BD20*hfo_e_density_lhv/h2_e_density_lhv,(CO20+CQ20)*1000000/CS20*hfo_e_density_lhv/meoh_e_density_lhv))+(F20/24/Shipping!$AD$50*Shipping!$AD$51+Shipping!$AD$59*Shipping!$AD$60)*IF(bunker_choice="HFO",bunker_price_ROT,IF(bunker_choice="hydrogen",$BD20*hfo_e_density_lhv/h2_e_density_lhv,(CO20+CQ20)*1000000/CS20*hfo_e_density_lhv/meoh_e_density_lhv))+Shipping!$AD$73+IF(G20="Panama",Shipping!$AD$55,0)+IF(G20="Suez",Shipping!$AD$56,0))/Shipping!$AD$31*CS20/1000000+IF(inland_transport_to_port="hv dc grid",$BM20/100*1000*CV20,IF(inland_transport_to_port="pipeline",$BN20,0)),((F20/24/Shipping!$L$44+F20/24/Shipping!$L$50+Shipping!$L$59+Shipping!$L$64)*(Shipping!$L$22+wacc_nl*Shipping!$L$19/365.25*1000000+Shipping!$L$35)+(F20/24/Shipping!$L$44*Shipping!$L$45+Shipping!$L$64*Shipping!$L$65)*IF(bunker_choice="HFO",$H20,IF(bunker_choice="hydrogen",$BD20*hfo_e_density_lhv/h2_e_density_lhv,(CO20+CQ20)*1000000/CS20*hfo_e_density_lhv/meoh_e_density_lhv))+(F20/24/Shipping!$L$50*Shipping!$L$51+Shipping!$L$59*Shipping!$L$60)*IF(bunker_choice="HFO",bunker_price_ROT,IF(bunker_choice="hydrogen",$BD20*hfo_e_density_lhv/h2_e_density_lhv,(CO20+CQ20)*1000000/CS20*hfo_e_density_lhv/meoh_e_density_lhv))+Shipping!$L$73+IF(G20="Panama",Shipping!$L$55,0)+IF(G20="Suez",Shipping!$L$56,0))/Shipping!$L$31*CS20/1000000+IF(inland_transport_to_port="hv dc grid",$BM20/100*1000*CV20,IF(inland_transport_to_port="pipeline",$BN20,0)))))</f>
        <v>4962.9737507815598</v>
      </c>
      <c r="CU20" s="28">
        <f t="shared" si="37"/>
        <v>91470.797443882955</v>
      </c>
      <c r="CV20" s="29">
        <f>((Carriers!$R$18/Carriers!$R$23*alk_el_e_demand)+meoh_e_demand)*(CS20+meoh_st_ab_losses)/1000000+meoh_st_e_demand*CS20/1000000</f>
        <v>1119.9789871111109</v>
      </c>
      <c r="CW20" s="29">
        <f t="shared" si="21"/>
        <v>0.16206666666666666</v>
      </c>
      <c r="CX20" s="28">
        <f>IFERROR(CU20*1000000/Storage!$K$12,"")</f>
        <v>846.60343171014665</v>
      </c>
      <c r="CY20" s="28">
        <f>IF($E20="","No Port",((F20/24/Shipping!$L$44+F20/24/Shipping!$L$50+Shipping!$L$59+Shipping!$L$64)*Carriers!$R$39*wacc_nl))</f>
        <v>87.500252531628689</v>
      </c>
      <c r="CZ20" s="29">
        <f>H2_retrieval!$J$25*h2_demand_kt/1000+(co2_liq_e_demand+co2_st_e_demand*2)*Storage!$K$12*co2_density/meoh_density/1000000</f>
        <v>251.05079059698966</v>
      </c>
      <c r="DA20" s="28">
        <f>IFERROR((((CO20+CQ20+CT20)*(1+H2_retrieval!$J$34)+CY20)*1000000/H2_retrieval!$J$8)+h2_regen_meoh,"")</f>
        <v>6744.6508268213856</v>
      </c>
      <c r="DB20" s="149">
        <f>(DBT_invest*(M20+1/DBT_lifetime)/DBT_prod+DBT_opex+DBT_e_demand*1000*$AU20/100+Carriers!$T$18/Carriers!$T$23*BD20)*(DD20+DBT_st_ab_losses)/1000000</f>
        <v>43722.67475909413</v>
      </c>
      <c r="DC20" s="28">
        <f>2*(DBT_st_nl_cost*DBT_st_nl_demand/1000000+(DBT_st_invest*(M20+1/DBT_st_lifetime+DBT_st_opex)/(Storage!$M$63/1000000)+DBT_st_e_demand*1000*$AU20/100)*(DD20+DBT_st_ab_losses)/1000000)+Carriers!$T$18/Carriers!$T$23*((DD20+DBT_st_ab_losses)/365.25*short_st_duration_hrs/24)*(h2_short_st_invest*(1/gh2_short_st_lifetime+$M20+h2_short_st_opex)+h2_short_st_e_demand*1000*$AU20/100)/1000000</f>
        <v>4398.0929484047929</v>
      </c>
      <c r="DD20" s="63">
        <f>Storage!$M$57/((1-Shipping!$N$37)^($F20/24/Shipping!$N$44+0.5*Shipping!$N$59))</f>
        <v>219354838.70967743</v>
      </c>
      <c r="DE20" s="28">
        <f>IF($E20="","No Port",IF(AND(ship_choice="VLCC",G20="Panama"),"Ship cannot pass through Panama",IF(ship_choice="VLCC",((F20/24/Shipping!$AD$44+F20/24/Shipping!$AD$50+Shipping!$AD$59+Shipping!$AD$64)*(Shipping!$AD$22+wacc_nl*Shipping!$AD$19/365.25*1000000+Shipping!$AD$35)+(F20/24/Shipping!$AD$44*Shipping!$AD$45+Shipping!$AD$64*Shipping!$AD$65)*IF(bunker_choice="HFO",$H20,IF(bunker_choice="hydrogen",$BD20*hfo_e_density_lhv/h2_e_density_lhv,(DB20+DC20)*1000000/DD20*hfo_e_density_lhv/DBT_e_density_lhv))+(F20/24/Shipping!$AD$50*Shipping!$AD$51+Shipping!$AD$59*Shipping!$AD$60)*IF(bunker_choice="HFO",bunker_price_ROT,IF(bunker_choice="hydrogen",$BD20*hfo_e_density_lhv/h2_e_density_lhv,(DB20+DC20)*1000000/DD20*hfo_e_density_lhv/DBT_e_density_lhv))+Shipping!$AD$73+IF(G20="Panama",Shipping!$AD$55,0)+IF(G20="Suez",Shipping!$AD$56,0))/Shipping!$AD$31*DD20/1000000+IF(inland_transport_to_port="hv dc grid",$BM20/100*1000*DG20,IF(inland_transport_to_port="pipeline",$BN20,0)),((F20/24/Shipping!$N$44+F20/24/Shipping!$N$50+Shipping!$N$59+Shipping!$N$64)*(Shipping!$N$22+wacc_nl*Shipping!$N$19/365.25*1000000+Shipping!$N$35)+(F20/24/Shipping!$N$44*Shipping!$N$45+Shipping!$N$64*Shipping!$N$65)*IF(bunker_choice="HFO",$H20,IF(bunker_choice="hydrogen",$BD20*hfo_e_density_lhv/h2_e_density_lhv,(DB20+DC20)*1000000/DD20*hfo_e_density_lhv/DBT_e_density_lhv))+(F20/24/Shipping!$N$50*Shipping!$N$51+Shipping!$N$59*Shipping!$N$60)*IF(bunker_choice="HFO",bunker_price_ROT,IF(bunker_choice="hydrogen",$BD20*hfo_e_density_lhv/h2_e_density_lhv,(DB20+DC20)*1000000/DD20*hfo_e_density_lhv/DBT_e_density_lhv))+Shipping!$N$73+IF(G20="Panama",Shipping!$N$55,0)+IF(G20="Suez",Shipping!$N$56,0))/Shipping!$N$31*Shipping!$N$86/1000000+IF(inland_transport_to_port="hv dc grid",$BM20/100*1000*DG20,IF(inland_transport_to_port="pipeline",$BN20,0)))))</f>
        <v>9049.5471779789168</v>
      </c>
      <c r="DF20" s="28">
        <f t="shared" si="53"/>
        <v>57170.314885477841</v>
      </c>
      <c r="DG20" s="29">
        <f>((Carriers!$T$18/Carriers!$T$23*alk_el_e_demand)+DBT_e_demand)*(DD20+DBT_st_ab_losses)/1000000+DBT_st_e_demand*DD20/1000000</f>
        <v>703.88335483870969</v>
      </c>
      <c r="DH20" s="29">
        <f t="shared" si="23"/>
        <v>0.21935483870967742</v>
      </c>
      <c r="DI20" s="28">
        <f>IFERROR(DF20*1000000/Storage!$M$12,"")</f>
        <v>260.62937668379607</v>
      </c>
      <c r="DJ20" s="28">
        <f>IF($E20="","No Port",((F20/24/Shipping!$N$44+F20/24/Shipping!$N$50+Shipping!$N$59+Shipping!$N$64)*Carriers!$T$39*wacc_nl))</f>
        <v>6372.9308845271416</v>
      </c>
      <c r="DK20" s="100">
        <f>H2_retrieval!$L$25*h2_demand_kt/1000+(co2_liq_e_demand+co2_st_e_demand*2)*Storage!$M$12*co2_density/DBT_density/1000000</f>
        <v>206.61934861671787</v>
      </c>
      <c r="DL20" s="28">
        <f>IFERROR(((DF20*(1+H2_retrieval!$L$34)+DJ20)*1000000/H2_retrieval!$L$8)+h2_regen_lohc,"")</f>
        <v>5142.9472637273966</v>
      </c>
      <c r="DM20" s="149">
        <f t="shared" si="24"/>
        <v>68581.019053511671</v>
      </c>
      <c r="DN20" s="16">
        <f>2*(nabh4_st_nl_cost*nabh4_st_nl_demand/1000000+(nabh4_st_invest*(M20+1/nabh4_st_lifetime+nabh4_st_opex)/(Storage!$O$63/1000000)+nabh4_st_e_demand*1000*$AU20/100)*(DO20+nabh4_st_ab_losses)/1000000)+(h2_demand_kt*1000/365.25*short_st_duration_hrs/24)*(h2_short_st_invest*(1/gh2_short_st_lifetime+$M20+h2_short_st_opex)+h2_short_st_e_demand*1000*$AU20/100)/1000000</f>
        <v>1586.7951993362228</v>
      </c>
      <c r="DO20" s="63">
        <f>Storage!$O$57/((1-Shipping!$P$37)^($F20/24/Shipping!$P$44+0.5*Shipping!$P$59))</f>
        <v>63920000</v>
      </c>
      <c r="DP20" s="16">
        <f>IF($E20="","No Port",((F20/24/Shipping!$P$44+F20/24/Shipping!$P$50+Shipping!$P$59+Shipping!$P$64)*(Shipping!$P$22+wacc_nl*Shipping!$P$19/365.25*1000000+Shipping!$P$35)+(F20/24/Shipping!$P$44*Shipping!$P$45+Shipping!$P$64*Shipping!$P$65)*IF(bunker_choice="HFO",$H20,IF(bunker_choice="hydrogen",$BD20*hfo_e_density_lhv/h2_e_density_lhv,(DM20+DN20)*1000000/DO20*hfo_e_density_lhv/nabh4_e_density_lhv))+(F20/24/Shipping!$P$50*Shipping!$P$51+Shipping!$P$59*Shipping!$P$60)*IF(bunker_choice="HFO",bunker_price_ROT,IF(bunker_choice="hydrogen",$BD20*hfo_e_density_lhv/h2_e_density_lhv,(DM20+DN20)*1000000/DO20*hfo_e_density_lhv/nabh4_e_density_lhv))+Shipping!$P$73+IF(G20="Panama",Shipping!$P$55,0)+IF(G20="Suez",Shipping!$P$56,0))/Shipping!$P$31*(DO20+nabh4_st_ab_losses)/1000000+IF(inland_transport_to_port="hv dc grid",$BM20/100*1000*DR20,IF(inland_transport_to_port="pipeline",$BN20,0)))</f>
        <v>2558.7829082583148</v>
      </c>
      <c r="DQ20" s="28">
        <f t="shared" si="38"/>
        <v>72726.597161106212</v>
      </c>
      <c r="DR20" s="29">
        <f>((Carriers!$V$18/Carriers!$V$23*alk_el_e_demand)+nabh4_e_demand)*(DO20+nabh4_st_ab_losses)/1000000+nabh4_st_e_demand*DO20/1000000</f>
        <v>980.02139682539689</v>
      </c>
      <c r="DS20" s="28">
        <f t="shared" si="25"/>
        <v>3.1960000000000002</v>
      </c>
      <c r="DT20" s="28">
        <f>IFERROR(DQ20*1000000/Storage!$O$12,"")</f>
        <v>1137.7752997669934</v>
      </c>
      <c r="DU20" s="28">
        <f>IF($E20="","No Port",((F20/24/Shipping!$P$44+F20/24/Shipping!$P$50+Shipping!$P$59+Shipping!$P$64)*Carriers!$V$39*wacc_nl))</f>
        <v>592.91406569293326</v>
      </c>
      <c r="DV20" s="100">
        <f>H2_retrieval!$N$25*h2_demand_kt/1000+(co2_liq_e_demand+co2_st_e_demand*2)*Storage!$O$12*co2_density/nabh4_density/1000000</f>
        <v>18.783638728971958</v>
      </c>
      <c r="DW20" s="28">
        <f>IFERROR(((DQ20*(1+H2_retrieval!$N$34)+DU20)*1000000/H2_retrieval!$N$8)+h2_regen_nabh4,"")</f>
        <v>5504.9656200110276</v>
      </c>
      <c r="DX20" s="149">
        <f>(Dme_invest*(M20+1/Dme_lifetime)/Dme_prod+Dme_opex+Dme_e_demand*1000*$AU20/100+Carriers!$X$21/Carriers!$X$23*(CO20*1000000/CS20))*(EB20+Dme_st_ab_losses)/1000000</f>
        <v>92856.650448862725</v>
      </c>
      <c r="DY20" s="86">
        <f>(Dme_invest*(M20+1/Dme_lifetime)/Dme_prod+Dme_opex+Dme_e_demand*1000*$AU20/100+Carriers!$X$21/Carriers!$X$23*(CP20*1000000/CS20))*(EB20+Dme_st_ab_losses)/1000000</f>
        <v>118305.46156037337</v>
      </c>
      <c r="DZ20" s="63">
        <f>Dme_st_nl_cost*Dme_st_nl_demand/1000000+(Dme_st_invest*(M20+1/Dme_st_lifetime+Dme_st_opex)/(Storage!$Q$63/1000000)+Dme_st_e_demand*1000*$AU20/100)*(EB20+Dme_st_ab_losses)/1000000+co2_st_nl_cost*Storage!$Q$12*co2_density/Dme_density/1000000+(co2_st_opex_lev+co2_st_invest_lev+co2_st_e_demand*1000*$AU20/100)*Storage!$Q$12/1000000+co2_st_invest_lev*Storage!$Q$12*co2_st_lifetime*M20/1000000+(h2_demand_kt*1000/365.25*short_st_duration_hrs/24)*(h2_short_st_invest*(1/gh2_short_st_lifetime+$M20+h2_short_st_opex)+h2_short_st_e_demand*1000*$AU20/100)/1000000</f>
        <v>6395.8145717292082</v>
      </c>
      <c r="EA20" s="63">
        <f>Dme_st_nl_cost*Dme_st_nl_demand/1000000+(Dme_st_invest*(M20+1/Dme_st_lifetime+Dme_st_opex)/(Storage!$Q$63/1000000)+Dme_st_e_demand*1000*$AU20/100)*(EB20+Dme_st_ab_losses)/1000000+(h2_demand_kt*1000/365.25*short_st_duration_hrs/24)*(h2_short_st_invest*(1/gh2_short_st_lifetime+$M20+h2_short_st_opex)+h2_short_st_e_demand*1000*$AU20/100)/1000000</f>
        <v>3214.9350595340784</v>
      </c>
      <c r="EB20" s="63">
        <f>Storage!$Q$57/((1-Shipping!$R$37)^($F20/24/Shipping!$R$44+0.5*Shipping!$R$59))</f>
        <v>103547089.94708996</v>
      </c>
      <c r="EC20" s="153">
        <f>IF($E20="","No Port",IF(AND(ship_choice="VLCC",G20="Panama"),"Ship cannot pass through Panama",IF(ship_choice="VLCC",((F20/24/Shipping!$AD$44+F20/24/Shipping!$AD$50+Shipping!$AD$59+Shipping!$AD$64)*(Shipping!$AD$22+wacc_nl*Shipping!$AD$19/365.25*1000000+Shipping!$AD$35)+(F20/24/Shipping!$AD$44*Shipping!$AD$45+Shipping!$AD$64*Shipping!$AD$65)*IF(bunker_choice="HFO",$H20,IF(bunker_choice="hydrogen",$BD20*hfo_e_density_lhv/h2_e_density_lhv,(DX20+DZ20)*1000000/EB20*hfo_e_density_lhv/Dme_e_density_lhv))+(F20/24/Shipping!$AD$50*Shipping!$AD$51+Shipping!$AD$59*Shipping!$AD$60)*IF(bunker_choice="HFO",bunker_price_ROT,IF(bunker_choice="hydrogen",$BD20*hfo_e_density_lhv/h2_e_density_lhv,(DX20+DZ20)*1000000/EB20*hfo_e_density_lhv/Dme_e_density_lhv))+Shipping!$AD$73+IF(G20="Panama",Shipping!$AD$55,0)+IF(G20="Suez",Shipping!$AD$56,0))/Shipping!$AD$31*(EB20+Dme_st_ab_losses)/1000000+IF(inland_transport_to_port="hv dc grid",$BM20/100*1000*EE20,IF(inland_transport_to_port="pipeline",$BN20,0)),((F20/24/Shipping!$R$44+F20/24/Shipping!$R$50+Shipping!$R$59+Shipping!$R$64)*(Shipping!$R$22+wacc_nl*Shipping!$R$19/365.25*1000000+Shipping!$R$35)+(F20/24/Shipping!$R$44*Shipping!$R$45+Shipping!$R$64*Shipping!$R$65)*IF(bunker_choice="HFO",$H20,IF(bunker_choice="hydrogen",$BD20*hfo_e_density_lhv/h2_e_density_lhv,(DX20+DZ20)*1000000/EB20*hfo_e_density_lhv/Dme_e_density_lhv))+(F20/24/Shipping!$R$50*Shipping!$R$51+Shipping!$R$59*Shipping!$R$60)*IF(bunker_choice="HFO",bunker_price_ROT,IF(bunker_choice="hydrogen",$BD20*hfo_e_density_lhv/h2_e_density_lhv,(DX20+DZ20)*1000000/EB20*hfo_e_density_lhv/Dme_e_density_lhv))+Shipping!$R$73+IF(G20="Panama",Shipping!$R$55,0)+IF(G20="Suez",Shipping!$R$56,0))/Shipping!$R$31*(EB20+Dme_st_ab_losses)/1000000+IF(inland_transport_to_port="hv dc grid",$BM20/100*1000*EE20,IF(inland_transport_to_port="pipeline",$BN20,0)))))</f>
        <v>5001.9273687845516</v>
      </c>
      <c r="ED20" s="28">
        <f t="shared" si="39"/>
        <v>126522.32398869201</v>
      </c>
      <c r="EE20" s="29">
        <f>(Dme_e_demand)*(EB20+Dme_st_ab_losses)/1000000+Dme_st_e_demand*DZ20/1000000+$CV20*(Carriers!$X$21/Carriers!$X$23*EB20)/$CS20</f>
        <v>1550.2168241252016</v>
      </c>
      <c r="EF20" s="29">
        <f t="shared" si="26"/>
        <v>1.0354708994708997</v>
      </c>
      <c r="EG20" s="28">
        <f>IFERROR(ED20*1000000/Storage!$Q$12,"")</f>
        <v>1221.881986768936</v>
      </c>
      <c r="EH20" s="28">
        <f>IF($E20="","No Port",((F20/24/Shipping!$R$44+F20/24/Shipping!$R$50+Shipping!$R$59+Shipping!$R$64)*Carriers!$X$39*wacc_nl))</f>
        <v>90.719405544646548</v>
      </c>
      <c r="EI20" s="100">
        <f>H2_retrieval!$P$25*h2_demand_kt/1000+(co2_liq_e_demand+co2_st_e_demand*2)*Storage!$Q$12*co2_density/Dme_density/1000000</f>
        <v>252.45335899349112</v>
      </c>
      <c r="EJ20" s="28">
        <f>IFERROR((((DX20+DZ20+EC20)*(1+H2_retrieval!$P$34)+EH20)*1000000/H2_retrieval!$P$8)+h2_regen_dme,"")</f>
        <v>8842.5632339991389</v>
      </c>
      <c r="EK20" s="149">
        <f>(ome_invest*(M20+1/ome_lifetime)/ome_prod+ome_opex+ome_e_demand*1000*$AU20/100+Carriers!$Z$21/Carriers!$Z$23*(CO20*1000000/CS20))*(EO20+ome_st_ab_losses)/1000000</f>
        <v>203658.81646878994</v>
      </c>
      <c r="EL20" s="86">
        <f>(ome_invest*(M20+1/ome_lifetime)/ome_prod+ome_opex+ome_e_demand*1000*$AU20/100+Carriers!$Z$21/Carriers!$Z$23*(CP20*1000000/CS20))*(EO20+ome_st_ab_losses)/1000000</f>
        <v>257080.82493461741</v>
      </c>
      <c r="EM20" s="63">
        <f>ome_st_nl_cost*ome_st_nl_demand/1000000+(ome_st_invest*(M20+1/ome_st_lifetime+ome_st_opex)/(Storage!$S$63/1000000)+ome_st_e_demand*1000*$AU20/100)*(EO20+ome_st_ab_losses)/1000000+co2_st_nl_cost*Storage!$S$12*co2_density/ome_density/1000000+(co2_st_opex_lev+co2_st_invest_lev+co2_st_e_demand*1000*$AU20/100)*Storage!$S$12/1000000+co2_st_invest_lev*Storage!$S$12*co2_st_lifetime*M20/1000000+(h2_demand_kt*1000/365.25*short_st_duration_hrs/24)*(h2_short_st_invest*(1/gh2_short_st_lifetime+$M20+h2_short_st_opex)+h2_short_st_e_demand*1000*$AU20/100)/1000000</f>
        <v>5534.4244224023951</v>
      </c>
      <c r="EN20" s="63">
        <f>ome_st_nl_cost*ome_st_nl_demand/1000000+(ome_st_invest*(M20+1/ome_st_lifetime+ome_st_opex)/(Storage!$S$63/1000000)+ome_st_e_demand*1000*$AU20/100)*(EO20+ome_st_ab_losses)/1000000+(h2_demand_kt*1000/365.25*short_st_duration_hrs/24)*(h2_short_st_invest*(1/gh2_short_st_lifetime+$M20+h2_short_st_opex)+h2_short_st_e_demand*1000*$AU20/100)/1000000</f>
        <v>1932.6605368367416</v>
      </c>
      <c r="EO20" s="63">
        <f>Storage!$S$57/((1-Shipping!$T$37)^($F20/24/Shipping!$T$44+0.5*Shipping!$T$59))</f>
        <v>128282539.68253967</v>
      </c>
      <c r="EP20" s="28">
        <f>IF($E20="","No Port",IF(AND(ship_choice="VLCC",G20="Panama"),"Ship cannot pass through Panama",IF(ship_choice="VLCC",((F20/24/Shipping!$AD$44+F20/24/Shipping!$AD$50+Shipping!$AD$59+Shipping!$AD$64)*(Shipping!$AD$22+wacc_nl*Shipping!$AD$19/365.25*1000000+Shipping!$AD$35)+(F20/24/Shipping!$AD$44*Shipping!$AD$45+Shipping!$AD$64*Shipping!$AD$65)*IF(bunker_choice="HFO",$H20,IF(bunker_choice="hydrogen",$BD20*hfo_e_density_lhv/h2_e_density_lhv,(EK20+EM20)*1000000/EO20*hfo_e_density_lhv/Dme_e_density_lhv))+(F20/24/Shipping!$AD$50*Shipping!$AD$51+Shipping!$AD$59*Shipping!$AD$60)*IF(bunker_choice="HFO",bunker_price_ROT,IF(bunker_choice="hydrogen",$BD20*hfo_e_density_lhv/h2_e_density_lhv,(EK20+EM20)*1000000/EO20*hfo_e_density_lhv/ome_e_density_lhv))+Shipping!$AD$73+IF(G20="Panama",Shipping!$AD$55,0)+IF(G20="Suez",Shipping!$AD$56,0))/Shipping!$AD$31*(EO20+ome_st_ab_losses)/1000000+IF(inland_transport_to_port="hv dc grid",$BM20/100*1000*ER20,IF(inland_transport_to_port="pipeline",$BN20,0)),((F20/24/Shipping!$T$44+F20/24/Shipping!$T$50+Shipping!$T$59+Shipping!$T$64)*(Shipping!$T$22+wacc_nl*Shipping!$T$19/365.25*1000000+Shipping!$T$35)+(F20/24/Shipping!$T$44*Shipping!$T$45+Shipping!$T$64*Shipping!$T$65)*IF(bunker_choice="HFO",$H20,IF(bunker_choice="hydrogen",$BD20*hfo_e_density_lhv/h2_e_density_lhv,(EK20+EM20)*1000000/EO20*hfo_e_density_lhv/Dme_e_density_lhv))+(F20/24/Shipping!$T$50*Shipping!$T$51+Shipping!$T$59*Shipping!$T$60)*IF(bunker_choice="HFO",bunker_price_ROT,IF(bunker_choice="hydrogen",$BD20*hfo_e_density_lhv/h2_e_density_lhv,(EK20+EM20)*1000000/EO20*hfo_e_density_lhv/ome_e_density_lhv))+Shipping!$T$73+IF(G20="Panama",Shipping!$T$55,0)+IF(G20="Suez",Shipping!$T$56,0))/Shipping!$T$31*(EO20+ome_st_ab_losses)/1000000+IF(inland_transport_to_port="hv dc grid",$BM20/100*1000*ER20,IF(inland_transport_to_port="pipeline",$BN20,0)))))</f>
        <v>5528.0205857236342</v>
      </c>
      <c r="EQ20" s="28">
        <f t="shared" si="40"/>
        <v>264541.50605717779</v>
      </c>
      <c r="ER20" s="29">
        <f>(ome_e_demand)*(EO20+ome_st_ab_losses)/1000000+ome_st_e_demand*EM20/1000000+$CV20*(Carriers!$Z$21/Carriers!$Z$23*EO20)/$CS20</f>
        <v>3352.0814584424202</v>
      </c>
      <c r="ES20" s="29">
        <f t="shared" si="27"/>
        <v>0.1924238095238095</v>
      </c>
      <c r="ET20" s="28">
        <f>IFERROR(EQ20*1000000/Storage!$S$12,"")</f>
        <v>2062.1785841770647</v>
      </c>
      <c r="EU20" s="28">
        <f>IF($E20="","No Port",((F20/24/Shipping!$T$44+F20/24/Shipping!$T$50+Shipping!$T$59+Shipping!$T$64)*Carriers!$Z$39*wacc_nl))</f>
        <v>103.89015997386683</v>
      </c>
      <c r="EV20" s="100">
        <f>H2_retrieval!$R$25*h2_demand_kt/1000+(co2_liq_e_demand+co2_st_e_demand*2)*Storage!$S$12*co2_density/ome_density/1000000</f>
        <v>254.51942895252085</v>
      </c>
      <c r="EW20" s="28">
        <f>IFERROR((((EK20+EM20+EP20)*(1+H2_retrieval!$R$34)+EU20)*1000000/H2_retrieval!$R$8)+h2_regen_ome,"")</f>
        <v>16966.095575320367</v>
      </c>
      <c r="EX20" s="149">
        <f>(sng_invest*(M20+1/sng_lifetime)/sng_prod+lng_invest*(M20+1/lng_lifetime)/lng_prod+sng_opex+lng_opex+(sng_e_demand+lng_e_demand)*1000*$AU20/100+Carriers!$AB$18/Carriers!$AB$23*BD20+Carriers!$AB$20/Carriers!$AB$23*co2_liq_cost)*(FB20+lng_st_ab_losses)/1000000</f>
        <v>71526.953264519514</v>
      </c>
      <c r="EY20" s="86">
        <f>(sng_invest*(M20+1/sng_lifetime)/sng_prod+lng_invest*(M20+1/lng_lifetime)/lng_prod+sng_opex+lng_opex+(sng_e_demand+lng_e_demand)*1000*$AU20/100+Carriers!$AB$18/Carriers!$AB$23*BD20+Carriers!$AB$20/Carriers!$AB$23*BP20)*(FB20+lng_st_ab_losses)/1000000</f>
        <v>85614.222906782641</v>
      </c>
      <c r="EZ20" s="63">
        <f>lng_st_nl_cost*lng_st_nl_demand/1000000+(lng_st_invest*(M20+1/lng_st_lifetime+lng_st_opex)/(Storage!$U$63/1000000)+lng_st_e_demand*1000*$AU20/100)*(FB20+lng_st_ab_losses)/1000000+co2_st_nl_cost*Storage!$U$12*co2_density/lng_density/1000000+(co2_st_opex_lev+co2_st_invest_lev+co2_st_e_demand*1000*$AU20/100)*Storage!$U$12/1000000+co2_st_invest_lev*Storage!$U$12*co2_st_lifetime*M20/1000000+Carriers!$AB$18/Carriers!$AB$23*((FB20+lng_st_ab_losses)/365.25*short_st_duration_hrs/24)*(h2_short_st_invest*(1/gh2_short_st_lifetime+$M20+h2_short_st_opex)+h2_short_st_e_demand*1000*$AU20/100)/1000000+Carriers!$AB$20/Carriers!$AB$23*((FB20+lng_st_ab_losses)/365.25*short_st_duration_hrs/24)*(co2_short_st_invest*(1/co2_short_st_lifetime+$M20+co2_short_st_opex)+co2_short_st_e_demand*1000*$AU20/100)/1000000</f>
        <v>6715.7167397712983</v>
      </c>
      <c r="FA20" s="63">
        <f>lng_st_nl_cost*lng_st_nl_demand/1000000+(lng_st_invest*(M20+1/lng_st_lifetime+lng_st_opex)/(Storage!$U$63/1000000)+lng_st_e_demand*1000*$AU20/100)*(FB20+lng_st_ab_losses)/1000000+Carriers!$AB$18/Carriers!$AB$23*((FB20+lng_st_ab_losses)/365.25*short_st_duration_hrs/24)*(h2_short_st_invest*(1/gh2_short_st_lifetime+$M20+h2_short_st_opex)+h2_short_st_e_demand*1000*$AU20/100)/1000000+Carriers!$AB$20/Carriers!$AB$23*((FB20+lng_st_ab_losses)/365.25*short_st_duration_hrs/24)*(co2_short_st_invest*(1/co2_short_st_lifetime+$M20+co2_short_st_opex)+co2_short_st_e_demand*1000*$AU20/100)/1000000</f>
        <v>5031.3181475748215</v>
      </c>
      <c r="FB20" s="63">
        <f>Storage!$U$57/((1-Shipping!$V$37)^($F20/24/Shipping!$V$44+0.5*Shipping!$V$59))</f>
        <v>41343360.798611857</v>
      </c>
      <c r="FC20" s="28">
        <f>IF($E20="","No Port",IF(G20="Panama","Ship cannot pass through Panama",((F20/24/Shipping!$V$44+F20/24/Shipping!$V$50+Shipping!$V$59+Shipping!$V$64)*(Shipping!$V$22+wacc_nl*Shipping!$V$19/365.25*1000000+Shipping!$V$35)+(F20/24/Shipping!$V$44*Shipping!$V$45+Shipping!$V$64*Shipping!$V$65)*IF(bunker_choice="HFO",$H20,IF(bunker_choice="hydrogen",$BD20*hfo_e_density_lhv/h2_e_density_lhv,(EX20+EZ20)*1000000/FB20*hfo_e_density_lhv/lng_e_density_lhv))+(F20/24/Shipping!$V$50*Shipping!$V$51+Shipping!$V$59*Shipping!$V$60)*IF(bunker_choice="HFO",bunker_price_ROT,IF(bunker_choice="hydrogen",$BD20*hfo_e_density_lhv/h2_e_density_lhv,(EX20+EZ20)*1000000/FB20*hfo_e_density_lhv/lng_e_density_lhv))+Shipping!$V$73+IF(G20="Panama",Shipping!$V$55,0)+IF(G20="Suez",Shipping!$V$56,0))/Shipping!$V$31*(FB20+lng_st_ab_losses)/1000000)+IF(inland_transport_to_port="hv dc grid",$BM20/100*1000*FE20,IF(inland_transport_to_port="pipeline",$BN20,0)))</f>
        <v>2068.9574437994784</v>
      </c>
      <c r="FD20" s="28">
        <f t="shared" si="41"/>
        <v>92714.498498156943</v>
      </c>
      <c r="FE20" s="29">
        <f>((Carriers!$AB$18/Carriers!$AB$23*alk_el_e_demand)+sng_e_demand+lng_e_demand)*(FB20+lng_st_ab_losses)/1000000+lng_st_e_demand*EZ20/1000000</f>
        <v>1108.793035227915</v>
      </c>
      <c r="FF20" s="29">
        <f t="shared" si="28"/>
        <v>0.8126185861001558</v>
      </c>
      <c r="FG20" s="28">
        <f>IFERROR(FD20*1000000/Storage!$U$12,"")</f>
        <v>2284.5014883385038</v>
      </c>
      <c r="FH20" s="28">
        <f>IF($E20="","No Port",((F20/24/Shipping!$V$44+F20/24/Shipping!$V$50+Shipping!$V$59+Shipping!$V$64)*Carriers!$AB$39*wacc_nl))</f>
        <v>30.646435067524102</v>
      </c>
      <c r="FI20" s="100">
        <f>H2_retrieval!$T$25*h2_demand_kt/1000+(co2_liq_e_demand+co2_st_e_demand*2)*Storage!$U$12*co2_density/lng_density/1000000</f>
        <v>236.51371749646054</v>
      </c>
      <c r="FJ20" s="28">
        <f>IFERROR((((EX20+EZ20+FC20)*(1+H2_retrieval!$T$34)+FH20)*1000000/H2_retrieval!$T$8)+h2_regen_lng,"")</f>
        <v>7077.6486816636025</v>
      </c>
      <c r="FK20" s="149">
        <f>(lh2_invest*(M20+1/lh2_lifetime)/lh2_prod+lh2_opex+lh2_e_demand*1000*$AU20/100+Carriers!$AD$18/Carriers!$AD$23*BD20)*(FM20+lh2_st_ab_losses)/1000000</f>
        <v>57481.868384894173</v>
      </c>
      <c r="FL20" s="28">
        <f>lh2_st_nl_cost*lh2_st_nl_demand/1000000+(lh2_st_invest*(M20+1/lh2_st_lifetime+lh2_st_opex)/(Storage!$Y$63/1000000)+lh2_st_e_demand*1000*$AU20/100)*(FM20+lh2_st_ab_losses)/1000000+((FM20+lh2_st_ab_losses)/365.25*short_st_duration_hrs/24)*(h2_short_st_invest*(1/gh2_short_st_lifetime+$M20+h2_short_st_opex)+h2_short_st_e_demand*1000*$AU20/100)/1000000</f>
        <v>58083.170356651564</v>
      </c>
      <c r="FM20" s="63">
        <f>Storage!$Y$57/((1-Shipping!$Z$37)^($F20/24/Shipping!$Z$44+0.5*Shipping!$Z$59))</f>
        <v>14003254.340202633</v>
      </c>
      <c r="FN20" s="28">
        <f>IF($E20="","No Port",IF(G20="Panama","Ship cannot pass through Panama",((F20/24/Shipping!$Z$44+F20/24/Shipping!$Z$50+Shipping!$Z$59+Shipping!$Z$64)*(Shipping!$Z$22+wacc_nl*Shipping!$Z$19/365.25*1000000+Shipping!$Z$35)+(F20/24/Shipping!$Z$44*Shipping!$Z$45+Shipping!$Z$64*Shipping!$Z$65)*IF(bunker_choice="HFO",$H20,IF(bunker_choice="hydrogen",$BD20*hfo_e_density_lhv/h2_e_density_lhv,(FK20+FL20)*1000000/FM20*hfo_e_density_lhv/lh2_e_density_lhv))+(F20/24/Shipping!$Z$50*Shipping!$Z$51+Shipping!$Z$59*Shipping!$Z$60)*IF(bunker_choice="HFO",bunker_price_ROT,IF(bunker_choice="hydrogen",$BD20*hfo_e_density_lhv/h2_e_density_lhv,(FK20+FL20)*1000000/FM20*hfo_e_density_lhv/lh2_e_density_lhv))+Shipping!$Z$73+IF(G20="Panama",Shipping!$Z$55,0)+IF(G20="Suez",Shipping!$Z$56,0))/Shipping!$Z$31*(FM20+lh2_st_ab_losses)/1000000)+IF(inland_transport_to_port="hv dc grid",$BM20/100*1000*FP20,IF(inland_transport_to_port="pipeline",$BN20,0)))</f>
        <v>3451.8807234988262</v>
      </c>
      <c r="FO20" s="28">
        <f t="shared" si="42"/>
        <v>119016.91946504456</v>
      </c>
      <c r="FP20" s="29">
        <f>((Carriers!$AD$18/Carriers!$AD$23*alk_el_e_demand)+lh2_e_demand)*(FM20+lh2_st_ab_losses)/1000000+lh2_st_e_demand*FM20/1000000</f>
        <v>811.46738181753005</v>
      </c>
      <c r="FQ20" s="100">
        <f t="shared" si="29"/>
        <v>1.361902463475859</v>
      </c>
      <c r="FR20" s="28">
        <f>IFERROR(FO20*1000000/Storage!$Y$12,"")</f>
        <v>8751.2440783121001</v>
      </c>
      <c r="FS20" s="100">
        <f>H2_retrieval!$V$25*h2_demand_kt/1000</f>
        <v>8.16</v>
      </c>
      <c r="FT20" s="28">
        <f>IFERROR(FR20*(1+H2_retrieval!$V$34)/Carrier_properties!$U$7+H2_retrieval!$V$38,"")</f>
        <v>8783.2128041805681</v>
      </c>
      <c r="FU20" s="12"/>
      <c r="FV20" s="24">
        <f t="shared" si="30"/>
        <v>2.6688210123229816</v>
      </c>
      <c r="FW20" s="24">
        <f t="shared" si="43"/>
        <v>5.2706363551821456</v>
      </c>
      <c r="FX20" s="24">
        <f t="shared" si="44"/>
        <v>7.9818739113689752</v>
      </c>
      <c r="FY20" s="24">
        <f t="shared" si="45"/>
        <v>2.6688210123229816</v>
      </c>
      <c r="FZ20" s="28">
        <f t="shared" si="46"/>
        <v>2954.8516757852312</v>
      </c>
      <c r="GA20" s="28">
        <f t="shared" si="47"/>
        <v>691.93139981987588</v>
      </c>
      <c r="GB20" s="28">
        <f t="shared" si="48"/>
        <v>499.77580203259936</v>
      </c>
      <c r="GC20" s="28">
        <f t="shared" si="49"/>
        <v>780.74811031597187</v>
      </c>
      <c r="GD20" s="28">
        <f t="shared" si="50"/>
        <v>1142.5281156701224</v>
      </c>
      <c r="GE20" s="28">
        <f t="shared" si="51"/>
        <v>2004.0203878938971</v>
      </c>
      <c r="GF20" s="28">
        <f t="shared" si="52"/>
        <v>2070.8094662119779</v>
      </c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</row>
    <row r="21" spans="1:214" x14ac:dyDescent="0.2">
      <c r="A21" s="40" t="s">
        <v>41</v>
      </c>
      <c r="B21" s="12">
        <v>4770</v>
      </c>
      <c r="C21" s="12">
        <v>0.9</v>
      </c>
      <c r="D21" s="12">
        <f t="shared" si="0"/>
        <v>9.9999999999999978E-2</v>
      </c>
      <c r="E21" s="12" t="s">
        <v>703</v>
      </c>
      <c r="F21" s="12">
        <v>4112</v>
      </c>
      <c r="G21" s="12"/>
      <c r="H21" s="16">
        <f t="shared" si="1"/>
        <v>382.75862068965517</v>
      </c>
      <c r="I21" s="16">
        <v>112760</v>
      </c>
      <c r="J21" s="16">
        <f t="shared" si="31"/>
        <v>189.45348443901537</v>
      </c>
      <c r="K21" s="27">
        <f t="shared" si="32"/>
        <v>227.34418132681844</v>
      </c>
      <c r="L21" s="103">
        <v>0.15</v>
      </c>
      <c r="M21" s="103">
        <f t="shared" si="2"/>
        <v>0.14750037705040026</v>
      </c>
      <c r="N21" s="122">
        <f t="shared" si="33"/>
        <v>0.85</v>
      </c>
      <c r="O21" s="46">
        <f t="shared" si="3"/>
        <v>40</v>
      </c>
      <c r="P21" s="70">
        <f t="array" ref="P21">SUMPRODUCT(IF(Solar_data!A$4:A$777=A21,Solar_data!C$4:C$777),IF(Solar_data!A$4:A$777=A21,Solar_data!I$4:I$777))/SUMIF(Solar_data!A$4:A$777,A21,Solar_data!I$4:I$777)</f>
        <v>1998.7574165753599</v>
      </c>
      <c r="Q21" s="16">
        <f t="array" ref="Q21">MAX(IF(Solar_data!$A$777:'Solar_data'!$A$4=Country_details!$A21,Solar_data!$C$4:'Solar_data'!$C$777))</f>
        <v>2281.25</v>
      </c>
      <c r="R21" s="16">
        <f t="array" ref="R21">MIN(IF(Solar_data!$A$777:'Solar_data'!$A$4=Country_details!A21,Solar_data!$C$4:'Solar_data'!$C$777))</f>
        <v>1733.75</v>
      </c>
      <c r="S21" s="24">
        <f t="shared" si="4"/>
        <v>2.7149275122216259</v>
      </c>
      <c r="T21" s="24">
        <f t="shared" si="5"/>
        <v>2.3787316166651902</v>
      </c>
      <c r="U21" s="24">
        <f t="shared" si="6"/>
        <v>3.1299100219278819</v>
      </c>
      <c r="V21" s="16">
        <f t="array" ref="V21">SUM(IF(Solar_data!$A$777:'Solar_data'!$A$4=Country_details!$A21,Solar_data!$I$4:'Solar_data'!$I$777))</f>
        <v>897.04366396441264</v>
      </c>
      <c r="W21" s="148"/>
      <c r="X21" s="16" t="str">
        <f>IFERROR(INDEX(Onshore_wind_data!$J$5:'Onshore_wind_data'!$J$221,MATCH(A21,Onshore_wind_data!$B$5:'Onshore_wind_data'!$B$221,0)),"")</f>
        <v/>
      </c>
      <c r="Y21" s="16" t="str">
        <f>IFERROR(INDEX(Onshore_wind_data!$K$5:'Onshore_wind_data'!$K$221,MATCH(A21,Onshore_wind_data!$B$5:'Onshore_wind_data'!$B$221,0)),"")</f>
        <v/>
      </c>
      <c r="Z21" s="16" t="str">
        <f>IFERROR(INDEX(Onshore_wind_data!$L$5:'Onshore_wind_data'!$L$221,MATCH(A21,Onshore_wind_data!$B$5:'Onshore_wind_data'!$B$221,0)),"")</f>
        <v/>
      </c>
      <c r="AA21" s="24" t="str">
        <f t="shared" si="7"/>
        <v/>
      </c>
      <c r="AB21" s="24" t="str">
        <f t="shared" si="8"/>
        <v/>
      </c>
      <c r="AC21" s="24" t="str">
        <f t="shared" si="9"/>
        <v/>
      </c>
      <c r="AD21" s="16">
        <f>IFERROR(INDEX(Onshore_wind_data!$I$5:'Onshore_wind_data'!$I$221,MATCH(A21,Onshore_wind_data!$B$5:'Onshore_wind_data'!$B$221,0)),"")</f>
        <v>0</v>
      </c>
      <c r="AE21" s="148"/>
      <c r="AF21" s="16" t="str">
        <f>INDEX(Offshore_wind_data!$AA$7:$AA$192,MATCH(Country_details!A21,Offshore_wind_data!$A$7:$A$192,0))</f>
        <v/>
      </c>
      <c r="AG21" s="16" t="str">
        <f>INDEX(Offshore_wind_data!$Y$7:$Y$192,MATCH(Country_details!A21,Offshore_wind_data!$A$7:$A$192,0))</f>
        <v/>
      </c>
      <c r="AH21" s="16" t="str">
        <f>INDEX(Offshore_wind_data!$Z$7:$Z$192,MATCH(Country_details!A21,Offshore_wind_data!$A$7:$A$192,0))</f>
        <v/>
      </c>
      <c r="AI21" s="24" t="str">
        <f t="shared" si="10"/>
        <v/>
      </c>
      <c r="AJ21" s="24" t="str">
        <f t="shared" si="11"/>
        <v/>
      </c>
      <c r="AK21" s="24" t="str">
        <f t="shared" si="12"/>
        <v/>
      </c>
      <c r="AL21" s="16">
        <f>INDEX(Offshore_wind_data!$W$7:$W$191,MATCH(A21,Offshore_wind_data!$A$7:$A$191,0))</f>
        <v>0</v>
      </c>
      <c r="AM21" s="148"/>
      <c r="AN21" s="12">
        <v>11.2</v>
      </c>
      <c r="AO21" s="12">
        <v>23.9</v>
      </c>
      <c r="AP21" s="34">
        <f>0.3934*11.63</f>
        <v>4.5752420000000003</v>
      </c>
      <c r="AQ21" s="15">
        <f t="shared" si="13"/>
        <v>50</v>
      </c>
      <c r="AR21" s="12">
        <f t="shared" si="34"/>
        <v>1195</v>
      </c>
      <c r="AS21" s="16">
        <f t="shared" si="35"/>
        <v>-297.95633603558736</v>
      </c>
      <c r="AT21" s="12"/>
      <c r="AU21" s="24">
        <f t="shared" si="14"/>
        <v>2.7149275122216259</v>
      </c>
      <c r="AV21" s="16">
        <f t="shared" si="15"/>
        <v>1998.7574165753599</v>
      </c>
      <c r="AW21" s="149">
        <f>HV_DC_Grid!$E$3/(1-AX21)*AU21/100*1000</f>
        <v>3026.41729057574</v>
      </c>
      <c r="AX21" s="31">
        <f>(1-(1-HV_DC_Grid!$E$25)^(B21*C21*HV_DC_Grid!$E$8/1000))+(1-(1-HV_DC_Grid!$E$26)^(B21*D21*HV_DC_Grid!$E$8/1000))+HV_DC_Grid!$E$35*HV_DC_Grid!$E$28</f>
        <v>0.10292360518957276</v>
      </c>
      <c r="AY21" s="28">
        <f>B21*nl_e_demand/IF(hv_dc_flh="electricity FLH",$AV21,hv_dc_custom)*1000*hv_dc_capacity_multiplier*hv_dc_length_multiplier*1000*(C21*hv_dc_overhead_invest*(hv_dc_overhead_opex+M21+1/hv_dc_lifetime)+D21*hv_dc_sea_invest*(hv_dc_sea_opex+M21+1/hv_dc_lifetime))/1000000+HV_DC_Grid!$E$10*1000*hv_dc_station_invest*hv_dc_station_number*(hv_dc_station_opex+M21+1/hv_dc_lifetime)/1000000</f>
        <v>6075.114707443081</v>
      </c>
      <c r="AZ21" s="24">
        <f>(AW21+AY21)/(HV_DC_Grid!$E$3*1000)*100</f>
        <v>9.1015319980188227</v>
      </c>
      <c r="BA21" s="28">
        <f>MIN(((Carriers!$F$26+Carriers!$F$27)*(alk_el_opex+wacc_nl+1/alk_el_lifetime)+IF(hv_dc_flh="electricity FLH",$AV21,hv_dc_custom)*AZ21/100)/(IF(hv_dc_flh="electricity FLH",$AV21,hv_dc_custom)/alk_el_e_demand)*1000,((Carriers!$H$26+Carriers!$H$27)*(pem_el_opex+wacc_nl+1/pem_el_lifetime)+IF(hv_dc_flh="electricity FLH",$AV21,hv_dc_custom)*AZ21/100)/(IF(hv_dc_flh="electricity FLH",$AV21,hv_dc_custom)/pem_el_e_demand)*1000)</f>
        <v>4999.503397249413</v>
      </c>
      <c r="BB21" s="12"/>
      <c r="BC21" s="12"/>
      <c r="BD21" s="149">
        <f>MIN(((Carriers!$F$26+Carriers!$F$27)*(alk_el_opex+M21+1/alk_el_lifetime)+$AV21*$AU21/100)/($AV21/alk_el_e_demand)*1000,((Carriers!$H$26+Carriers!$H$27)*(pem_el_opex+M21+1/pem_el_lifetime)+$AV21*$AU21/100)/($AV21/pem_el_e_demand)*1000)</f>
        <v>3291.1789035065913</v>
      </c>
      <c r="BE21" s="28">
        <f>Storage!$AC$50</f>
        <v>8.1664117557772418</v>
      </c>
      <c r="BF21" s="28">
        <f>((Pipeline!$D$22*Pipeline!$D$24*B21*(pipeline_opex+M21+1/pipeline_lifetime))*(Pipeline!$D$39/Pipeline!$D$3)+(Pipeline!$D$57*(pipeline_comp_opex+M21+1/pipeline_comp_lifetime)+Pipeline!$D$47*1000*Pipeline!$D$45*$AU21/100/1000000))*(Pipeline!$D$75/Pipeline!$D$45)</f>
        <v>12011.418677030331</v>
      </c>
      <c r="BG21" s="28">
        <f>BD21+(BE21+BF21)/Storage!$AC$12*1000000</f>
        <v>4174.9719247408639</v>
      </c>
      <c r="BH21" s="28"/>
      <c r="BI21" s="28"/>
      <c r="BJ21" s="28">
        <f>IF($E21="","No Port",BK21*HV_DC_Grid!$E$3*$AU21/100*1000)</f>
        <v>49.929249609044966</v>
      </c>
      <c r="BK21" s="31">
        <f>IFERROR((1-(1-HV_DC_Grid!$E$25)^(K21*HV_DC_Grid!$E$8/1000))+HV_DC_Grid!$E$35*HV_DC_Grid!$E$28,"")</f>
        <v>1.8390638197256268E-2</v>
      </c>
      <c r="BL21" s="28">
        <f>IFERROR(K21*nl_e_demand/IF(hv_dc_flh="electricity FLH",$AV21,hv_dc_custom)*1000*hv_dc_capacity_multiplier*hv_dc_length_multiplier*1000*(hv_dc_overhead_invest*(hv_dc_overhead_opex+M21+1/hv_dc_lifetime))/1000000+HV_DC_Grid!$E$10*1000*hv_dc_station_invest*hv_dc_station_number*(hv_dc_station_opex+M21+1/hv_dc_lifetime)/1000000,"")</f>
        <v>700.87030114231186</v>
      </c>
      <c r="BM21" s="29">
        <f>IFERROR((BJ21+BL21)/(HV_DC_Grid!$E$3*1000)*100,"")</f>
        <v>0.75079955075135685</v>
      </c>
      <c r="BN21" s="28">
        <f>IFERROR(((Pipeline!$D$22*Pipeline!$D$24*K21*(pipeline_opex+M21+1/pipeline_lifetime))*(Pipeline!$D$39/Pipeline!$D$3)+(Pipeline!$D$57*(pipeline_comp_opex+M21+1/pipeline_comp_lifetime)+Pipeline!$D$47*1000*Pipeline!$D$45*S21/100/1000000))*(Pipeline!$D$75/Pipeline!$D$45),"")</f>
        <v>658.25910471075554</v>
      </c>
      <c r="BO21" s="28"/>
      <c r="BP21" s="150">
        <f t="shared" si="16"/>
        <v>125.18228984241907</v>
      </c>
      <c r="BQ21" s="34">
        <f t="shared" si="17"/>
        <v>37.471591914364303</v>
      </c>
      <c r="BR21" s="151">
        <f>(nh3_invest*(M21+1/nh3_lifetime)/nh3_prod+nh3_opex+nh3_e_demand*1000*$AU21/100+Carriers!$N$18/Carriers!$N$23*BD21+Carriers!$N$19/Carriers!$N$23*BQ21)*(BT21+nh3_st_ab_losses)/1000000</f>
        <v>58639.368807357903</v>
      </c>
      <c r="BS21" s="63">
        <f>nh3_st_nl_cost*nh3_st_nl_demand/1000000+(nh3_st_invest*(M21+1/nh3_st_lifetime+nh3_st_opex)/(Storage!$G$63/1000000)+nh3_st_e_demand*1000*$AU21/100)*(BT21+nh3_st_ab_losses)/1000000+Carriers!$N$18/Carriers!$N$23*((BT21+nh3_st_ab_losses)/365.25*short_st_duration_hrs/24)*(h2_short_st_invest*(1/gh2_short_st_lifetime+$M21+h2_short_st_opex)+h2_short_st_e_demand*1000*$AU21/100)/1000000+Carriers!$N$19/Carriers!$N$23*((BT21+nh3_st_ab_losses)/365.25*short_st_duration_hrs/24)*(n2_short_st_invest*(1/n2_short_st_lifetime+$M21+n2_short_st_opex)+n2_short_st_e_demand*1000*$AU21/100)/1000000</f>
        <v>3699.1307406846572</v>
      </c>
      <c r="BT21" s="63">
        <f>Storage!$G$57/((1-Shipping!$H$37)^(F21/24/Shipping!$H$44+0.5*Shipping!$H$59))</f>
        <v>78880565.955080181</v>
      </c>
      <c r="BU21" s="63">
        <f>IF($E21="","No Port",((F21/24/Shipping!$H$44+F21/24/Shipping!$H$50+Shipping!$H$59+Shipping!$H$64)*(Shipping!$H$22+wacc_nl*Shipping!$H$19/365.25*1000000+Shipping!$H$35)+(F21/24/Shipping!$H$44*Shipping!$H$45+Shipping!$H$64*Shipping!$H$65)*IF(bunker_choice="HFO",H21,IF(bunker_choice="hydrogen",BD21*hfo_e_density_lhv/h2_e_density_lhv,(BR21+BS21)*1000000/BT21*hfo_e_density_lhv/nh3_e_density_lhv))+(F21/24/Shipping!$H$50*Shipping!$H$51+Shipping!$H$59*Shipping!$H$60)*IF(bunker_choice="HFO",bunker_price_ROT,IF(bunker_choice="hydrogen",BD21*hfo_e_density_lhv/h2_e_density_lhv,(BR21+BS21)*1000000/BT21*hfo_e_density_lhv/nh3_e_density_lhv))+Shipping!$H$73+IF(G21="Panama",Shipping!$H$55,0)+IF(G21="Suez",Shipping!$H$56,0))/Shipping!$H$31*BT21/1000000+IF(inland_transport_to_port="hv dc grid",$BM21/100*1000*BW21,IF(inland_transport_to_port="pipeline",$BN21,0)))</f>
        <v>3598.4840692757161</v>
      </c>
      <c r="BV21" s="63">
        <f t="shared" si="18"/>
        <v>65936.98361731827</v>
      </c>
      <c r="BW21" s="33">
        <f>((Carriers!$N$18/Carriers!$N$23*alk_el_e_demand)+(Carriers!$N$19/Carriers!$N$23*n2_e_demand)+nh3_e_demand)*(BT21+nh3_st_ab_losses)/1000000+nh3_st_e_demand*BT21/1000000</f>
        <v>778.9667573983379</v>
      </c>
      <c r="BX21" s="33">
        <f t="shared" si="19"/>
        <v>0.76626754477640768</v>
      </c>
      <c r="BY21" s="63">
        <f>IFERROR(BV21*1000000/Storage!$G$12,"")</f>
        <v>861.21253757139755</v>
      </c>
      <c r="BZ21" s="63">
        <f>H2_retrieval!$F$25*h2_demand_kt/1000</f>
        <v>80</v>
      </c>
      <c r="CA21" s="63">
        <f>IFERROR(BY21*(1+H2_retrieval!$F$34)/Carrier_properties!$E$7+H2_retrieval!$F$38,"")</f>
        <v>5257.5335985641959</v>
      </c>
      <c r="CB21" s="149">
        <f>(FA_invest*(M21+1/FA_lifetime)/FA_prod+FA_opex+FA_e_demand*1000*$AU21/100+Carriers!$P$18/Carriers!$P$23*BD21+Carriers!$P$20/Carriers!$P$23*co2_liq_cost)*(CF21+FA_st_ab_losses)/1000000</f>
        <v>115100.2790335396</v>
      </c>
      <c r="CC21" s="86">
        <f>(FA_invest*(M21+1/FA_lifetime)/FA_prod+FA_opex+FA_e_demand*1000*$AU21/100+Carriers!$P$18/Carriers!$P$23*BD21+Carriers!$P$20/Carriers!$P$23*BP21)*(CF21+FA_st_ab_losses)/1000000</f>
        <v>145488.21912910944</v>
      </c>
      <c r="CD21" s="63">
        <f>FA_st_nl_cost*FA_st_nl_demand/1000000+(FA_st_invest*(M21+1/FA_st_lifetime+FA_st_opex)/(Storage!$I$63/1000000)+FA_st_e_demand*1000*$AU21/100)*(CF21+FA_st_ab_losses)/1000000+co2_st_nl_cost*Storage!$I$12*co2_density/FA_density/1000000+(co2_st_opex_lev+co2_st_invest_lev+co2_st_e_demand*1000*$AU21/100)*Storage!$I$12/1000000+co2_st_invest_lev*Storage!$I$12*co2_st_lifetime*M21/1000000+Carriers!$P$18/Carriers!$P$23*((CF21+FA_st_ab_losses)/365.25*short_st_duration_hrs/24)*(h2_short_st_invest*(1/gh2_short_st_lifetime+$M21+h2_short_st_opex)+h2_short_st_e_demand*1000*$AU21/100)/1000000+Carriers!$P$20/Carriers!$P$23*((CF21+FA_st_ab_losses)/365.25*short_st_duration_hrs/24)*(co2_short_st_invest*(1/co2_short_st_lifetime+$M21+co2_short_st_opex)+co2_short_st_e_demand*1000*$AU21/100)/1000000</f>
        <v>12514.719488750572</v>
      </c>
      <c r="CE21" s="63">
        <f>FA_st_nl_cost*FA_st_nl_demand/1000000+(FA_st_invest*(M21+1/FA_st_lifetime+FA_st_opex)/(Storage!$I$63/1000000)+FA_st_e_demand*1000*$AU21/100)*(CF21+FA_st_ab_losses)/1000000+Carriers!$P$18/Carriers!$P$23*((CF21+FA_st_ab_losses)/365.25*short_st_duration_hrs/24)*(h2_short_st_invest*(1/gh2_short_st_lifetime+$M21+h2_short_st_opex)+h2_short_st_e_demand*1000*$AU21/100)/1000000+Carriers!$P$20/Carriers!$P$23*((CF21+FA_st_ab_losses)/365.25*short_st_duration_hrs/24)*(co2_short_st_invest*(1/co2_short_st_lifetime+$M21+co2_short_st_opex)+co2_short_st_e_demand*1000*$AU21/100)/1000000</f>
        <v>5490.9523754404136</v>
      </c>
      <c r="CF21" s="63">
        <f>Storage!$I$57/((1-Shipping!$J$37)^($F21/24/Shipping!$J$44+0.5*Shipping!$J$59))</f>
        <v>310425396.82539684</v>
      </c>
      <c r="CG21" s="28">
        <f>IF($E21="","No Port",((F21/24/Shipping!$J$44+F21/24/Shipping!$J$50+Shipping!$J$59+Shipping!$J$64)*(Shipping!$J$22+wacc_nl*Shipping!$J$19/365.25*1000000+Shipping!$J$35)+(F21/24/Shipping!$J$44*Shipping!$J$45+Shipping!$J$64*Shipping!$J$65)*IF(bunker_choice="HFO",$H21,IF(bunker_choice="hydrogen",$BD21*hfo_e_density_lhv/h2_e_density_lhv,(CB21+CD21)*1000000/CF21*hfo_e_density_lhv/FA_e_density_lhv))+(F21/24/Shipping!$J$50*Shipping!$J$51+Shipping!$J$59*Shipping!$J$60)*IF(bunker_choice="HFO",bunker_price_ROT,IF(bunker_choice="hydrogen",$BD21*hfo_e_density_lhv/h2_e_density_lhv,(CB21+CD21)*1000000/CF21*hfo_e_density_lhv/FA_e_density_lhv))+Shipping!$J$73+IF(G21="Panama",Shipping!$J$55,0)+IF(G21="Suez",Shipping!$J$56,0))/Shipping!$J$31*CF21/1000000+IF(inland_transport_to_port="hv dc grid",$BM21/100*1000*CI21,IF(inland_transport_to_port="pipeline",$BN21,0)))</f>
        <v>13681.572878138955</v>
      </c>
      <c r="CH21" s="28">
        <f t="shared" si="36"/>
        <v>164660.7443826888</v>
      </c>
      <c r="CI21" s="29">
        <f>((Carriers!$P$18/Carriers!$P$23*alk_el_e_demand)+FA_e_demand)*(CF21+FA_st_ab_losses)/1000000+FA_st_e_demand*CF21/1000000</f>
        <v>1897.8881241622576</v>
      </c>
      <c r="CJ21" s="29">
        <f t="shared" si="20"/>
        <v>0.46563809523809524</v>
      </c>
      <c r="CK21" s="28">
        <f>IFERROR(CH21*1000000/Storage!$I$12,"")</f>
        <v>530.43580218181887</v>
      </c>
      <c r="CL21" s="28">
        <f>IF($E21="","No Port",((F21/24/Shipping!$J$44+F21/24/Shipping!$J$50+Shipping!$J$59+Shipping!$J$64)*Carriers!$P$39*wacc_nl))</f>
        <v>215.16992872221118</v>
      </c>
      <c r="CM21" s="29">
        <f>H2_retrieval!$H$25*h2_demand_kt/1000+(co2_liq_e_demand+co2_st_e_demand*2)*Storage!$I$12*co2_density/FA_density/1000000</f>
        <v>94.204253879484654</v>
      </c>
      <c r="CN21" s="28">
        <f>IFERROR((((CB21+CD21+CG21)*(1+H2_retrieval!$H$34)+CL21)*1000000/H2_retrieval!$H$8)+h2_regen_fa,"")</f>
        <v>10494.962465498671</v>
      </c>
      <c r="CO21" s="149">
        <f>(meoh_invest*(M21+1/meoh_lifetime)/meoh_prod+meoh_opex+meoh_e_demand*1000*$AU21/100+Carriers!$R$18/Carriers!$R$23*BD21+Carriers!$R$20/Carriers!$R$23*co2_liq_cost)*(CS21+meoh_st_ab_losses)/1000000</f>
        <v>71872.950121746791</v>
      </c>
      <c r="CP21" s="86">
        <f>(meoh_invest*(M21+1/meoh_lifetime)/meoh_prod+meoh_opex+meoh_e_demand*1000*$AU21/100+Carriers!$R$18/Carriers!$R$23*BD21+Carriers!$R$20/Carriers!$R$23*BP21)*(CS21+meoh_st_ab_losses)/1000000</f>
        <v>89711.609089362377</v>
      </c>
      <c r="CQ21" s="63">
        <f>meoh_st_nl_cost*meoh_st_nl_demand/1000000+(meoh_st_invest*(M21+1/meoh_st_lifetime+meoh_st_opex)/(Storage!$K$63/1000000)+meoh_st_e_demand*1000*$AU21/100)*(CS21+meoh_st_ab_losses)/1000000+co2_st_nl_cost*Storage!$K$12*co2_density/meoh_density/1000000+(co2_st_opex_lev+co2_st_invest_lev+co2_st_e_demand*1000*IFERROR(MIN(S21,AA21,AI21),S21)/100)*Storage!$K$12/1000000+co2_st_invest_lev*Storage!$K$12*co2_st_lifetime*M21/1000000+Carriers!$R$18/Carriers!$R$23*((CS21+meoh_st_ab_losses)/365.25*short_st_duration_hrs/24)*(h2_short_st_invest*(1/gh2_short_st_lifetime+$M21+h2_short_st_opex)+h2_short_st_e_demand*1000*$AU21/100)/1000000+Carriers!$R$20/Carriers!$R$23*((CF21+meoh_st_ab_losses)/365.25*short_st_duration_hrs/24)*(co2_short_st_invest*(1/co2_short_st_lifetime+$M21+co2_short_st_opex)+co2_short_st_e_demand*1000*$AU21/100)/1000000</f>
        <v>5232.8485595065004</v>
      </c>
      <c r="CR21" s="63">
        <f>meoh_st_nl_cost*meoh_st_nl_demand/1000000+(meoh_st_invest*(M21+1/meoh_st_lifetime+meoh_st_opex)/(Storage!$K$63/1000000)+meoh_st_e_demand*1000*$AU21/100)*(CS21+meoh_st_ab_losses)/1000000+Carriers!$R$18/Carriers!$R$23*((CS21+meoh_st_ab_losses)/365.25*short_st_duration_hrs/24)*(h2_short_st_invest*(1/gh2_short_st_lifetime+$M21+h2_short_st_opex)+h2_short_st_e_demand*1000*$AU21/100)/1000000+Carriers!$R$20/Carriers!$R$23*((CF21+meoh_st_ab_losses)/365.25*short_st_duration_hrs/24)*(co2_short_st_invest*(1/co2_short_st_lifetime+$M21+co2_short_st_opex)+co2_short_st_e_demand*1000*$AU21/100)/1000000</f>
        <v>2189.2089516544484</v>
      </c>
      <c r="CS21" s="63">
        <f>Storage!$K$57/((1-Shipping!$L$37)^($F21/24/Shipping!$L$44+0.5*Shipping!$L$59))</f>
        <v>108044444.44444443</v>
      </c>
      <c r="CT21" s="28">
        <f>IF($E21="","No Port",IF(AND(ship_choice="VLCC",G21="Panama"),"Ship cannot pass through Panama",IF(ship_choice="VLCC",((F21/24/Shipping!$AD$44+F21/24/Shipping!$AD$50+Shipping!$AD$59+Shipping!$AD$64)*(Shipping!$AD$22+wacc_nl*Shipping!$AD$19/365.25*1000000+Shipping!$AD$35)+(F21/24/Shipping!$AD$44*Shipping!$AD$45+Shipping!$AD$64*Shipping!$AD$65)*IF(bunker_choice="HFO",$H21,IF(bunker_choice="hydrogen",$BD21*hfo_e_density_lhv/h2_e_density_lhv,(CO21+CQ21)*1000000/CS21*hfo_e_density_lhv/meoh_e_density_lhv))+(F21/24/Shipping!$AD$50*Shipping!$AD$51+Shipping!$AD$59*Shipping!$AD$60)*IF(bunker_choice="HFO",bunker_price_ROT,IF(bunker_choice="hydrogen",$BD21*hfo_e_density_lhv/h2_e_density_lhv,(CO21+CQ21)*1000000/CS21*hfo_e_density_lhv/meoh_e_density_lhv))+Shipping!$AD$73+IF(G21="Panama",Shipping!$AD$55,0)+IF(G21="Suez",Shipping!$AD$56,0))/Shipping!$AD$31*CS21/1000000+IF(inland_transport_to_port="hv dc grid",$BM21/100*1000*CV21,IF(inland_transport_to_port="pipeline",$BN21,0)),((F21/24/Shipping!$L$44+F21/24/Shipping!$L$50+Shipping!$L$59+Shipping!$L$64)*(Shipping!$L$22+wacc_nl*Shipping!$L$19/365.25*1000000+Shipping!$L$35)+(F21/24/Shipping!$L$44*Shipping!$L$45+Shipping!$L$64*Shipping!$L$65)*IF(bunker_choice="HFO",$H21,IF(bunker_choice="hydrogen",$BD21*hfo_e_density_lhv/h2_e_density_lhv,(CO21+CQ21)*1000000/CS21*hfo_e_density_lhv/meoh_e_density_lhv))+(F21/24/Shipping!$L$50*Shipping!$L$51+Shipping!$L$59*Shipping!$L$60)*IF(bunker_choice="HFO",bunker_price_ROT,IF(bunker_choice="hydrogen",$BD21*hfo_e_density_lhv/h2_e_density_lhv,(CO21+CQ21)*1000000/CS21*hfo_e_density_lhv/meoh_e_density_lhv))+Shipping!$L$73+IF(G21="Panama",Shipping!$L$55,0)+IF(G21="Suez",Shipping!$L$56,0))/Shipping!$L$31*CS21/1000000+IF(inland_transport_to_port="hv dc grid",$BM21/100*1000*CV21,IF(inland_transport_to_port="pipeline",$BN21,0)))))</f>
        <v>4928.7574964743817</v>
      </c>
      <c r="CU21" s="28">
        <f t="shared" si="37"/>
        <v>96829.575537491211</v>
      </c>
      <c r="CV21" s="29">
        <f>((Carriers!$R$18/Carriers!$R$23*alk_el_e_demand)+meoh_e_demand)*(CS21+meoh_st_ab_losses)/1000000+meoh_st_e_demand*CS21/1000000</f>
        <v>1119.9789871111109</v>
      </c>
      <c r="CW21" s="29">
        <f t="shared" si="21"/>
        <v>0.16206666666666666</v>
      </c>
      <c r="CX21" s="28">
        <f>IFERROR(CU21*1000000/Storage!$K$12,"")</f>
        <v>896.20133673120222</v>
      </c>
      <c r="CY21" s="28">
        <f>IF($E21="","No Port",((F21/24/Shipping!$L$44+F21/24/Shipping!$L$50+Shipping!$L$59+Shipping!$L$64)*Carriers!$R$39*wacc_nl))</f>
        <v>76.93576092310326</v>
      </c>
      <c r="CZ21" s="29">
        <f>H2_retrieval!$J$25*h2_demand_kt/1000+(co2_liq_e_demand+co2_st_e_demand*2)*Storage!$K$12*co2_density/meoh_density/1000000</f>
        <v>251.05079059698966</v>
      </c>
      <c r="DA21" s="28">
        <f>IFERROR((((CO21+CQ21+CT21)*(1+H2_retrieval!$J$34)+CY21)*1000000/H2_retrieval!$J$8)+h2_regen_meoh,"")</f>
        <v>7207.7382445674975</v>
      </c>
      <c r="DB21" s="149">
        <f>(DBT_invest*(M21+1/DBT_lifetime)/DBT_prod+DBT_opex+DBT_e_demand*1000*$AU21/100+Carriers!$T$18/Carriers!$T$23*BD21)*(DD21+DBT_st_ab_losses)/1000000</f>
        <v>48272.81883725441</v>
      </c>
      <c r="DC21" s="28">
        <f>2*(DBT_st_nl_cost*DBT_st_nl_demand/1000000+(DBT_st_invest*(M21+1/DBT_st_lifetime+DBT_st_opex)/(Storage!$M$63/1000000)+DBT_st_e_demand*1000*$AU21/100)*(DD21+DBT_st_ab_losses)/1000000)+Carriers!$T$18/Carriers!$T$23*((DD21+DBT_st_ab_losses)/365.25*short_st_duration_hrs/24)*(h2_short_st_invest*(1/gh2_short_st_lifetime+$M21+h2_short_st_opex)+h2_short_st_e_demand*1000*$AU21/100)/1000000</f>
        <v>4461.6850431608154</v>
      </c>
      <c r="DD21" s="63">
        <f>Storage!$M$57/((1-Shipping!$N$37)^($F21/24/Shipping!$N$44+0.5*Shipping!$N$59))</f>
        <v>219354838.70967743</v>
      </c>
      <c r="DE21" s="28">
        <f>IF($E21="","No Port",IF(AND(ship_choice="VLCC",G21="Panama"),"Ship cannot pass through Panama",IF(ship_choice="VLCC",((F21/24/Shipping!$AD$44+F21/24/Shipping!$AD$50+Shipping!$AD$59+Shipping!$AD$64)*(Shipping!$AD$22+wacc_nl*Shipping!$AD$19/365.25*1000000+Shipping!$AD$35)+(F21/24/Shipping!$AD$44*Shipping!$AD$45+Shipping!$AD$64*Shipping!$AD$65)*IF(bunker_choice="HFO",$H21,IF(bunker_choice="hydrogen",$BD21*hfo_e_density_lhv/h2_e_density_lhv,(DB21+DC21)*1000000/DD21*hfo_e_density_lhv/DBT_e_density_lhv))+(F21/24/Shipping!$AD$50*Shipping!$AD$51+Shipping!$AD$59*Shipping!$AD$60)*IF(bunker_choice="HFO",bunker_price_ROT,IF(bunker_choice="hydrogen",$BD21*hfo_e_density_lhv/h2_e_density_lhv,(DB21+DC21)*1000000/DD21*hfo_e_density_lhv/DBT_e_density_lhv))+Shipping!$AD$73+IF(G21="Panama",Shipping!$AD$55,0)+IF(G21="Suez",Shipping!$AD$56,0))/Shipping!$AD$31*DD21/1000000+IF(inland_transport_to_port="hv dc grid",$BM21/100*1000*DG21,IF(inland_transport_to_port="pipeline",$BN21,0)),((F21/24/Shipping!$N$44+F21/24/Shipping!$N$50+Shipping!$N$59+Shipping!$N$64)*(Shipping!$N$22+wacc_nl*Shipping!$N$19/365.25*1000000+Shipping!$N$35)+(F21/24/Shipping!$N$44*Shipping!$N$45+Shipping!$N$64*Shipping!$N$65)*IF(bunker_choice="HFO",$H21,IF(bunker_choice="hydrogen",$BD21*hfo_e_density_lhv/h2_e_density_lhv,(DB21+DC21)*1000000/DD21*hfo_e_density_lhv/DBT_e_density_lhv))+(F21/24/Shipping!$N$50*Shipping!$N$51+Shipping!$N$59*Shipping!$N$60)*IF(bunker_choice="HFO",bunker_price_ROT,IF(bunker_choice="hydrogen",$BD21*hfo_e_density_lhv/h2_e_density_lhv,(DB21+DC21)*1000000/DD21*hfo_e_density_lhv/DBT_e_density_lhv))+Shipping!$N$73+IF(G21="Panama",Shipping!$N$55,0)+IF(G21="Suez",Shipping!$N$56,0))/Shipping!$N$31*Shipping!$N$86/1000000+IF(inland_transport_to_port="hv dc grid",$BM21/100*1000*DG21,IF(inland_transport_to_port="pipeline",$BN21,0)))))</f>
        <v>8715.0821075742933</v>
      </c>
      <c r="DF21" s="28">
        <f t="shared" si="53"/>
        <v>61449.585987989522</v>
      </c>
      <c r="DG21" s="29">
        <f>((Carriers!$T$18/Carriers!$T$23*alk_el_e_demand)+DBT_e_demand)*(DD21+DBT_st_ab_losses)/1000000+DBT_st_e_demand*DD21/1000000</f>
        <v>703.88335483870969</v>
      </c>
      <c r="DH21" s="29">
        <f t="shared" si="23"/>
        <v>0.21935483870967742</v>
      </c>
      <c r="DI21" s="28">
        <f>IFERROR(DF21*1000000/Storage!$M$12,"")</f>
        <v>280.1378184746581</v>
      </c>
      <c r="DJ21" s="28">
        <f>IF($E21="","No Port",((F21/24/Shipping!$N$44+F21/24/Shipping!$N$50+Shipping!$N$59+Shipping!$N$64)*Carriers!$T$39*wacc_nl))</f>
        <v>5603.4842497649979</v>
      </c>
      <c r="DK21" s="100">
        <f>H2_retrieval!$L$25*h2_demand_kt/1000+(co2_liq_e_demand+co2_st_e_demand*2)*Storage!$M$12*co2_density/DBT_density/1000000</f>
        <v>206.61934861671787</v>
      </c>
      <c r="DL21" s="28">
        <f>IFERROR(((DF21*(1+H2_retrieval!$L$34)+DJ21)*1000000/H2_retrieval!$L$8)+h2_regen_lohc,"")</f>
        <v>5401.0225922383925</v>
      </c>
      <c r="DM21" s="149">
        <f t="shared" si="24"/>
        <v>53797.992776160834</v>
      </c>
      <c r="DN21" s="16">
        <f>2*(nabh4_st_nl_cost*nabh4_st_nl_demand/1000000+(nabh4_st_invest*(M21+1/nabh4_st_lifetime+nabh4_st_opex)/(Storage!$O$63/1000000)+nabh4_st_e_demand*1000*$AU21/100)*(DO21+nabh4_st_ab_losses)/1000000)+(h2_demand_kt*1000/365.25*short_st_duration_hrs/24)*(h2_short_st_invest*(1/gh2_short_st_lifetime+$M21+h2_short_st_opex)+h2_short_st_e_demand*1000*$AU21/100)/1000000</f>
        <v>1508.1512006064936</v>
      </c>
      <c r="DO21" s="63">
        <f>Storage!$O$57/((1-Shipping!$P$37)^($F21/24/Shipping!$P$44+0.5*Shipping!$P$59))</f>
        <v>63920000</v>
      </c>
      <c r="DP21" s="16">
        <f>IF($E21="","No Port",((F21/24/Shipping!$P$44+F21/24/Shipping!$P$50+Shipping!$P$59+Shipping!$P$64)*(Shipping!$P$22+wacc_nl*Shipping!$P$19/365.25*1000000+Shipping!$P$35)+(F21/24/Shipping!$P$44*Shipping!$P$45+Shipping!$P$64*Shipping!$P$65)*IF(bunker_choice="HFO",$H21,IF(bunker_choice="hydrogen",$BD21*hfo_e_density_lhv/h2_e_density_lhv,(DM21+DN21)*1000000/DO21*hfo_e_density_lhv/nabh4_e_density_lhv))+(F21/24/Shipping!$P$50*Shipping!$P$51+Shipping!$P$59*Shipping!$P$60)*IF(bunker_choice="HFO",bunker_price_ROT,IF(bunker_choice="hydrogen",$BD21*hfo_e_density_lhv/h2_e_density_lhv,(DM21+DN21)*1000000/DO21*hfo_e_density_lhv/nabh4_e_density_lhv))+Shipping!$P$73+IF(G21="Panama",Shipping!$P$55,0)+IF(G21="Suez",Shipping!$P$56,0))/Shipping!$P$31*(DO21+nabh4_st_ab_losses)/1000000+IF(inland_transport_to_port="hv dc grid",$BM21/100*1000*DR21,IF(inland_transport_to_port="pipeline",$BN21,0)))</f>
        <v>2736.5213663865034</v>
      </c>
      <c r="DQ21" s="28">
        <f t="shared" si="38"/>
        <v>58042.665343153829</v>
      </c>
      <c r="DR21" s="29">
        <f>((Carriers!$V$18/Carriers!$V$23*alk_el_e_demand)+nabh4_e_demand)*(DO21+nabh4_st_ab_losses)/1000000+nabh4_st_e_demand*DO21/1000000</f>
        <v>980.02139682539689</v>
      </c>
      <c r="DS21" s="28">
        <f t="shared" si="25"/>
        <v>3.1960000000000002</v>
      </c>
      <c r="DT21" s="28">
        <f>IFERROR(DQ21*1000000/Storage!$O$12,"")</f>
        <v>908.05171062505997</v>
      </c>
      <c r="DU21" s="28">
        <f>IF($E21="","No Port",((F21/24/Shipping!$P$44+F21/24/Shipping!$P$50+Shipping!$P$59+Shipping!$P$64)*Carriers!$V$39*wacc_nl))</f>
        <v>524.03392022978733</v>
      </c>
      <c r="DV21" s="100">
        <f>H2_retrieval!$N$25*h2_demand_kt/1000+(co2_liq_e_demand+co2_st_e_demand*2)*Storage!$O$12*co2_density/nabh4_density/1000000</f>
        <v>18.783638728971958</v>
      </c>
      <c r="DW21" s="28">
        <f>IFERROR(((DQ21*(1+H2_retrieval!$N$34)+DU21)*1000000/H2_retrieval!$N$8)+h2_regen_nabh4,"")</f>
        <v>4398.6060170864257</v>
      </c>
      <c r="DX21" s="149">
        <f>(Dme_invest*(M21+1/Dme_lifetime)/Dme_prod+Dme_opex+Dme_e_demand*1000*$AU21/100+Carriers!$X$21/Carriers!$X$23*(CO21*1000000/CS21))*(EB21+Dme_st_ab_losses)/1000000</f>
        <v>100928.56195346349</v>
      </c>
      <c r="DY21" s="86">
        <f>(Dme_invest*(M21+1/Dme_lifetime)/Dme_prod+Dme_opex+Dme_e_demand*1000*$AU21/100+Carriers!$X$21/Carriers!$X$23*(CP21*1000000/CS21))*(EB21+Dme_st_ab_losses)/1000000</f>
        <v>125129.62859650518</v>
      </c>
      <c r="DZ21" s="63">
        <f>Dme_st_nl_cost*Dme_st_nl_demand/1000000+(Dme_st_invest*(M21+1/Dme_st_lifetime+Dme_st_opex)/(Storage!$Q$63/1000000)+Dme_st_e_demand*1000*$AU21/100)*(EB21+Dme_st_ab_losses)/1000000+co2_st_nl_cost*Storage!$Q$12*co2_density/Dme_density/1000000+(co2_st_opex_lev+co2_st_invest_lev+co2_st_e_demand*1000*$AU21/100)*Storage!$Q$12/1000000+co2_st_invest_lev*Storage!$Q$12*co2_st_lifetime*M21/1000000+(h2_demand_kt*1000/365.25*short_st_duration_hrs/24)*(h2_short_st_invest*(1/gh2_short_st_lifetime+$M21+h2_short_st_opex)+h2_short_st_e_demand*1000*$AU21/100)/1000000</f>
        <v>6294.5996148615232</v>
      </c>
      <c r="EA21" s="63">
        <f>Dme_st_nl_cost*Dme_st_nl_demand/1000000+(Dme_st_invest*(M21+1/Dme_st_lifetime+Dme_st_opex)/(Storage!$Q$63/1000000)+Dme_st_e_demand*1000*$AU21/100)*(EB21+Dme_st_ab_losses)/1000000+(h2_demand_kt*1000/365.25*short_st_duration_hrs/24)*(h2_short_st_invest*(1/gh2_short_st_lifetime+$M21+h2_short_st_opex)+h2_short_st_e_demand*1000*$AU21/100)/1000000</f>
        <v>3250.7509374043966</v>
      </c>
      <c r="EB21" s="63">
        <f>Storage!$Q$57/((1-Shipping!$R$37)^($F21/24/Shipping!$R$44+0.5*Shipping!$R$59))</f>
        <v>103547089.94708996</v>
      </c>
      <c r="EC21" s="153">
        <f>IF($E21="","No Port",IF(AND(ship_choice="VLCC",G21="Panama"),"Ship cannot pass through Panama",IF(ship_choice="VLCC",((F21/24/Shipping!$AD$44+F21/24/Shipping!$AD$50+Shipping!$AD$59+Shipping!$AD$64)*(Shipping!$AD$22+wacc_nl*Shipping!$AD$19/365.25*1000000+Shipping!$AD$35)+(F21/24/Shipping!$AD$44*Shipping!$AD$45+Shipping!$AD$64*Shipping!$AD$65)*IF(bunker_choice="HFO",$H21,IF(bunker_choice="hydrogen",$BD21*hfo_e_density_lhv/h2_e_density_lhv,(DX21+DZ21)*1000000/EB21*hfo_e_density_lhv/Dme_e_density_lhv))+(F21/24/Shipping!$AD$50*Shipping!$AD$51+Shipping!$AD$59*Shipping!$AD$60)*IF(bunker_choice="HFO",bunker_price_ROT,IF(bunker_choice="hydrogen",$BD21*hfo_e_density_lhv/h2_e_density_lhv,(DX21+DZ21)*1000000/EB21*hfo_e_density_lhv/Dme_e_density_lhv))+Shipping!$AD$73+IF(G21="Panama",Shipping!$AD$55,0)+IF(G21="Suez",Shipping!$AD$56,0))/Shipping!$AD$31*(EB21+Dme_st_ab_losses)/1000000+IF(inland_transport_to_port="hv dc grid",$BM21/100*1000*EE21,IF(inland_transport_to_port="pipeline",$BN21,0)),((F21/24/Shipping!$R$44+F21/24/Shipping!$R$50+Shipping!$R$59+Shipping!$R$64)*(Shipping!$R$22+wacc_nl*Shipping!$R$19/365.25*1000000+Shipping!$R$35)+(F21/24/Shipping!$R$44*Shipping!$R$45+Shipping!$R$64*Shipping!$R$65)*IF(bunker_choice="HFO",$H21,IF(bunker_choice="hydrogen",$BD21*hfo_e_density_lhv/h2_e_density_lhv,(DX21+DZ21)*1000000/EB21*hfo_e_density_lhv/Dme_e_density_lhv))+(F21/24/Shipping!$R$50*Shipping!$R$51+Shipping!$R$59*Shipping!$R$60)*IF(bunker_choice="HFO",bunker_price_ROT,IF(bunker_choice="hydrogen",$BD21*hfo_e_density_lhv/h2_e_density_lhv,(DX21+DZ21)*1000000/EB21*hfo_e_density_lhv/Dme_e_density_lhv))+Shipping!$R$73+IF(G21="Panama",Shipping!$R$55,0)+IF(G21="Suez",Shipping!$R$56,0))/Shipping!$R$31*(EB21+Dme_st_ab_losses)/1000000+IF(inland_transport_to_port="hv dc grid",$BM21/100*1000*EE21,IF(inland_transport_to_port="pipeline",$BN21,0)))))</f>
        <v>4927.0558017318399</v>
      </c>
      <c r="ED21" s="28">
        <f t="shared" si="39"/>
        <v>133307.43533564144</v>
      </c>
      <c r="EE21" s="29">
        <f>(Dme_e_demand)*(EB21+Dme_st_ab_losses)/1000000+Dme_st_e_demand*DZ21/1000000+$CV21*(Carriers!$X$21/Carriers!$X$23*EB21)/$CS21</f>
        <v>1550.216823113052</v>
      </c>
      <c r="EF21" s="29">
        <f t="shared" si="26"/>
        <v>1.0354708994708997</v>
      </c>
      <c r="EG21" s="28">
        <f>IFERROR(ED21*1000000/Storage!$Q$12,"")</f>
        <v>1287.4088050543796</v>
      </c>
      <c r="EH21" s="28">
        <f>IF($E21="","No Port",((F21/24/Shipping!$R$44+F21/24/Shipping!$R$50+Shipping!$R$59+Shipping!$R$64)*Carriers!$X$39*wacc_nl))</f>
        <v>79.588575944339865</v>
      </c>
      <c r="EI21" s="100">
        <f>H2_retrieval!$P$25*h2_demand_kt/1000+(co2_liq_e_demand+co2_st_e_demand*2)*Storage!$Q$12*co2_density/Dme_density/1000000</f>
        <v>252.45335899349112</v>
      </c>
      <c r="EJ21" s="28">
        <f>IFERROR((((DX21+DZ21+EC21)*(1+H2_retrieval!$P$34)+EH21)*1000000/H2_retrieval!$P$8)+h2_regen_dme,"")</f>
        <v>9422.3201568726727</v>
      </c>
      <c r="EK21" s="149">
        <f>(ome_invest*(M21+1/ome_lifetime)/ome_prod+ome_opex+ome_e_demand*1000*$AU21/100+Carriers!$Z$21/Carriers!$Z$23*(CO21*1000000/CS21))*(EO21+ome_st_ab_losses)/1000000</f>
        <v>219224.55106903729</v>
      </c>
      <c r="EL21" s="86">
        <f>(ome_invest*(M21+1/ome_lifetime)/ome_prod+ome_opex+ome_e_demand*1000*$AU21/100+Carriers!$Z$21/Carriers!$Z$23*(CP21*1000000/CS21))*(EO21+ome_st_ab_losses)/1000000</f>
        <v>270027.30100582534</v>
      </c>
      <c r="EM21" s="63">
        <f>ome_st_nl_cost*ome_st_nl_demand/1000000+(ome_st_invest*(M21+1/ome_st_lifetime+ome_st_opex)/(Storage!$S$63/1000000)+ome_st_e_demand*1000*$AU21/100)*(EO21+ome_st_ab_losses)/1000000+co2_st_nl_cost*Storage!$S$12*co2_density/ome_density/1000000+(co2_st_opex_lev+co2_st_invest_lev+co2_st_e_demand*1000*$AU21/100)*Storage!$S$12/1000000+co2_st_invest_lev*Storage!$S$12*co2_st_lifetime*M21/1000000+(h2_demand_kt*1000/365.25*short_st_duration_hrs/24)*(h2_short_st_invest*(1/gh2_short_st_lifetime+$M21+h2_short_st_opex)+h2_short_st_e_demand*1000*$AU21/100)/1000000</f>
        <v>5395.5521722332751</v>
      </c>
      <c r="EN21" s="63">
        <f>ome_st_nl_cost*ome_st_nl_demand/1000000+(ome_st_invest*(M21+1/ome_st_lifetime+ome_st_opex)/(Storage!$S$63/1000000)+ome_st_e_demand*1000*$AU21/100)*(EO21+ome_st_ab_losses)/1000000+(h2_demand_kt*1000/365.25*short_st_duration_hrs/24)*(h2_short_st_invest*(1/gh2_short_st_lifetime+$M21+h2_short_st_opex)+h2_short_st_e_demand*1000*$AU21/100)/1000000</f>
        <v>1963.553207188244</v>
      </c>
      <c r="EO21" s="63">
        <f>Storage!$S$57/((1-Shipping!$T$37)^($F21/24/Shipping!$T$44+0.5*Shipping!$T$59))</f>
        <v>128282539.68253967</v>
      </c>
      <c r="EP21" s="28">
        <f>IF($E21="","No Port",IF(AND(ship_choice="VLCC",G21="Panama"),"Ship cannot pass through Panama",IF(ship_choice="VLCC",((F21/24/Shipping!$AD$44+F21/24/Shipping!$AD$50+Shipping!$AD$59+Shipping!$AD$64)*(Shipping!$AD$22+wacc_nl*Shipping!$AD$19/365.25*1000000+Shipping!$AD$35)+(F21/24/Shipping!$AD$44*Shipping!$AD$45+Shipping!$AD$64*Shipping!$AD$65)*IF(bunker_choice="HFO",$H21,IF(bunker_choice="hydrogen",$BD21*hfo_e_density_lhv/h2_e_density_lhv,(EK21+EM21)*1000000/EO21*hfo_e_density_lhv/Dme_e_density_lhv))+(F21/24/Shipping!$AD$50*Shipping!$AD$51+Shipping!$AD$59*Shipping!$AD$60)*IF(bunker_choice="HFO",bunker_price_ROT,IF(bunker_choice="hydrogen",$BD21*hfo_e_density_lhv/h2_e_density_lhv,(EK21+EM21)*1000000/EO21*hfo_e_density_lhv/ome_e_density_lhv))+Shipping!$AD$73+IF(G21="Panama",Shipping!$AD$55,0)+IF(G21="Suez",Shipping!$AD$56,0))/Shipping!$AD$31*(EO21+ome_st_ab_losses)/1000000+IF(inland_transport_to_port="hv dc grid",$BM21/100*1000*ER21,IF(inland_transport_to_port="pipeline",$BN21,0)),((F21/24/Shipping!$T$44+F21/24/Shipping!$T$50+Shipping!$T$59+Shipping!$T$64)*(Shipping!$T$22+wacc_nl*Shipping!$T$19/365.25*1000000+Shipping!$T$35)+(F21/24/Shipping!$T$44*Shipping!$T$45+Shipping!$T$64*Shipping!$T$65)*IF(bunker_choice="HFO",$H21,IF(bunker_choice="hydrogen",$BD21*hfo_e_density_lhv/h2_e_density_lhv,(EK21+EM21)*1000000/EO21*hfo_e_density_lhv/Dme_e_density_lhv))+(F21/24/Shipping!$T$50*Shipping!$T$51+Shipping!$T$59*Shipping!$T$60)*IF(bunker_choice="HFO",bunker_price_ROT,IF(bunker_choice="hydrogen",$BD21*hfo_e_density_lhv/h2_e_density_lhv,(EK21+EM21)*1000000/EO21*hfo_e_density_lhv/ome_e_density_lhv))+Shipping!$T$73+IF(G21="Panama",Shipping!$T$55,0)+IF(G21="Suez",Shipping!$T$56,0))/Shipping!$T$31*(EO21+ome_st_ab_losses)/1000000+IF(inland_transport_to_port="hv dc grid",$BM21/100*1000*ER21,IF(inland_transport_to_port="pipeline",$BN21,0)))))</f>
        <v>5453.847627623697</v>
      </c>
      <c r="EQ21" s="28">
        <f t="shared" si="40"/>
        <v>277444.70184063731</v>
      </c>
      <c r="ER21" s="29">
        <f>(ome_e_demand)*(EO21+ome_st_ab_losses)/1000000+ome_st_e_demand*EM21/1000000+$CV21*(Carriers!$Z$21/Carriers!$Z$23*EO21)/$CS21</f>
        <v>3352.0814582341118</v>
      </c>
      <c r="ES21" s="29">
        <f t="shared" si="27"/>
        <v>0.1924238095238095</v>
      </c>
      <c r="ET21" s="28">
        <f>IFERROR(EQ21*1000000/Storage!$S$12,"")</f>
        <v>2162.7627775941191</v>
      </c>
      <c r="EU21" s="28">
        <f>IF($E21="","No Port",((F21/24/Shipping!$T$44+F21/24/Shipping!$T$50+Shipping!$T$59+Shipping!$T$64)*Carriers!$Z$39*wacc_nl))</f>
        <v>91.346805052056169</v>
      </c>
      <c r="EV21" s="100">
        <f>H2_retrieval!$R$25*h2_demand_kt/1000+(co2_liq_e_demand+co2_st_e_demand*2)*Storage!$S$12*co2_density/ome_density/1000000</f>
        <v>254.51942895252085</v>
      </c>
      <c r="EW21" s="28">
        <f>IFERROR((((EK21+EM21+EP21)*(1+H2_retrieval!$R$34)+EU21)*1000000/H2_retrieval!$R$8)+h2_regen_ome,"")</f>
        <v>18094.047489809815</v>
      </c>
      <c r="EX21" s="149">
        <f>(sng_invest*(M21+1/sng_lifetime)/sng_prod+lng_invest*(M21+1/lng_lifetime)/lng_prod+sng_opex+lng_opex+(sng_e_demand+lng_e_demand)*1000*$AU21/100+Carriers!$AB$18/Carriers!$AB$23*BD21+Carriers!$AB$20/Carriers!$AB$23*co2_liq_cost)*(FB21+lng_st_ab_losses)/1000000</f>
        <v>77900.292835402957</v>
      </c>
      <c r="EY21" s="86">
        <f>(sng_invest*(M21+1/sng_lifetime)/sng_prod+lng_invest*(M21+1/lng_lifetime)/lng_prod+sng_opex+lng_opex+(sng_e_demand+lng_e_demand)*1000*$AU21/100+Carriers!$AB$18/Carriers!$AB$23*BD21+Carriers!$AB$20/Carriers!$AB$23*BP21)*(FB21+lng_st_ab_losses)/1000000</f>
        <v>91266.425952786041</v>
      </c>
      <c r="EZ21" s="63">
        <f>lng_st_nl_cost*lng_st_nl_demand/1000000+(lng_st_invest*(M21+1/lng_st_lifetime+lng_st_opex)/(Storage!$U$63/1000000)+lng_st_e_demand*1000*$AU21/100)*(FB21+lng_st_ab_losses)/1000000+co2_st_nl_cost*Storage!$U$12*co2_density/lng_density/1000000+(co2_st_opex_lev+co2_st_invest_lev+co2_st_e_demand*1000*$AU21/100)*Storage!$U$12/1000000+co2_st_invest_lev*Storage!$U$12*co2_st_lifetime*M21/1000000+Carriers!$AB$18/Carriers!$AB$23*((FB21+lng_st_ab_losses)/365.25*short_st_duration_hrs/24)*(h2_short_st_invest*(1/gh2_short_st_lifetime+$M21+h2_short_st_opex)+h2_short_st_e_demand*1000*$AU21/100)/1000000+Carriers!$AB$20/Carriers!$AB$23*((FB21+lng_st_ab_losses)/365.25*short_st_duration_hrs/24)*(co2_short_st_invest*(1/co2_short_st_lifetime+$M21+co2_short_st_opex)+co2_short_st_e_demand*1000*$AU21/100)/1000000</f>
        <v>6723.233135850759</v>
      </c>
      <c r="FA21" s="63">
        <f>lng_st_nl_cost*lng_st_nl_demand/1000000+(lng_st_invest*(M21+1/lng_st_lifetime+lng_st_opex)/(Storage!$U$63/1000000)+lng_st_e_demand*1000*$AU21/100)*(FB21+lng_st_ab_losses)/1000000+Carriers!$AB$18/Carriers!$AB$23*((FB21+lng_st_ab_losses)/365.25*short_st_duration_hrs/24)*(h2_short_st_invest*(1/gh2_short_st_lifetime+$M21+h2_short_st_opex)+h2_short_st_e_demand*1000*$AU21/100)/1000000+Carriers!$AB$20/Carriers!$AB$23*((FB21+lng_st_ab_losses)/365.25*short_st_duration_hrs/24)*(co2_short_st_invest*(1/co2_short_st_lifetime+$M21+co2_short_st_opex)+co2_short_st_e_demand*1000*$AU21/100)/1000000</f>
        <v>5092.5422509456184</v>
      </c>
      <c r="FB21" s="63">
        <f>Storage!$U$57/((1-Shipping!$V$37)^($F21/24/Shipping!$V$44+0.5*Shipping!$V$59))</f>
        <v>41249301.903236099</v>
      </c>
      <c r="FC21" s="28">
        <f>IF($E21="","No Port",IF(G21="Panama","Ship cannot pass through Panama",((F21/24/Shipping!$V$44+F21/24/Shipping!$V$50+Shipping!$V$59+Shipping!$V$64)*(Shipping!$V$22+wacc_nl*Shipping!$V$19/365.25*1000000+Shipping!$V$35)+(F21/24/Shipping!$V$44*Shipping!$V$45+Shipping!$V$64*Shipping!$V$65)*IF(bunker_choice="HFO",$H21,IF(bunker_choice="hydrogen",$BD21*hfo_e_density_lhv/h2_e_density_lhv,(EX21+EZ21)*1000000/FB21*hfo_e_density_lhv/lng_e_density_lhv))+(F21/24/Shipping!$V$50*Shipping!$V$51+Shipping!$V$59*Shipping!$V$60)*IF(bunker_choice="HFO",bunker_price_ROT,IF(bunker_choice="hydrogen",$BD21*hfo_e_density_lhv/h2_e_density_lhv,(EX21+EZ21)*1000000/FB21*hfo_e_density_lhv/lng_e_density_lhv))+Shipping!$V$73+IF(G21="Panama",Shipping!$V$55,0)+IF(G21="Suez",Shipping!$V$56,0))/Shipping!$V$31*(FB21+lng_st_ab_losses)/1000000)+IF(inland_transport_to_port="hv dc grid",$BM21/100*1000*FE21,IF(inland_transport_to_port="pipeline",$BN21,0)))</f>
        <v>2255.8089942184183</v>
      </c>
      <c r="FD21" s="28">
        <f t="shared" si="41"/>
        <v>98614.777197950083</v>
      </c>
      <c r="FE21" s="29">
        <f>((Carriers!$AB$18/Carriers!$AB$23*alk_el_e_demand)+sng_e_demand+lng_e_demand)*(FB21+lng_st_ab_losses)/1000000+lng_st_e_demand*EZ21/1000000</f>
        <v>1106.27331021651</v>
      </c>
      <c r="FF21" s="29">
        <f t="shared" si="28"/>
        <v>0.8126185861001558</v>
      </c>
      <c r="FG21" s="28">
        <f>IFERROR(FD21*1000000/Storage!$U$12,"")</f>
        <v>2429.8853893424812</v>
      </c>
      <c r="FH21" s="28">
        <f>IF($E21="","No Port",((F21/24/Shipping!$V$44+F21/24/Shipping!$V$50+Shipping!$V$59+Shipping!$V$64)*Carriers!$AB$39*wacc_nl))</f>
        <v>27.021940207874387</v>
      </c>
      <c r="FI21" s="100">
        <f>H2_retrieval!$T$25*h2_demand_kt/1000+(co2_liq_e_demand+co2_st_e_demand*2)*Storage!$U$12*co2_density/lng_density/1000000</f>
        <v>236.51371749646054</v>
      </c>
      <c r="FJ21" s="28">
        <f>IFERROR((((EX21+EZ21+FC21)*(1+H2_retrieval!$T$34)+FH21)*1000000/H2_retrieval!$T$8)+h2_regen_lng,"")</f>
        <v>7560.3018450843529</v>
      </c>
      <c r="FK21" s="149">
        <f>(lh2_invest*(M21+1/lh2_lifetime)/lh2_prod+lh2_opex+lh2_e_demand*1000*$AU21/100+Carriers!$AD$18/Carriers!$AD$23*BD21)*(FM21+lh2_st_ab_losses)/1000000</f>
        <v>60873.673310790153</v>
      </c>
      <c r="FL21" s="28">
        <f>lh2_st_nl_cost*lh2_st_nl_demand/1000000+(lh2_st_invest*(M21+1/lh2_st_lifetime+lh2_st_opex)/(Storage!$Y$63/1000000)+lh2_st_e_demand*1000*$AU21/100)*(FM21+lh2_st_ab_losses)/1000000+((FM21+lh2_st_ab_losses)/365.25*short_st_duration_hrs/24)*(h2_short_st_invest*(1/gh2_short_st_lifetime+$M21+h2_short_st_opex)+h2_short_st_e_demand*1000*$AU21/100)/1000000</f>
        <v>58801.071395513733</v>
      </c>
      <c r="FM21" s="63">
        <f>Storage!$Y$57/((1-Shipping!$Z$37)^($F21/24/Shipping!$Z$44+0.5*Shipping!$Z$59))</f>
        <v>13952296.70862001</v>
      </c>
      <c r="FN21" s="28">
        <f>IF($E21="","No Port",IF(G21="Panama","Ship cannot pass through Panama",((F21/24/Shipping!$Z$44+F21/24/Shipping!$Z$50+Shipping!$Z$59+Shipping!$Z$64)*(Shipping!$Z$22+wacc_nl*Shipping!$Z$19/365.25*1000000+Shipping!$Z$35)+(F21/24/Shipping!$Z$44*Shipping!$Z$45+Shipping!$Z$64*Shipping!$Z$65)*IF(bunker_choice="HFO",$H21,IF(bunker_choice="hydrogen",$BD21*hfo_e_density_lhv/h2_e_density_lhv,(FK21+FL21)*1000000/FM21*hfo_e_density_lhv/lh2_e_density_lhv))+(F21/24/Shipping!$Z$50*Shipping!$Z$51+Shipping!$Z$59*Shipping!$Z$60)*IF(bunker_choice="HFO",bunker_price_ROT,IF(bunker_choice="hydrogen",$BD21*hfo_e_density_lhv/h2_e_density_lhv,(FK21+FL21)*1000000/FM21*hfo_e_density_lhv/lh2_e_density_lhv))+Shipping!$Z$73+IF(G21="Panama",Shipping!$Z$55,0)+IF(G21="Suez",Shipping!$Z$56,0))/Shipping!$Z$31*(FM21+lh2_st_ab_losses)/1000000)+IF(inland_transport_to_port="hv dc grid",$BM21/100*1000*FP21,IF(inland_transport_to_port="pipeline",$BN21,0)))</f>
        <v>3482.8711471155148</v>
      </c>
      <c r="FO21" s="28">
        <f t="shared" si="42"/>
        <v>123157.6158534194</v>
      </c>
      <c r="FP21" s="29">
        <f>((Carriers!$AD$18/Carriers!$AD$23*alk_el_e_demand)+lh2_e_demand)*(FM21+lh2_st_ab_losses)/1000000+lh2_st_e_demand*FM21/1000000</f>
        <v>808.51846367784367</v>
      </c>
      <c r="FQ21" s="100">
        <f t="shared" si="29"/>
        <v>1.361902463475859</v>
      </c>
      <c r="FR21" s="28">
        <f>IFERROR(FO21*1000000/Storage!$Y$12,"")</f>
        <v>9055.7070480455441</v>
      </c>
      <c r="FS21" s="100">
        <f>H2_retrieval!$V$25*h2_demand_kt/1000</f>
        <v>8.16</v>
      </c>
      <c r="FT21" s="28">
        <f>IFERROR(FR21*(1+H2_retrieval!$V$34)/Carrier_properties!$U$7+H2_retrieval!$V$38,"")</f>
        <v>9087.6757739140121</v>
      </c>
      <c r="FU21" s="12"/>
      <c r="FV21" s="24">
        <f t="shared" si="30"/>
        <v>2.7149275122216259</v>
      </c>
      <c r="FW21" s="24" t="str">
        <f t="shared" si="43"/>
        <v/>
      </c>
      <c r="FX21" s="24" t="str">
        <f t="shared" si="44"/>
        <v/>
      </c>
      <c r="FY21" s="24">
        <f t="shared" si="45"/>
        <v>2.7149275122216259</v>
      </c>
      <c r="FZ21" s="28">
        <f t="shared" si="46"/>
        <v>3291.1789035065913</v>
      </c>
      <c r="GA21" s="28">
        <f t="shared" si="47"/>
        <v>743.3943722050758</v>
      </c>
      <c r="GB21" s="28">
        <f t="shared" si="48"/>
        <v>468.67369943620093</v>
      </c>
      <c r="GC21" s="28">
        <f t="shared" si="49"/>
        <v>830.32135109446881</v>
      </c>
      <c r="GD21" s="28">
        <f t="shared" si="50"/>
        <v>1208.4321120027937</v>
      </c>
      <c r="GE21" s="28">
        <f t="shared" si="51"/>
        <v>2104.9419638406048</v>
      </c>
      <c r="GF21" s="28">
        <f t="shared" si="52"/>
        <v>2212.5568613714158</v>
      </c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</row>
    <row r="22" spans="1:214" x14ac:dyDescent="0.2">
      <c r="A22" s="40" t="s">
        <v>16</v>
      </c>
      <c r="B22" s="12">
        <v>10066</v>
      </c>
      <c r="C22" s="12">
        <v>0.3</v>
      </c>
      <c r="D22" s="12">
        <f t="shared" si="0"/>
        <v>0.7</v>
      </c>
      <c r="E22" s="12"/>
      <c r="F22" s="12"/>
      <c r="G22" s="12"/>
      <c r="H22" s="16">
        <f t="shared" si="1"/>
        <v>382.75862068965517</v>
      </c>
      <c r="I22" s="16">
        <v>1083300</v>
      </c>
      <c r="J22" s="16">
        <f t="shared" si="31"/>
        <v>587.2181023290243</v>
      </c>
      <c r="K22" s="16" t="str">
        <f t="shared" si="32"/>
        <v/>
      </c>
      <c r="L22" s="103">
        <v>0.129</v>
      </c>
      <c r="M22" s="103">
        <f t="shared" si="2"/>
        <v>0.13265113464548278</v>
      </c>
      <c r="N22" s="122">
        <f t="shared" si="33"/>
        <v>0.75</v>
      </c>
      <c r="O22" s="46">
        <f t="shared" si="3"/>
        <v>40</v>
      </c>
      <c r="P22" s="70">
        <f t="array" ref="P22">SUMPRODUCT(IF(Solar_data!A$4:A$777=A22,Solar_data!C$4:C$777),IF(Solar_data!A$4:A$777=A22,Solar_data!I$4:I$777))/SUMIF(Solar_data!A$4:A$777,A22,Solar_data!I$4:I$777)</f>
        <v>2031.5208977500902</v>
      </c>
      <c r="Q22" s="16">
        <f t="array" ref="Q22">MAX(IF(Solar_data!$A$777:'Solar_data'!$A$4=Country_details!$A22,Solar_data!$C$4:'Solar_data'!$C$777))</f>
        <v>2646.25</v>
      </c>
      <c r="R22" s="16">
        <f t="array" ref="R22">MIN(IF(Solar_data!$A$777:'Solar_data'!$A$4=Country_details!A22,Solar_data!$C$4:'Solar_data'!$C$777))</f>
        <v>1551.25</v>
      </c>
      <c r="S22" s="24">
        <f t="shared" si="4"/>
        <v>2.7875456376764625</v>
      </c>
      <c r="T22" s="24">
        <f t="shared" si="5"/>
        <v>2.139993279687042</v>
      </c>
      <c r="U22" s="24">
        <f t="shared" si="6"/>
        <v>3.6505767712308361</v>
      </c>
      <c r="V22" s="16">
        <f t="array" ref="V22">SUM(IF(Solar_data!$A$777:'Solar_data'!$A$4=Country_details!$A22,Solar_data!$I$4:'Solar_data'!$I$777))</f>
        <v>7245.3356500284744</v>
      </c>
      <c r="W22" s="148"/>
      <c r="X22" s="16">
        <f>IFERROR(INDEX(Onshore_wind_data!$J$5:'Onshore_wind_data'!$J$221,MATCH(A22,Onshore_wind_data!$B$5:'Onshore_wind_data'!$B$221,0)),"")</f>
        <v>2944.2015787195282</v>
      </c>
      <c r="Y22" s="16">
        <f>IFERROR(INDEX(Onshore_wind_data!$K$5:'Onshore_wind_data'!$K$221,MATCH(A22,Onshore_wind_data!$B$5:'Onshore_wind_data'!$B$221,0)),"")</f>
        <v>3285.5</v>
      </c>
      <c r="Z22" s="16">
        <f>IFERROR(INDEX(Onshore_wind_data!$L$5:'Onshore_wind_data'!$L$221,MATCH(A22,Onshore_wind_data!$B$5:'Onshore_wind_data'!$B$221,0)),"")</f>
        <v>2847.5</v>
      </c>
      <c r="AA22" s="24">
        <f t="shared" si="7"/>
        <v>5.0973151761606204</v>
      </c>
      <c r="AB22" s="24">
        <f t="shared" si="8"/>
        <v>4.5678050186830337</v>
      </c>
      <c r="AC22" s="24">
        <f t="shared" si="9"/>
        <v>5.2704208564997757</v>
      </c>
      <c r="AD22" s="16">
        <f>IFERROR(INDEX(Onshore_wind_data!$I$5:'Onshore_wind_data'!$I$221,MATCH(A22,Onshore_wind_data!$B$5:'Onshore_wind_data'!$B$221,0)),"")</f>
        <v>391.74721829999999</v>
      </c>
      <c r="AE22" s="148"/>
      <c r="AF22" s="16" t="str">
        <f>INDEX(Offshore_wind_data!$AA$7:$AA$192,MATCH(Country_details!A22,Offshore_wind_data!$A$7:$A$192,0))</f>
        <v/>
      </c>
      <c r="AG22" s="16" t="str">
        <f>INDEX(Offshore_wind_data!$Y$7:$Y$192,MATCH(Country_details!A22,Offshore_wind_data!$A$7:$A$192,0))</f>
        <v/>
      </c>
      <c r="AH22" s="16" t="str">
        <f>INDEX(Offshore_wind_data!$Z$7:$Z$192,MATCH(Country_details!A22,Offshore_wind_data!$A$7:$A$192,0))</f>
        <v/>
      </c>
      <c r="AI22" s="24" t="str">
        <f t="shared" si="10"/>
        <v/>
      </c>
      <c r="AJ22" s="24" t="str">
        <f t="shared" si="11"/>
        <v/>
      </c>
      <c r="AK22" s="24" t="str">
        <f t="shared" si="12"/>
        <v/>
      </c>
      <c r="AL22" s="16">
        <f>INDEX(Offshore_wind_data!$W$7:$W$191,MATCH(A22,Offshore_wind_data!$A$7:$A$191,0))</f>
        <v>0</v>
      </c>
      <c r="AM22" s="148"/>
      <c r="AN22" s="12">
        <v>11.1</v>
      </c>
      <c r="AO22" s="12">
        <v>15.9</v>
      </c>
      <c r="AP22" s="34">
        <f>0.7855*11.63</f>
        <v>9.1353650000000002</v>
      </c>
      <c r="AQ22" s="15">
        <f t="shared" si="13"/>
        <v>50</v>
      </c>
      <c r="AR22" s="12">
        <f t="shared" si="34"/>
        <v>795</v>
      </c>
      <c r="AS22" s="16">
        <f t="shared" si="35"/>
        <v>6842.0828683284744</v>
      </c>
      <c r="AT22" s="12"/>
      <c r="AU22" s="24">
        <f t="shared" si="14"/>
        <v>4.1542671849176545</v>
      </c>
      <c r="AV22" s="16">
        <f t="shared" si="15"/>
        <v>4975.7224764696184</v>
      </c>
      <c r="AW22" s="149">
        <f>HV_DC_Grid!$E$3/(1-AX22)*AU22/100*1000</f>
        <v>5181.5869612125052</v>
      </c>
      <c r="AX22" s="31">
        <f>(1-(1-HV_DC_Grid!$E$25)^(B22*C22*HV_DC_Grid!$E$8/1000))+(1-(1-HV_DC_Grid!$E$26)^(B22*D22*HV_DC_Grid!$E$8/1000))+HV_DC_Grid!$E$35*HV_DC_Grid!$E$28</f>
        <v>0.19826354049155148</v>
      </c>
      <c r="AY22" s="28">
        <f>B22*nl_e_demand/IF(hv_dc_flh="electricity FLH",$AV22,hv_dc_custom)*1000*hv_dc_capacity_multiplier*hv_dc_length_multiplier*1000*(C22*hv_dc_overhead_invest*(hv_dc_overhead_opex+M22+1/hv_dc_lifetime)+D22*hv_dc_sea_invest*(hv_dc_sea_opex+M22+1/hv_dc_lifetime))/1000000+HV_DC_Grid!$E$10*1000*hv_dc_station_invest*hv_dc_station_number*(hv_dc_station_opex+M22+1/hv_dc_lifetime)/1000000</f>
        <v>22790.542087395312</v>
      </c>
      <c r="AZ22" s="24">
        <f>(AW22+AY22)/(HV_DC_Grid!$E$3*1000)*100</f>
        <v>27.972129048607819</v>
      </c>
      <c r="BA22" s="28">
        <f>MIN(((Carriers!$F$26+Carriers!$F$27)*(alk_el_opex+wacc_nl+1/alk_el_lifetime)+IF(hv_dc_flh="electricity FLH",$AV22,hv_dc_custom)*AZ22/100)/(IF(hv_dc_flh="electricity FLH",$AV22,hv_dc_custom)/alk_el_e_demand)*1000,((Carriers!$H$26+Carriers!$H$27)*(pem_el_opex+wacc_nl+1/pem_el_lifetime)+IF(hv_dc_flh="electricity FLH",$AV22,hv_dc_custom)*AZ22/100)/(IF(hv_dc_flh="electricity FLH",$AV22,hv_dc_custom)/pem_el_e_demand)*1000)</f>
        <v>14480.272038967831</v>
      </c>
      <c r="BB22" s="12"/>
      <c r="BC22" s="12"/>
      <c r="BD22" s="149">
        <f>MIN(((Carriers!$F$26+Carriers!$F$27)*(alk_el_opex+M22+1/alk_el_lifetime)+$AV22*$AU22/100)/($AV22/alk_el_e_demand)*1000,((Carriers!$H$26+Carriers!$H$27)*(pem_el_opex+M22+1/pem_el_lifetime)+$AV22*$AU22/100)/($AV22/pem_el_e_demand)*1000)</f>
        <v>2842.2261683249521</v>
      </c>
      <c r="BE22" s="28">
        <f>Storage!$AC$50</f>
        <v>8.1664117557772418</v>
      </c>
      <c r="BF22" s="28">
        <f>((Pipeline!$D$22*Pipeline!$D$24*B22*(pipeline_opex+M22+1/pipeline_lifetime))*(Pipeline!$D$39/Pipeline!$D$3)+(Pipeline!$D$57*(pipeline_comp_opex+M22+1/pipeline_comp_lifetime)+Pipeline!$D$47*1000*Pipeline!$D$45*$AU22/100/1000000))*(Pipeline!$D$75/Pipeline!$D$45)</f>
        <v>23528.159848578525</v>
      </c>
      <c r="BG22" s="28">
        <f>BD22+(BE22+BF22)/Storage!$AC$12*1000000</f>
        <v>4572.8383933495334</v>
      </c>
      <c r="BH22" s="28"/>
      <c r="BI22" s="28"/>
      <c r="BJ22" s="28" t="str">
        <f>IF($E22="","No Port",BK22*HV_DC_Grid!$E$3*$AU22/100*1000)</f>
        <v>No Port</v>
      </c>
      <c r="BK22" s="31" t="str">
        <f>IFERROR((1-(1-HV_DC_Grid!$E$25)^(K22*HV_DC_Grid!$E$8/1000))+HV_DC_Grid!$E$35*HV_DC_Grid!$E$28,"")</f>
        <v/>
      </c>
      <c r="BL22" s="28" t="str">
        <f>IFERROR(K22*nl_e_demand/IF(hv_dc_flh="electricity FLH",$AV22,hv_dc_custom)*1000*hv_dc_capacity_multiplier*hv_dc_length_multiplier*1000*(hv_dc_overhead_invest*(hv_dc_overhead_opex+M22+1/hv_dc_lifetime))/1000000+HV_DC_Grid!$E$10*1000*hv_dc_station_invest*hv_dc_station_number*(hv_dc_station_opex+M22+1/hv_dc_lifetime)/1000000,"")</f>
        <v/>
      </c>
      <c r="BM22" s="29" t="str">
        <f>IFERROR((BJ22+BL22)/(HV_DC_Grid!$E$3*1000)*100,"")</f>
        <v/>
      </c>
      <c r="BN22" s="28" t="str">
        <f>IFERROR(((Pipeline!$D$22*Pipeline!$D$24*K22*(pipeline_opex+M22+1/pipeline_lifetime))*(Pipeline!$D$39/Pipeline!$D$3)+(Pipeline!$D$57*(pipeline_comp_opex+M22+1/pipeline_comp_lifetime)+Pipeline!$D$47*1000*Pipeline!$D$45*S22/100/1000000))*(Pipeline!$D$75/Pipeline!$D$45),"")</f>
        <v/>
      </c>
      <c r="BO22" s="28"/>
      <c r="BP22" s="150">
        <f t="shared" si="16"/>
        <v>125.6740368397885</v>
      </c>
      <c r="BQ22" s="34">
        <f t="shared" si="17"/>
        <v>36.697707721500187</v>
      </c>
      <c r="BR22" s="151">
        <f>(nh3_invest*(M22+1/nh3_lifetime)/nh3_prod+nh3_opex+nh3_e_demand*1000*$AU22/100+Carriers!$N$18/Carriers!$N$23*BD22+Carriers!$N$19/Carriers!$N$23*BQ22)*(BT22+nh3_st_ab_losses)/1000000</f>
        <v>51110.89413280569</v>
      </c>
      <c r="BS22" s="63">
        <f>nh3_st_nl_cost*nh3_st_nl_demand/1000000+(nh3_st_invest*(M22+1/nh3_st_lifetime+nh3_st_opex)/(Storage!$G$63/1000000)+nh3_st_e_demand*1000*$AU22/100)*(BT22+nh3_st_ab_losses)/1000000+Carriers!$N$18/Carriers!$N$23*((BT22+nh3_st_ab_losses)/365.25*short_st_duration_hrs/24)*(h2_short_st_invest*(1/gh2_short_st_lifetime+$M22+h2_short_st_opex)+h2_short_st_e_demand*1000*$AU22/100)/1000000+Carriers!$N$19/Carriers!$N$23*((BT22+nh3_st_ab_losses)/365.25*short_st_duration_hrs/24)*(n2_short_st_invest*(1/n2_short_st_lifetime+$M22+n2_short_st_opex)+n2_short_st_e_demand*1000*$AU22/100)/1000000</f>
        <v>3474.2596109655524</v>
      </c>
      <c r="BT22" s="63">
        <f>Storage!$G$57/((1-Shipping!$H$37)^(F22/24/Shipping!$H$44+0.5*Shipping!$H$59))</f>
        <v>76857210.785724297</v>
      </c>
      <c r="BU22" s="63" t="str">
        <f>IF($E22="","No Port",((F22/24/Shipping!$H$44+F22/24/Shipping!$H$50+Shipping!$H$59+Shipping!$H$64)*(Shipping!$H$22+wacc_nl*Shipping!$H$19/365.25*1000000+Shipping!$H$35)+(F22/24/Shipping!$H$44*Shipping!$H$45+Shipping!$H$64*Shipping!$H$65)*IF(bunker_choice="HFO",H22,IF(bunker_choice="hydrogen",BD22*hfo_e_density_lhv/h2_e_density_lhv,(BR22+BS22)*1000000/BT22*hfo_e_density_lhv/nh3_e_density_lhv))+(F22/24/Shipping!$H$50*Shipping!$H$51+Shipping!$H$59*Shipping!$H$60)*IF(bunker_choice="HFO",bunker_price_ROT,IF(bunker_choice="hydrogen",BD22*hfo_e_density_lhv/h2_e_density_lhv,(BR22+BS22)*1000000/BT22*hfo_e_density_lhv/nh3_e_density_lhv))+Shipping!$H$73+IF(G22="Panama",Shipping!$H$55,0)+IF(G22="Suez",Shipping!$H$56,0))/Shipping!$H$31*BT22/1000000+IF(inland_transport_to_port="hv dc grid",$BM22/100*1000*BW22,IF(inland_transport_to_port="pipeline",$BN22,0)))</f>
        <v>No Port</v>
      </c>
      <c r="BV22" s="63" t="str">
        <f t="shared" si="18"/>
        <v/>
      </c>
      <c r="BW22" s="33">
        <f>((Carriers!$N$18/Carriers!$N$23*alk_el_e_demand)+(Carriers!$N$19/Carriers!$N$23*n2_e_demand)+nh3_e_demand)*(BT22+nh3_st_ab_losses)/1000000+nh3_st_e_demand*BT22/1000000</f>
        <v>759.00171168026975</v>
      </c>
      <c r="BX22" s="33">
        <f t="shared" si="19"/>
        <v>0.76626754477640768</v>
      </c>
      <c r="BY22" s="63" t="str">
        <f>IFERROR(BV22*1000000/Storage!$G$12,"")</f>
        <v/>
      </c>
      <c r="BZ22" s="63">
        <f>H2_retrieval!$F$25*h2_demand_kt/1000</f>
        <v>80</v>
      </c>
      <c r="CA22" s="63" t="str">
        <f>IFERROR(BY22*(1+H2_retrieval!$F$34)/Carrier_properties!$E$7+H2_retrieval!$F$38,"")</f>
        <v/>
      </c>
      <c r="CB22" s="149">
        <f>(FA_invest*(M22+1/FA_lifetime)/FA_prod+FA_opex+FA_e_demand*1000*$AU22/100+Carriers!$P$18/Carriers!$P$23*BD22+Carriers!$P$20/Carriers!$P$23*co2_liq_cost)*(CF22+FA_st_ab_losses)/1000000</f>
        <v>118855.55133902948</v>
      </c>
      <c r="CC22" s="86">
        <f>(FA_invest*(M22+1/FA_lifetime)/FA_prod+FA_opex+FA_e_demand*1000*$AU22/100+Carriers!$P$18/Carriers!$P$23*BD22+Carriers!$P$20/Carriers!$P$23*BP22)*(CF22+FA_st_ab_losses)/1000000</f>
        <v>149370.20153991375</v>
      </c>
      <c r="CD22" s="63">
        <f>FA_st_nl_cost*FA_st_nl_demand/1000000+(FA_st_invest*(M22+1/FA_st_lifetime+FA_st_opex)/(Storage!$I$63/1000000)+FA_st_e_demand*1000*$AU22/100)*(CF22+FA_st_ab_losses)/1000000+co2_st_nl_cost*Storage!$I$12*co2_density/FA_density/1000000+(co2_st_opex_lev+co2_st_invest_lev+co2_st_e_demand*1000*$AU22/100)*Storage!$I$12/1000000+co2_st_invest_lev*Storage!$I$12*co2_st_lifetime*M22/1000000+Carriers!$P$18/Carriers!$P$23*((CF22+FA_st_ab_losses)/365.25*short_st_duration_hrs/24)*(h2_short_st_invest*(1/gh2_short_st_lifetime+$M22+h2_short_st_opex)+h2_short_st_e_demand*1000*$AU22/100)/1000000+Carriers!$P$20/Carriers!$P$23*((CF22+FA_st_ab_losses)/365.25*short_st_duration_hrs/24)*(co2_short_st_invest*(1/co2_short_st_lifetime+$M22+co2_short_st_opex)+co2_short_st_e_demand*1000*$AU22/100)/1000000</f>
        <v>12490.241446502358</v>
      </c>
      <c r="CE22" s="63">
        <f>FA_st_nl_cost*FA_st_nl_demand/1000000+(FA_st_invest*(M22+1/FA_st_lifetime+FA_st_opex)/(Storage!$I$63/1000000)+FA_st_e_demand*1000*$AU22/100)*(CF22+FA_st_ab_losses)/1000000+Carriers!$P$18/Carriers!$P$23*((CF22+FA_st_ab_losses)/365.25*short_st_duration_hrs/24)*(h2_short_st_invest*(1/gh2_short_st_lifetime+$M22+h2_short_st_opex)+h2_short_st_e_demand*1000*$AU22/100)/1000000+Carriers!$P$20/Carriers!$P$23*((CF22+FA_st_ab_losses)/365.25*short_st_duration_hrs/24)*(co2_short_st_invest*(1/co2_short_st_lifetime+$M22+co2_short_st_opex)+co2_short_st_e_demand*1000*$AU22/100)/1000000</f>
        <v>5235.828407417971</v>
      </c>
      <c r="CF22" s="63">
        <f>Storage!$I$57/((1-Shipping!$J$37)^($F22/24/Shipping!$J$44+0.5*Shipping!$J$59))</f>
        <v>310425396.82539684</v>
      </c>
      <c r="CG22" s="28" t="str">
        <f>IF($E22="","No Port",((F22/24/Shipping!$J$44+F22/24/Shipping!$J$50+Shipping!$J$59+Shipping!$J$64)*(Shipping!$J$22+wacc_nl*Shipping!$J$19/365.25*1000000+Shipping!$J$35)+(F22/24/Shipping!$J$44*Shipping!$J$45+Shipping!$J$64*Shipping!$J$65)*IF(bunker_choice="HFO",$H22,IF(bunker_choice="hydrogen",$BD22*hfo_e_density_lhv/h2_e_density_lhv,(CB22+CD22)*1000000/CF22*hfo_e_density_lhv/FA_e_density_lhv))+(F22/24/Shipping!$J$50*Shipping!$J$51+Shipping!$J$59*Shipping!$J$60)*IF(bunker_choice="HFO",bunker_price_ROT,IF(bunker_choice="hydrogen",$BD22*hfo_e_density_lhv/h2_e_density_lhv,(CB22+CD22)*1000000/CF22*hfo_e_density_lhv/FA_e_density_lhv))+Shipping!$J$73+IF(G22="Panama",Shipping!$J$55,0)+IF(G22="Suez",Shipping!$J$56,0))/Shipping!$J$31*CF22/1000000+IF(inland_transport_to_port="hv dc grid",$BM22/100*1000*CI22,IF(inland_transport_to_port="pipeline",$BN22,0)))</f>
        <v>No Port</v>
      </c>
      <c r="CH22" s="28" t="str">
        <f t="shared" si="36"/>
        <v/>
      </c>
      <c r="CI22" s="29">
        <f>((Carriers!$P$18/Carriers!$P$23*alk_el_e_demand)+FA_e_demand)*(CF22+FA_st_ab_losses)/1000000+FA_st_e_demand*CF22/1000000</f>
        <v>1897.8881241622576</v>
      </c>
      <c r="CJ22" s="29">
        <f t="shared" si="20"/>
        <v>0.46563809523809524</v>
      </c>
      <c r="CK22" s="28" t="str">
        <f>IFERROR(CH22*1000000/Storage!$I$12,"")</f>
        <v/>
      </c>
      <c r="CL22" s="28" t="str">
        <f>IF($E22="","No Port",((F22/24/Shipping!$J$44+F22/24/Shipping!$J$50+Shipping!$J$59+Shipping!$J$64)*Carriers!$P$39*wacc_nl))</f>
        <v>No Port</v>
      </c>
      <c r="CM22" s="29">
        <f>H2_retrieval!$H$25*h2_demand_kt/1000+(co2_liq_e_demand+co2_st_e_demand*2)*Storage!$I$12*co2_density/FA_density/1000000</f>
        <v>94.204253879484654</v>
      </c>
      <c r="CN22" s="28" t="str">
        <f>IFERROR((((CB22+CD22+CG22)*(1+H2_retrieval!$H$34)+CL22)*1000000/H2_retrieval!$H$8)+h2_regen_fa,"")</f>
        <v/>
      </c>
      <c r="CO22" s="149">
        <f>(meoh_invest*(M22+1/meoh_lifetime)/meoh_prod+meoh_opex+meoh_e_demand*1000*$AU22/100+Carriers!$R$18/Carriers!$R$23*BD22+Carriers!$R$20/Carriers!$R$23*co2_liq_cost)*(CS22+meoh_st_ab_losses)/1000000</f>
        <v>63154.494842297143</v>
      </c>
      <c r="CP22" s="86">
        <f>(meoh_invest*(M22+1/meoh_lifetime)/meoh_prod+meoh_opex+meoh_e_demand*1000*$AU22/100+Carriers!$R$18/Carriers!$R$23*BD22+Carriers!$R$20/Carriers!$R$23*BP22)*(CS22+meoh_st_ab_losses)/1000000</f>
        <v>81067.536553505954</v>
      </c>
      <c r="CQ22" s="63">
        <f>meoh_st_nl_cost*meoh_st_nl_demand/1000000+(meoh_st_invest*(M22+1/meoh_st_lifetime+meoh_st_opex)/(Storage!$K$63/1000000)+meoh_st_e_demand*1000*$AU22/100)*(CS22+meoh_st_ab_losses)/1000000+co2_st_nl_cost*Storage!$K$12*co2_density/meoh_density/1000000+(co2_st_opex_lev+co2_st_invest_lev+co2_st_e_demand*1000*IFERROR(MIN(S22,AA22,AI22),S22)/100)*Storage!$K$12/1000000+co2_st_invest_lev*Storage!$K$12*co2_st_lifetime*M22/1000000+Carriers!$R$18/Carriers!$R$23*((CS22+meoh_st_ab_losses)/365.25*short_st_duration_hrs/24)*(h2_short_st_invest*(1/gh2_short_st_lifetime+$M22+h2_short_st_opex)+h2_short_st_e_demand*1000*$AU22/100)/1000000+Carriers!$R$20/Carriers!$R$23*((CF22+meoh_st_ab_losses)/365.25*short_st_duration_hrs/24)*(co2_short_st_invest*(1/co2_short_st_lifetime+$M22+co2_short_st_opex)+co2_short_st_e_demand*1000*$AU22/100)/1000000</f>
        <v>5048.2441938301399</v>
      </c>
      <c r="CR22" s="63">
        <f>meoh_st_nl_cost*meoh_st_nl_demand/1000000+(meoh_st_invest*(M22+1/meoh_st_lifetime+meoh_st_opex)/(Storage!$K$63/1000000)+meoh_st_e_demand*1000*$AU22/100)*(CS22+meoh_st_ab_losses)/1000000+Carriers!$R$18/Carriers!$R$23*((CS22+meoh_st_ab_losses)/365.25*short_st_duration_hrs/24)*(h2_short_st_invest*(1/gh2_short_st_lifetime+$M22+h2_short_st_opex)+h2_short_st_e_demand*1000*$AU22/100)/1000000+Carriers!$R$20/Carriers!$R$23*((CF22+meoh_st_ab_losses)/365.25*short_st_duration_hrs/24)*(co2_short_st_invest*(1/co2_short_st_lifetime+$M22+co2_short_st_opex)+co2_short_st_e_demand*1000*$AU22/100)/1000000</f>
        <v>2071.994284180736</v>
      </c>
      <c r="CS22" s="63">
        <f>Storage!$K$57/((1-Shipping!$L$37)^($F22/24/Shipping!$L$44+0.5*Shipping!$L$59))</f>
        <v>108044444.44444443</v>
      </c>
      <c r="CT22" s="28" t="str">
        <f>IF($E22="","No Port",IF(AND(ship_choice="VLCC",G22="Panama"),"Ship cannot pass through Panama",IF(ship_choice="VLCC",((F22/24/Shipping!$AD$44+F22/24/Shipping!$AD$50+Shipping!$AD$59+Shipping!$AD$64)*(Shipping!$AD$22+wacc_nl*Shipping!$AD$19/365.25*1000000+Shipping!$AD$35)+(F22/24/Shipping!$AD$44*Shipping!$AD$45+Shipping!$AD$64*Shipping!$AD$65)*IF(bunker_choice="HFO",$H22,IF(bunker_choice="hydrogen",$BD22*hfo_e_density_lhv/h2_e_density_lhv,(CO22+CQ22)*1000000/CS22*hfo_e_density_lhv/meoh_e_density_lhv))+(F22/24/Shipping!$AD$50*Shipping!$AD$51+Shipping!$AD$59*Shipping!$AD$60)*IF(bunker_choice="HFO",bunker_price_ROT,IF(bunker_choice="hydrogen",$BD22*hfo_e_density_lhv/h2_e_density_lhv,(CO22+CQ22)*1000000/CS22*hfo_e_density_lhv/meoh_e_density_lhv))+Shipping!$AD$73+IF(G22="Panama",Shipping!$AD$55,0)+IF(G22="Suez",Shipping!$AD$56,0))/Shipping!$AD$31*CS22/1000000+IF(inland_transport_to_port="hv dc grid",$BM22/100*1000*CV22,IF(inland_transport_to_port="pipeline",$BN22,0)),((F22/24/Shipping!$L$44+F22/24/Shipping!$L$50+Shipping!$L$59+Shipping!$L$64)*(Shipping!$L$22+wacc_nl*Shipping!$L$19/365.25*1000000+Shipping!$L$35)+(F22/24/Shipping!$L$44*Shipping!$L$45+Shipping!$L$64*Shipping!$L$65)*IF(bunker_choice="HFO",$H22,IF(bunker_choice="hydrogen",$BD22*hfo_e_density_lhv/h2_e_density_lhv,(CO22+CQ22)*1000000/CS22*hfo_e_density_lhv/meoh_e_density_lhv))+(F22/24/Shipping!$L$50*Shipping!$L$51+Shipping!$L$59*Shipping!$L$60)*IF(bunker_choice="HFO",bunker_price_ROT,IF(bunker_choice="hydrogen",$BD22*hfo_e_density_lhv/h2_e_density_lhv,(CO22+CQ22)*1000000/CS22*hfo_e_density_lhv/meoh_e_density_lhv))+Shipping!$L$73+IF(G22="Panama",Shipping!$L$55,0)+IF(G22="Suez",Shipping!$L$56,0))/Shipping!$L$31*CS22/1000000+IF(inland_transport_to_port="hv dc grid",$BM22/100*1000*CV22,IF(inland_transport_to_port="pipeline",$BN22,0)))))</f>
        <v>No Port</v>
      </c>
      <c r="CU22" s="28" t="str">
        <f t="shared" si="37"/>
        <v/>
      </c>
      <c r="CV22" s="29">
        <f>((Carriers!$R$18/Carriers!$R$23*alk_el_e_demand)+meoh_e_demand)*(CS22+meoh_st_ab_losses)/1000000+meoh_st_e_demand*CS22/1000000</f>
        <v>1119.9789871111109</v>
      </c>
      <c r="CW22" s="29">
        <f t="shared" si="21"/>
        <v>0.16206666666666666</v>
      </c>
      <c r="CX22" s="28" t="str">
        <f>IFERROR(CU22*1000000/Storage!$K$12,"")</f>
        <v/>
      </c>
      <c r="CY22" s="28" t="str">
        <f>IF($E22="","No Port",((F22/24/Shipping!$L$44+F22/24/Shipping!$L$50+Shipping!$L$59+Shipping!$L$64)*Carriers!$R$39*wacc_nl))</f>
        <v>No Port</v>
      </c>
      <c r="CZ22" s="29">
        <f>H2_retrieval!$J$25*h2_demand_kt/1000+(co2_liq_e_demand+co2_st_e_demand*2)*Storage!$K$12*co2_density/meoh_density/1000000</f>
        <v>251.05079059698966</v>
      </c>
      <c r="DA22" s="28" t="str">
        <f>IFERROR((((CO22+CQ22+CT22)*(1+H2_retrieval!$J$34)+CY22)*1000000/H2_retrieval!$J$8)+h2_regen_meoh,"")</f>
        <v/>
      </c>
      <c r="DB22" s="149">
        <f>(DBT_invest*(M22+1/DBT_lifetime)/DBT_prod+DBT_opex+DBT_e_demand*1000*$AU22/100+Carriers!$T$18/Carriers!$T$23*BD22)*(DD22+DBT_st_ab_losses)/1000000</f>
        <v>42076.392501615352</v>
      </c>
      <c r="DC22" s="28">
        <f>2*(DBT_st_nl_cost*DBT_st_nl_demand/1000000+(DBT_st_invest*(M22+1/DBT_st_lifetime+DBT_st_opex)/(Storage!$M$63/1000000)+DBT_st_e_demand*1000*$AU22/100)*(DD22+DBT_st_ab_losses)/1000000)+Carriers!$T$18/Carriers!$T$23*((DD22+DBT_st_ab_losses)/365.25*short_st_duration_hrs/24)*(h2_short_st_invest*(1/gh2_short_st_lifetime+$M22+h2_short_st_opex)+h2_short_st_e_demand*1000*$AU22/100)/1000000</f>
        <v>4256.711094807898</v>
      </c>
      <c r="DD22" s="63">
        <f>Storage!$M$57/((1-Shipping!$N$37)^($F22/24/Shipping!$N$44+0.5*Shipping!$N$59))</f>
        <v>219354838.70967743</v>
      </c>
      <c r="DE22" s="28" t="str">
        <f>IF($E22="","No Port",IF(AND(ship_choice="VLCC",G22="Panama"),"Ship cannot pass through Panama",IF(ship_choice="VLCC",((F22/24/Shipping!$AD$44+F22/24/Shipping!$AD$50+Shipping!$AD$59+Shipping!$AD$64)*(Shipping!$AD$22+wacc_nl*Shipping!$AD$19/365.25*1000000+Shipping!$AD$35)+(F22/24/Shipping!$AD$44*Shipping!$AD$45+Shipping!$AD$64*Shipping!$AD$65)*IF(bunker_choice="HFO",$H22,IF(bunker_choice="hydrogen",$BD22*hfo_e_density_lhv/h2_e_density_lhv,(DB22+DC22)*1000000/DD22*hfo_e_density_lhv/DBT_e_density_lhv))+(F22/24/Shipping!$AD$50*Shipping!$AD$51+Shipping!$AD$59*Shipping!$AD$60)*IF(bunker_choice="HFO",bunker_price_ROT,IF(bunker_choice="hydrogen",$BD22*hfo_e_density_lhv/h2_e_density_lhv,(DB22+DC22)*1000000/DD22*hfo_e_density_lhv/DBT_e_density_lhv))+Shipping!$AD$73+IF(G22="Panama",Shipping!$AD$55,0)+IF(G22="Suez",Shipping!$AD$56,0))/Shipping!$AD$31*DD22/1000000+IF(inland_transport_to_port="hv dc grid",$BM22/100*1000*DG22,IF(inland_transport_to_port="pipeline",$BN22,0)),((F22/24/Shipping!$N$44+F22/24/Shipping!$N$50+Shipping!$N$59+Shipping!$N$64)*(Shipping!$N$22+wacc_nl*Shipping!$N$19/365.25*1000000+Shipping!$N$35)+(F22/24/Shipping!$N$44*Shipping!$N$45+Shipping!$N$64*Shipping!$N$65)*IF(bunker_choice="HFO",$H22,IF(bunker_choice="hydrogen",$BD22*hfo_e_density_lhv/h2_e_density_lhv,(DB22+DC22)*1000000/DD22*hfo_e_density_lhv/DBT_e_density_lhv))+(F22/24/Shipping!$N$50*Shipping!$N$51+Shipping!$N$59*Shipping!$N$60)*IF(bunker_choice="HFO",bunker_price_ROT,IF(bunker_choice="hydrogen",$BD22*hfo_e_density_lhv/h2_e_density_lhv,(DB22+DC22)*1000000/DD22*hfo_e_density_lhv/DBT_e_density_lhv))+Shipping!$N$73+IF(G22="Panama",Shipping!$N$55,0)+IF(G22="Suez",Shipping!$N$56,0))/Shipping!$N$31*Shipping!$N$86/1000000+IF(inland_transport_to_port="hv dc grid",$BM22/100*1000*DG22,IF(inland_transport_to_port="pipeline",$BN22,0)))))</f>
        <v>No Port</v>
      </c>
      <c r="DF22" s="28" t="str">
        <f t="shared" si="53"/>
        <v/>
      </c>
      <c r="DG22" s="29">
        <f>((Carriers!$T$18/Carriers!$T$23*alk_el_e_demand)+DBT_e_demand)*(DD22+DBT_st_ab_losses)/1000000+DBT_st_e_demand*DD22/1000000</f>
        <v>703.88335483870969</v>
      </c>
      <c r="DH22" s="29">
        <f t="shared" si="23"/>
        <v>0.21935483870967742</v>
      </c>
      <c r="DI22" s="28" t="str">
        <f>IFERROR(DF22*1000000/Storage!$M$12,"")</f>
        <v/>
      </c>
      <c r="DJ22" s="28" t="str">
        <f>IF($E22="","No Port",((F22/24/Shipping!$N$44+F22/24/Shipping!$N$50+Shipping!$N$59+Shipping!$N$64)*Carriers!$T$39*wacc_nl))</f>
        <v>No Port</v>
      </c>
      <c r="DK22" s="100">
        <f>H2_retrieval!$L$25*h2_demand_kt/1000+(co2_liq_e_demand+co2_st_e_demand*2)*Storage!$M$12*co2_density/DBT_density/1000000</f>
        <v>206.61934861671787</v>
      </c>
      <c r="DL22" s="28" t="str">
        <f>IFERROR(((DF22*(1+H2_retrieval!$L$34)+DJ22)*1000000/H2_retrieval!$L$8)+h2_regen_lohc,"")</f>
        <v/>
      </c>
      <c r="DM22" s="149">
        <f t="shared" si="24"/>
        <v>66623.915598760155</v>
      </c>
      <c r="DN22" s="16">
        <f>2*(nabh4_st_nl_cost*nabh4_st_nl_demand/1000000+(nabh4_st_invest*(M22+1/nabh4_st_lifetime+nabh4_st_opex)/(Storage!$O$63/1000000)+nabh4_st_e_demand*1000*$AU22/100)*(DO22+nabh4_st_ab_losses)/1000000)+(h2_demand_kt*1000/365.25*short_st_duration_hrs/24)*(h2_short_st_invest*(1/gh2_short_st_lifetime+$M22+h2_short_st_opex)+h2_short_st_e_demand*1000*$AU22/100)/1000000</f>
        <v>1537.7667567062572</v>
      </c>
      <c r="DO22" s="63">
        <f>Storage!$O$57/((1-Shipping!$P$37)^($F22/24/Shipping!$P$44+0.5*Shipping!$P$59))</f>
        <v>63920000</v>
      </c>
      <c r="DP22" s="16" t="str">
        <f>IF($E22="","No Port",((F22/24/Shipping!$P$44+F22/24/Shipping!$P$50+Shipping!$P$59+Shipping!$P$64)*(Shipping!$P$22+wacc_nl*Shipping!$P$19/365.25*1000000+Shipping!$P$35)+(F22/24/Shipping!$P$44*Shipping!$P$45+Shipping!$P$64*Shipping!$P$65)*IF(bunker_choice="HFO",$H22,IF(bunker_choice="hydrogen",$BD22*hfo_e_density_lhv/h2_e_density_lhv,(DM22+DN22)*1000000/DO22*hfo_e_density_lhv/nabh4_e_density_lhv))+(F22/24/Shipping!$P$50*Shipping!$P$51+Shipping!$P$59*Shipping!$P$60)*IF(bunker_choice="HFO",bunker_price_ROT,IF(bunker_choice="hydrogen",$BD22*hfo_e_density_lhv/h2_e_density_lhv,(DM22+DN22)*1000000/DO22*hfo_e_density_lhv/nabh4_e_density_lhv))+Shipping!$P$73+IF(G22="Panama",Shipping!$P$55,0)+IF(G22="Suez",Shipping!$P$56,0))/Shipping!$P$31*(DO22+nabh4_st_ab_losses)/1000000+IF(inland_transport_to_port="hv dc grid",$BM22/100*1000*DR22,IF(inland_transport_to_port="pipeline",$BN22,0)))</f>
        <v>No Port</v>
      </c>
      <c r="DQ22" s="28" t="str">
        <f t="shared" ref="DQ22:DQ28" si="54">IFERROR(DM22+DN22+DP22,"")</f>
        <v/>
      </c>
      <c r="DR22" s="29">
        <f>((Carriers!$V$18/Carriers!$V$23*alk_el_e_demand)+nabh4_e_demand)*(DO22+nabh4_st_ab_losses)/1000000+nabh4_st_e_demand*DO22/1000000</f>
        <v>980.02139682539689</v>
      </c>
      <c r="DS22" s="28">
        <f t="shared" si="25"/>
        <v>3.1960000000000002</v>
      </c>
      <c r="DT22" s="28" t="str">
        <f>IFERROR(DQ22*1000000/Storage!$O$12,"")</f>
        <v/>
      </c>
      <c r="DU22" s="28" t="str">
        <f>IF($E22="","No Port",((F22/24/Shipping!$P$44+F22/24/Shipping!$P$50+Shipping!$P$59+Shipping!$P$64)*Carriers!$V$39*wacc_nl))</f>
        <v>No Port</v>
      </c>
      <c r="DV22" s="100">
        <f>H2_retrieval!$N$25*h2_demand_kt/1000+(co2_liq_e_demand+co2_st_e_demand*2)*Storage!$O$12*co2_density/nabh4_density/1000000</f>
        <v>18.783638728971958</v>
      </c>
      <c r="DW22" s="28" t="str">
        <f>IFERROR(((DQ22*(1+H2_retrieval!$N$34)+DU22)*1000000/H2_retrieval!$N$8)+h2_regen_nabh4,"")</f>
        <v/>
      </c>
      <c r="DX22" s="149">
        <f>(Dme_invest*(M22+1/Dme_lifetime)/Dme_prod+Dme_opex+Dme_e_demand*1000*$AU22/100+Carriers!$X$21/Carriers!$X$23*(CO22*1000000/CS22))*(EB22+Dme_st_ab_losses)/1000000</f>
        <v>89394.598421375777</v>
      </c>
      <c r="DY22" s="86">
        <f>(Dme_invest*(M22+1/Dme_lifetime)/Dme_prod+Dme_opex+Dme_e_demand*1000*$AU22/100+Carriers!$X$21/Carriers!$X$23*(CP22*1000000/CS22))*(EB22+Dme_st_ab_losses)/1000000</f>
        <v>113696.57745576148</v>
      </c>
      <c r="DZ22" s="63">
        <f>Dme_st_nl_cost*Dme_st_nl_demand/1000000+(Dme_st_invest*(M22+1/Dme_st_lifetime+Dme_st_opex)/(Storage!$Q$63/1000000)+Dme_st_e_demand*1000*$AU22/100)*(EB22+Dme_st_ab_losses)/1000000+co2_st_nl_cost*Storage!$Q$12*co2_density/Dme_density/1000000+(co2_st_opex_lev+co2_st_invest_lev+co2_st_e_demand*1000*$AU22/100)*Storage!$Q$12/1000000+co2_st_invest_lev*Storage!$Q$12*co2_st_lifetime*M22/1000000+(h2_demand_kt*1000/365.25*short_st_duration_hrs/24)*(h2_short_st_invest*(1/gh2_short_st_lifetime+$M22+h2_short_st_opex)+h2_short_st_e_demand*1000*$AU22/100)/1000000</f>
        <v>6230.6047663208483</v>
      </c>
      <c r="EA22" s="63">
        <f>Dme_st_nl_cost*Dme_st_nl_demand/1000000+(Dme_st_invest*(M22+1/Dme_st_lifetime+Dme_st_opex)/(Storage!$Q$63/1000000)+Dme_st_e_demand*1000*$AU22/100)*(EB22+Dme_st_ab_losses)/1000000+(h2_demand_kt*1000/365.25*short_st_duration_hrs/24)*(h2_short_st_invest*(1/gh2_short_st_lifetime+$M22+h2_short_st_opex)+h2_short_st_e_demand*1000*$AU22/100)/1000000</f>
        <v>3109.8206490887769</v>
      </c>
      <c r="EB22" s="63">
        <f>Storage!$Q$57/((1-Shipping!$R$37)^($F22/24/Shipping!$R$44+0.5*Shipping!$R$59))</f>
        <v>103547089.94708996</v>
      </c>
      <c r="EC22" s="153" t="str">
        <f>IF($E22="","No Port",IF(AND(ship_choice="VLCC",G22="Panama"),"Ship cannot pass through Panama",IF(ship_choice="VLCC",((F22/24/Shipping!$AD$44+F22/24/Shipping!$AD$50+Shipping!$AD$59+Shipping!$AD$64)*(Shipping!$AD$22+wacc_nl*Shipping!$AD$19/365.25*1000000+Shipping!$AD$35)+(F22/24/Shipping!$AD$44*Shipping!$AD$45+Shipping!$AD$64*Shipping!$AD$65)*IF(bunker_choice="HFO",$H22,IF(bunker_choice="hydrogen",$BD22*hfo_e_density_lhv/h2_e_density_lhv,(DX22+DZ22)*1000000/EB22*hfo_e_density_lhv/Dme_e_density_lhv))+(F22/24/Shipping!$AD$50*Shipping!$AD$51+Shipping!$AD$59*Shipping!$AD$60)*IF(bunker_choice="HFO",bunker_price_ROT,IF(bunker_choice="hydrogen",$BD22*hfo_e_density_lhv/h2_e_density_lhv,(DX22+DZ22)*1000000/EB22*hfo_e_density_lhv/Dme_e_density_lhv))+Shipping!$AD$73+IF(G22="Panama",Shipping!$AD$55,0)+IF(G22="Suez",Shipping!$AD$56,0))/Shipping!$AD$31*(EB22+Dme_st_ab_losses)/1000000+IF(inland_transport_to_port="hv dc grid",$BM22/100*1000*EE22,IF(inland_transport_to_port="pipeline",$BN22,0)),((F22/24/Shipping!$R$44+F22/24/Shipping!$R$50+Shipping!$R$59+Shipping!$R$64)*(Shipping!$R$22+wacc_nl*Shipping!$R$19/365.25*1000000+Shipping!$R$35)+(F22/24/Shipping!$R$44*Shipping!$R$45+Shipping!$R$64*Shipping!$R$65)*IF(bunker_choice="HFO",$H22,IF(bunker_choice="hydrogen",$BD22*hfo_e_density_lhv/h2_e_density_lhv,(DX22+DZ22)*1000000/EB22*hfo_e_density_lhv/Dme_e_density_lhv))+(F22/24/Shipping!$R$50*Shipping!$R$51+Shipping!$R$59*Shipping!$R$60)*IF(bunker_choice="HFO",bunker_price_ROT,IF(bunker_choice="hydrogen",$BD22*hfo_e_density_lhv/h2_e_density_lhv,(DX22+DZ22)*1000000/EB22*hfo_e_density_lhv/Dme_e_density_lhv))+Shipping!$R$73+IF(G22="Panama",Shipping!$R$55,0)+IF(G22="Suez",Shipping!$R$56,0))/Shipping!$R$31*(EB22+Dme_st_ab_losses)/1000000+IF(inland_transport_to_port="hv dc grid",$BM22/100*1000*EE22,IF(inland_transport_to_port="pipeline",$BN22,0)))))</f>
        <v>No Port</v>
      </c>
      <c r="ED22" s="28" t="str">
        <f t="shared" si="39"/>
        <v/>
      </c>
      <c r="EE22" s="29">
        <f>(Dme_e_demand)*(EB22+Dme_st_ab_losses)/1000000+Dme_st_e_demand*DZ22/1000000+$CV22*(Carriers!$X$21/Carriers!$X$23*EB22)/$CS22</f>
        <v>1550.2168224731035</v>
      </c>
      <c r="EF22" s="29">
        <f t="shared" si="26"/>
        <v>1.0354708994708997</v>
      </c>
      <c r="EG22" s="28" t="str">
        <f>IFERROR(ED22*1000000/Storage!$Q$12,"")</f>
        <v/>
      </c>
      <c r="EH22" s="28" t="str">
        <f>IF($E22="","No Port",((F22/24/Shipping!$R$44+F22/24/Shipping!$R$50+Shipping!$R$59+Shipping!$R$64)*Carriers!$X$39*wacc_nl))</f>
        <v>No Port</v>
      </c>
      <c r="EI22" s="100">
        <f>H2_retrieval!$P$25*h2_demand_kt/1000+(co2_liq_e_demand+co2_st_e_demand*2)*Storage!$Q$12*co2_density/Dme_density/1000000</f>
        <v>252.45335899349112</v>
      </c>
      <c r="EJ22" s="28" t="str">
        <f>IFERROR((((DX22+DZ22+EC22)*(1+H2_retrieval!$P$34)+EH22)*1000000/H2_retrieval!$P$8)+h2_regen_dme,"")</f>
        <v/>
      </c>
      <c r="EK22" s="149">
        <f>(ome_invest*(M22+1/ome_lifetime)/ome_prod+ome_opex+ome_e_demand*1000*$AU22/100+Carriers!$Z$21/Carriers!$Z$23*(CO22*1000000/CS22))*(EO22+ome_st_ab_losses)/1000000</f>
        <v>196073.11454837935</v>
      </c>
      <c r="EL22" s="86">
        <f>(ome_invest*(M22+1/ome_lifetime)/ome_prod+ome_opex+ome_e_demand*1000*$AU22/100+Carriers!$Z$21/Carriers!$Z$23*(CP22*1000000/CS22))*(EO22+ome_st_ab_losses)/1000000</f>
        <v>247087.69923851063</v>
      </c>
      <c r="EM22" s="63">
        <f>ome_st_nl_cost*ome_st_nl_demand/1000000+(ome_st_invest*(M22+1/ome_st_lifetime+ome_st_opex)/(Storage!$S$63/1000000)+ome_st_e_demand*1000*$AU22/100)*(EO22+ome_st_ab_losses)/1000000+co2_st_nl_cost*Storage!$S$12*co2_density/ome_density/1000000+(co2_st_opex_lev+co2_st_invest_lev+co2_st_e_demand*1000*$AU22/100)*Storage!$S$12/1000000+co2_st_invest_lev*Storage!$S$12*co2_st_lifetime*M22/1000000+(h2_demand_kt*1000/365.25*short_st_duration_hrs/24)*(h2_short_st_invest*(1/gh2_short_st_lifetime+$M22+h2_short_st_opex)+h2_short_st_e_demand*1000*$AU22/100)/1000000</f>
        <v>5391.9382617429746</v>
      </c>
      <c r="EN22" s="63">
        <f>ome_st_nl_cost*ome_st_nl_demand/1000000+(ome_st_invest*(M22+1/ome_st_lifetime+ome_st_opex)/(Storage!$S$63/1000000)+ome_st_e_demand*1000*$AU22/100)*(EO22+ome_st_ab_losses)/1000000+(h2_demand_kt*1000/365.25*short_st_duration_hrs/24)*(h2_short_st_invest*(1/gh2_short_st_lifetime+$M22+h2_short_st_opex)+h2_short_st_e_demand*1000*$AU22/100)/1000000</f>
        <v>1864.6254292491708</v>
      </c>
      <c r="EO22" s="63">
        <f>Storage!$S$57/((1-Shipping!$T$37)^($F22/24/Shipping!$T$44+0.5*Shipping!$T$59))</f>
        <v>128282539.68253967</v>
      </c>
      <c r="EP22" s="28" t="str">
        <f>IF($E22="","No Port",IF(AND(ship_choice="VLCC",G22="Panama"),"Ship cannot pass through Panama",IF(ship_choice="VLCC",((F22/24/Shipping!$AD$44+F22/24/Shipping!$AD$50+Shipping!$AD$59+Shipping!$AD$64)*(Shipping!$AD$22+wacc_nl*Shipping!$AD$19/365.25*1000000+Shipping!$AD$35)+(F22/24/Shipping!$AD$44*Shipping!$AD$45+Shipping!$AD$64*Shipping!$AD$65)*IF(bunker_choice="HFO",$H22,IF(bunker_choice="hydrogen",$BD22*hfo_e_density_lhv/h2_e_density_lhv,(EK22+EM22)*1000000/EO22*hfo_e_density_lhv/Dme_e_density_lhv))+(F22/24/Shipping!$AD$50*Shipping!$AD$51+Shipping!$AD$59*Shipping!$AD$60)*IF(bunker_choice="HFO",bunker_price_ROT,IF(bunker_choice="hydrogen",$BD22*hfo_e_density_lhv/h2_e_density_lhv,(EK22+EM22)*1000000/EO22*hfo_e_density_lhv/ome_e_density_lhv))+Shipping!$AD$73+IF(G22="Panama",Shipping!$AD$55,0)+IF(G22="Suez",Shipping!$AD$56,0))/Shipping!$AD$31*(EO22+ome_st_ab_losses)/1000000+IF(inland_transport_to_port="hv dc grid",$BM22/100*1000*ER22,IF(inland_transport_to_port="pipeline",$BN22,0)),((F22/24/Shipping!$T$44+F22/24/Shipping!$T$50+Shipping!$T$59+Shipping!$T$64)*(Shipping!$T$22+wacc_nl*Shipping!$T$19/365.25*1000000+Shipping!$T$35)+(F22/24/Shipping!$T$44*Shipping!$T$45+Shipping!$T$64*Shipping!$T$65)*IF(bunker_choice="HFO",$H22,IF(bunker_choice="hydrogen",$BD22*hfo_e_density_lhv/h2_e_density_lhv,(EK22+EM22)*1000000/EO22*hfo_e_density_lhv/Dme_e_density_lhv))+(F22/24/Shipping!$T$50*Shipping!$T$51+Shipping!$T$59*Shipping!$T$60)*IF(bunker_choice="HFO",bunker_price_ROT,IF(bunker_choice="hydrogen",$BD22*hfo_e_density_lhv/h2_e_density_lhv,(EK22+EM22)*1000000/EO22*hfo_e_density_lhv/ome_e_density_lhv))+Shipping!$T$73+IF(G22="Panama",Shipping!$T$55,0)+IF(G22="Suez",Shipping!$T$56,0))/Shipping!$T$31*(EO22+ome_st_ab_losses)/1000000+IF(inland_transport_to_port="hv dc grid",$BM22/100*1000*ER22,IF(inland_transport_to_port="pipeline",$BN22,0)))))</f>
        <v>No Port</v>
      </c>
      <c r="EQ22" s="28" t="str">
        <f t="shared" si="40"/>
        <v/>
      </c>
      <c r="ER22" s="29">
        <f>(ome_e_demand)*(EO22+ome_st_ab_losses)/1000000+ome_st_e_demand*EM22/1000000+$CV22*(Carriers!$Z$21/Carriers!$Z$23*EO22)/$CS22</f>
        <v>3352.0814582286907</v>
      </c>
      <c r="ES22" s="29">
        <f t="shared" si="27"/>
        <v>0.1924238095238095</v>
      </c>
      <c r="ET22" s="28" t="str">
        <f>IFERROR(EQ22*1000000/Storage!$S$12,"")</f>
        <v/>
      </c>
      <c r="EU22" s="28" t="str">
        <f>IF($E22="","No Port",((F22/24/Shipping!$T$44+F22/24/Shipping!$T$50+Shipping!$T$59+Shipping!$T$64)*Carriers!$Z$39*wacc_nl))</f>
        <v>No Port</v>
      </c>
      <c r="EV22" s="100">
        <f>H2_retrieval!$R$25*h2_demand_kt/1000+(co2_liq_e_demand+co2_st_e_demand*2)*Storage!$S$12*co2_density/ome_density/1000000</f>
        <v>254.51942895252085</v>
      </c>
      <c r="EW22" s="28" t="str">
        <f>IFERROR((((EK22+EM22+EP22)*(1+H2_retrieval!$R$34)+EU22)*1000000/H2_retrieval!$R$8)+h2_regen_ome,"")</f>
        <v/>
      </c>
      <c r="EX22" s="149">
        <f>(sng_invest*(M22+1/sng_lifetime)/sng_prod+lng_invest*(M22+1/lng_lifetime)/lng_prod+sng_opex+lng_opex+(sng_e_demand+lng_e_demand)*1000*$AU22/100+Carriers!$AB$18/Carriers!$AB$23*BD22+Carriers!$AB$20/Carriers!$AB$23*co2_liq_cost)*(FB22+lng_st_ab_losses)/1000000</f>
        <v>67758.103491701957</v>
      </c>
      <c r="EY22" s="86">
        <f>(sng_invest*(M22+1/sng_lifetime)/sng_prod+lng_invest*(M22+1/lng_lifetime)/lng_prod+sng_opex+lng_opex+(sng_e_demand+lng_e_demand)*1000*$AU22/100+Carriers!$AB$18/Carriers!$AB$23*BD22+Carriers!$AB$20/Carriers!$AB$23*BP22)*(FB22+lng_st_ab_losses)/1000000</f>
        <v>81003.788855712308</v>
      </c>
      <c r="EZ22" s="63">
        <f>lng_st_nl_cost*lng_st_nl_demand/1000000+(lng_st_invest*(M22+1/lng_st_lifetime+lng_st_opex)/(Storage!$U$63/1000000)+lng_st_e_demand*1000*$AU22/100)*(FB22+lng_st_ab_losses)/1000000+co2_st_nl_cost*Storage!$U$12*co2_density/lng_density/1000000+(co2_st_opex_lev+co2_st_invest_lev+co2_st_e_demand*1000*$AU22/100)*Storage!$U$12/1000000+co2_st_invest_lev*Storage!$U$12*co2_st_lifetime*M22/1000000+Carriers!$AB$18/Carriers!$AB$23*((FB22+lng_st_ab_losses)/365.25*short_st_duration_hrs/24)*(h2_short_st_invest*(1/gh2_short_st_lifetime+$M22+h2_short_st_opex)+h2_short_st_e_demand*1000*$AU22/100)/1000000+Carriers!$AB$20/Carriers!$AB$23*((FB22+lng_st_ab_losses)/365.25*short_st_duration_hrs/24)*(co2_short_st_invest*(1/co2_short_st_lifetime+$M22+co2_short_st_opex)+co2_short_st_e_demand*1000*$AU22/100)/1000000</f>
        <v>6477.1224524173122</v>
      </c>
      <c r="FA22" s="63">
        <f>lng_st_nl_cost*lng_st_nl_demand/1000000+(lng_st_invest*(M22+1/lng_st_lifetime+lng_st_opex)/(Storage!$U$63/1000000)+lng_st_e_demand*1000*$AU22/100)*(FB22+lng_st_ab_losses)/1000000+Carriers!$AB$18/Carriers!$AB$23*((FB22+lng_st_ab_losses)/365.25*short_st_duration_hrs/24)*(h2_short_st_invest*(1/gh2_short_st_lifetime+$M22+h2_short_st_opex)+h2_short_st_e_demand*1000*$AU22/100)/1000000+Carriers!$AB$20/Carriers!$AB$23*((FB22+lng_st_ab_losses)/365.25*short_st_duration_hrs/24)*(co2_short_st_invest*(1/co2_short_st_lifetime+$M22+co2_short_st_opex)+co2_short_st_e_demand*1000*$AU22/100)/1000000</f>
        <v>4816.277579997879</v>
      </c>
      <c r="FB22" s="63">
        <f>Storage!$U$57/((1-Shipping!$V$37)^($F22/24/Shipping!$V$44+0.5*Shipping!$V$59))</f>
        <v>40707231.50721889</v>
      </c>
      <c r="FC22" s="28" t="str">
        <f>IF($E22="","No Port",IF(G22="Panama","Ship cannot pass through Panama",((F22/24/Shipping!$V$44+F22/24/Shipping!$V$50+Shipping!$V$59+Shipping!$V$64)*(Shipping!$V$22+wacc_nl*Shipping!$V$19/365.25*1000000+Shipping!$V$35)+(F22/24/Shipping!$V$44*Shipping!$V$45+Shipping!$V$64*Shipping!$V$65)*IF(bunker_choice="HFO",$H22,IF(bunker_choice="hydrogen",$BD22*hfo_e_density_lhv/h2_e_density_lhv,(EX22+EZ22)*1000000/FB22*hfo_e_density_lhv/lng_e_density_lhv))+(F22/24/Shipping!$V$50*Shipping!$V$51+Shipping!$V$59*Shipping!$V$60)*IF(bunker_choice="HFO",bunker_price_ROT,IF(bunker_choice="hydrogen",$BD22*hfo_e_density_lhv/h2_e_density_lhv,(EX22+EZ22)*1000000/FB22*hfo_e_density_lhv/lng_e_density_lhv))+Shipping!$V$73+IF(G22="Panama",Shipping!$V$55,0)+IF(G22="Suez",Shipping!$V$56,0))/Shipping!$V$31*(FB22+lng_st_ab_losses)/1000000)+IF(inland_transport_to_port="hv dc grid",$BM22/100*1000*FE22,IF(inland_transport_to_port="pipeline",$BN22,0)))</f>
        <v>No Port</v>
      </c>
      <c r="FD22" s="28" t="str">
        <f t="shared" si="41"/>
        <v/>
      </c>
      <c r="FE22" s="29">
        <f>((Carriers!$AB$18/Carriers!$AB$23*alk_el_e_demand)+sng_e_demand+lng_e_demand)*(FB22+lng_st_ab_losses)/1000000+lng_st_e_demand*EZ22/1000000</f>
        <v>1091.7518885710983</v>
      </c>
      <c r="FF22" s="29">
        <f t="shared" si="28"/>
        <v>0.8126185861001558</v>
      </c>
      <c r="FG22" s="28" t="str">
        <f>IFERROR(FD22*1000000/Storage!$U$12,"")</f>
        <v/>
      </c>
      <c r="FH22" s="28" t="str">
        <f>IF($E22="","No Port",((F22/24/Shipping!$V$44+F22/24/Shipping!$V$50+Shipping!$V$59+Shipping!$V$64)*Carriers!$AB$39*wacc_nl))</f>
        <v>No Port</v>
      </c>
      <c r="FI22" s="100">
        <f>H2_retrieval!$T$25*h2_demand_kt/1000+(co2_liq_e_demand+co2_st_e_demand*2)*Storage!$U$12*co2_density/lng_density/1000000</f>
        <v>236.51371749646054</v>
      </c>
      <c r="FJ22" s="28" t="str">
        <f>IFERROR((((EX22+EZ22+FC22)*(1+H2_retrieval!$T$34)+FH22)*1000000/H2_retrieval!$T$8)+h2_regen_lng,"")</f>
        <v/>
      </c>
      <c r="FK22" s="149">
        <f>(lh2_invest*(M22+1/lh2_lifetime)/lh2_prod+lh2_opex+lh2_e_demand*1000*$AU22/100+Carriers!$AD$18/Carriers!$AD$23*BD22)*(FM22+lh2_st_ab_losses)/1000000</f>
        <v>53859.421591493599</v>
      </c>
      <c r="FL22" s="28">
        <f>lh2_st_nl_cost*lh2_st_nl_demand/1000000+(lh2_st_invest*(M22+1/lh2_st_lifetime+lh2_st_opex)/(Storage!$Y$63/1000000)+lh2_st_e_demand*1000*$AU22/100)*(FM22+lh2_st_ab_losses)/1000000+((FM22+lh2_st_ab_losses)/365.25*short_st_duration_hrs/24)*(h2_short_st_invest*(1/gh2_short_st_lifetime+$M22+h2_short_st_opex)+h2_short_st_e_demand*1000*$AU22/100)/1000000</f>
        <v>55512.944270243199</v>
      </c>
      <c r="FM22" s="63">
        <f>Storage!$Y$57/((1-Shipping!$Z$37)^($F22/24/Shipping!$Z$44+0.5*Shipping!$Z$59))</f>
        <v>13659984.090217989</v>
      </c>
      <c r="FN22" s="28" t="str">
        <f>IF($E22="","No Port",IF(G22="Panama","Ship cannot pass through Panama",((F22/24/Shipping!$Z$44+F22/24/Shipping!$Z$50+Shipping!$Z$59+Shipping!$Z$64)*(Shipping!$Z$22+wacc_nl*Shipping!$Z$19/365.25*1000000+Shipping!$Z$35)+(F22/24/Shipping!$Z$44*Shipping!$Z$45+Shipping!$Z$64*Shipping!$Z$65)*IF(bunker_choice="HFO",$H22,IF(bunker_choice="hydrogen",$BD22*hfo_e_density_lhv/h2_e_density_lhv,(FK22+FL22)*1000000/FM22*hfo_e_density_lhv/lh2_e_density_lhv))+(F22/24/Shipping!$Z$50*Shipping!$Z$51+Shipping!$Z$59*Shipping!$Z$60)*IF(bunker_choice="HFO",bunker_price_ROT,IF(bunker_choice="hydrogen",$BD22*hfo_e_density_lhv/h2_e_density_lhv,(FK22+FL22)*1000000/FM22*hfo_e_density_lhv/lh2_e_density_lhv))+Shipping!$Z$73+IF(G22="Panama",Shipping!$Z$55,0)+IF(G22="Suez",Shipping!$Z$56,0))/Shipping!$Z$31*(FM22+lh2_st_ab_losses)/1000000)+IF(inland_transport_to_port="hv dc grid",$BM22/100*1000*FP22,IF(inland_transport_to_port="pipeline",$BN22,0)))</f>
        <v>No Port</v>
      </c>
      <c r="FO22" s="28" t="str">
        <f t="shared" si="42"/>
        <v/>
      </c>
      <c r="FP22" s="29">
        <f>((Carriers!$AD$18/Carriers!$AD$23*alk_el_e_demand)+lh2_e_demand)*(FM22+lh2_st_ab_losses)/1000000+lh2_st_e_demand*FM22/1000000</f>
        <v>791.60233245091877</v>
      </c>
      <c r="FQ22" s="100">
        <f t="shared" si="29"/>
        <v>1.361902463475859</v>
      </c>
      <c r="FR22" s="28" t="str">
        <f>IFERROR(FO22*1000000/Storage!$Y$12,"")</f>
        <v/>
      </c>
      <c r="FS22" s="100">
        <f>H2_retrieval!$V$25*h2_demand_kt/1000</f>
        <v>8.16</v>
      </c>
      <c r="FT22" s="28" t="str">
        <f>IFERROR(FR22*(1+H2_retrieval!$V$34)/Carrier_properties!$U$7+H2_retrieval!$V$38,"")</f>
        <v/>
      </c>
      <c r="FU22" s="12"/>
      <c r="FV22" s="24">
        <f t="shared" si="30"/>
        <v>2.7875456376764625</v>
      </c>
      <c r="FW22" s="24">
        <f t="shared" si="43"/>
        <v>5.0973151761606204</v>
      </c>
      <c r="FX22" s="24" t="str">
        <f t="shared" si="44"/>
        <v/>
      </c>
      <c r="FY22" s="24">
        <f t="shared" si="45"/>
        <v>2.7875456376764625</v>
      </c>
      <c r="FZ22" s="28">
        <f t="shared" si="46"/>
        <v>2842.2261683249521</v>
      </c>
      <c r="GA22" s="28">
        <f t="shared" si="47"/>
        <v>665.01104594208334</v>
      </c>
      <c r="GB22" s="28">
        <f t="shared" si="48"/>
        <v>481.17906288424314</v>
      </c>
      <c r="GC22" s="28">
        <f t="shared" si="49"/>
        <v>750.31656620891988</v>
      </c>
      <c r="GD22" s="28">
        <f t="shared" si="50"/>
        <v>1098.0180854320258</v>
      </c>
      <c r="GE22" s="28">
        <f t="shared" si="51"/>
        <v>1926.1210438301084</v>
      </c>
      <c r="GF22" s="28">
        <f t="shared" si="52"/>
        <v>1989.9115183342144</v>
      </c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</row>
    <row r="23" spans="1:214" x14ac:dyDescent="0.2">
      <c r="A23" s="40" t="s">
        <v>184</v>
      </c>
      <c r="B23" s="12">
        <v>1294</v>
      </c>
      <c r="C23" s="12">
        <v>1</v>
      </c>
      <c r="D23" s="12">
        <f t="shared" si="0"/>
        <v>0</v>
      </c>
      <c r="E23" s="12"/>
      <c r="F23" s="12"/>
      <c r="G23" s="12"/>
      <c r="H23" s="16">
        <f t="shared" si="1"/>
        <v>382.75862068965517</v>
      </c>
      <c r="I23" s="16">
        <v>51200</v>
      </c>
      <c r="J23" s="16">
        <f t="shared" si="31"/>
        <v>127.66152972845846</v>
      </c>
      <c r="K23" s="16" t="str">
        <f t="shared" si="32"/>
        <v/>
      </c>
      <c r="L23" s="103">
        <v>0.107</v>
      </c>
      <c r="M23" s="103">
        <f t="shared" si="2"/>
        <v>0.11709478545937872</v>
      </c>
      <c r="N23" s="122">
        <f t="shared" si="33"/>
        <v>0.9</v>
      </c>
      <c r="O23" s="46">
        <f t="shared" si="3"/>
        <v>40</v>
      </c>
      <c r="P23" s="70">
        <f t="array" ref="P23">SUMPRODUCT(IF(Solar_data!A$4:A$777=A23,Solar_data!C$4:C$777),IF(Solar_data!A$4:A$777=A23,Solar_data!I$4:I$777))/SUMIF(Solar_data!A$4:A$777,A23,Solar_data!I$4:I$777)</f>
        <v>1562.8418194079215</v>
      </c>
      <c r="Q23" s="16">
        <f t="array" ref="Q23">MAX(IF(Solar_data!$A$777:'Solar_data'!$A$4=Country_details!$A23,Solar_data!$C$4:'Solar_data'!$C$777))</f>
        <v>1916.25</v>
      </c>
      <c r="R23" s="16">
        <f t="array" ref="R23">MIN(IF(Solar_data!$A$777:'Solar_data'!$A$4=Country_details!A23,Solar_data!$C$4:'Solar_data'!$C$777))</f>
        <v>1368.75</v>
      </c>
      <c r="S23" s="24">
        <f t="shared" si="4"/>
        <v>2.7475103894496677</v>
      </c>
      <c r="T23" s="24">
        <f t="shared" si="5"/>
        <v>2.2407953742411926</v>
      </c>
      <c r="U23" s="24">
        <f t="shared" si="6"/>
        <v>3.13711352393767</v>
      </c>
      <c r="V23" s="16">
        <f t="array" ref="V23">SUM(IF(Solar_data!$A$777:'Solar_data'!$A$4=Country_details!$A23,Solar_data!$I$4:'Solar_data'!$I$777))</f>
        <v>325.42113783448355</v>
      </c>
      <c r="W23" s="148"/>
      <c r="X23" s="16" t="str">
        <f>IFERROR(INDEX(Onshore_wind_data!$J$5:'Onshore_wind_data'!$J$221,MATCH(A23,Onshore_wind_data!$B$5:'Onshore_wind_data'!$B$221,0)),"")</f>
        <v/>
      </c>
      <c r="Y23" s="16" t="str">
        <f>IFERROR(INDEX(Onshore_wind_data!$K$5:'Onshore_wind_data'!$K$221,MATCH(A23,Onshore_wind_data!$B$5:'Onshore_wind_data'!$B$221,0)),"")</f>
        <v/>
      </c>
      <c r="Z23" s="16" t="str">
        <f>IFERROR(INDEX(Onshore_wind_data!$L$5:'Onshore_wind_data'!$L$221,MATCH(A23,Onshore_wind_data!$B$5:'Onshore_wind_data'!$B$221,0)),"")</f>
        <v/>
      </c>
      <c r="AA23" s="24" t="str">
        <f t="shared" si="7"/>
        <v/>
      </c>
      <c r="AB23" s="24" t="str">
        <f t="shared" si="8"/>
        <v/>
      </c>
      <c r="AC23" s="24" t="str">
        <f t="shared" si="9"/>
        <v/>
      </c>
      <c r="AD23" s="16">
        <f>IFERROR(INDEX(Onshore_wind_data!$I$5:'Onshore_wind_data'!$I$221,MATCH(A23,Onshore_wind_data!$B$5:'Onshore_wind_data'!$B$221,0)),"")</f>
        <v>0</v>
      </c>
      <c r="AE23" s="148"/>
      <c r="AF23" s="16" t="str">
        <f>INDEX(Offshore_wind_data!$AA$7:$AA$192,MATCH(Country_details!A23,Offshore_wind_data!$A$7:$A$192,0))</f>
        <v/>
      </c>
      <c r="AG23" s="16" t="str">
        <f>INDEX(Offshore_wind_data!$Y$7:$Y$192,MATCH(Country_details!A23,Offshore_wind_data!$A$7:$A$192,0))</f>
        <v/>
      </c>
      <c r="AH23" s="16" t="str">
        <f>INDEX(Offshore_wind_data!$Z$7:$Z$192,MATCH(Country_details!A23,Offshore_wind_data!$A$7:$A$192,0))</f>
        <v/>
      </c>
      <c r="AI23" s="24" t="str">
        <f t="shared" si="10"/>
        <v/>
      </c>
      <c r="AJ23" s="24" t="str">
        <f t="shared" si="11"/>
        <v/>
      </c>
      <c r="AK23" s="24" t="str">
        <f t="shared" si="12"/>
        <v/>
      </c>
      <c r="AL23" s="16">
        <f>INDEX(Offshore_wind_data!$W$7:$W$191,MATCH(A23,Offshore_wind_data!$A$7:$A$191,0))</f>
        <v>0</v>
      </c>
      <c r="AM23" s="148"/>
      <c r="AN23" s="12">
        <v>3.5</v>
      </c>
      <c r="AO23" s="12">
        <v>3.1</v>
      </c>
      <c r="AP23" s="34">
        <f>1.688*11.63</f>
        <v>19.631440000000001</v>
      </c>
      <c r="AQ23" s="15">
        <f t="shared" si="13"/>
        <v>50</v>
      </c>
      <c r="AR23" s="12">
        <f t="shared" si="34"/>
        <v>155</v>
      </c>
      <c r="AS23" s="16">
        <f t="shared" si="35"/>
        <v>170.42113783448355</v>
      </c>
      <c r="AT23" s="12"/>
      <c r="AU23" s="24">
        <f t="shared" si="14"/>
        <v>2.7475103894496677</v>
      </c>
      <c r="AV23" s="16">
        <f t="shared" si="15"/>
        <v>1562.8418194079215</v>
      </c>
      <c r="AW23" s="149">
        <f>HV_DC_Grid!$E$3/(1-AX23)*AU23/100*1000</f>
        <v>2858.2226811291607</v>
      </c>
      <c r="AX23" s="31">
        <f>(1-(1-HV_DC_Grid!$E$25)^(B23*C23*HV_DC_Grid!$E$8/1000))+(1-(1-HV_DC_Grid!$E$26)^(B23*D23*HV_DC_Grid!$E$8/1000))+HV_DC_Grid!$E$35*HV_DC_Grid!$E$28</f>
        <v>3.8734662771535797E-2</v>
      </c>
      <c r="AY23" s="28">
        <f>B23*nl_e_demand/IF(hv_dc_flh="electricity FLH",$AV23,hv_dc_custom)*1000*hv_dc_capacity_multiplier*hv_dc_length_multiplier*1000*(C23*hv_dc_overhead_invest*(hv_dc_overhead_opex+M23+1/hv_dc_lifetime)+D23*hv_dc_sea_invest*(hv_dc_sea_opex+M23+1/hv_dc_lifetime))/1000000+HV_DC_Grid!$E$10*1000*hv_dc_station_invest*hv_dc_station_number*(hv_dc_station_opex+M23+1/hv_dc_lifetime)/1000000</f>
        <v>1440.6904782025822</v>
      </c>
      <c r="AZ23" s="24">
        <f>(AW23+AY23)/(HV_DC_Grid!$E$3*1000)*100</f>
        <v>4.298913159331744</v>
      </c>
      <c r="BA23" s="28">
        <f>MIN(((Carriers!$F$26+Carriers!$F$27)*(alk_el_opex+wacc_nl+1/alk_el_lifetime)+IF(hv_dc_flh="electricity FLH",$AV23,hv_dc_custom)*AZ23/100)/(IF(hv_dc_flh="electricity FLH",$AV23,hv_dc_custom)/alk_el_e_demand)*1000,((Carriers!$H$26+Carriers!$H$27)*(pem_el_opex+wacc_nl+1/pem_el_lifetime)+IF(hv_dc_flh="electricity FLH",$AV23,hv_dc_custom)*AZ23/100)/(IF(hv_dc_flh="electricity FLH",$AV23,hv_dc_custom)/pem_el_e_demand)*1000)</f>
        <v>2532.3980998158604</v>
      </c>
      <c r="BB23" s="12"/>
      <c r="BC23" s="12"/>
      <c r="BD23" s="149">
        <f>MIN(((Carriers!$F$26+Carriers!$F$27)*(alk_el_opex+M23+1/alk_el_lifetime)+$AV23*$AU23/100)/($AV23/alk_el_e_demand)*1000,((Carriers!$H$26+Carriers!$H$27)*(pem_el_opex+M23+1/pem_el_lifetime)+$AV23*$AU23/100)/($AV23/pem_el_e_demand)*1000)</f>
        <v>3487.1067070016966</v>
      </c>
      <c r="BE23" s="28">
        <f>Storage!$AC$50</f>
        <v>8.1664117557772418</v>
      </c>
      <c r="BF23" s="28">
        <f>((Pipeline!$D$22*Pipeline!$D$24*B23*(pipeline_opex+M23+1/pipeline_lifetime))*(Pipeline!$D$39/Pipeline!$D$3)+(Pipeline!$D$57*(pipeline_comp_opex+M23+1/pipeline_comp_lifetime)+Pipeline!$D$47*1000*Pipeline!$D$45*$AU23/100/1000000))*(Pipeline!$D$75/Pipeline!$D$45)</f>
        <v>2860.223988734981</v>
      </c>
      <c r="BG23" s="28">
        <f>BD23+(BE23+BF23)/Storage!$AC$12*1000000</f>
        <v>3698.0177658613111</v>
      </c>
      <c r="BH23" s="28"/>
      <c r="BI23" s="28"/>
      <c r="BJ23" s="28" t="str">
        <f>IF($E23="","No Port",BK23*HV_DC_Grid!$E$3*$AU23/100*1000)</f>
        <v>No Port</v>
      </c>
      <c r="BK23" s="31" t="str">
        <f>IFERROR((1-(1-HV_DC_Grid!$E$25)^(K23*HV_DC_Grid!$E$8/1000))+HV_DC_Grid!$E$35*HV_DC_Grid!$E$28,"")</f>
        <v/>
      </c>
      <c r="BL23" s="28" t="str">
        <f>IFERROR(K23*nl_e_demand/IF(hv_dc_flh="electricity FLH",$AV23,hv_dc_custom)*1000*hv_dc_capacity_multiplier*hv_dc_length_multiplier*1000*(hv_dc_overhead_invest*(hv_dc_overhead_opex+M23+1/hv_dc_lifetime))/1000000+HV_DC_Grid!$E$10*1000*hv_dc_station_invest*hv_dc_station_number*(hv_dc_station_opex+M23+1/hv_dc_lifetime)/1000000,"")</f>
        <v/>
      </c>
      <c r="BM23" s="29" t="str">
        <f>IFERROR((BJ23+BL23)/(HV_DC_Grid!$E$3*1000)*100,"")</f>
        <v/>
      </c>
      <c r="BN23" s="28" t="str">
        <f>IFERROR(((Pipeline!$D$22*Pipeline!$D$24*K23*(pipeline_opex+M23+1/pipeline_lifetime))*(Pipeline!$D$39/Pipeline!$D$3)+(Pipeline!$D$57*(pipeline_comp_opex+M23+1/pipeline_comp_lifetime)+Pipeline!$D$47*1000*Pipeline!$D$45*S23/100/1000000))*(Pipeline!$D$75/Pipeline!$D$45),"")</f>
        <v/>
      </c>
      <c r="BO23" s="28"/>
      <c r="BP23" s="150">
        <f t="shared" si="16"/>
        <v>110.15869987166253</v>
      </c>
      <c r="BQ23" s="34">
        <f t="shared" si="17"/>
        <v>32.733918894875266</v>
      </c>
      <c r="BR23" s="151">
        <f>(nh3_invest*(M23+1/nh3_lifetime)/nh3_prod+nh3_opex+nh3_e_demand*1000*$AU23/100+Carriers!$N$18/Carriers!$N$23*BD23+Carriers!$N$19/Carriers!$N$23*BQ23)*(BT23+nh3_st_ab_losses)/1000000</f>
        <v>58401.351868605008</v>
      </c>
      <c r="BS23" s="63">
        <f>nh3_st_nl_cost*nh3_st_nl_demand/1000000+(nh3_st_invest*(M23+1/nh3_st_lifetime+nh3_st_opex)/(Storage!$G$63/1000000)+nh3_st_e_demand*1000*$AU23/100)*(BT23+nh3_st_ab_losses)/1000000+Carriers!$N$18/Carriers!$N$23*((BT23+nh3_st_ab_losses)/365.25*short_st_duration_hrs/24)*(h2_short_st_invest*(1/gh2_short_st_lifetime+$M23+h2_short_st_opex)+h2_short_st_e_demand*1000*$AU23/100)/1000000+Carriers!$N$19/Carriers!$N$23*((BT23+nh3_st_ab_losses)/365.25*short_st_duration_hrs/24)*(n2_short_st_invest*(1/n2_short_st_lifetime+$M23+n2_short_st_opex)+n2_short_st_e_demand*1000*$AU23/100)/1000000</f>
        <v>3282.9414535671908</v>
      </c>
      <c r="BT23" s="63">
        <f>Storage!$G$57/((1-Shipping!$H$37)^(F23/24/Shipping!$H$44+0.5*Shipping!$H$59))</f>
        <v>76857210.785724297</v>
      </c>
      <c r="BU23" s="63" t="str">
        <f>IF($E23="","No Port",((F23/24/Shipping!$H$44+F23/24/Shipping!$H$50+Shipping!$H$59+Shipping!$H$64)*(Shipping!$H$22+wacc_nl*Shipping!$H$19/365.25*1000000+Shipping!$H$35)+(F23/24/Shipping!$H$44*Shipping!$H$45+Shipping!$H$64*Shipping!$H$65)*IF(bunker_choice="HFO",H23,IF(bunker_choice="hydrogen",BD23*hfo_e_density_lhv/h2_e_density_lhv,(BR23+BS23)*1000000/BT23*hfo_e_density_lhv/nh3_e_density_lhv))+(F23/24/Shipping!$H$50*Shipping!$H$51+Shipping!$H$59*Shipping!$H$60)*IF(bunker_choice="HFO",bunker_price_ROT,IF(bunker_choice="hydrogen",BD23*hfo_e_density_lhv/h2_e_density_lhv,(BR23+BS23)*1000000/BT23*hfo_e_density_lhv/nh3_e_density_lhv))+Shipping!$H$73+IF(G23="Panama",Shipping!$H$55,0)+IF(G23="Suez",Shipping!$H$56,0))/Shipping!$H$31*BT23/1000000+IF(inland_transport_to_port="hv dc grid",$BM23/100*1000*BW23,IF(inland_transport_to_port="pipeline",$BN23,0)))</f>
        <v>No Port</v>
      </c>
      <c r="BV23" s="63" t="str">
        <f t="shared" si="18"/>
        <v/>
      </c>
      <c r="BW23" s="33">
        <f>((Carriers!$N$18/Carriers!$N$23*alk_el_e_demand)+(Carriers!$N$19/Carriers!$N$23*n2_e_demand)+nh3_e_demand)*(BT23+nh3_st_ab_losses)/1000000+nh3_st_e_demand*BT23/1000000</f>
        <v>759.00171168026975</v>
      </c>
      <c r="BX23" s="33">
        <f t="shared" si="19"/>
        <v>0.76626754477640768</v>
      </c>
      <c r="BY23" s="63" t="str">
        <f>IFERROR(BV23*1000000/Storage!$G$12,"")</f>
        <v/>
      </c>
      <c r="BZ23" s="63">
        <f>H2_retrieval!$F$25*h2_demand_kt/1000</f>
        <v>80</v>
      </c>
      <c r="CA23" s="63" t="str">
        <f>IFERROR(BY23*(1+H2_retrieval!$F$34)/Carrier_properties!$E$7+H2_retrieval!$F$38,"")</f>
        <v/>
      </c>
      <c r="CB23" s="149">
        <f>(FA_invest*(M23+1/FA_lifetime)/FA_prod+FA_opex+FA_e_demand*1000*$AU23/100+Carriers!$P$18/Carriers!$P$23*BD23+Carriers!$P$20/Carriers!$P$23*co2_liq_cost)*(CF23+FA_st_ab_losses)/1000000</f>
        <v>115456.06505308897</v>
      </c>
      <c r="CC23" s="86">
        <f>(FA_invest*(M23+1/FA_lifetime)/FA_prod+FA_opex+FA_e_demand*1000*$AU23/100+Carriers!$P$18/Carriers!$P$23*BD23+Carriers!$P$20/Carriers!$P$23*BP23)*(CF23+FA_st_ab_losses)/1000000</f>
        <v>141972.82611232816</v>
      </c>
      <c r="CD23" s="63">
        <f>FA_st_nl_cost*FA_st_nl_demand/1000000+(FA_st_invest*(M23+1/FA_st_lifetime+FA_st_opex)/(Storage!$I$63/1000000)+FA_st_e_demand*1000*$AU23/100)*(CF23+FA_st_ab_losses)/1000000+co2_st_nl_cost*Storage!$I$12*co2_density/FA_density/1000000+(co2_st_opex_lev+co2_st_invest_lev+co2_st_e_demand*1000*$AU23/100)*Storage!$I$12/1000000+co2_st_invest_lev*Storage!$I$12*co2_st_lifetime*M23/1000000+Carriers!$P$18/Carriers!$P$23*((CF23+FA_st_ab_losses)/365.25*short_st_duration_hrs/24)*(h2_short_st_invest*(1/gh2_short_st_lifetime+$M23+h2_short_st_opex)+h2_short_st_e_demand*1000*$AU23/100)/1000000+Carriers!$P$20/Carriers!$P$23*((CF23+FA_st_ab_losses)/365.25*short_st_duration_hrs/24)*(co2_short_st_invest*(1/co2_short_st_lifetime+$M23+co2_short_st_opex)+co2_short_st_e_demand*1000*$AU23/100)/1000000</f>
        <v>11545.514709437561</v>
      </c>
      <c r="CE23" s="63">
        <f>FA_st_nl_cost*FA_st_nl_demand/1000000+(FA_st_invest*(M23+1/FA_st_lifetime+FA_st_opex)/(Storage!$I$63/1000000)+FA_st_e_demand*1000*$AU23/100)*(CF23+FA_st_ab_losses)/1000000+Carriers!$P$18/Carriers!$P$23*((CF23+FA_st_ab_losses)/365.25*short_st_duration_hrs/24)*(h2_short_st_invest*(1/gh2_short_st_lifetime+$M23+h2_short_st_opex)+h2_short_st_e_demand*1000*$AU23/100)/1000000+Carriers!$P$20/Carriers!$P$23*((CF23+FA_st_ab_losses)/365.25*short_st_duration_hrs/24)*(co2_short_st_invest*(1/co2_short_st_lifetime+$M23+co2_short_st_opex)+co2_short_st_e_demand*1000*$AU23/100)/1000000</f>
        <v>4954.2497826496892</v>
      </c>
      <c r="CF23" s="63">
        <f>Storage!$I$57/((1-Shipping!$J$37)^($F23/24/Shipping!$J$44+0.5*Shipping!$J$59))</f>
        <v>310425396.82539684</v>
      </c>
      <c r="CG23" s="28" t="str">
        <f>IF($E23="","No Port",((F23/24/Shipping!$J$44+F23/24/Shipping!$J$50+Shipping!$J$59+Shipping!$J$64)*(Shipping!$J$22+wacc_nl*Shipping!$J$19/365.25*1000000+Shipping!$J$35)+(F23/24/Shipping!$J$44*Shipping!$J$45+Shipping!$J$64*Shipping!$J$65)*IF(bunker_choice="HFO",$H23,IF(bunker_choice="hydrogen",$BD23*hfo_e_density_lhv/h2_e_density_lhv,(CB23+CD23)*1000000/CF23*hfo_e_density_lhv/FA_e_density_lhv))+(F23/24/Shipping!$J$50*Shipping!$J$51+Shipping!$J$59*Shipping!$J$60)*IF(bunker_choice="HFO",bunker_price_ROT,IF(bunker_choice="hydrogen",$BD23*hfo_e_density_lhv/h2_e_density_lhv,(CB23+CD23)*1000000/CF23*hfo_e_density_lhv/FA_e_density_lhv))+Shipping!$J$73+IF(G23="Panama",Shipping!$J$55,0)+IF(G23="Suez",Shipping!$J$56,0))/Shipping!$J$31*CF23/1000000+IF(inland_transport_to_port="hv dc grid",$BM23/100*1000*CI23,IF(inland_transport_to_port="pipeline",$BN23,0)))</f>
        <v>No Port</v>
      </c>
      <c r="CH23" s="28" t="str">
        <f t="shared" si="36"/>
        <v/>
      </c>
      <c r="CI23" s="29">
        <f>((Carriers!$P$18/Carriers!$P$23*alk_el_e_demand)+FA_e_demand)*(CF23+FA_st_ab_losses)/1000000+FA_st_e_demand*CF23/1000000</f>
        <v>1897.8881241622576</v>
      </c>
      <c r="CJ23" s="29">
        <f t="shared" si="20"/>
        <v>0.46563809523809524</v>
      </c>
      <c r="CK23" s="28" t="str">
        <f>IFERROR(CH23*1000000/Storage!$I$12,"")</f>
        <v/>
      </c>
      <c r="CL23" s="28" t="str">
        <f>IF($E23="","No Port",((F23/24/Shipping!$J$44+F23/24/Shipping!$J$50+Shipping!$J$59+Shipping!$J$64)*Carriers!$P$39*wacc_nl))</f>
        <v>No Port</v>
      </c>
      <c r="CM23" s="29">
        <f>H2_retrieval!$H$25*h2_demand_kt/1000+(co2_liq_e_demand+co2_st_e_demand*2)*Storage!$I$12*co2_density/FA_density/1000000</f>
        <v>94.204253879484654</v>
      </c>
      <c r="CN23" s="28" t="str">
        <f>IFERROR((((CB23+CD23+CG23)*(1+H2_retrieval!$H$34)+CL23)*1000000/H2_retrieval!$H$8)+h2_regen_fa,"")</f>
        <v/>
      </c>
      <c r="CO23" s="149">
        <f>(meoh_invest*(M23+1/meoh_lifetime)/meoh_prod+meoh_opex+meoh_e_demand*1000*$AU23/100+Carriers!$R$18/Carriers!$R$23*BD23+Carriers!$R$20/Carriers!$R$23*co2_liq_cost)*(CS23+meoh_st_ab_losses)/1000000</f>
        <v>75858.823241013044</v>
      </c>
      <c r="CP23" s="86">
        <f>(meoh_invest*(M23+1/meoh_lifetime)/meoh_prod+meoh_opex+meoh_e_demand*1000*$AU23/100+Carriers!$R$18/Carriers!$R$23*BD23+Carriers!$R$20/Carriers!$R$23*BP23)*(CS23+meoh_st_ab_losses)/1000000</f>
        <v>91424.980603896533</v>
      </c>
      <c r="CQ23" s="63">
        <f>meoh_st_nl_cost*meoh_st_nl_demand/1000000+(meoh_st_invest*(M23+1/meoh_st_lifetime+meoh_st_opex)/(Storage!$K$63/1000000)+meoh_st_e_demand*1000*$AU23/100)*(CS23+meoh_st_ab_losses)/1000000+co2_st_nl_cost*Storage!$K$12*co2_density/meoh_density/1000000+(co2_st_opex_lev+co2_st_invest_lev+co2_st_e_demand*1000*IFERROR(MIN(S23,AA23,AI23),S23)/100)*Storage!$K$12/1000000+co2_st_invest_lev*Storage!$K$12*co2_st_lifetime*M23/1000000+Carriers!$R$18/Carriers!$R$23*((CS23+meoh_st_ab_losses)/365.25*short_st_duration_hrs/24)*(h2_short_st_invest*(1/gh2_short_st_lifetime+$M23+h2_short_st_opex)+h2_short_st_e_demand*1000*$AU23/100)/1000000+Carriers!$R$20/Carriers!$R$23*((CF23+meoh_st_ab_losses)/365.25*short_st_duration_hrs/24)*(co2_short_st_invest*(1/co2_short_st_lifetime+$M23+co2_short_st_opex)+co2_short_st_e_demand*1000*$AU23/100)/1000000</f>
        <v>4836.3688327217824</v>
      </c>
      <c r="CR23" s="63">
        <f>meoh_st_nl_cost*meoh_st_nl_demand/1000000+(meoh_st_invest*(M23+1/meoh_st_lifetime+meoh_st_opex)/(Storage!$K$63/1000000)+meoh_st_e_demand*1000*$AU23/100)*(CS23+meoh_st_ab_losses)/1000000+Carriers!$R$18/Carriers!$R$23*((CS23+meoh_st_ab_losses)/365.25*short_st_duration_hrs/24)*(h2_short_st_invest*(1/gh2_short_st_lifetime+$M23+h2_short_st_opex)+h2_short_st_e_demand*1000*$AU23/100)/1000000+Carriers!$R$20/Carriers!$R$23*((CF23+meoh_st_ab_losses)/365.25*short_st_duration_hrs/24)*(co2_short_st_invest*(1/co2_short_st_lifetime+$M23+co2_short_st_opex)+co2_short_st_e_demand*1000*$AU23/100)/1000000</f>
        <v>1943.2628440313481</v>
      </c>
      <c r="CS23" s="63">
        <f>Storage!$K$57/((1-Shipping!$L$37)^($F23/24/Shipping!$L$44+0.5*Shipping!$L$59))</f>
        <v>108044444.44444443</v>
      </c>
      <c r="CT23" s="28" t="str">
        <f>IF($E23="","No Port",IF(AND(ship_choice="VLCC",G23="Panama"),"Ship cannot pass through Panama",IF(ship_choice="VLCC",((F23/24/Shipping!$AD$44+F23/24/Shipping!$AD$50+Shipping!$AD$59+Shipping!$AD$64)*(Shipping!$AD$22+wacc_nl*Shipping!$AD$19/365.25*1000000+Shipping!$AD$35)+(F23/24/Shipping!$AD$44*Shipping!$AD$45+Shipping!$AD$64*Shipping!$AD$65)*IF(bunker_choice="HFO",$H23,IF(bunker_choice="hydrogen",$BD23*hfo_e_density_lhv/h2_e_density_lhv,(CO23+CQ23)*1000000/CS23*hfo_e_density_lhv/meoh_e_density_lhv))+(F23/24/Shipping!$AD$50*Shipping!$AD$51+Shipping!$AD$59*Shipping!$AD$60)*IF(bunker_choice="HFO",bunker_price_ROT,IF(bunker_choice="hydrogen",$BD23*hfo_e_density_lhv/h2_e_density_lhv,(CO23+CQ23)*1000000/CS23*hfo_e_density_lhv/meoh_e_density_lhv))+Shipping!$AD$73+IF(G23="Panama",Shipping!$AD$55,0)+IF(G23="Suez",Shipping!$AD$56,0))/Shipping!$AD$31*CS23/1000000+IF(inland_transport_to_port="hv dc grid",$BM23/100*1000*CV23,IF(inland_transport_to_port="pipeline",$BN23,0)),((F23/24/Shipping!$L$44+F23/24/Shipping!$L$50+Shipping!$L$59+Shipping!$L$64)*(Shipping!$L$22+wacc_nl*Shipping!$L$19/365.25*1000000+Shipping!$L$35)+(F23/24/Shipping!$L$44*Shipping!$L$45+Shipping!$L$64*Shipping!$L$65)*IF(bunker_choice="HFO",$H23,IF(bunker_choice="hydrogen",$BD23*hfo_e_density_lhv/h2_e_density_lhv,(CO23+CQ23)*1000000/CS23*hfo_e_density_lhv/meoh_e_density_lhv))+(F23/24/Shipping!$L$50*Shipping!$L$51+Shipping!$L$59*Shipping!$L$60)*IF(bunker_choice="HFO",bunker_price_ROT,IF(bunker_choice="hydrogen",$BD23*hfo_e_density_lhv/h2_e_density_lhv,(CO23+CQ23)*1000000/CS23*hfo_e_density_lhv/meoh_e_density_lhv))+Shipping!$L$73+IF(G23="Panama",Shipping!$L$55,0)+IF(G23="Suez",Shipping!$L$56,0))/Shipping!$L$31*CS23/1000000+IF(inland_transport_to_port="hv dc grid",$BM23/100*1000*CV23,IF(inland_transport_to_port="pipeline",$BN23,0)))))</f>
        <v>No Port</v>
      </c>
      <c r="CU23" s="28" t="str">
        <f t="shared" si="37"/>
        <v/>
      </c>
      <c r="CV23" s="29">
        <f>((Carriers!$R$18/Carriers!$R$23*alk_el_e_demand)+meoh_e_demand)*(CS23+meoh_st_ab_losses)/1000000+meoh_st_e_demand*CS23/1000000</f>
        <v>1119.9789871111109</v>
      </c>
      <c r="CW23" s="29">
        <f t="shared" si="21"/>
        <v>0.16206666666666666</v>
      </c>
      <c r="CX23" s="28" t="str">
        <f>IFERROR(CU23*1000000/Storage!$K$12,"")</f>
        <v/>
      </c>
      <c r="CY23" s="28" t="str">
        <f>IF($E23="","No Port",((F23/24/Shipping!$L$44+F23/24/Shipping!$L$50+Shipping!$L$59+Shipping!$L$64)*Carriers!$R$39*wacc_nl))</f>
        <v>No Port</v>
      </c>
      <c r="CZ23" s="29">
        <f>H2_retrieval!$J$25*h2_demand_kt/1000+(co2_liq_e_demand+co2_st_e_demand*2)*Storage!$K$12*co2_density/meoh_density/1000000</f>
        <v>251.05079059698966</v>
      </c>
      <c r="DA23" s="28" t="str">
        <f>IFERROR((((CO23+CQ23+CT23)*(1+H2_retrieval!$J$34)+CY23)*1000000/H2_retrieval!$J$8)+h2_regen_meoh,"")</f>
        <v/>
      </c>
      <c r="DB23" s="149">
        <f>(DBT_invest*(M23+1/DBT_lifetime)/DBT_prod+DBT_opex+DBT_e_demand*1000*$AU23/100+Carriers!$T$18/Carriers!$T$23*BD23)*(DD23+DBT_st_ab_losses)/1000000</f>
        <v>50605.116606196141</v>
      </c>
      <c r="DC23" s="28">
        <f>2*(DBT_st_nl_cost*DBT_st_nl_demand/1000000+(DBT_st_invest*(M23+1/DBT_st_lifetime+DBT_st_opex)/(Storage!$M$63/1000000)+DBT_st_e_demand*1000*$AU23/100)*(DD23+DBT_st_ab_losses)/1000000)+Carriers!$T$18/Carriers!$T$23*((DD23+DBT_st_ab_losses)/365.25*short_st_duration_hrs/24)*(h2_short_st_invest*(1/gh2_short_st_lifetime+$M23+h2_short_st_opex)+h2_short_st_e_demand*1000*$AU23/100)/1000000</f>
        <v>4029.1535147953127</v>
      </c>
      <c r="DD23" s="63">
        <f>Storage!$M$57/((1-Shipping!$N$37)^($F23/24/Shipping!$N$44+0.5*Shipping!$N$59))</f>
        <v>219354838.70967743</v>
      </c>
      <c r="DE23" s="28" t="str">
        <f>IF($E23="","No Port",IF(AND(ship_choice="VLCC",G23="Panama"),"Ship cannot pass through Panama",IF(ship_choice="VLCC",((F23/24/Shipping!$AD$44+F23/24/Shipping!$AD$50+Shipping!$AD$59+Shipping!$AD$64)*(Shipping!$AD$22+wacc_nl*Shipping!$AD$19/365.25*1000000+Shipping!$AD$35)+(F23/24/Shipping!$AD$44*Shipping!$AD$45+Shipping!$AD$64*Shipping!$AD$65)*IF(bunker_choice="HFO",$H23,IF(bunker_choice="hydrogen",$BD23*hfo_e_density_lhv/h2_e_density_lhv,(DB23+DC23)*1000000/DD23*hfo_e_density_lhv/DBT_e_density_lhv))+(F23/24/Shipping!$AD$50*Shipping!$AD$51+Shipping!$AD$59*Shipping!$AD$60)*IF(bunker_choice="HFO",bunker_price_ROT,IF(bunker_choice="hydrogen",$BD23*hfo_e_density_lhv/h2_e_density_lhv,(DB23+DC23)*1000000/DD23*hfo_e_density_lhv/DBT_e_density_lhv))+Shipping!$AD$73+IF(G23="Panama",Shipping!$AD$55,0)+IF(G23="Suez",Shipping!$AD$56,0))/Shipping!$AD$31*DD23/1000000+IF(inland_transport_to_port="hv dc grid",$BM23/100*1000*DG23,IF(inland_transport_to_port="pipeline",$BN23,0)),((F23/24/Shipping!$N$44+F23/24/Shipping!$N$50+Shipping!$N$59+Shipping!$N$64)*(Shipping!$N$22+wacc_nl*Shipping!$N$19/365.25*1000000+Shipping!$N$35)+(F23/24/Shipping!$N$44*Shipping!$N$45+Shipping!$N$64*Shipping!$N$65)*IF(bunker_choice="HFO",$H23,IF(bunker_choice="hydrogen",$BD23*hfo_e_density_lhv/h2_e_density_lhv,(DB23+DC23)*1000000/DD23*hfo_e_density_lhv/DBT_e_density_lhv))+(F23/24/Shipping!$N$50*Shipping!$N$51+Shipping!$N$59*Shipping!$N$60)*IF(bunker_choice="HFO",bunker_price_ROT,IF(bunker_choice="hydrogen",$BD23*hfo_e_density_lhv/h2_e_density_lhv,(DB23+DC23)*1000000/DD23*hfo_e_density_lhv/DBT_e_density_lhv))+Shipping!$N$73+IF(G23="Panama",Shipping!$N$55,0)+IF(G23="Suez",Shipping!$N$56,0))/Shipping!$N$31*Shipping!$N$86/1000000+IF(inland_transport_to_port="hv dc grid",$BM23/100*1000*DG23,IF(inland_transport_to_port="pipeline",$BN23,0)))))</f>
        <v>No Port</v>
      </c>
      <c r="DF23" s="28" t="str">
        <f t="shared" si="53"/>
        <v/>
      </c>
      <c r="DG23" s="29">
        <f>((Carriers!$T$18/Carriers!$T$23*alk_el_e_demand)+DBT_e_demand)*(DD23+DBT_st_ab_losses)/1000000+DBT_st_e_demand*DD23/1000000</f>
        <v>703.88335483870969</v>
      </c>
      <c r="DH23" s="29">
        <f t="shared" si="23"/>
        <v>0.21935483870967742</v>
      </c>
      <c r="DI23" s="28" t="str">
        <f>IFERROR(DF23*1000000/Storage!$M$12,"")</f>
        <v/>
      </c>
      <c r="DJ23" s="28" t="str">
        <f>IF($E23="","No Port",((F23/24/Shipping!$N$44+F23/24/Shipping!$N$50+Shipping!$N$59+Shipping!$N$64)*Carriers!$T$39*wacc_nl))</f>
        <v>No Port</v>
      </c>
      <c r="DK23" s="100">
        <f>H2_retrieval!$L$25*h2_demand_kt/1000+(co2_liq_e_demand+co2_st_e_demand*2)*Storage!$M$12*co2_density/DBT_density/1000000</f>
        <v>206.61934861671787</v>
      </c>
      <c r="DL23" s="28" t="str">
        <f>IFERROR(((DF23*(1+H2_retrieval!$L$34)+DJ23)*1000000/H2_retrieval!$L$8)+h2_regen_lohc,"")</f>
        <v/>
      </c>
      <c r="DM23" s="149">
        <f t="shared" si="24"/>
        <v>51589.687557093261</v>
      </c>
      <c r="DN23" s="16">
        <f>2*(nabh4_st_nl_cost*nabh4_st_nl_demand/1000000+(nabh4_st_invest*(M23+1/nabh4_st_lifetime+nabh4_st_opex)/(Storage!$O$63/1000000)+nabh4_st_e_demand*1000*$AU23/100)*(DO23+nabh4_st_ab_losses)/1000000)+(h2_demand_kt*1000/365.25*short_st_duration_hrs/24)*(h2_short_st_invest*(1/gh2_short_st_lifetime+$M23+h2_short_st_opex)+h2_short_st_e_demand*1000*$AU23/100)/1000000</f>
        <v>1382.4528400600732</v>
      </c>
      <c r="DO23" s="63">
        <f>Storage!$O$57/((1-Shipping!$P$37)^($F23/24/Shipping!$P$44+0.5*Shipping!$P$59))</f>
        <v>63920000</v>
      </c>
      <c r="DP23" s="16" t="str">
        <f>IF($E23="","No Port",((F23/24/Shipping!$P$44+F23/24/Shipping!$P$50+Shipping!$P$59+Shipping!$P$64)*(Shipping!$P$22+wacc_nl*Shipping!$P$19/365.25*1000000+Shipping!$P$35)+(F23/24/Shipping!$P$44*Shipping!$P$45+Shipping!$P$64*Shipping!$P$65)*IF(bunker_choice="HFO",$H23,IF(bunker_choice="hydrogen",$BD23*hfo_e_density_lhv/h2_e_density_lhv,(DM23+DN23)*1000000/DO23*hfo_e_density_lhv/nabh4_e_density_lhv))+(F23/24/Shipping!$P$50*Shipping!$P$51+Shipping!$P$59*Shipping!$P$60)*IF(bunker_choice="HFO",bunker_price_ROT,IF(bunker_choice="hydrogen",$BD23*hfo_e_density_lhv/h2_e_density_lhv,(DM23+DN23)*1000000/DO23*hfo_e_density_lhv/nabh4_e_density_lhv))+Shipping!$P$73+IF(G23="Panama",Shipping!$P$55,0)+IF(G23="Suez",Shipping!$P$56,0))/Shipping!$P$31*(DO23+nabh4_st_ab_losses)/1000000+IF(inland_transport_to_port="hv dc grid",$BM23/100*1000*DR23,IF(inland_transport_to_port="pipeline",$BN23,0)))</f>
        <v>No Port</v>
      </c>
      <c r="DQ23" s="28" t="str">
        <f t="shared" si="54"/>
        <v/>
      </c>
      <c r="DR23" s="29">
        <f>((Carriers!$V$18/Carriers!$V$23*alk_el_e_demand)+nabh4_e_demand)*(DO23+nabh4_st_ab_losses)/1000000+nabh4_st_e_demand*DO23/1000000</f>
        <v>980.02139682539689</v>
      </c>
      <c r="DS23" s="28">
        <f t="shared" si="25"/>
        <v>3.1960000000000002</v>
      </c>
      <c r="DT23" s="28" t="str">
        <f>IFERROR(DQ23*1000000/Storage!$O$12,"")</f>
        <v/>
      </c>
      <c r="DU23" s="28" t="str">
        <f>IF($E23="","No Port",((F23/24/Shipping!$P$44+F23/24/Shipping!$P$50+Shipping!$P$59+Shipping!$P$64)*Carriers!$V$39*wacc_nl))</f>
        <v>No Port</v>
      </c>
      <c r="DV23" s="100">
        <f>H2_retrieval!$N$25*h2_demand_kt/1000+(co2_liq_e_demand+co2_st_e_demand*2)*Storage!$O$12*co2_density/nabh4_density/1000000</f>
        <v>18.783638728971958</v>
      </c>
      <c r="DW23" s="28" t="str">
        <f>IFERROR(((DQ23*(1+H2_retrieval!$N$34)+DU23)*1000000/H2_retrieval!$N$8)+h2_regen_nabh4,"")</f>
        <v/>
      </c>
      <c r="DX23" s="149">
        <f>(Dme_invest*(M23+1/Dme_lifetime)/Dme_prod+Dme_opex+Dme_e_demand*1000*$AU23/100+Carriers!$X$21/Carriers!$X$23*(CO23*1000000/CS23))*(EB23+Dme_st_ab_losses)/1000000</f>
        <v>106005.37084804708</v>
      </c>
      <c r="DY23" s="86">
        <f>(Dme_invest*(M23+1/Dme_lifetime)/Dme_prod+Dme_opex+Dme_e_demand*1000*$AU23/100+Carriers!$X$21/Carriers!$X$23*(CP23*1000000/CS23))*(EB23+Dme_st_ab_losses)/1000000</f>
        <v>127123.41634682099</v>
      </c>
      <c r="DZ23" s="63">
        <f>Dme_st_nl_cost*Dme_st_nl_demand/1000000+(Dme_st_invest*(M23+1/Dme_st_lifetime+Dme_st_opex)/(Storage!$Q$63/1000000)+Dme_st_e_demand*1000*$AU23/100)*(EB23+Dme_st_ab_losses)/1000000+co2_st_nl_cost*Storage!$Q$12*co2_density/Dme_density/1000000+(co2_st_opex_lev+co2_st_invest_lev+co2_st_e_demand*1000*$AU23/100)*Storage!$Q$12/1000000+co2_st_invest_lev*Storage!$Q$12*co2_st_lifetime*M23/1000000+(h2_demand_kt*1000/365.25*short_st_duration_hrs/24)*(h2_short_st_invest*(1/gh2_short_st_lifetime+$M23+h2_short_st_opex)+h2_short_st_e_demand*1000*$AU23/100)/1000000</f>
        <v>5831.5197428715583</v>
      </c>
      <c r="EA23" s="63">
        <f>Dme_st_nl_cost*Dme_st_nl_demand/1000000+(Dme_st_invest*(M23+1/Dme_st_lifetime+Dme_st_opex)/(Storage!$Q$63/1000000)+Dme_st_e_demand*1000*$AU23/100)*(EB23+Dme_st_ab_losses)/1000000+(h2_demand_kt*1000/365.25*short_st_duration_hrs/24)*(h2_short_st_invest*(1/gh2_short_st_lifetime+$M23+h2_short_st_opex)+h2_short_st_e_demand*1000*$AU23/100)/1000000</f>
        <v>2931.9387164124778</v>
      </c>
      <c r="EB23" s="63">
        <f>Storage!$Q$57/((1-Shipping!$R$37)^($F23/24/Shipping!$R$44+0.5*Shipping!$R$59))</f>
        <v>103547089.94708996</v>
      </c>
      <c r="EC23" s="153" t="str">
        <f>IF($E23="","No Port",IF(AND(ship_choice="VLCC",G23="Panama"),"Ship cannot pass through Panama",IF(ship_choice="VLCC",((F23/24/Shipping!$AD$44+F23/24/Shipping!$AD$50+Shipping!$AD$59+Shipping!$AD$64)*(Shipping!$AD$22+wacc_nl*Shipping!$AD$19/365.25*1000000+Shipping!$AD$35)+(F23/24/Shipping!$AD$44*Shipping!$AD$45+Shipping!$AD$64*Shipping!$AD$65)*IF(bunker_choice="HFO",$H23,IF(bunker_choice="hydrogen",$BD23*hfo_e_density_lhv/h2_e_density_lhv,(DX23+DZ23)*1000000/EB23*hfo_e_density_lhv/Dme_e_density_lhv))+(F23/24/Shipping!$AD$50*Shipping!$AD$51+Shipping!$AD$59*Shipping!$AD$60)*IF(bunker_choice="HFO",bunker_price_ROT,IF(bunker_choice="hydrogen",$BD23*hfo_e_density_lhv/h2_e_density_lhv,(DX23+DZ23)*1000000/EB23*hfo_e_density_lhv/Dme_e_density_lhv))+Shipping!$AD$73+IF(G23="Panama",Shipping!$AD$55,0)+IF(G23="Suez",Shipping!$AD$56,0))/Shipping!$AD$31*(EB23+Dme_st_ab_losses)/1000000+IF(inland_transport_to_port="hv dc grid",$BM23/100*1000*EE23,IF(inland_transport_to_port="pipeline",$BN23,0)),((F23/24/Shipping!$R$44+F23/24/Shipping!$R$50+Shipping!$R$59+Shipping!$R$64)*(Shipping!$R$22+wacc_nl*Shipping!$R$19/365.25*1000000+Shipping!$R$35)+(F23/24/Shipping!$R$44*Shipping!$R$45+Shipping!$R$64*Shipping!$R$65)*IF(bunker_choice="HFO",$H23,IF(bunker_choice="hydrogen",$BD23*hfo_e_density_lhv/h2_e_density_lhv,(DX23+DZ23)*1000000/EB23*hfo_e_density_lhv/Dme_e_density_lhv))+(F23/24/Shipping!$R$50*Shipping!$R$51+Shipping!$R$59*Shipping!$R$60)*IF(bunker_choice="HFO",bunker_price_ROT,IF(bunker_choice="hydrogen",$BD23*hfo_e_density_lhv/h2_e_density_lhv,(DX23+DZ23)*1000000/EB23*hfo_e_density_lhv/Dme_e_density_lhv))+Shipping!$R$73+IF(G23="Panama",Shipping!$R$55,0)+IF(G23="Suez",Shipping!$R$56,0))/Shipping!$R$31*(EB23+Dme_st_ab_losses)/1000000+IF(inland_transport_to_port="hv dc grid",$BM23/100*1000*EE23,IF(inland_transport_to_port="pipeline",$BN23,0)))))</f>
        <v>No Port</v>
      </c>
      <c r="ED23" s="28" t="str">
        <f t="shared" si="39"/>
        <v/>
      </c>
      <c r="EE23" s="29">
        <f>(Dme_e_demand)*(EB23+Dme_st_ab_losses)/1000000+Dme_st_e_demand*DZ23/1000000+$CV23*(Carriers!$X$21/Carriers!$X$23*EB23)/$CS23</f>
        <v>1550.2168184822533</v>
      </c>
      <c r="EF23" s="29">
        <f t="shared" si="26"/>
        <v>1.0354708994708997</v>
      </c>
      <c r="EG23" s="28" t="str">
        <f>IFERROR(ED23*1000000/Storage!$Q$12,"")</f>
        <v/>
      </c>
      <c r="EH23" s="28" t="str">
        <f>IF($E23="","No Port",((F23/24/Shipping!$R$44+F23/24/Shipping!$R$50+Shipping!$R$59+Shipping!$R$64)*Carriers!$X$39*wacc_nl))</f>
        <v>No Port</v>
      </c>
      <c r="EI23" s="100">
        <f>H2_retrieval!$P$25*h2_demand_kt/1000+(co2_liq_e_demand+co2_st_e_demand*2)*Storage!$Q$12*co2_density/Dme_density/1000000</f>
        <v>252.45335899349112</v>
      </c>
      <c r="EJ23" s="28" t="str">
        <f>IFERROR((((DX23+DZ23+EC23)*(1+H2_retrieval!$P$34)+EH23)*1000000/H2_retrieval!$P$8)+h2_regen_dme,"")</f>
        <v/>
      </c>
      <c r="EK23" s="149">
        <f>(ome_invest*(M23+1/ome_lifetime)/ome_prod+ome_opex+ome_e_demand*1000*$AU23/100+Carriers!$Z$21/Carriers!$Z$23*(CO23*1000000/CS23))*(EO23+ome_st_ab_losses)/1000000</f>
        <v>229275.53362634731</v>
      </c>
      <c r="EL23" s="86">
        <f>(ome_invest*(M23+1/ome_lifetime)/ome_prod+ome_opex+ome_e_demand*1000*$AU23/100+Carriers!$Z$21/Carriers!$Z$23*(CP23*1000000/CS23))*(EO23+ome_st_ab_losses)/1000000</f>
        <v>273606.42203106941</v>
      </c>
      <c r="EM23" s="63">
        <f>ome_st_nl_cost*ome_st_nl_demand/1000000+(ome_st_invest*(M23+1/ome_st_lifetime+ome_st_opex)/(Storage!$S$63/1000000)+ome_st_e_demand*1000*$AU23/100)*(EO23+ome_st_ab_losses)/1000000+co2_st_nl_cost*Storage!$S$12*co2_density/ome_density/1000000+(co2_st_opex_lev+co2_st_invest_lev+co2_st_e_demand*1000*$AU23/100)*Storage!$S$12/1000000+co2_st_invest_lev*Storage!$S$12*co2_st_lifetime*M23/1000000+(h2_demand_kt*1000/365.25*short_st_duration_hrs/24)*(h2_short_st_invest*(1/gh2_short_st_lifetime+$M23+h2_short_st_opex)+h2_short_st_e_demand*1000*$AU23/100)/1000000</f>
        <v>5008.6106641197639</v>
      </c>
      <c r="EN23" s="63">
        <f>ome_st_nl_cost*ome_st_nl_demand/1000000+(ome_st_invest*(M23+1/ome_st_lifetime+ome_st_opex)/(Storage!$S$63/1000000)+ome_st_e_demand*1000*$AU23/100)*(EO23+ome_st_ab_losses)/1000000+(h2_demand_kt*1000/365.25*short_st_duration_hrs/24)*(h2_short_st_invest*(1/gh2_short_st_lifetime+$M23+h2_short_st_opex)+h2_short_st_e_demand*1000*$AU23/100)/1000000</f>
        <v>1755.3421749724166</v>
      </c>
      <c r="EO23" s="63">
        <f>Storage!$S$57/((1-Shipping!$T$37)^($F23/24/Shipping!$T$44+0.5*Shipping!$T$59))</f>
        <v>128282539.68253967</v>
      </c>
      <c r="EP23" s="28" t="str">
        <f>IF($E23="","No Port",IF(AND(ship_choice="VLCC",G23="Panama"),"Ship cannot pass through Panama",IF(ship_choice="VLCC",((F23/24/Shipping!$AD$44+F23/24/Shipping!$AD$50+Shipping!$AD$59+Shipping!$AD$64)*(Shipping!$AD$22+wacc_nl*Shipping!$AD$19/365.25*1000000+Shipping!$AD$35)+(F23/24/Shipping!$AD$44*Shipping!$AD$45+Shipping!$AD$64*Shipping!$AD$65)*IF(bunker_choice="HFO",$H23,IF(bunker_choice="hydrogen",$BD23*hfo_e_density_lhv/h2_e_density_lhv,(EK23+EM23)*1000000/EO23*hfo_e_density_lhv/Dme_e_density_lhv))+(F23/24/Shipping!$AD$50*Shipping!$AD$51+Shipping!$AD$59*Shipping!$AD$60)*IF(bunker_choice="HFO",bunker_price_ROT,IF(bunker_choice="hydrogen",$BD23*hfo_e_density_lhv/h2_e_density_lhv,(EK23+EM23)*1000000/EO23*hfo_e_density_lhv/ome_e_density_lhv))+Shipping!$AD$73+IF(G23="Panama",Shipping!$AD$55,0)+IF(G23="Suez",Shipping!$AD$56,0))/Shipping!$AD$31*(EO23+ome_st_ab_losses)/1000000+IF(inland_transport_to_port="hv dc grid",$BM23/100*1000*ER23,IF(inland_transport_to_port="pipeline",$BN23,0)),((F23/24/Shipping!$T$44+F23/24/Shipping!$T$50+Shipping!$T$59+Shipping!$T$64)*(Shipping!$T$22+wacc_nl*Shipping!$T$19/365.25*1000000+Shipping!$T$35)+(F23/24/Shipping!$T$44*Shipping!$T$45+Shipping!$T$64*Shipping!$T$65)*IF(bunker_choice="HFO",$H23,IF(bunker_choice="hydrogen",$BD23*hfo_e_density_lhv/h2_e_density_lhv,(EK23+EM23)*1000000/EO23*hfo_e_density_lhv/Dme_e_density_lhv))+(F23/24/Shipping!$T$50*Shipping!$T$51+Shipping!$T$59*Shipping!$T$60)*IF(bunker_choice="HFO",bunker_price_ROT,IF(bunker_choice="hydrogen",$BD23*hfo_e_density_lhv/h2_e_density_lhv,(EK23+EM23)*1000000/EO23*hfo_e_density_lhv/ome_e_density_lhv))+Shipping!$T$73+IF(G23="Panama",Shipping!$T$55,0)+IF(G23="Suez",Shipping!$T$56,0))/Shipping!$T$31*(EO23+ome_st_ab_losses)/1000000+IF(inland_transport_to_port="hv dc grid",$BM23/100*1000*ER23,IF(inland_transport_to_port="pipeline",$BN23,0)))))</f>
        <v>No Port</v>
      </c>
      <c r="EQ23" s="28" t="str">
        <f t="shared" si="40"/>
        <v/>
      </c>
      <c r="ER23" s="29">
        <f>(ome_e_demand)*(EO23+ome_st_ab_losses)/1000000+ome_st_e_demand*EM23/1000000+$CV23*(Carriers!$Z$21/Carriers!$Z$23*EO23)/$CS23</f>
        <v>3352.0814576536995</v>
      </c>
      <c r="ES23" s="29">
        <f t="shared" si="27"/>
        <v>0.1924238095238095</v>
      </c>
      <c r="ET23" s="28" t="str">
        <f>IFERROR(EQ23*1000000/Storage!$S$12,"")</f>
        <v/>
      </c>
      <c r="EU23" s="28" t="str">
        <f>IF($E23="","No Port",((F23/24/Shipping!$T$44+F23/24/Shipping!$T$50+Shipping!$T$59+Shipping!$T$64)*Carriers!$Z$39*wacc_nl))</f>
        <v>No Port</v>
      </c>
      <c r="EV23" s="100">
        <f>H2_retrieval!$R$25*h2_demand_kt/1000+(co2_liq_e_demand+co2_st_e_demand*2)*Storage!$S$12*co2_density/ome_density/1000000</f>
        <v>254.51942895252085</v>
      </c>
      <c r="EW23" s="28" t="str">
        <f>IFERROR((((EK23+EM23+EP23)*(1+H2_retrieval!$R$34)+EU23)*1000000/H2_retrieval!$R$8)+h2_regen_ome,"")</f>
        <v/>
      </c>
      <c r="EX23" s="149">
        <f>(sng_invest*(M23+1/sng_lifetime)/sng_prod+lng_invest*(M23+1/lng_lifetime)/lng_prod+sng_opex+lng_opex+(sng_e_demand+lng_e_demand)*1000*$AU23/100+Carriers!$AB$18/Carriers!$AB$23*BD23+Carriers!$AB$20/Carriers!$AB$23*co2_liq_cost)*(FB23+lng_st_ab_losses)/1000000</f>
        <v>79936.5273954804</v>
      </c>
      <c r="EY23" s="86">
        <f>(sng_invest*(M23+1/sng_lifetime)/sng_prod+lng_invest*(M23+1/lng_lifetime)/lng_prod+sng_opex+lng_opex+(sng_e_demand+lng_e_demand)*1000*$AU23/100+Carriers!$AB$18/Carriers!$AB$23*BD23+Carriers!$AB$20/Carriers!$AB$23*BP23)*(FB23+lng_st_ab_losses)/1000000</f>
        <v>91446.823976010928</v>
      </c>
      <c r="EZ23" s="63">
        <f>lng_st_nl_cost*lng_st_nl_demand/1000000+(lng_st_invest*(M23+1/lng_st_lifetime+lng_st_opex)/(Storage!$U$63/1000000)+lng_st_e_demand*1000*$AU23/100)*(FB23+lng_st_ab_losses)/1000000+co2_st_nl_cost*Storage!$U$12*co2_density/lng_density/1000000+(co2_st_opex_lev+co2_st_invest_lev+co2_st_e_demand*1000*$AU23/100)*Storage!$U$12/1000000+co2_st_invest_lev*Storage!$U$12*co2_st_lifetime*M23/1000000+Carriers!$AB$18/Carriers!$AB$23*((FB23+lng_st_ab_losses)/365.25*short_st_duration_hrs/24)*(h2_short_st_invest*(1/gh2_short_st_lifetime+$M23+h2_short_st_opex)+h2_short_st_e_demand*1000*$AU23/100)/1000000+Carriers!$AB$20/Carriers!$AB$23*((FB23+lng_st_ab_losses)/365.25*short_st_duration_hrs/24)*(co2_short_st_invest*(1/co2_short_st_lifetime+$M23+co2_short_st_opex)+co2_short_st_e_demand*1000*$AU23/100)/1000000</f>
        <v>6124.4935159190909</v>
      </c>
      <c r="FA23" s="63">
        <f>lng_st_nl_cost*lng_st_nl_demand/1000000+(lng_st_invest*(M23+1/lng_st_lifetime+lng_st_opex)/(Storage!$U$63/1000000)+lng_st_e_demand*1000*$AU23/100)*(FB23+lng_st_ab_losses)/1000000+Carriers!$AB$18/Carriers!$AB$23*((FB23+lng_st_ab_losses)/365.25*short_st_duration_hrs/24)*(h2_short_st_invest*(1/gh2_short_st_lifetime+$M23+h2_short_st_opex)+h2_short_st_e_demand*1000*$AU23/100)/1000000+Carriers!$AB$20/Carriers!$AB$23*((FB23+lng_st_ab_losses)/365.25*short_st_duration_hrs/24)*(co2_short_st_invest*(1/co2_short_st_lifetime+$M23+co2_short_st_opex)+co2_short_st_e_demand*1000*$AU23/100)/1000000</f>
        <v>4550.3467277220116</v>
      </c>
      <c r="FB23" s="63">
        <f>Storage!$U$57/((1-Shipping!$V$37)^($F23/24/Shipping!$V$44+0.5*Shipping!$V$59))</f>
        <v>40707231.50721889</v>
      </c>
      <c r="FC23" s="28" t="str">
        <f>IF($E23="","No Port",IF(G23="Panama","Ship cannot pass through Panama",((F23/24/Shipping!$V$44+F23/24/Shipping!$V$50+Shipping!$V$59+Shipping!$V$64)*(Shipping!$V$22+wacc_nl*Shipping!$V$19/365.25*1000000+Shipping!$V$35)+(F23/24/Shipping!$V$44*Shipping!$V$45+Shipping!$V$64*Shipping!$V$65)*IF(bunker_choice="HFO",$H23,IF(bunker_choice="hydrogen",$BD23*hfo_e_density_lhv/h2_e_density_lhv,(EX23+EZ23)*1000000/FB23*hfo_e_density_lhv/lng_e_density_lhv))+(F23/24/Shipping!$V$50*Shipping!$V$51+Shipping!$V$59*Shipping!$V$60)*IF(bunker_choice="HFO",bunker_price_ROT,IF(bunker_choice="hydrogen",$BD23*hfo_e_density_lhv/h2_e_density_lhv,(EX23+EZ23)*1000000/FB23*hfo_e_density_lhv/lng_e_density_lhv))+Shipping!$V$73+IF(G23="Panama",Shipping!$V$55,0)+IF(G23="Suez",Shipping!$V$56,0))/Shipping!$V$31*(FB23+lng_st_ab_losses)/1000000)+IF(inland_transport_to_port="hv dc grid",$BM23/100*1000*FE23,IF(inland_transport_to_port="pipeline",$BN23,0)))</f>
        <v>No Port</v>
      </c>
      <c r="FD23" s="28" t="str">
        <f t="shared" si="41"/>
        <v/>
      </c>
      <c r="FE23" s="29">
        <f>((Carriers!$AB$18/Carriers!$AB$23*alk_el_e_demand)+sng_e_demand+lng_e_demand)*(FB23+lng_st_ab_losses)/1000000+lng_st_e_demand*EZ23/1000000</f>
        <v>1091.7518815185197</v>
      </c>
      <c r="FF23" s="29">
        <f t="shared" si="28"/>
        <v>0.8126185861001558</v>
      </c>
      <c r="FG23" s="28" t="str">
        <f>IFERROR(FD23*1000000/Storage!$U$12,"")</f>
        <v/>
      </c>
      <c r="FH23" s="28" t="str">
        <f>IF($E23="","No Port",((F23/24/Shipping!$V$44+F23/24/Shipping!$V$50+Shipping!$V$59+Shipping!$V$64)*Carriers!$AB$39*wacc_nl))</f>
        <v>No Port</v>
      </c>
      <c r="FI23" s="100">
        <f>H2_retrieval!$T$25*h2_demand_kt/1000+(co2_liq_e_demand+co2_st_e_demand*2)*Storage!$U$12*co2_density/lng_density/1000000</f>
        <v>236.51371749646054</v>
      </c>
      <c r="FJ23" s="28" t="str">
        <f>IFERROR((((EX23+EZ23+FC23)*(1+H2_retrieval!$T$34)+FH23)*1000000/H2_retrieval!$T$8)+h2_regen_lng,"")</f>
        <v/>
      </c>
      <c r="FK23" s="149">
        <f>(lh2_invest*(M23+1/lh2_lifetime)/lh2_prod+lh2_opex+lh2_e_demand*1000*$AU23/100+Carriers!$AD$18/Carriers!$AD$23*BD23)*(FM23+lh2_st_ab_losses)/1000000</f>
        <v>60548.78234403846</v>
      </c>
      <c r="FL23" s="28">
        <f>lh2_st_nl_cost*lh2_st_nl_demand/1000000+(lh2_st_invest*(M23+1/lh2_st_lifetime+lh2_st_opex)/(Storage!$Y$63/1000000)+lh2_st_e_demand*1000*$AU23/100)*(FM23+lh2_st_ab_losses)/1000000+((FM23+lh2_st_ab_losses)/365.25*short_st_duration_hrs/24)*(h2_short_st_invest*(1/gh2_short_st_lifetime+$M23+h2_short_st_opex)+h2_short_st_e_demand*1000*$AU23/100)/1000000</f>
        <v>52821.21595935541</v>
      </c>
      <c r="FM23" s="63">
        <f>Storage!$Y$57/((1-Shipping!$Z$37)^($F23/24/Shipping!$Z$44+0.5*Shipping!$Z$59))</f>
        <v>13659984.090217989</v>
      </c>
      <c r="FN23" s="28" t="str">
        <f>IF($E23="","No Port",IF(G23="Panama","Ship cannot pass through Panama",((F23/24/Shipping!$Z$44+F23/24/Shipping!$Z$50+Shipping!$Z$59+Shipping!$Z$64)*(Shipping!$Z$22+wacc_nl*Shipping!$Z$19/365.25*1000000+Shipping!$Z$35)+(F23/24/Shipping!$Z$44*Shipping!$Z$45+Shipping!$Z$64*Shipping!$Z$65)*IF(bunker_choice="HFO",$H23,IF(bunker_choice="hydrogen",$BD23*hfo_e_density_lhv/h2_e_density_lhv,(FK23+FL23)*1000000/FM23*hfo_e_density_lhv/lh2_e_density_lhv))+(F23/24/Shipping!$Z$50*Shipping!$Z$51+Shipping!$Z$59*Shipping!$Z$60)*IF(bunker_choice="HFO",bunker_price_ROT,IF(bunker_choice="hydrogen",$BD23*hfo_e_density_lhv/h2_e_density_lhv,(FK23+FL23)*1000000/FM23*hfo_e_density_lhv/lh2_e_density_lhv))+Shipping!$Z$73+IF(G23="Panama",Shipping!$Z$55,0)+IF(G23="Suez",Shipping!$Z$56,0))/Shipping!$Z$31*(FM23+lh2_st_ab_losses)/1000000)+IF(inland_transport_to_port="hv dc grid",$BM23/100*1000*FP23,IF(inland_transport_to_port="pipeline",$BN23,0)))</f>
        <v>No Port</v>
      </c>
      <c r="FO23" s="28" t="str">
        <f t="shared" si="42"/>
        <v/>
      </c>
      <c r="FP23" s="29">
        <f>((Carriers!$AD$18/Carriers!$AD$23*alk_el_e_demand)+lh2_e_demand)*(FM23+lh2_st_ab_losses)/1000000+lh2_st_e_demand*FM23/1000000</f>
        <v>791.60233245091877</v>
      </c>
      <c r="FQ23" s="100">
        <f t="shared" si="29"/>
        <v>1.361902463475859</v>
      </c>
      <c r="FR23" s="28" t="str">
        <f>IFERROR(FO23*1000000/Storage!$Y$12,"")</f>
        <v/>
      </c>
      <c r="FS23" s="100">
        <f>H2_retrieval!$V$25*h2_demand_kt/1000</f>
        <v>8.16</v>
      </c>
      <c r="FT23" s="28" t="str">
        <f>IFERROR(FR23*(1+H2_retrieval!$V$34)/Carrier_properties!$U$7+H2_retrieval!$V$38,"")</f>
        <v/>
      </c>
      <c r="FU23" s="12"/>
      <c r="FV23" s="24">
        <f t="shared" si="30"/>
        <v>2.7475103894496677</v>
      </c>
      <c r="FW23" s="24" t="str">
        <f t="shared" si="43"/>
        <v/>
      </c>
      <c r="FX23" s="24" t="str">
        <f t="shared" si="44"/>
        <v/>
      </c>
      <c r="FY23" s="24">
        <f t="shared" si="45"/>
        <v>2.7475103894496677</v>
      </c>
      <c r="FZ23" s="28">
        <f t="shared" si="46"/>
        <v>3487.1067070016966</v>
      </c>
      <c r="GA23" s="28">
        <f t="shared" si="47"/>
        <v>759.86821889004409</v>
      </c>
      <c r="GB23" s="28">
        <f t="shared" si="48"/>
        <v>457.34926189748188</v>
      </c>
      <c r="GC23" s="28">
        <f t="shared" si="49"/>
        <v>846.1793762187051</v>
      </c>
      <c r="GD23" s="28">
        <f t="shared" si="50"/>
        <v>1227.6870012646223</v>
      </c>
      <c r="GE23" s="28">
        <f t="shared" si="51"/>
        <v>2132.8422613721414</v>
      </c>
      <c r="GF23" s="28">
        <f t="shared" si="52"/>
        <v>2246.4515662234126</v>
      </c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</row>
    <row r="24" spans="1:214" x14ac:dyDescent="0.2">
      <c r="A24" s="40" t="s">
        <v>43</v>
      </c>
      <c r="B24" s="12">
        <v>8492</v>
      </c>
      <c r="C24" s="12">
        <v>0.9</v>
      </c>
      <c r="D24" s="12">
        <f t="shared" si="0"/>
        <v>9.9999999999999978E-2</v>
      </c>
      <c r="E24" s="12"/>
      <c r="F24" s="12"/>
      <c r="G24" s="12"/>
      <c r="H24" s="16">
        <f t="shared" si="1"/>
        <v>382.75862068965517</v>
      </c>
      <c r="I24" s="16">
        <v>566730</v>
      </c>
      <c r="J24" s="16">
        <f t="shared" si="31"/>
        <v>424.73022237290775</v>
      </c>
      <c r="K24" s="16" t="str">
        <f t="shared" si="32"/>
        <v/>
      </c>
      <c r="L24" s="103">
        <v>0.125</v>
      </c>
      <c r="M24" s="103">
        <f t="shared" si="2"/>
        <v>0.12982270752073657</v>
      </c>
      <c r="N24" s="122">
        <f t="shared" si="33"/>
        <v>0.8</v>
      </c>
      <c r="O24" s="46">
        <f t="shared" si="3"/>
        <v>40</v>
      </c>
      <c r="P24" s="70">
        <f t="array" ref="P24">SUMPRODUCT(IF(Solar_data!A$4:A$777=A24,Solar_data!C$4:C$777),IF(Solar_data!A$4:A$777=A24,Solar_data!I$4:I$777))/SUMIF(Solar_data!A$4:A$777,A24,Solar_data!I$4:I$777)</f>
        <v>2411.4795854348631</v>
      </c>
      <c r="Q24" s="16">
        <f t="array" ref="Q24">MAX(IF(Solar_data!$A$777:'Solar_data'!$A$4=Country_details!$A24,Solar_data!$C$4:'Solar_data'!$C$777))</f>
        <v>2463.75</v>
      </c>
      <c r="R24" s="16">
        <f t="array" ref="R24">MIN(IF(Solar_data!$A$777:'Solar_data'!$A$4=Country_details!A24,Solar_data!$C$4:'Solar_data'!$C$777))</f>
        <v>2281.25</v>
      </c>
      <c r="S24" s="24">
        <f t="shared" si="4"/>
        <v>2.1654955272287553</v>
      </c>
      <c r="T24" s="24">
        <f t="shared" si="5"/>
        <v>2.1195528183714458</v>
      </c>
      <c r="U24" s="24">
        <f t="shared" si="6"/>
        <v>2.2891170438411614</v>
      </c>
      <c r="V24" s="16">
        <f t="array" ref="V24">SUM(IF(Solar_data!$A$777:'Solar_data'!$A$4=Country_details!$A24,Solar_data!$I$4:'Solar_data'!$I$777))</f>
        <v>5010.4091855400029</v>
      </c>
      <c r="W24" s="148"/>
      <c r="X24" s="16" t="str">
        <f>IFERROR(INDEX(Onshore_wind_data!$J$5:'Onshore_wind_data'!$J$221,MATCH(A24,Onshore_wind_data!$B$5:'Onshore_wind_data'!$B$221,0)),"")</f>
        <v/>
      </c>
      <c r="Y24" s="16" t="str">
        <f>IFERROR(INDEX(Onshore_wind_data!$K$5:'Onshore_wind_data'!$K$221,MATCH(A24,Onshore_wind_data!$B$5:'Onshore_wind_data'!$B$221,0)),"")</f>
        <v/>
      </c>
      <c r="Z24" s="16" t="str">
        <f>IFERROR(INDEX(Onshore_wind_data!$L$5:'Onshore_wind_data'!$L$221,MATCH(A24,Onshore_wind_data!$B$5:'Onshore_wind_data'!$B$221,0)),"")</f>
        <v/>
      </c>
      <c r="AA24" s="24" t="str">
        <f t="shared" si="7"/>
        <v/>
      </c>
      <c r="AB24" s="24" t="str">
        <f t="shared" si="8"/>
        <v/>
      </c>
      <c r="AC24" s="24" t="str">
        <f t="shared" si="9"/>
        <v/>
      </c>
      <c r="AD24" s="16">
        <f>IFERROR(INDEX(Onshore_wind_data!$I$5:'Onshore_wind_data'!$I$221,MATCH(A24,Onshore_wind_data!$B$5:'Onshore_wind_data'!$B$221,0)),"")</f>
        <v>0</v>
      </c>
      <c r="AE24" s="148"/>
      <c r="AF24" s="16" t="str">
        <f>INDEX(Offshore_wind_data!$AA$7:$AA$192,MATCH(Country_details!A24,Offshore_wind_data!$A$7:$A$192,0))</f>
        <v/>
      </c>
      <c r="AG24" s="16" t="str">
        <f>INDEX(Offshore_wind_data!$Y$7:$Y$192,MATCH(Country_details!A24,Offshore_wind_data!$A$7:$A$192,0))</f>
        <v/>
      </c>
      <c r="AH24" s="16" t="str">
        <f>INDEX(Offshore_wind_data!$Z$7:$Z$192,MATCH(Country_details!A24,Offshore_wind_data!$A$7:$A$192,0))</f>
        <v/>
      </c>
      <c r="AI24" s="24" t="str">
        <f t="shared" si="10"/>
        <v/>
      </c>
      <c r="AJ24" s="24" t="str">
        <f t="shared" si="11"/>
        <v/>
      </c>
      <c r="AK24" s="24" t="str">
        <f t="shared" si="12"/>
        <v/>
      </c>
      <c r="AL24" s="16">
        <f>INDEX(Offshore_wind_data!$W$7:$W$191,MATCH(A24,Offshore_wind_data!$A$7:$A$191,0))</f>
        <v>0</v>
      </c>
      <c r="AM24" s="148"/>
      <c r="AN24" s="12">
        <v>2.2999999999999998</v>
      </c>
      <c r="AO24" s="12">
        <v>3.4</v>
      </c>
      <c r="AP24" s="34">
        <f>1.0984*11.63</f>
        <v>12.774392000000001</v>
      </c>
      <c r="AQ24" s="15">
        <f t="shared" si="13"/>
        <v>50</v>
      </c>
      <c r="AR24" s="12">
        <f t="shared" si="34"/>
        <v>170</v>
      </c>
      <c r="AS24" s="16">
        <f t="shared" si="35"/>
        <v>4840.4091855400029</v>
      </c>
      <c r="AT24" s="12"/>
      <c r="AU24" s="24">
        <f t="shared" si="14"/>
        <v>2.1654955272287553</v>
      </c>
      <c r="AV24" s="16">
        <f t="shared" si="15"/>
        <v>2411.4795854348631</v>
      </c>
      <c r="AW24" s="149">
        <f>HV_DC_Grid!$E$3/(1-AX24)*AU24/100*1000</f>
        <v>2602.1624538080578</v>
      </c>
      <c r="AX24" s="31">
        <f>(1-(1-HV_DC_Grid!$E$25)^(B24*C24*HV_DC_Grid!$E$8/1000))+(1-(1-HV_DC_Grid!$E$26)^(B24*D24*HV_DC_Grid!$E$8/1000))+HV_DC_Grid!$E$35*HV_DC_Grid!$E$28</f>
        <v>0.16780924878086501</v>
      </c>
      <c r="AY24" s="28">
        <f>B24*nl_e_demand/IF(hv_dc_flh="electricity FLH",$AV24,hv_dc_custom)*1000*hv_dc_capacity_multiplier*hv_dc_length_multiplier*1000*(C24*hv_dc_overhead_invest*(hv_dc_overhead_opex+M24+1/hv_dc_lifetime)+D24*hv_dc_sea_invest*(hv_dc_sea_opex+M24+1/hv_dc_lifetime))/1000000+HV_DC_Grid!$E$10*1000*hv_dc_station_invest*hv_dc_station_number*(hv_dc_station_opex+M24+1/hv_dc_lifetime)/1000000</f>
        <v>9415.2985707715561</v>
      </c>
      <c r="AZ24" s="24">
        <f>(AW24+AY24)/(HV_DC_Grid!$E$3*1000)*100</f>
        <v>12.017461024579614</v>
      </c>
      <c r="BA24" s="28">
        <f>MIN(((Carriers!$F$26+Carriers!$F$27)*(alk_el_opex+wacc_nl+1/alk_el_lifetime)+IF(hv_dc_flh="electricity FLH",$AV24,hv_dc_custom)*AZ24/100)/(IF(hv_dc_flh="electricity FLH",$AV24,hv_dc_custom)/alk_el_e_demand)*1000,((Carriers!$H$26+Carriers!$H$27)*(pem_el_opex+wacc_nl+1/pem_el_lifetime)+IF(hv_dc_flh="electricity FLH",$AV24,hv_dc_custom)*AZ24/100)/(IF(hv_dc_flh="electricity FLH",$AV24,hv_dc_custom)/pem_el_e_demand)*1000)</f>
        <v>6497.4161381936901</v>
      </c>
      <c r="BB24" s="12"/>
      <c r="BC24" s="12"/>
      <c r="BD24" s="149">
        <f>MIN(((Carriers!$F$26+Carriers!$F$27)*(alk_el_opex+M24+1/alk_el_lifetime)+$AV24*$AU24/100)/($AV24/alk_el_e_demand)*1000,((Carriers!$H$26+Carriers!$H$27)*(pem_el_opex+M24+1/pem_el_lifetime)+$AV24*$AU24/100)/($AV24/pem_el_e_demand)*1000)</f>
        <v>2552.5471013547326</v>
      </c>
      <c r="BE24" s="28">
        <f>Storage!$AC$50</f>
        <v>8.1664117557772418</v>
      </c>
      <c r="BF24" s="28">
        <f>((Pipeline!$D$22*Pipeline!$D$24*B24*(pipeline_opex+M24+1/pipeline_lifetime))*(Pipeline!$D$39/Pipeline!$D$3)+(Pipeline!$D$57*(pipeline_comp_opex+M24+1/pipeline_comp_lifetime)+Pipeline!$D$47*1000*Pipeline!$D$45*$AU24/100/1000000))*(Pipeline!$D$75/Pipeline!$D$45)</f>
        <v>19531.663830447804</v>
      </c>
      <c r="BG24" s="28">
        <f>BD24+(BE24+BF24)/Storage!$AC$12*1000000</f>
        <v>3989.2993250461723</v>
      </c>
      <c r="BH24" s="28"/>
      <c r="BI24" s="28"/>
      <c r="BJ24" s="28" t="str">
        <f>IF($E24="","No Port",BK24*HV_DC_Grid!$E$3*$AU24/100*1000)</f>
        <v>No Port</v>
      </c>
      <c r="BK24" s="31" t="str">
        <f>IFERROR((1-(1-HV_DC_Grid!$E$25)^(K24*HV_DC_Grid!$E$8/1000))+HV_DC_Grid!$E$35*HV_DC_Grid!$E$28,"")</f>
        <v/>
      </c>
      <c r="BL24" s="28" t="str">
        <f>IFERROR(K24*nl_e_demand/IF(hv_dc_flh="electricity FLH",$AV24,hv_dc_custom)*1000*hv_dc_capacity_multiplier*hv_dc_length_multiplier*1000*(hv_dc_overhead_invest*(hv_dc_overhead_opex+M24+1/hv_dc_lifetime))/1000000+HV_DC_Grid!$E$10*1000*hv_dc_station_invest*hv_dc_station_number*(hv_dc_station_opex+M24+1/hv_dc_lifetime)/1000000,"")</f>
        <v/>
      </c>
      <c r="BM24" s="29" t="str">
        <f>IFERROR((BJ24+BL24)/(HV_DC_Grid!$E$3*1000)*100,"")</f>
        <v/>
      </c>
      <c r="BN24" s="28" t="str">
        <f>IFERROR(((Pipeline!$D$22*Pipeline!$D$24*K24*(pipeline_opex+M24+1/pipeline_lifetime))*(Pipeline!$D$39/Pipeline!$D$3)+(Pipeline!$D$57*(pipeline_comp_opex+M24+1/pipeline_comp_lifetime)+Pipeline!$D$47*1000*Pipeline!$D$45*S24/100/1000000))*(Pipeline!$D$75/Pipeline!$D$45),"")</f>
        <v/>
      </c>
      <c r="BO24" s="28"/>
      <c r="BP24" s="150">
        <f t="shared" si="16"/>
        <v>113.32157916012645</v>
      </c>
      <c r="BQ24" s="34">
        <f t="shared" si="17"/>
        <v>34.102262359097601</v>
      </c>
      <c r="BR24" s="151">
        <f>(nh3_invest*(M24+1/nh3_lifetime)/nh3_prod+nh3_opex+nh3_e_demand*1000*$AU24/100+Carriers!$N$18/Carriers!$N$23*BD24+Carriers!$N$19/Carriers!$N$23*BQ24)*(BT24+nh3_st_ab_losses)/1000000</f>
        <v>45901.339100230107</v>
      </c>
      <c r="BS24" s="63">
        <f>nh3_st_nl_cost*nh3_st_nl_demand/1000000+(nh3_st_invest*(M24+1/nh3_st_lifetime+nh3_st_opex)/(Storage!$G$63/1000000)+nh3_st_e_demand*1000*$AU24/100)*(BT24+nh3_st_ab_losses)/1000000+Carriers!$N$18/Carriers!$N$23*((BT24+nh3_st_ab_losses)/365.25*short_st_duration_hrs/24)*(h2_short_st_invest*(1/gh2_short_st_lifetime+$M24+h2_short_st_opex)+h2_short_st_e_demand*1000*$AU24/100)/1000000+Carriers!$N$19/Carriers!$N$23*((BT24+nh3_st_ab_losses)/365.25*short_st_duration_hrs/24)*(n2_short_st_invest*(1/n2_short_st_lifetime+$M24+n2_short_st_opex)+n2_short_st_e_demand*1000*$AU24/100)/1000000</f>
        <v>3426.0224440573556</v>
      </c>
      <c r="BT24" s="63">
        <f>Storage!$G$57/((1-Shipping!$H$37)^(F24/24/Shipping!$H$44+0.5*Shipping!$H$59))</f>
        <v>76857210.785724297</v>
      </c>
      <c r="BU24" s="63" t="str">
        <f>IF($E24="","No Port",((F24/24/Shipping!$H$44+F24/24/Shipping!$H$50+Shipping!$H$59+Shipping!$H$64)*(Shipping!$H$22+wacc_nl*Shipping!$H$19/365.25*1000000+Shipping!$H$35)+(F24/24/Shipping!$H$44*Shipping!$H$45+Shipping!$H$64*Shipping!$H$65)*IF(bunker_choice="HFO",H24,IF(bunker_choice="hydrogen",BD24*hfo_e_density_lhv/h2_e_density_lhv,(BR24+BS24)*1000000/BT24*hfo_e_density_lhv/nh3_e_density_lhv))+(F24/24/Shipping!$H$50*Shipping!$H$51+Shipping!$H$59*Shipping!$H$60)*IF(bunker_choice="HFO",bunker_price_ROT,IF(bunker_choice="hydrogen",BD24*hfo_e_density_lhv/h2_e_density_lhv,(BR24+BS24)*1000000/BT24*hfo_e_density_lhv/nh3_e_density_lhv))+Shipping!$H$73+IF(G24="Panama",Shipping!$H$55,0)+IF(G24="Suez",Shipping!$H$56,0))/Shipping!$H$31*BT24/1000000+IF(inland_transport_to_port="hv dc grid",$BM24/100*1000*BW24,IF(inland_transport_to_port="pipeline",$BN24,0)))</f>
        <v>No Port</v>
      </c>
      <c r="BV24" s="63" t="str">
        <f t="shared" si="18"/>
        <v/>
      </c>
      <c r="BW24" s="33">
        <f>((Carriers!$N$18/Carriers!$N$23*alk_el_e_demand)+(Carriers!$N$19/Carriers!$N$23*n2_e_demand)+nh3_e_demand)*(BT24+nh3_st_ab_losses)/1000000+nh3_st_e_demand*BT24/1000000</f>
        <v>759.00171168026975</v>
      </c>
      <c r="BX24" s="33">
        <f t="shared" si="19"/>
        <v>0.76626754477640768</v>
      </c>
      <c r="BY24" s="63" t="str">
        <f>IFERROR(BV24*1000000/Storage!$G$12,"")</f>
        <v/>
      </c>
      <c r="BZ24" s="63">
        <f>H2_retrieval!$F$25*h2_demand_kt/1000</f>
        <v>80</v>
      </c>
      <c r="CA24" s="63" t="str">
        <f>IFERROR(BY24*(1+H2_retrieval!$F$34)/Carrier_properties!$E$7+H2_retrieval!$F$38,"")</f>
        <v/>
      </c>
      <c r="CB24" s="149">
        <f>(FA_invest*(M24+1/FA_lifetime)/FA_prod+FA_opex+FA_e_demand*1000*$AU24/100+Carriers!$P$18/Carriers!$P$23*BD24+Carriers!$P$20/Carriers!$P$23*co2_liq_cost)*(CF24+FA_st_ab_losses)/1000000</f>
        <v>94229.614434338291</v>
      </c>
      <c r="CC24" s="86">
        <f>(FA_invest*(M24+1/FA_lifetime)/FA_prod+FA_opex+FA_e_demand*1000*$AU24/100+Carriers!$P$18/Carriers!$P$23*BD24+Carriers!$P$20/Carriers!$P$23*BP24)*(CF24+FA_st_ab_losses)/1000000</f>
        <v>121561.36525433231</v>
      </c>
      <c r="CD24" s="63">
        <f>FA_st_nl_cost*FA_st_nl_demand/1000000+(FA_st_invest*(M24+1/FA_st_lifetime+FA_st_opex)/(Storage!$I$63/1000000)+FA_st_e_demand*1000*$AU24/100)*(CF24+FA_st_ab_losses)/1000000+co2_st_nl_cost*Storage!$I$12*co2_density/FA_density/1000000+(co2_st_opex_lev+co2_st_invest_lev+co2_st_e_demand*1000*$AU24/100)*Storage!$I$12/1000000+co2_st_invest_lev*Storage!$I$12*co2_st_lifetime*M24/1000000+Carriers!$P$18/Carriers!$P$23*((CF24+FA_st_ab_losses)/365.25*short_st_duration_hrs/24)*(h2_short_st_invest*(1/gh2_short_st_lifetime+$M24+h2_short_st_opex)+h2_short_st_e_demand*1000*$AU24/100)/1000000+Carriers!$P$20/Carriers!$P$23*((CF24+FA_st_ab_losses)/365.25*short_st_duration_hrs/24)*(co2_short_st_invest*(1/co2_short_st_lifetime+$M24+co2_short_st_opex)+co2_short_st_e_demand*1000*$AU24/100)/1000000</f>
        <v>11772.000387306336</v>
      </c>
      <c r="CE24" s="63">
        <f>FA_st_nl_cost*FA_st_nl_demand/1000000+(FA_st_invest*(M24+1/FA_st_lifetime+FA_st_opex)/(Storage!$I$63/1000000)+FA_st_e_demand*1000*$AU24/100)*(CF24+FA_st_ab_losses)/1000000+Carriers!$P$18/Carriers!$P$23*((CF24+FA_st_ab_losses)/365.25*short_st_duration_hrs/24)*(h2_short_st_invest*(1/gh2_short_st_lifetime+$M24+h2_short_st_opex)+h2_short_st_e_demand*1000*$AU24/100)/1000000+Carriers!$P$20/Carriers!$P$23*((CF24+FA_st_ab_losses)/365.25*short_st_duration_hrs/24)*(co2_short_st_invest*(1/co2_short_st_lifetime+$M24+co2_short_st_opex)+co2_short_st_e_demand*1000*$AU24/100)/1000000</f>
        <v>5176.1262294054095</v>
      </c>
      <c r="CF24" s="63">
        <f>Storage!$I$57/((1-Shipping!$J$37)^($F24/24/Shipping!$J$44+0.5*Shipping!$J$59))</f>
        <v>310425396.82539684</v>
      </c>
      <c r="CG24" s="28" t="str">
        <f>IF($E24="","No Port",((F24/24/Shipping!$J$44+F24/24/Shipping!$J$50+Shipping!$J$59+Shipping!$J$64)*(Shipping!$J$22+wacc_nl*Shipping!$J$19/365.25*1000000+Shipping!$J$35)+(F24/24/Shipping!$J$44*Shipping!$J$45+Shipping!$J$64*Shipping!$J$65)*IF(bunker_choice="HFO",$H24,IF(bunker_choice="hydrogen",$BD24*hfo_e_density_lhv/h2_e_density_lhv,(CB24+CD24)*1000000/CF24*hfo_e_density_lhv/FA_e_density_lhv))+(F24/24/Shipping!$J$50*Shipping!$J$51+Shipping!$J$59*Shipping!$J$60)*IF(bunker_choice="HFO",bunker_price_ROT,IF(bunker_choice="hydrogen",$BD24*hfo_e_density_lhv/h2_e_density_lhv,(CB24+CD24)*1000000/CF24*hfo_e_density_lhv/FA_e_density_lhv))+Shipping!$J$73+IF(G24="Panama",Shipping!$J$55,0)+IF(G24="Suez",Shipping!$J$56,0))/Shipping!$J$31*CF24/1000000+IF(inland_transport_to_port="hv dc grid",$BM24/100*1000*CI24,IF(inland_transport_to_port="pipeline",$BN24,0)))</f>
        <v>No Port</v>
      </c>
      <c r="CH24" s="28" t="str">
        <f t="shared" si="36"/>
        <v/>
      </c>
      <c r="CI24" s="29">
        <f>((Carriers!$P$18/Carriers!$P$23*alk_el_e_demand)+FA_e_demand)*(CF24+FA_st_ab_losses)/1000000+FA_st_e_demand*CF24/1000000</f>
        <v>1897.8881241622576</v>
      </c>
      <c r="CJ24" s="29">
        <f t="shared" si="20"/>
        <v>0.46563809523809524</v>
      </c>
      <c r="CK24" s="28" t="str">
        <f>IFERROR(CH24*1000000/Storage!$I$12,"")</f>
        <v/>
      </c>
      <c r="CL24" s="28" t="str">
        <f>IF($E24="","No Port",((F24/24/Shipping!$J$44+F24/24/Shipping!$J$50+Shipping!$J$59+Shipping!$J$64)*Carriers!$P$39*wacc_nl))</f>
        <v>No Port</v>
      </c>
      <c r="CM24" s="29">
        <f>H2_retrieval!$H$25*h2_demand_kt/1000+(co2_liq_e_demand+co2_st_e_demand*2)*Storage!$I$12*co2_density/FA_density/1000000</f>
        <v>94.204253879484654</v>
      </c>
      <c r="CN24" s="28" t="str">
        <f>IFERROR((((CB24+CD24+CG24)*(1+H2_retrieval!$H$34)+CL24)*1000000/H2_retrieval!$H$8)+h2_regen_fa,"")</f>
        <v/>
      </c>
      <c r="CO24" s="149">
        <f>(meoh_invest*(M24+1/meoh_lifetime)/meoh_prod+meoh_opex+meoh_e_demand*1000*$AU24/100+Carriers!$R$18/Carriers!$R$23*BD24+Carriers!$R$20/Carriers!$R$23*co2_liq_cost)*(CS24+meoh_st_ab_losses)/1000000</f>
        <v>56136.248235472827</v>
      </c>
      <c r="CP24" s="86">
        <f>(meoh_invest*(M24+1/meoh_lifetime)/meoh_prod+meoh_opex+meoh_e_demand*1000*$AU24/100+Carriers!$R$18/Carriers!$R$23*BD24+Carriers!$R$20/Carriers!$R$23*BP24)*(CS24+meoh_st_ab_losses)/1000000</f>
        <v>72180.82974814999</v>
      </c>
      <c r="CQ24" s="63">
        <f>meoh_st_nl_cost*meoh_st_nl_demand/1000000+(meoh_st_invest*(M24+1/meoh_st_lifetime+meoh_st_opex)/(Storage!$K$63/1000000)+meoh_st_e_demand*1000*$AU24/100)*(CS24+meoh_st_ab_losses)/1000000+co2_st_nl_cost*Storage!$K$12*co2_density/meoh_density/1000000+(co2_st_opex_lev+co2_st_invest_lev+co2_st_e_demand*1000*IFERROR(MIN(S24,AA24,AI24),S24)/100)*Storage!$K$12/1000000+co2_st_invest_lev*Storage!$K$12*co2_st_lifetime*M24/1000000+Carriers!$R$18/Carriers!$R$23*((CS24+meoh_st_ab_losses)/365.25*short_st_duration_hrs/24)*(h2_short_st_invest*(1/gh2_short_st_lifetime+$M24+h2_short_st_opex)+h2_short_st_e_demand*1000*$AU24/100)/1000000+Carriers!$R$20/Carriers!$R$23*((CF24+meoh_st_ab_losses)/365.25*short_st_duration_hrs/24)*(co2_short_st_invest*(1/co2_short_st_lifetime+$M24+co2_short_st_opex)+co2_short_st_e_demand*1000*$AU24/100)/1000000</f>
        <v>4939.7698809817957</v>
      </c>
      <c r="CR24" s="63">
        <f>meoh_st_nl_cost*meoh_st_nl_demand/1000000+(meoh_st_invest*(M24+1/meoh_st_lifetime+meoh_st_opex)/(Storage!$K$63/1000000)+meoh_st_e_demand*1000*$AU24/100)*(CS24+meoh_st_ab_losses)/1000000+Carriers!$R$18/Carriers!$R$23*((CS24+meoh_st_ab_losses)/365.25*short_st_duration_hrs/24)*(h2_short_st_invest*(1/gh2_short_st_lifetime+$M24+h2_short_st_opex)+h2_short_st_e_demand*1000*$AU24/100)/1000000+Carriers!$R$20/Carriers!$R$23*((CF24+meoh_st_ab_losses)/365.25*short_st_duration_hrs/24)*(co2_short_st_invest*(1/co2_short_st_lifetime+$M24+co2_short_st_opex)+co2_short_st_e_demand*1000*$AU24/100)/1000000</f>
        <v>2045.0596362607034</v>
      </c>
      <c r="CS24" s="63">
        <f>Storage!$K$57/((1-Shipping!$L$37)^($F24/24/Shipping!$L$44+0.5*Shipping!$L$59))</f>
        <v>108044444.44444443</v>
      </c>
      <c r="CT24" s="28" t="str">
        <f>IF($E24="","No Port",IF(AND(ship_choice="VLCC",G24="Panama"),"Ship cannot pass through Panama",IF(ship_choice="VLCC",((F24/24/Shipping!$AD$44+F24/24/Shipping!$AD$50+Shipping!$AD$59+Shipping!$AD$64)*(Shipping!$AD$22+wacc_nl*Shipping!$AD$19/365.25*1000000+Shipping!$AD$35)+(F24/24/Shipping!$AD$44*Shipping!$AD$45+Shipping!$AD$64*Shipping!$AD$65)*IF(bunker_choice="HFO",$H24,IF(bunker_choice="hydrogen",$BD24*hfo_e_density_lhv/h2_e_density_lhv,(CO24+CQ24)*1000000/CS24*hfo_e_density_lhv/meoh_e_density_lhv))+(F24/24/Shipping!$AD$50*Shipping!$AD$51+Shipping!$AD$59*Shipping!$AD$60)*IF(bunker_choice="HFO",bunker_price_ROT,IF(bunker_choice="hydrogen",$BD24*hfo_e_density_lhv/h2_e_density_lhv,(CO24+CQ24)*1000000/CS24*hfo_e_density_lhv/meoh_e_density_lhv))+Shipping!$AD$73+IF(G24="Panama",Shipping!$AD$55,0)+IF(G24="Suez",Shipping!$AD$56,0))/Shipping!$AD$31*CS24/1000000+IF(inland_transport_to_port="hv dc grid",$BM24/100*1000*CV24,IF(inland_transport_to_port="pipeline",$BN24,0)),((F24/24/Shipping!$L$44+F24/24/Shipping!$L$50+Shipping!$L$59+Shipping!$L$64)*(Shipping!$L$22+wacc_nl*Shipping!$L$19/365.25*1000000+Shipping!$L$35)+(F24/24/Shipping!$L$44*Shipping!$L$45+Shipping!$L$64*Shipping!$L$65)*IF(bunker_choice="HFO",$H24,IF(bunker_choice="hydrogen",$BD24*hfo_e_density_lhv/h2_e_density_lhv,(CO24+CQ24)*1000000/CS24*hfo_e_density_lhv/meoh_e_density_lhv))+(F24/24/Shipping!$L$50*Shipping!$L$51+Shipping!$L$59*Shipping!$L$60)*IF(bunker_choice="HFO",bunker_price_ROT,IF(bunker_choice="hydrogen",$BD24*hfo_e_density_lhv/h2_e_density_lhv,(CO24+CQ24)*1000000/CS24*hfo_e_density_lhv/meoh_e_density_lhv))+Shipping!$L$73+IF(G24="Panama",Shipping!$L$55,0)+IF(G24="Suez",Shipping!$L$56,0))/Shipping!$L$31*CS24/1000000+IF(inland_transport_to_port="hv dc grid",$BM24/100*1000*CV24,IF(inland_transport_to_port="pipeline",$BN24,0)))))</f>
        <v>No Port</v>
      </c>
      <c r="CU24" s="28" t="str">
        <f t="shared" si="37"/>
        <v/>
      </c>
      <c r="CV24" s="29">
        <f>((Carriers!$R$18/Carriers!$R$23*alk_el_e_demand)+meoh_e_demand)*(CS24+meoh_st_ab_losses)/1000000+meoh_st_e_demand*CS24/1000000</f>
        <v>1119.9789871111109</v>
      </c>
      <c r="CW24" s="29">
        <f t="shared" si="21"/>
        <v>0.16206666666666666</v>
      </c>
      <c r="CX24" s="28" t="str">
        <f>IFERROR(CU24*1000000/Storage!$K$12,"")</f>
        <v/>
      </c>
      <c r="CY24" s="28" t="str">
        <f>IF($E24="","No Port",((F24/24/Shipping!$L$44+F24/24/Shipping!$L$50+Shipping!$L$59+Shipping!$L$64)*Carriers!$R$39*wacc_nl))</f>
        <v>No Port</v>
      </c>
      <c r="CZ24" s="29">
        <f>H2_retrieval!$J$25*h2_demand_kt/1000+(co2_liq_e_demand+co2_st_e_demand*2)*Storage!$K$12*co2_density/meoh_density/1000000</f>
        <v>251.05079059698966</v>
      </c>
      <c r="DA24" s="28" t="str">
        <f>IFERROR((((CO24+CQ24+CT24)*(1+H2_retrieval!$J$34)+CY24)*1000000/H2_retrieval!$J$8)+h2_regen_meoh,"")</f>
        <v/>
      </c>
      <c r="DB24" s="149">
        <f>(DBT_invest*(M24+1/DBT_lifetime)/DBT_prod+DBT_opex+DBT_e_demand*1000*$AU24/100+Carriers!$T$18/Carriers!$T$23*BD24)*(DD24+DBT_st_ab_losses)/1000000</f>
        <v>38005.616161100916</v>
      </c>
      <c r="DC24" s="28">
        <f>2*(DBT_st_nl_cost*DBT_st_nl_demand/1000000+(DBT_st_invest*(M24+1/DBT_st_lifetime+DBT_st_opex)/(Storage!$M$63/1000000)+DBT_st_e_demand*1000*$AU24/100)*(DD24+DBT_st_ab_losses)/1000000)+Carriers!$T$18/Carriers!$T$23*((DD24+DBT_st_ab_losses)/365.25*short_st_duration_hrs/24)*(h2_short_st_invest*(1/gh2_short_st_lifetime+$M24+h2_short_st_opex)+h2_short_st_e_demand*1000*$AU24/100)/1000000</f>
        <v>4207.7126514969195</v>
      </c>
      <c r="DD24" s="63">
        <f>Storage!$M$57/((1-Shipping!$N$37)^($F24/24/Shipping!$N$44+0.5*Shipping!$N$59))</f>
        <v>219354838.70967743</v>
      </c>
      <c r="DE24" s="28" t="str">
        <f>IF($E24="","No Port",IF(AND(ship_choice="VLCC",G24="Panama"),"Ship cannot pass through Panama",IF(ship_choice="VLCC",((F24/24/Shipping!$AD$44+F24/24/Shipping!$AD$50+Shipping!$AD$59+Shipping!$AD$64)*(Shipping!$AD$22+wacc_nl*Shipping!$AD$19/365.25*1000000+Shipping!$AD$35)+(F24/24/Shipping!$AD$44*Shipping!$AD$45+Shipping!$AD$64*Shipping!$AD$65)*IF(bunker_choice="HFO",$H24,IF(bunker_choice="hydrogen",$BD24*hfo_e_density_lhv/h2_e_density_lhv,(DB24+DC24)*1000000/DD24*hfo_e_density_lhv/DBT_e_density_lhv))+(F24/24/Shipping!$AD$50*Shipping!$AD$51+Shipping!$AD$59*Shipping!$AD$60)*IF(bunker_choice="HFO",bunker_price_ROT,IF(bunker_choice="hydrogen",$BD24*hfo_e_density_lhv/h2_e_density_lhv,(DB24+DC24)*1000000/DD24*hfo_e_density_lhv/DBT_e_density_lhv))+Shipping!$AD$73+IF(G24="Panama",Shipping!$AD$55,0)+IF(G24="Suez",Shipping!$AD$56,0))/Shipping!$AD$31*DD24/1000000+IF(inland_transport_to_port="hv dc grid",$BM24/100*1000*DG24,IF(inland_transport_to_port="pipeline",$BN24,0)),((F24/24/Shipping!$N$44+F24/24/Shipping!$N$50+Shipping!$N$59+Shipping!$N$64)*(Shipping!$N$22+wacc_nl*Shipping!$N$19/365.25*1000000+Shipping!$N$35)+(F24/24/Shipping!$N$44*Shipping!$N$45+Shipping!$N$64*Shipping!$N$65)*IF(bunker_choice="HFO",$H24,IF(bunker_choice="hydrogen",$BD24*hfo_e_density_lhv/h2_e_density_lhv,(DB24+DC24)*1000000/DD24*hfo_e_density_lhv/DBT_e_density_lhv))+(F24/24/Shipping!$N$50*Shipping!$N$51+Shipping!$N$59*Shipping!$N$60)*IF(bunker_choice="HFO",bunker_price_ROT,IF(bunker_choice="hydrogen",$BD24*hfo_e_density_lhv/h2_e_density_lhv,(DB24+DC24)*1000000/DD24*hfo_e_density_lhv/DBT_e_density_lhv))+Shipping!$N$73+IF(G24="Panama",Shipping!$N$55,0)+IF(G24="Suez",Shipping!$N$56,0))/Shipping!$N$31*Shipping!$N$86/1000000+IF(inland_transport_to_port="hv dc grid",$BM24/100*1000*DG24,IF(inland_transport_to_port="pipeline",$BN24,0)))))</f>
        <v>No Port</v>
      </c>
      <c r="DF24" s="28" t="str">
        <f t="shared" si="53"/>
        <v/>
      </c>
      <c r="DG24" s="29">
        <f>((Carriers!$T$18/Carriers!$T$23*alk_el_e_demand)+DBT_e_demand)*(DD24+DBT_st_ab_losses)/1000000+DBT_st_e_demand*DD24/1000000</f>
        <v>703.88335483870969</v>
      </c>
      <c r="DH24" s="29">
        <f t="shared" si="23"/>
        <v>0.21935483870967742</v>
      </c>
      <c r="DI24" s="28" t="str">
        <f>IFERROR(DF24*1000000/Storage!$M$12,"")</f>
        <v/>
      </c>
      <c r="DJ24" s="28" t="str">
        <f>IF($E24="","No Port",((F24/24/Shipping!$N$44+F24/24/Shipping!$N$50+Shipping!$N$59+Shipping!$N$64)*Carriers!$T$39*wacc_nl))</f>
        <v>No Port</v>
      </c>
      <c r="DK24" s="100">
        <f>H2_retrieval!$L$25*h2_demand_kt/1000+(co2_liq_e_demand+co2_st_e_demand*2)*Storage!$M$12*co2_density/DBT_density/1000000</f>
        <v>206.61934861671787</v>
      </c>
      <c r="DL24" s="28" t="str">
        <f>IFERROR(((DF24*(1+H2_retrieval!$L$34)+DJ24)*1000000/H2_retrieval!$L$8)+h2_regen_lohc,"")</f>
        <v/>
      </c>
      <c r="DM24" s="149">
        <f t="shared" si="24"/>
        <v>46962.057981231643</v>
      </c>
      <c r="DN24" s="16">
        <f>2*(nabh4_st_nl_cost*nabh4_st_nl_demand/1000000+(nabh4_st_invest*(M24+1/nabh4_st_lifetime+nabh4_st_opex)/(Storage!$O$63/1000000)+nabh4_st_e_demand*1000*$AU24/100)*(DO24+nabh4_st_ab_losses)/1000000)+(h2_demand_kt*1000/365.25*short_st_duration_hrs/24)*(h2_short_st_invest*(1/gh2_short_st_lifetime+$M24+h2_short_st_opex)+h2_short_st_e_demand*1000*$AU24/100)/1000000</f>
        <v>1398.7331408568118</v>
      </c>
      <c r="DO24" s="63">
        <f>Storage!$O$57/((1-Shipping!$P$37)^($F24/24/Shipping!$P$44+0.5*Shipping!$P$59))</f>
        <v>63920000</v>
      </c>
      <c r="DP24" s="16" t="str">
        <f>IF($E24="","No Port",((F24/24/Shipping!$P$44+F24/24/Shipping!$P$50+Shipping!$P$59+Shipping!$P$64)*(Shipping!$P$22+wacc_nl*Shipping!$P$19/365.25*1000000+Shipping!$P$35)+(F24/24/Shipping!$P$44*Shipping!$P$45+Shipping!$P$64*Shipping!$P$65)*IF(bunker_choice="HFO",$H24,IF(bunker_choice="hydrogen",$BD24*hfo_e_density_lhv/h2_e_density_lhv,(DM24+DN24)*1000000/DO24*hfo_e_density_lhv/nabh4_e_density_lhv))+(F24/24/Shipping!$P$50*Shipping!$P$51+Shipping!$P$59*Shipping!$P$60)*IF(bunker_choice="HFO",bunker_price_ROT,IF(bunker_choice="hydrogen",$BD24*hfo_e_density_lhv/h2_e_density_lhv,(DM24+DN24)*1000000/DO24*hfo_e_density_lhv/nabh4_e_density_lhv))+Shipping!$P$73+IF(G24="Panama",Shipping!$P$55,0)+IF(G24="Suez",Shipping!$P$56,0))/Shipping!$P$31*(DO24+nabh4_st_ab_losses)/1000000+IF(inland_transport_to_port="hv dc grid",$BM24/100*1000*DR24,IF(inland_transport_to_port="pipeline",$BN24,0)))</f>
        <v>No Port</v>
      </c>
      <c r="DQ24" s="28" t="str">
        <f t="shared" si="54"/>
        <v/>
      </c>
      <c r="DR24" s="29">
        <f>((Carriers!$V$18/Carriers!$V$23*alk_el_e_demand)+nabh4_e_demand)*(DO24+nabh4_st_ab_losses)/1000000+nabh4_st_e_demand*DO24/1000000</f>
        <v>980.02139682539689</v>
      </c>
      <c r="DS24" s="28">
        <f t="shared" si="25"/>
        <v>3.1960000000000002</v>
      </c>
      <c r="DT24" s="28" t="str">
        <f>IFERROR(DQ24*1000000/Storage!$O$12,"")</f>
        <v/>
      </c>
      <c r="DU24" s="28" t="str">
        <f>IF($E24="","No Port",((F24/24/Shipping!$P$44+F24/24/Shipping!$P$50+Shipping!$P$59+Shipping!$P$64)*Carriers!$V$39*wacc_nl))</f>
        <v>No Port</v>
      </c>
      <c r="DV24" s="100">
        <f>H2_retrieval!$N$25*h2_demand_kt/1000+(co2_liq_e_demand+co2_st_e_demand*2)*Storage!$O$12*co2_density/nabh4_density/1000000</f>
        <v>18.783638728971958</v>
      </c>
      <c r="DW24" s="28" t="str">
        <f>IFERROR(((DQ24*(1+H2_retrieval!$N$34)+DU24)*1000000/H2_retrieval!$N$8)+h2_regen_nabh4,"")</f>
        <v/>
      </c>
      <c r="DX24" s="149">
        <f>(Dme_invest*(M24+1/Dme_lifetime)/Dme_prod+Dme_opex+Dme_e_demand*1000*$AU24/100+Carriers!$X$21/Carriers!$X$23*(CO24*1000000/CS24))*(EB24+Dme_st_ab_losses)/1000000</f>
        <v>79204.987876297891</v>
      </c>
      <c r="DY24" s="86">
        <f>(Dme_invest*(M24+1/Dme_lifetime)/Dme_prod+Dme_opex+Dme_e_demand*1000*$AU24/100+Carriers!$X$21/Carriers!$X$23*(CP24*1000000/CS24))*(EB24+Dme_st_ab_losses)/1000000</f>
        <v>100972.09420155079</v>
      </c>
      <c r="DZ24" s="63">
        <f>Dme_st_nl_cost*Dme_st_nl_demand/1000000+(Dme_st_invest*(M24+1/Dme_st_lifetime+Dme_st_opex)/(Storage!$Q$63/1000000)+Dme_st_e_demand*1000*$AU24/100)*(EB24+Dme_st_ab_losses)/1000000+co2_st_nl_cost*Storage!$Q$12*co2_density/Dme_density/1000000+(co2_st_opex_lev+co2_st_invest_lev+co2_st_e_demand*1000*$AU24/100)*Storage!$Q$12/1000000+co2_st_invest_lev*Storage!$Q$12*co2_st_lifetime*M24/1000000+(h2_demand_kt*1000/365.25*short_st_duration_hrs/24)*(h2_short_st_invest*(1/gh2_short_st_lifetime+$M24+h2_short_st_opex)+h2_short_st_e_demand*1000*$AU24/100)/1000000</f>
        <v>5960.6163458354777</v>
      </c>
      <c r="EA24" s="63">
        <f>Dme_st_nl_cost*Dme_st_nl_demand/1000000+(Dme_st_invest*(M24+1/Dme_st_lifetime+Dme_st_opex)/(Storage!$Q$63/1000000)+Dme_st_e_demand*1000*$AU24/100)*(EB24+Dme_st_ab_losses)/1000000+(h2_demand_kt*1000/365.25*short_st_duration_hrs/24)*(h2_short_st_invest*(1/gh2_short_st_lifetime+$M24+h2_short_st_opex)+h2_short_st_e_demand*1000*$AU24/100)/1000000</f>
        <v>3059.4978405697939</v>
      </c>
      <c r="EB24" s="63">
        <f>Storage!$Q$57/((1-Shipping!$R$37)^($F24/24/Shipping!$R$44+0.5*Shipping!$R$59))</f>
        <v>103547089.94708996</v>
      </c>
      <c r="EC24" s="153" t="str">
        <f>IF($E24="","No Port",IF(AND(ship_choice="VLCC",G24="Panama"),"Ship cannot pass through Panama",IF(ship_choice="VLCC",((F24/24/Shipping!$AD$44+F24/24/Shipping!$AD$50+Shipping!$AD$59+Shipping!$AD$64)*(Shipping!$AD$22+wacc_nl*Shipping!$AD$19/365.25*1000000+Shipping!$AD$35)+(F24/24/Shipping!$AD$44*Shipping!$AD$45+Shipping!$AD$64*Shipping!$AD$65)*IF(bunker_choice="HFO",$H24,IF(bunker_choice="hydrogen",$BD24*hfo_e_density_lhv/h2_e_density_lhv,(DX24+DZ24)*1000000/EB24*hfo_e_density_lhv/Dme_e_density_lhv))+(F24/24/Shipping!$AD$50*Shipping!$AD$51+Shipping!$AD$59*Shipping!$AD$60)*IF(bunker_choice="HFO",bunker_price_ROT,IF(bunker_choice="hydrogen",$BD24*hfo_e_density_lhv/h2_e_density_lhv,(DX24+DZ24)*1000000/EB24*hfo_e_density_lhv/Dme_e_density_lhv))+Shipping!$AD$73+IF(G24="Panama",Shipping!$AD$55,0)+IF(G24="Suez",Shipping!$AD$56,0))/Shipping!$AD$31*(EB24+Dme_st_ab_losses)/1000000+IF(inland_transport_to_port="hv dc grid",$BM24/100*1000*EE24,IF(inland_transport_to_port="pipeline",$BN24,0)),((F24/24/Shipping!$R$44+F24/24/Shipping!$R$50+Shipping!$R$59+Shipping!$R$64)*(Shipping!$R$22+wacc_nl*Shipping!$R$19/365.25*1000000+Shipping!$R$35)+(F24/24/Shipping!$R$44*Shipping!$R$45+Shipping!$R$64*Shipping!$R$65)*IF(bunker_choice="HFO",$H24,IF(bunker_choice="hydrogen",$BD24*hfo_e_density_lhv/h2_e_density_lhv,(DX24+DZ24)*1000000/EB24*hfo_e_density_lhv/Dme_e_density_lhv))+(F24/24/Shipping!$R$50*Shipping!$R$51+Shipping!$R$59*Shipping!$R$60)*IF(bunker_choice="HFO",bunker_price_ROT,IF(bunker_choice="hydrogen",$BD24*hfo_e_density_lhv/h2_e_density_lhv,(DX24+DZ24)*1000000/EB24*hfo_e_density_lhv/Dme_e_density_lhv))+Shipping!$R$73+IF(G24="Panama",Shipping!$R$55,0)+IF(G24="Suez",Shipping!$R$56,0))/Shipping!$R$31*(EB24+Dme_st_ab_losses)/1000000+IF(inland_transport_to_port="hv dc grid",$BM24/100*1000*EE24,IF(inland_transport_to_port="pipeline",$BN24,0)))))</f>
        <v>No Port</v>
      </c>
      <c r="ED24" s="28" t="str">
        <f t="shared" si="39"/>
        <v/>
      </c>
      <c r="EE24" s="29">
        <f>(Dme_e_demand)*(EB24+Dme_st_ab_losses)/1000000+Dme_st_e_demand*DZ24/1000000+$CV24*(Carriers!$X$21/Carriers!$X$23*EB24)/$CS24</f>
        <v>1550.2168197732192</v>
      </c>
      <c r="EF24" s="29">
        <f t="shared" si="26"/>
        <v>1.0354708994708997</v>
      </c>
      <c r="EG24" s="28" t="str">
        <f>IFERROR(ED24*1000000/Storage!$Q$12,"")</f>
        <v/>
      </c>
      <c r="EH24" s="28" t="str">
        <f>IF($E24="","No Port",((F24/24/Shipping!$R$44+F24/24/Shipping!$R$50+Shipping!$R$59+Shipping!$R$64)*Carriers!$X$39*wacc_nl))</f>
        <v>No Port</v>
      </c>
      <c r="EI24" s="100">
        <f>H2_retrieval!$P$25*h2_demand_kt/1000+(co2_liq_e_demand+co2_st_e_demand*2)*Storage!$Q$12*co2_density/Dme_density/1000000</f>
        <v>252.45335899349112</v>
      </c>
      <c r="EJ24" s="28" t="str">
        <f>IFERROR((((DX24+DZ24+EC24)*(1+H2_retrieval!$P$34)+EH24)*1000000/H2_retrieval!$P$8)+h2_regen_dme,"")</f>
        <v/>
      </c>
      <c r="EK24" s="149">
        <f>(ome_invest*(M24+1/ome_lifetime)/ome_prod+ome_opex+ome_e_demand*1000*$AU24/100+Carriers!$Z$21/Carriers!$Z$23*(CO24*1000000/CS24))*(EO24+ome_st_ab_losses)/1000000</f>
        <v>172728.36592774035</v>
      </c>
      <c r="EL24" s="86">
        <f>(ome_invest*(M24+1/ome_lifetime)/ome_prod+ome_opex+ome_e_demand*1000*$AU24/100+Carriers!$Z$21/Carriers!$Z$23*(CP24*1000000/CS24))*(EO24+ome_st_ab_losses)/1000000</f>
        <v>218421.75935539114</v>
      </c>
      <c r="EM24" s="63">
        <f>ome_st_nl_cost*ome_st_nl_demand/1000000+(ome_st_invest*(M24+1/ome_st_lifetime+ome_st_opex)/(Storage!$S$63/1000000)+ome_st_e_demand*1000*$AU24/100)*(EO24+ome_st_ab_losses)/1000000+co2_st_nl_cost*Storage!$S$12*co2_density/ome_density/1000000+(co2_st_opex_lev+co2_st_invest_lev+co2_st_e_demand*1000*$AU24/100)*Storage!$S$12/1000000+co2_st_invest_lev*Storage!$S$12*co2_st_lifetime*M24/1000000+(h2_demand_kt*1000/365.25*short_st_duration_hrs/24)*(h2_short_st_invest*(1/gh2_short_st_lifetime+$M24+h2_short_st_opex)+h2_short_st_e_demand*1000*$AU24/100)/1000000</f>
        <v>5096.5727798989328</v>
      </c>
      <c r="EN24" s="63">
        <f>ome_st_nl_cost*ome_st_nl_demand/1000000+(ome_st_invest*(M24+1/ome_st_lifetime+ome_st_opex)/(Storage!$S$63/1000000)+ome_st_e_demand*1000*$AU24/100)*(EO24+ome_st_ab_losses)/1000000+(h2_demand_kt*1000/365.25*short_st_duration_hrs/24)*(h2_short_st_invest*(1/gh2_short_st_lifetime+$M24+h2_short_st_opex)+h2_short_st_e_demand*1000*$AU24/100)/1000000</f>
        <v>1841.399537212689</v>
      </c>
      <c r="EO24" s="63">
        <f>Storage!$S$57/((1-Shipping!$T$37)^($F24/24/Shipping!$T$44+0.5*Shipping!$T$59))</f>
        <v>128282539.68253967</v>
      </c>
      <c r="EP24" s="28" t="str">
        <f>IF($E24="","No Port",IF(AND(ship_choice="VLCC",G24="Panama"),"Ship cannot pass through Panama",IF(ship_choice="VLCC",((F24/24/Shipping!$AD$44+F24/24/Shipping!$AD$50+Shipping!$AD$59+Shipping!$AD$64)*(Shipping!$AD$22+wacc_nl*Shipping!$AD$19/365.25*1000000+Shipping!$AD$35)+(F24/24/Shipping!$AD$44*Shipping!$AD$45+Shipping!$AD$64*Shipping!$AD$65)*IF(bunker_choice="HFO",$H24,IF(bunker_choice="hydrogen",$BD24*hfo_e_density_lhv/h2_e_density_lhv,(EK24+EM24)*1000000/EO24*hfo_e_density_lhv/Dme_e_density_lhv))+(F24/24/Shipping!$AD$50*Shipping!$AD$51+Shipping!$AD$59*Shipping!$AD$60)*IF(bunker_choice="HFO",bunker_price_ROT,IF(bunker_choice="hydrogen",$BD24*hfo_e_density_lhv/h2_e_density_lhv,(EK24+EM24)*1000000/EO24*hfo_e_density_lhv/ome_e_density_lhv))+Shipping!$AD$73+IF(G24="Panama",Shipping!$AD$55,0)+IF(G24="Suez",Shipping!$AD$56,0))/Shipping!$AD$31*(EO24+ome_st_ab_losses)/1000000+IF(inland_transport_to_port="hv dc grid",$BM24/100*1000*ER24,IF(inland_transport_to_port="pipeline",$BN24,0)),((F24/24/Shipping!$T$44+F24/24/Shipping!$T$50+Shipping!$T$59+Shipping!$T$64)*(Shipping!$T$22+wacc_nl*Shipping!$T$19/365.25*1000000+Shipping!$T$35)+(F24/24/Shipping!$T$44*Shipping!$T$45+Shipping!$T$64*Shipping!$T$65)*IF(bunker_choice="HFO",$H24,IF(bunker_choice="hydrogen",$BD24*hfo_e_density_lhv/h2_e_density_lhv,(EK24+EM24)*1000000/EO24*hfo_e_density_lhv/Dme_e_density_lhv))+(F24/24/Shipping!$T$50*Shipping!$T$51+Shipping!$T$59*Shipping!$T$60)*IF(bunker_choice="HFO",bunker_price_ROT,IF(bunker_choice="hydrogen",$BD24*hfo_e_density_lhv/h2_e_density_lhv,(EK24+EM24)*1000000/EO24*hfo_e_density_lhv/ome_e_density_lhv))+Shipping!$T$73+IF(G24="Panama",Shipping!$T$55,0)+IF(G24="Suez",Shipping!$T$56,0))/Shipping!$T$31*(EO24+ome_st_ab_losses)/1000000+IF(inland_transport_to_port="hv dc grid",$BM24/100*1000*ER24,IF(inland_transport_to_port="pipeline",$BN24,0)))))</f>
        <v>No Port</v>
      </c>
      <c r="EQ24" s="28" t="str">
        <f t="shared" si="40"/>
        <v/>
      </c>
      <c r="ER24" s="29">
        <f>(ome_e_demand)*(EO24+ome_st_ab_losses)/1000000+ome_st_e_demand*EM24/1000000+$CV24*(Carriers!$Z$21/Carriers!$Z$23*EO24)/$CS24</f>
        <v>3352.0814577856427</v>
      </c>
      <c r="ES24" s="29">
        <f t="shared" si="27"/>
        <v>0.1924238095238095</v>
      </c>
      <c r="ET24" s="28" t="str">
        <f>IFERROR(EQ24*1000000/Storage!$S$12,"")</f>
        <v/>
      </c>
      <c r="EU24" s="28" t="str">
        <f>IF($E24="","No Port",((F24/24/Shipping!$T$44+F24/24/Shipping!$T$50+Shipping!$T$59+Shipping!$T$64)*Carriers!$Z$39*wacc_nl))</f>
        <v>No Port</v>
      </c>
      <c r="EV24" s="100">
        <f>H2_retrieval!$R$25*h2_demand_kt/1000+(co2_liq_e_demand+co2_st_e_demand*2)*Storage!$S$12*co2_density/ome_density/1000000</f>
        <v>254.51942895252085</v>
      </c>
      <c r="EW24" s="28" t="str">
        <f>IFERROR((((EK24+EM24+EP24)*(1+H2_retrieval!$R$34)+EU24)*1000000/H2_retrieval!$R$8)+h2_regen_ome,"")</f>
        <v/>
      </c>
      <c r="EX24" s="149">
        <f>(sng_invest*(M24+1/sng_lifetime)/sng_prod+lng_invest*(M24+1/lng_lifetime)/lng_prod+sng_opex+lng_opex+(sng_e_demand+lng_e_demand)*1000*$AU24/100+Carriers!$AB$18/Carriers!$AB$23*BD24+Carriers!$AB$20/Carriers!$AB$23*co2_liq_cost)*(FB24+lng_st_ab_losses)/1000000</f>
        <v>60959.735418682874</v>
      </c>
      <c r="EY24" s="86">
        <f>(sng_invest*(M24+1/sng_lifetime)/sng_prod+lng_invest*(M24+1/lng_lifetime)/lng_prod+sng_opex+lng_opex+(sng_e_demand+lng_e_demand)*1000*$AU24/100+Carriers!$AB$18/Carriers!$AB$23*BD24+Carriers!$AB$20/Carriers!$AB$23*BP24)*(FB24+lng_st_ab_losses)/1000000</f>
        <v>72823.799709961604</v>
      </c>
      <c r="EZ24" s="63">
        <f>lng_st_nl_cost*lng_st_nl_demand/1000000+(lng_st_invest*(M24+1/lng_st_lifetime+lng_st_opex)/(Storage!$U$63/1000000)+lng_st_e_demand*1000*$AU24/100)*(FB24+lng_st_ab_losses)/1000000+co2_st_nl_cost*Storage!$U$12*co2_density/lng_density/1000000+(co2_st_opex_lev+co2_st_invest_lev+co2_st_e_demand*1000*$AU24/100)*Storage!$U$12/1000000+co2_st_invest_lev*Storage!$U$12*co2_st_lifetime*M24/1000000+Carriers!$AB$18/Carriers!$AB$23*((FB24+lng_st_ab_losses)/365.25*short_st_duration_hrs/24)*(h2_short_st_invest*(1/gh2_short_st_lifetime+$M24+h2_short_st_opex)+h2_short_st_e_demand*1000*$AU24/100)/1000000+Carriers!$AB$20/Carriers!$AB$23*((FB24+lng_st_ab_losses)/365.25*short_st_duration_hrs/24)*(co2_short_st_invest*(1/co2_short_st_lifetime+$M24+co2_short_st_opex)+co2_short_st_e_demand*1000*$AU24/100)/1000000</f>
        <v>6328.3412543059476</v>
      </c>
      <c r="FA24" s="63">
        <f>lng_st_nl_cost*lng_st_nl_demand/1000000+(lng_st_invest*(M24+1/lng_st_lifetime+lng_st_opex)/(Storage!$U$63/1000000)+lng_st_e_demand*1000*$AU24/100)*(FB24+lng_st_ab_losses)/1000000+Carriers!$AB$18/Carriers!$AB$23*((FB24+lng_st_ab_losses)/365.25*short_st_duration_hrs/24)*(h2_short_st_invest*(1/gh2_short_st_lifetime+$M24+h2_short_st_opex)+h2_short_st_e_demand*1000*$AU24/100)/1000000+Carriers!$AB$20/Carriers!$AB$23*((FB24+lng_st_ab_losses)/365.25*short_st_duration_hrs/24)*(co2_short_st_invest*(1/co2_short_st_lifetime+$M24+co2_short_st_opex)+co2_short_st_e_demand*1000*$AU24/100)/1000000</f>
        <v>4753.5918684390108</v>
      </c>
      <c r="FB24" s="63">
        <f>Storage!$U$57/((1-Shipping!$V$37)^($F24/24/Shipping!$V$44+0.5*Shipping!$V$59))</f>
        <v>40707231.50721889</v>
      </c>
      <c r="FC24" s="28" t="str">
        <f>IF($E24="","No Port",IF(G24="Panama","Ship cannot pass through Panama",((F24/24/Shipping!$V$44+F24/24/Shipping!$V$50+Shipping!$V$59+Shipping!$V$64)*(Shipping!$V$22+wacc_nl*Shipping!$V$19/365.25*1000000+Shipping!$V$35)+(F24/24/Shipping!$V$44*Shipping!$V$45+Shipping!$V$64*Shipping!$V$65)*IF(bunker_choice="HFO",$H24,IF(bunker_choice="hydrogen",$BD24*hfo_e_density_lhv/h2_e_density_lhv,(EX24+EZ24)*1000000/FB24*hfo_e_density_lhv/lng_e_density_lhv))+(F24/24/Shipping!$V$50*Shipping!$V$51+Shipping!$V$59*Shipping!$V$60)*IF(bunker_choice="HFO",bunker_price_ROT,IF(bunker_choice="hydrogen",$BD24*hfo_e_density_lhv/h2_e_density_lhv,(EX24+EZ24)*1000000/FB24*hfo_e_density_lhv/lng_e_density_lhv))+Shipping!$V$73+IF(G24="Panama",Shipping!$V$55,0)+IF(G24="Suez",Shipping!$V$56,0))/Shipping!$V$31*(FB24+lng_st_ab_losses)/1000000)+IF(inland_transport_to_port="hv dc grid",$BM24/100*1000*FE24,IF(inland_transport_to_port="pipeline",$BN24,0)))</f>
        <v>No Port</v>
      </c>
      <c r="FD24" s="28" t="str">
        <f t="shared" si="41"/>
        <v/>
      </c>
      <c r="FE24" s="29">
        <f>((Carriers!$AB$18/Carriers!$AB$23*alk_el_e_demand)+sng_e_demand+lng_e_demand)*(FB24+lng_st_ab_losses)/1000000+lng_st_e_demand*EZ24/1000000</f>
        <v>1091.7518855954743</v>
      </c>
      <c r="FF24" s="29">
        <f t="shared" si="28"/>
        <v>0.8126185861001558</v>
      </c>
      <c r="FG24" s="28" t="str">
        <f>IFERROR(FD24*1000000/Storage!$U$12,"")</f>
        <v/>
      </c>
      <c r="FH24" s="28" t="str">
        <f>IF($E24="","No Port",((F24/24/Shipping!$V$44+F24/24/Shipping!$V$50+Shipping!$V$59+Shipping!$V$64)*Carriers!$AB$39*wacc_nl))</f>
        <v>No Port</v>
      </c>
      <c r="FI24" s="100">
        <f>H2_retrieval!$T$25*h2_demand_kt/1000+(co2_liq_e_demand+co2_st_e_demand*2)*Storage!$U$12*co2_density/lng_density/1000000</f>
        <v>236.51371749646054</v>
      </c>
      <c r="FJ24" s="28" t="str">
        <f>IFERROR((((EX24+EZ24+FC24)*(1+H2_retrieval!$T$34)+FH24)*1000000/H2_retrieval!$T$8)+h2_regen_lng,"")</f>
        <v/>
      </c>
      <c r="FK24" s="149">
        <f>(lh2_invest*(M24+1/lh2_lifetime)/lh2_prod+lh2_opex+lh2_e_demand*1000*$AU24/100+Carriers!$AD$18/Carriers!$AD$23*BD24)*(FM24+lh2_st_ab_losses)/1000000</f>
        <v>47992.104770644488</v>
      </c>
      <c r="FL24" s="28">
        <f>lh2_st_nl_cost*lh2_st_nl_demand/1000000+(lh2_st_invest*(M24+1/lh2_st_lifetime+lh2_st_opex)/(Storage!$Y$63/1000000)+lh2_st_e_demand*1000*$AU24/100)*(FM24+lh2_st_ab_losses)/1000000+((FM24+lh2_st_ab_losses)/365.25*short_st_duration_hrs/24)*(h2_short_st_invest*(1/gh2_short_st_lifetime+$M24+h2_short_st_opex)+h2_short_st_e_demand*1000*$AU24/100)/1000000</f>
        <v>54999.811798005932</v>
      </c>
      <c r="FM24" s="63">
        <f>Storage!$Y$57/((1-Shipping!$Z$37)^($F24/24/Shipping!$Z$44+0.5*Shipping!$Z$59))</f>
        <v>13659984.090217989</v>
      </c>
      <c r="FN24" s="28" t="str">
        <f>IF($E24="","No Port",IF(G24="Panama","Ship cannot pass through Panama",((F24/24/Shipping!$Z$44+F24/24/Shipping!$Z$50+Shipping!$Z$59+Shipping!$Z$64)*(Shipping!$Z$22+wacc_nl*Shipping!$Z$19/365.25*1000000+Shipping!$Z$35)+(F24/24/Shipping!$Z$44*Shipping!$Z$45+Shipping!$Z$64*Shipping!$Z$65)*IF(bunker_choice="HFO",$H24,IF(bunker_choice="hydrogen",$BD24*hfo_e_density_lhv/h2_e_density_lhv,(FK24+FL24)*1000000/FM24*hfo_e_density_lhv/lh2_e_density_lhv))+(F24/24/Shipping!$Z$50*Shipping!$Z$51+Shipping!$Z$59*Shipping!$Z$60)*IF(bunker_choice="HFO",bunker_price_ROT,IF(bunker_choice="hydrogen",$BD24*hfo_e_density_lhv/h2_e_density_lhv,(FK24+FL24)*1000000/FM24*hfo_e_density_lhv/lh2_e_density_lhv))+Shipping!$Z$73+IF(G24="Panama",Shipping!$Z$55,0)+IF(G24="Suez",Shipping!$Z$56,0))/Shipping!$Z$31*(FM24+lh2_st_ab_losses)/1000000)+IF(inland_transport_to_port="hv dc grid",$BM24/100*1000*FP24,IF(inland_transport_to_port="pipeline",$BN24,0)))</f>
        <v>No Port</v>
      </c>
      <c r="FO24" s="28" t="str">
        <f t="shared" si="42"/>
        <v/>
      </c>
      <c r="FP24" s="29">
        <f>((Carriers!$AD$18/Carriers!$AD$23*alk_el_e_demand)+lh2_e_demand)*(FM24+lh2_st_ab_losses)/1000000+lh2_st_e_demand*FM24/1000000</f>
        <v>791.60233245091877</v>
      </c>
      <c r="FQ24" s="100">
        <f t="shared" si="29"/>
        <v>1.361902463475859</v>
      </c>
      <c r="FR24" s="28" t="str">
        <f>IFERROR(FO24*1000000/Storage!$Y$12,"")</f>
        <v/>
      </c>
      <c r="FS24" s="100">
        <f>H2_retrieval!$V$25*h2_demand_kt/1000</f>
        <v>8.16</v>
      </c>
      <c r="FT24" s="28" t="str">
        <f>IFERROR(FR24*(1+H2_retrieval!$V$34)/Carrier_properties!$U$7+H2_retrieval!$V$38,"")</f>
        <v/>
      </c>
      <c r="FU24" s="12"/>
      <c r="FV24" s="24">
        <f t="shared" si="30"/>
        <v>2.1654955272287553</v>
      </c>
      <c r="FW24" s="24" t="str">
        <f t="shared" si="43"/>
        <v/>
      </c>
      <c r="FX24" s="24" t="str">
        <f t="shared" si="44"/>
        <v/>
      </c>
      <c r="FY24" s="24">
        <f t="shared" si="45"/>
        <v>2.1654955272287553</v>
      </c>
      <c r="FZ24" s="28">
        <f t="shared" si="46"/>
        <v>2552.5471013547326</v>
      </c>
      <c r="GA24" s="28">
        <f t="shared" si="47"/>
        <v>597.22879129977446</v>
      </c>
      <c r="GB24" s="28">
        <f t="shared" si="48"/>
        <v>391.59606945016236</v>
      </c>
      <c r="GC24" s="28">
        <f t="shared" si="49"/>
        <v>668.06609186893252</v>
      </c>
      <c r="GD24" s="28">
        <f t="shared" si="50"/>
        <v>975.13212832098986</v>
      </c>
      <c r="GE24" s="28">
        <f t="shared" si="51"/>
        <v>1702.6616396582003</v>
      </c>
      <c r="GF24" s="28">
        <f t="shared" si="52"/>
        <v>1788.96468793382</v>
      </c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</row>
    <row r="25" spans="1:214" x14ac:dyDescent="0.2">
      <c r="A25" s="40" t="s">
        <v>17</v>
      </c>
      <c r="B25" s="12">
        <v>9190</v>
      </c>
      <c r="C25" s="12">
        <v>0.1</v>
      </c>
      <c r="D25" s="12">
        <f t="shared" si="0"/>
        <v>0.9</v>
      </c>
      <c r="E25" s="12" t="s">
        <v>704</v>
      </c>
      <c r="F25" s="12">
        <v>5430</v>
      </c>
      <c r="G25" s="12"/>
      <c r="H25" s="16">
        <f t="shared" si="1"/>
        <v>382.75862068965517</v>
      </c>
      <c r="I25" s="16">
        <v>8358140</v>
      </c>
      <c r="J25" s="16">
        <f t="shared" si="31"/>
        <v>1631.0973582555359</v>
      </c>
      <c r="K25" s="27">
        <f t="shared" si="32"/>
        <v>1957.3168299066431</v>
      </c>
      <c r="L25" s="103">
        <v>0.28399999999999997</v>
      </c>
      <c r="M25" s="103">
        <f t="shared" si="2"/>
        <v>0.24225268572939762</v>
      </c>
      <c r="N25" s="122">
        <f t="shared" si="33"/>
        <v>0.8</v>
      </c>
      <c r="O25" s="46">
        <f t="shared" si="3"/>
        <v>40</v>
      </c>
      <c r="P25" s="70">
        <f t="array" ref="P25">SUMPRODUCT(IF(Solar_data!A$4:A$777=A25,Solar_data!C$4:C$777),IF(Solar_data!A$4:A$777=A25,Solar_data!I$4:I$777))/SUMIF(Solar_data!A$4:A$777,A25,Solar_data!I$4:I$777)</f>
        <v>1982.4513736608319</v>
      </c>
      <c r="Q25" s="16">
        <f t="array" ref="Q25">MAX(IF(Solar_data!$A$777:'Solar_data'!$A$4=Country_details!$A25,Solar_data!$C$4:'Solar_data'!$C$777))</f>
        <v>2463.75</v>
      </c>
      <c r="R25" s="16">
        <f t="array" ref="R25">MIN(IF(Solar_data!$A$777:'Solar_data'!$A$4=Country_details!A25,Solar_data!$C$4:'Solar_data'!$C$777))</f>
        <v>91.25</v>
      </c>
      <c r="S25" s="24">
        <f t="shared" si="4"/>
        <v>4.3780494197704707</v>
      </c>
      <c r="T25" s="24">
        <f t="shared" si="5"/>
        <v>3.5227884672466674</v>
      </c>
      <c r="U25" s="24">
        <f t="shared" si="6"/>
        <v>95.115288615660035</v>
      </c>
      <c r="V25" s="16">
        <f t="array" ref="V25">SUM(IF(Solar_data!$A$777:'Solar_data'!$A$4=Country_details!$A25,Solar_data!$I$4:'Solar_data'!$I$777))</f>
        <v>59983.473794393736</v>
      </c>
      <c r="W25" s="148"/>
      <c r="X25" s="16">
        <f>IFERROR(INDEX(Onshore_wind_data!$J$5:'Onshore_wind_data'!$J$221,MATCH(A25,Onshore_wind_data!$B$5:'Onshore_wind_data'!$B$221,0)),"")</f>
        <v>3344.0890262688827</v>
      </c>
      <c r="Y25" s="16">
        <f>IFERROR(INDEX(Onshore_wind_data!$K$5:'Onshore_wind_data'!$K$221,MATCH(A25,Onshore_wind_data!$B$5:'Onshore_wind_data'!$B$221,0)),"")</f>
        <v>3971</v>
      </c>
      <c r="Z25" s="16">
        <f>IFERROR(INDEX(Onshore_wind_data!$L$5:'Onshore_wind_data'!$L$221,MATCH(A25,Onshore_wind_data!$B$5:'Onshore_wind_data'!$B$221,0)),"")</f>
        <v>2847.5</v>
      </c>
      <c r="AA25" s="24">
        <f t="shared" si="7"/>
        <v>7.0409262532674255</v>
      </c>
      <c r="AB25" s="24">
        <f t="shared" si="8"/>
        <v>5.9293589066532553</v>
      </c>
      <c r="AC25" s="24">
        <f t="shared" si="9"/>
        <v>8.2688267667498074</v>
      </c>
      <c r="AD25" s="16">
        <f>IFERROR(INDEX(Onshore_wind_data!$I$5:'Onshore_wind_data'!$I$221,MATCH(A25,Onshore_wind_data!$B$5:'Onshore_wind_data'!$B$221,0)),"")</f>
        <v>53929.155831903001</v>
      </c>
      <c r="AE25" s="148"/>
      <c r="AF25" s="16">
        <f>INDEX(Offshore_wind_data!$AA$7:$AA$192,MATCH(Country_details!A25,Offshore_wind_data!$A$7:$A$192,0))</f>
        <v>3818.0159573178121</v>
      </c>
      <c r="AG25" s="16">
        <f>INDEX(Offshore_wind_data!$Y$7:$Y$192,MATCH(Country_details!A25,Offshore_wind_data!$A$7:$A$192,0))</f>
        <v>4204.8</v>
      </c>
      <c r="AH25" s="16">
        <f>INDEX(Offshore_wind_data!$Z$7:$Z$192,MATCH(Country_details!A25,Offshore_wind_data!$A$7:$A$192,0))</f>
        <v>3153.6</v>
      </c>
      <c r="AI25" s="24">
        <f t="shared" si="10"/>
        <v>11.449762518233705</v>
      </c>
      <c r="AJ25" s="24">
        <f t="shared" si="11"/>
        <v>10.396541096393564</v>
      </c>
      <c r="AK25" s="24">
        <f t="shared" si="12"/>
        <v>13.862054795191423</v>
      </c>
      <c r="AL25" s="16">
        <f>INDEX(Offshore_wind_data!$W$7:$W$191,MATCH(A25,Offshore_wind_data!$A$7:$A$191,0))</f>
        <v>11335.383935999998</v>
      </c>
      <c r="AM25" s="148"/>
      <c r="AN25" s="12">
        <v>209.3</v>
      </c>
      <c r="AO25" s="12">
        <v>232.7</v>
      </c>
      <c r="AP25" s="34">
        <f>1.438*11.63</f>
        <v>16.723939999999999</v>
      </c>
      <c r="AQ25" s="15">
        <f t="shared" si="13"/>
        <v>50</v>
      </c>
      <c r="AR25" s="12">
        <f t="shared" si="34"/>
        <v>11635</v>
      </c>
      <c r="AS25" s="16">
        <f t="shared" si="35"/>
        <v>113613.01356229674</v>
      </c>
      <c r="AT25" s="12"/>
      <c r="AU25" s="24">
        <f t="shared" si="14"/>
        <v>6.0498469710141078</v>
      </c>
      <c r="AV25" s="16">
        <f t="shared" si="15"/>
        <v>5326.5403999297141</v>
      </c>
      <c r="AW25" s="149">
        <f>HV_DC_Grid!$E$3/(1-AX25)*AU25/100*1000</f>
        <v>7373.9131080386978</v>
      </c>
      <c r="AX25" s="31">
        <f>(1-(1-HV_DC_Grid!$E$25)^(B25*C25*HV_DC_Grid!$E$8/1000))+(1-(1-HV_DC_Grid!$E$26)^(B25*D25*HV_DC_Grid!$E$8/1000))+HV_DC_Grid!$E$35*HV_DC_Grid!$E$28</f>
        <v>0.17956085427439539</v>
      </c>
      <c r="AY25" s="28">
        <f>B25*nl_e_demand/IF(hv_dc_flh="electricity FLH",$AV25,hv_dc_custom)*1000*hv_dc_capacity_multiplier*hv_dc_length_multiplier*1000*(C25*hv_dc_overhead_invest*(hv_dc_overhead_opex+M25+1/hv_dc_lifetime)+D25*hv_dc_sea_invest*(hv_dc_sea_opex+M25+1/hv_dc_lifetime))/1000000+HV_DC_Grid!$E$10*1000*hv_dc_station_invest*hv_dc_station_number*(hv_dc_station_opex+M25+1/hv_dc_lifetime)/1000000</f>
        <v>41126.702002898208</v>
      </c>
      <c r="AZ25" s="24">
        <f>(AW25+AY25)/(HV_DC_Grid!$E$3*1000)*100</f>
        <v>48.500615110936906</v>
      </c>
      <c r="BA25" s="28">
        <f>MIN(((Carriers!$F$26+Carriers!$F$27)*(alk_el_opex+wacc_nl+1/alk_el_lifetime)+IF(hv_dc_flh="electricity FLH",$AV25,hv_dc_custom)*AZ25/100)/(IF(hv_dc_flh="electricity FLH",$AV25,hv_dc_custom)/alk_el_e_demand)*1000,((Carriers!$H$26+Carriers!$H$27)*(pem_el_opex+wacc_nl+1/pem_el_lifetime)+IF(hv_dc_flh="electricity FLH",$AV25,hv_dc_custom)*AZ25/100)/(IF(hv_dc_flh="electricity FLH",$AV25,hv_dc_custom)/pem_el_e_demand)*1000)</f>
        <v>24711.669492432648</v>
      </c>
      <c r="BB25" s="12"/>
      <c r="BC25" s="12"/>
      <c r="BD25" s="149">
        <f>MIN(((Carriers!$F$26+Carriers!$F$27)*(alk_el_opex+M25+1/alk_el_lifetime)+$AV25*$AU25/100)/($AV25/alk_el_e_demand)*1000,((Carriers!$H$26+Carriers!$H$27)*(pem_el_opex+M25+1/pem_el_lifetime)+$AV25*$AU25/100)/($AV25/pem_el_e_demand)*1000)</f>
        <v>4139.2983926772558</v>
      </c>
      <c r="BE25" s="28">
        <f>Storage!$AC$50</f>
        <v>8.1664117557772418</v>
      </c>
      <c r="BF25" s="28">
        <f>((Pipeline!$D$22*Pipeline!$D$24*B25*(pipeline_opex+M25+1/pipeline_lifetime))*(Pipeline!$D$39/Pipeline!$D$3)+(Pipeline!$D$57*(pipeline_comp_opex+M25+1/pipeline_comp_lifetime)+Pipeline!$D$47*1000*Pipeline!$D$45*$AU25/100/1000000))*(Pipeline!$D$75/Pipeline!$D$45)</f>
        <v>33397.647007065971</v>
      </c>
      <c r="BG25" s="28">
        <f>BD25+(BE25+BF25)/Storage!$AC$12*1000000</f>
        <v>6595.6082028847377</v>
      </c>
      <c r="BH25" s="28"/>
      <c r="BI25" s="28"/>
      <c r="BJ25" s="28">
        <f>IF($E25="","No Port",BK25*HV_DC_Grid!$E$3*$AU25/100*1000)</f>
        <v>309.60537698419989</v>
      </c>
      <c r="BK25" s="31">
        <f>IFERROR((1-(1-HV_DC_Grid!$E$25)^(K25*HV_DC_Grid!$E$8/1000))+HV_DC_Grid!$E$35*HV_DC_Grid!$E$28,"")</f>
        <v>5.1175736918235168E-2</v>
      </c>
      <c r="BL25" s="28">
        <f>IFERROR(K25*nl_e_demand/IF(hv_dc_flh="electricity FLH",$AV25,hv_dc_custom)*1000*hv_dc_capacity_multiplier*hv_dc_length_multiplier*1000*(hv_dc_overhead_invest*(hv_dc_overhead_opex+M25+1/hv_dc_lifetime))/1000000+HV_DC_Grid!$E$10*1000*hv_dc_station_invest*hv_dc_station_number*(hv_dc_station_opex+M25+1/hv_dc_lifetime)/1000000,"")</f>
        <v>3597.2518073166375</v>
      </c>
      <c r="BM25" s="29">
        <f>IFERROR((BJ25+BL25)/(HV_DC_Grid!$E$3*1000)*100,"")</f>
        <v>3.9068571843008373</v>
      </c>
      <c r="BN25" s="28">
        <f>IFERROR(((Pipeline!$D$22*Pipeline!$D$24*K25*(pipeline_opex+M25+1/pipeline_lifetime))*(Pipeline!$D$39/Pipeline!$D$3)+(Pipeline!$D$57*(pipeline_comp_opex+M25+1/pipeline_comp_lifetime)+Pipeline!$D$47*1000*Pipeline!$D$45*S25/100/1000000))*(Pipeline!$D$75/Pipeline!$D$45),"")</f>
        <v>7215.2930302327841</v>
      </c>
      <c r="BO25" s="28"/>
      <c r="BP25" s="150">
        <f t="shared" si="16"/>
        <v>190.90050120527641</v>
      </c>
      <c r="BQ25" s="34">
        <f t="shared" si="17"/>
        <v>55.953061311754333</v>
      </c>
      <c r="BR25" s="151">
        <f>(nh3_invest*(M25+1/nh3_lifetime)/nh3_prod+nh3_opex+nh3_e_demand*1000*$AU25/100+Carriers!$N$18/Carriers!$N$23*BD25+Carriers!$N$19/Carriers!$N$23*BQ25)*(BT25+nh3_st_ab_losses)/1000000</f>
        <v>77678.755529627</v>
      </c>
      <c r="BS25" s="63">
        <f>nh3_st_nl_cost*nh3_st_nl_demand/1000000+(nh3_st_invest*(M25+1/nh3_st_lifetime+nh3_st_opex)/(Storage!$G$63/1000000)+nh3_st_e_demand*1000*$AU25/100)*(BT25+nh3_st_ab_losses)/1000000+Carriers!$N$18/Carriers!$N$23*((BT25+nh3_st_ab_losses)/365.25*short_st_duration_hrs/24)*(h2_short_st_invest*(1/gh2_short_st_lifetime+$M25+h2_short_st_opex)+h2_short_st_e_demand*1000*$AU25/100)/1000000+Carriers!$N$19/Carriers!$N$23*((BT25+nh3_st_ab_losses)/365.25*short_st_duration_hrs/24)*(n2_short_st_invest*(1/n2_short_st_lifetime+$M25+n2_short_st_opex)+n2_short_st_e_demand*1000*$AU25/100)/1000000</f>
        <v>4883.8559017508023</v>
      </c>
      <c r="BT25" s="63">
        <f>Storage!$G$57/((1-Shipping!$H$37)^(F25/24/Shipping!$H$44+0.5*Shipping!$H$59))</f>
        <v>79540308.955017224</v>
      </c>
      <c r="BU25" s="63">
        <f>IF($E25="","No Port",((F25/24/Shipping!$H$44+F25/24/Shipping!$H$50+Shipping!$H$59+Shipping!$H$64)*(Shipping!$H$22+wacc_nl*Shipping!$H$19/365.25*1000000+Shipping!$H$35)+(F25/24/Shipping!$H$44*Shipping!$H$45+Shipping!$H$64*Shipping!$H$65)*IF(bunker_choice="HFO",H25,IF(bunker_choice="hydrogen",BD25*hfo_e_density_lhv/h2_e_density_lhv,(BR25+BS25)*1000000/BT25*hfo_e_density_lhv/nh3_e_density_lhv))+(F25/24/Shipping!$H$50*Shipping!$H$51+Shipping!$H$59*Shipping!$H$60)*IF(bunker_choice="HFO",bunker_price_ROT,IF(bunker_choice="hydrogen",BD25*hfo_e_density_lhv/h2_e_density_lhv,(BR25+BS25)*1000000/BT25*hfo_e_density_lhv/nh3_e_density_lhv))+Shipping!$H$73+IF(G25="Panama",Shipping!$H$55,0)+IF(G25="Suez",Shipping!$H$56,0))/Shipping!$H$31*BT25/1000000+IF(inland_transport_to_port="hv dc grid",$BM25/100*1000*BW25,IF(inland_transport_to_port="pipeline",$BN25,0)))</f>
        <v>11386.383298457307</v>
      </c>
      <c r="BV25" s="63">
        <f t="shared" si="18"/>
        <v>93948.994729835118</v>
      </c>
      <c r="BW25" s="33">
        <f>((Carriers!$N$18/Carriers!$N$23*alk_el_e_demand)+(Carriers!$N$19/Carriers!$N$23*n2_e_demand)+nh3_e_demand)*(BT25+nh3_st_ab_losses)/1000000+nh3_st_e_demand*BT25/1000000</f>
        <v>785.47663730247336</v>
      </c>
      <c r="BX25" s="33">
        <f t="shared" si="19"/>
        <v>0.76626754477640768</v>
      </c>
      <c r="BY25" s="63">
        <f>IFERROR(BV25*1000000/Storage!$G$12,"")</f>
        <v>1227.0814907631327</v>
      </c>
      <c r="BZ25" s="63">
        <f>H2_retrieval!$F$25*h2_demand_kt/1000</f>
        <v>80</v>
      </c>
      <c r="CA25" s="63">
        <f>IFERROR(BY25*(1+H2_retrieval!$F$34)/Carrier_properties!$E$7+H2_retrieval!$F$38,"")</f>
        <v>7317.2402980139641</v>
      </c>
      <c r="CB25" s="149">
        <f>(FA_invest*(M25+1/FA_lifetime)/FA_prod+FA_opex+FA_e_demand*1000*$AU25/100+Carriers!$P$18/Carriers!$P$23*BD25+Carriers!$P$20/Carriers!$P$23*co2_liq_cost)*(CF25+FA_st_ab_losses)/1000000</f>
        <v>173565.52178663362</v>
      </c>
      <c r="CC25" s="86">
        <f>(FA_invest*(M25+1/FA_lifetime)/FA_prod+FA_opex+FA_e_demand*1000*$AU25/100+Carriers!$P$18/Carriers!$P$23*BD25+Carriers!$P$20/Carriers!$P$23*BP25)*(CF25+FA_st_ab_losses)/1000000</f>
        <v>220887.29478287813</v>
      </c>
      <c r="CD25" s="63">
        <f>FA_st_nl_cost*FA_st_nl_demand/1000000+(FA_st_invest*(M25+1/FA_st_lifetime+FA_st_opex)/(Storage!$I$63/1000000)+FA_st_e_demand*1000*$AU25/100)*(CF25+FA_st_ab_losses)/1000000+co2_st_nl_cost*Storage!$I$12*co2_density/FA_density/1000000+(co2_st_opex_lev+co2_st_invest_lev+co2_st_e_demand*1000*$AU25/100)*Storage!$I$12/1000000+co2_st_invest_lev*Storage!$I$12*co2_st_lifetime*M25/1000000+Carriers!$P$18/Carriers!$P$23*((CF25+FA_st_ab_losses)/365.25*short_st_duration_hrs/24)*(h2_short_st_invest*(1/gh2_short_st_lifetime+$M25+h2_short_st_opex)+h2_short_st_e_demand*1000*$AU25/100)/1000000+Carriers!$P$20/Carriers!$P$23*((CF25+FA_st_ab_losses)/365.25*short_st_duration_hrs/24)*(co2_short_st_invest*(1/co2_short_st_lifetime+$M25+co2_short_st_opex)+co2_short_st_e_demand*1000*$AU25/100)/1000000</f>
        <v>16618.66266646672</v>
      </c>
      <c r="CE25" s="63">
        <f>FA_st_nl_cost*FA_st_nl_demand/1000000+(FA_st_invest*(M25+1/FA_st_lifetime+FA_st_opex)/(Storage!$I$63/1000000)+FA_st_e_demand*1000*$AU25/100)*(CF25+FA_st_ab_losses)/1000000+Carriers!$P$18/Carriers!$P$23*((CF25+FA_st_ab_losses)/365.25*short_st_duration_hrs/24)*(h2_short_st_invest*(1/gh2_short_st_lifetime+$M25+h2_short_st_opex)+h2_short_st_e_demand*1000*$AU25/100)/1000000+Carriers!$P$20/Carriers!$P$23*((CF25+FA_st_ab_losses)/365.25*short_st_duration_hrs/24)*(co2_short_st_invest*(1/co2_short_st_lifetime+$M25+co2_short_st_opex)+co2_short_st_e_demand*1000*$AU25/100)/1000000</f>
        <v>7180.3345767457677</v>
      </c>
      <c r="CF25" s="63">
        <f>Storage!$I$57/((1-Shipping!$J$37)^($F25/24/Shipping!$J$44+0.5*Shipping!$J$59))</f>
        <v>310425396.82539684</v>
      </c>
      <c r="CG25" s="28">
        <f>IF($E25="","No Port",((F25/24/Shipping!$J$44+F25/24/Shipping!$J$50+Shipping!$J$59+Shipping!$J$64)*(Shipping!$J$22+wacc_nl*Shipping!$J$19/365.25*1000000+Shipping!$J$35)+(F25/24/Shipping!$J$44*Shipping!$J$45+Shipping!$J$64*Shipping!$J$65)*IF(bunker_choice="HFO",$H25,IF(bunker_choice="hydrogen",$BD25*hfo_e_density_lhv/h2_e_density_lhv,(CB25+CD25)*1000000/CF25*hfo_e_density_lhv/FA_e_density_lhv))+(F25/24/Shipping!$J$50*Shipping!$J$51+Shipping!$J$59*Shipping!$J$60)*IF(bunker_choice="HFO",bunker_price_ROT,IF(bunker_choice="hydrogen",$BD25*hfo_e_density_lhv/h2_e_density_lhv,(CB25+CD25)*1000000/CF25*hfo_e_density_lhv/FA_e_density_lhv))+Shipping!$J$73+IF(G25="Panama",Shipping!$J$55,0)+IF(G25="Suez",Shipping!$J$56,0))/Shipping!$J$31*CF25/1000000+IF(inland_transport_to_port="hv dc grid",$BM25/100*1000*CI25,IF(inland_transport_to_port="pipeline",$BN25,0)))</f>
        <v>26254.062932367338</v>
      </c>
      <c r="CH25" s="28">
        <f t="shared" si="36"/>
        <v>254321.69229199126</v>
      </c>
      <c r="CI25" s="29">
        <f>((Carriers!$P$18/Carriers!$P$23*alk_el_e_demand)+FA_e_demand)*(CF25+FA_st_ab_losses)/1000000+FA_st_e_demand*CF25/1000000</f>
        <v>1897.8881241622576</v>
      </c>
      <c r="CJ25" s="29">
        <f t="shared" si="20"/>
        <v>0.46563809523809524</v>
      </c>
      <c r="CK25" s="28">
        <f>IFERROR(CH25*1000000/Storage!$I$12,"")</f>
        <v>819.2683166159826</v>
      </c>
      <c r="CL25" s="28">
        <f>IF($E25="","No Port",((F25/24/Shipping!$J$44+F25/24/Shipping!$J$50+Shipping!$J$59+Shipping!$J$64)*Carriers!$P$39*wacc_nl))</f>
        <v>269.79126270831955</v>
      </c>
      <c r="CM25" s="29">
        <f>H2_retrieval!$H$25*h2_demand_kt/1000+(co2_liq_e_demand+co2_st_e_demand*2)*Storage!$I$12*co2_density/FA_density/1000000</f>
        <v>94.204253879484654</v>
      </c>
      <c r="CN25" s="28">
        <f>IFERROR((((CB25+CD25+CG25)*(1+H2_retrieval!$H$34)+CL25)*1000000/H2_retrieval!$H$8)+h2_regen_fa,"")</f>
        <v>16024.101974250485</v>
      </c>
      <c r="CO25" s="149">
        <f>(meoh_invest*(M25+1/meoh_lifetime)/meoh_prod+meoh_opex+meoh_e_demand*1000*$AU25/100+Carriers!$R$18/Carriers!$R$23*BD25+Carriers!$R$20/Carriers!$R$23*co2_liq_cost)*(CS25+meoh_st_ab_losses)/1000000</f>
        <v>91540.009076282469</v>
      </c>
      <c r="CP25" s="86">
        <f>(meoh_invest*(M25+1/meoh_lifetime)/meoh_prod+meoh_opex+meoh_e_demand*1000*$AU25/100+Carriers!$R$18/Carriers!$R$23*BD25+Carriers!$R$20/Carriers!$R$23*BP25)*(CS25+meoh_st_ab_losses)/1000000</f>
        <v>119319.35073511359</v>
      </c>
      <c r="CQ25" s="63">
        <f>meoh_st_nl_cost*meoh_st_nl_demand/1000000+(meoh_st_invest*(M25+1/meoh_st_lifetime+meoh_st_opex)/(Storage!$K$63/1000000)+meoh_st_e_demand*1000*$AU25/100)*(CS25+meoh_st_ab_losses)/1000000+co2_st_nl_cost*Storage!$K$12*co2_density/meoh_density/1000000+(co2_st_opex_lev+co2_st_invest_lev+co2_st_e_demand*1000*IFERROR(MIN(S25,AA25,AI25),S25)/100)*Storage!$K$12/1000000+co2_st_invest_lev*Storage!$K$12*co2_st_lifetime*M25/1000000+Carriers!$R$18/Carriers!$R$23*((CS25+meoh_st_ab_losses)/365.25*short_st_duration_hrs/24)*(h2_short_st_invest*(1/gh2_short_st_lifetime+$M25+h2_short_st_opex)+h2_short_st_e_demand*1000*$AU25/100)/1000000+Carriers!$R$20/Carriers!$R$23*((CF25+meoh_st_ab_losses)/365.25*short_st_duration_hrs/24)*(co2_short_st_invest*(1/co2_short_st_lifetime+$M25+co2_short_st_opex)+co2_short_st_e_demand*1000*$AU25/100)/1000000</f>
        <v>6666.0493746680368</v>
      </c>
      <c r="CR25" s="63">
        <f>meoh_st_nl_cost*meoh_st_nl_demand/1000000+(meoh_st_invest*(M25+1/meoh_st_lifetime+meoh_st_opex)/(Storage!$K$63/1000000)+meoh_st_e_demand*1000*$AU25/100)*(CS25+meoh_st_ab_losses)/1000000+Carriers!$R$18/Carriers!$R$23*((CS25+meoh_st_ab_losses)/365.25*short_st_duration_hrs/24)*(h2_short_st_invest*(1/gh2_short_st_lifetime+$M25+h2_short_st_opex)+h2_short_st_e_demand*1000*$AU25/100)/1000000+Carriers!$R$20/Carriers!$R$23*((CF25+meoh_st_ab_losses)/365.25*short_st_duration_hrs/24)*(co2_short_st_invest*(1/co2_short_st_lifetime+$M25+co2_short_st_opex)+co2_short_st_e_demand*1000*$AU25/100)/1000000</f>
        <v>2962.6433722706392</v>
      </c>
      <c r="CS25" s="63">
        <f>Storage!$K$57/((1-Shipping!$L$37)^($F25/24/Shipping!$L$44+0.5*Shipping!$L$59))</f>
        <v>108044444.44444443</v>
      </c>
      <c r="CT25" s="28">
        <f>IF($E25="","No Port",IF(AND(ship_choice="VLCC",G25="Panama"),"Ship cannot pass through Panama",IF(ship_choice="VLCC",((F25/24/Shipping!$AD$44+F25/24/Shipping!$AD$50+Shipping!$AD$59+Shipping!$AD$64)*(Shipping!$AD$22+wacc_nl*Shipping!$AD$19/365.25*1000000+Shipping!$AD$35)+(F25/24/Shipping!$AD$44*Shipping!$AD$45+Shipping!$AD$64*Shipping!$AD$65)*IF(bunker_choice="HFO",$H25,IF(bunker_choice="hydrogen",$BD25*hfo_e_density_lhv/h2_e_density_lhv,(CO25+CQ25)*1000000/CS25*hfo_e_density_lhv/meoh_e_density_lhv))+(F25/24/Shipping!$AD$50*Shipping!$AD$51+Shipping!$AD$59*Shipping!$AD$60)*IF(bunker_choice="HFO",bunker_price_ROT,IF(bunker_choice="hydrogen",$BD25*hfo_e_density_lhv/h2_e_density_lhv,(CO25+CQ25)*1000000/CS25*hfo_e_density_lhv/meoh_e_density_lhv))+Shipping!$AD$73+IF(G25="Panama",Shipping!$AD$55,0)+IF(G25="Suez",Shipping!$AD$56,0))/Shipping!$AD$31*CS25/1000000+IF(inland_transport_to_port="hv dc grid",$BM25/100*1000*CV25,IF(inland_transport_to_port="pipeline",$BN25,0)),((F25/24/Shipping!$L$44+F25/24/Shipping!$L$50+Shipping!$L$59+Shipping!$L$64)*(Shipping!$L$22+wacc_nl*Shipping!$L$19/365.25*1000000+Shipping!$L$35)+(F25/24/Shipping!$L$44*Shipping!$L$45+Shipping!$L$64*Shipping!$L$65)*IF(bunker_choice="HFO",$H25,IF(bunker_choice="hydrogen",$BD25*hfo_e_density_lhv/h2_e_density_lhv,(CO25+CQ25)*1000000/CS25*hfo_e_density_lhv/meoh_e_density_lhv))+(F25/24/Shipping!$L$50*Shipping!$L$51+Shipping!$L$59*Shipping!$L$60)*IF(bunker_choice="HFO",bunker_price_ROT,IF(bunker_choice="hydrogen",$BD25*hfo_e_density_lhv/h2_e_density_lhv,(CO25+CQ25)*1000000/CS25*hfo_e_density_lhv/meoh_e_density_lhv))+Shipping!$L$73+IF(G25="Panama",Shipping!$L$55,0)+IF(G25="Suez",Shipping!$L$56,0))/Shipping!$L$31*CS25/1000000+IF(inland_transport_to_port="hv dc grid",$BM25/100*1000*CV25,IF(inland_transport_to_port="pipeline",$BN25,0)))))</f>
        <v>13476.53795930661</v>
      </c>
      <c r="CU25" s="28">
        <f t="shared" si="37"/>
        <v>135758.53206669085</v>
      </c>
      <c r="CV25" s="29">
        <f>((Carriers!$R$18/Carriers!$R$23*alk_el_e_demand)+meoh_e_demand)*(CS25+meoh_st_ab_losses)/1000000+meoh_st_e_demand*CS25/1000000</f>
        <v>1119.9789871111109</v>
      </c>
      <c r="CW25" s="29">
        <f t="shared" si="21"/>
        <v>0.16206666666666666</v>
      </c>
      <c r="CX25" s="28">
        <f>IFERROR(CU25*1000000/Storage!$K$12,"")</f>
        <v>1256.5063642536177</v>
      </c>
      <c r="CY25" s="28">
        <f>IF($E25="","No Port",((F25/24/Shipping!$L$44+F25/24/Shipping!$L$50+Shipping!$L$59+Shipping!$L$64)*Carriers!$R$39*wacc_nl))</f>
        <v>96.602427505075752</v>
      </c>
      <c r="CZ25" s="29">
        <f>H2_retrieval!$J$25*h2_demand_kt/1000+(co2_liq_e_demand+co2_st_e_demand*2)*Storage!$K$12*co2_density/meoh_density/1000000</f>
        <v>251.05079059698966</v>
      </c>
      <c r="DA25" s="28">
        <f>IFERROR((((CO25+CQ25+CT25)*(1+H2_retrieval!$J$34)+CY25)*1000000/H2_retrieval!$J$8)+h2_regen_meoh,"")</f>
        <v>9389.1872812668662</v>
      </c>
      <c r="DB25" s="149">
        <f>(DBT_invest*(M25+1/DBT_lifetime)/DBT_prod+DBT_opex+DBT_e_demand*1000*$AU25/100+Carriers!$T$18/Carriers!$T$23*BD25)*(DD25+DBT_st_ab_losses)/1000000</f>
        <v>61015.769373944015</v>
      </c>
      <c r="DC25" s="28">
        <f>2*(DBT_st_nl_cost*DBT_st_nl_demand/1000000+(DBT_st_invest*(M25+1/DBT_st_lifetime+DBT_st_opex)/(Storage!$M$63/1000000)+DBT_st_e_demand*1000*$AU25/100)*(DD25+DBT_st_ab_losses)/1000000)+Carriers!$T$18/Carriers!$T$23*((DD25+DBT_st_ab_losses)/365.25*short_st_duration_hrs/24)*(h2_short_st_invest*(1/gh2_short_st_lifetime+$M25+h2_short_st_opex)+h2_short_st_e_demand*1000*$AU25/100)/1000000</f>
        <v>5824.6927124437289</v>
      </c>
      <c r="DD25" s="63">
        <f>Storage!$M$57/((1-Shipping!$N$37)^($F25/24/Shipping!$N$44+0.5*Shipping!$N$59))</f>
        <v>219354838.70967743</v>
      </c>
      <c r="DE25" s="28">
        <f>IF($E25="","No Port",IF(AND(ship_choice="VLCC",G25="Panama"),"Ship cannot pass through Panama",IF(ship_choice="VLCC",((F25/24/Shipping!$AD$44+F25/24/Shipping!$AD$50+Shipping!$AD$59+Shipping!$AD$64)*(Shipping!$AD$22+wacc_nl*Shipping!$AD$19/365.25*1000000+Shipping!$AD$35)+(F25/24/Shipping!$AD$44*Shipping!$AD$45+Shipping!$AD$64*Shipping!$AD$65)*IF(bunker_choice="HFO",$H25,IF(bunker_choice="hydrogen",$BD25*hfo_e_density_lhv/h2_e_density_lhv,(DB25+DC25)*1000000/DD25*hfo_e_density_lhv/DBT_e_density_lhv))+(F25/24/Shipping!$AD$50*Shipping!$AD$51+Shipping!$AD$59*Shipping!$AD$60)*IF(bunker_choice="HFO",bunker_price_ROT,IF(bunker_choice="hydrogen",$BD25*hfo_e_density_lhv/h2_e_density_lhv,(DB25+DC25)*1000000/DD25*hfo_e_density_lhv/DBT_e_density_lhv))+Shipping!$AD$73+IF(G25="Panama",Shipping!$AD$55,0)+IF(G25="Suez",Shipping!$AD$56,0))/Shipping!$AD$31*DD25/1000000+IF(inland_transport_to_port="hv dc grid",$BM25/100*1000*DG25,IF(inland_transport_to_port="pipeline",$BN25,0)),((F25/24/Shipping!$N$44+F25/24/Shipping!$N$50+Shipping!$N$59+Shipping!$N$64)*(Shipping!$N$22+wacc_nl*Shipping!$N$19/365.25*1000000+Shipping!$N$35)+(F25/24/Shipping!$N$44*Shipping!$N$45+Shipping!$N$64*Shipping!$N$65)*IF(bunker_choice="HFO",$H25,IF(bunker_choice="hydrogen",$BD25*hfo_e_density_lhv/h2_e_density_lhv,(DB25+DC25)*1000000/DD25*hfo_e_density_lhv/DBT_e_density_lhv))+(F25/24/Shipping!$N$50*Shipping!$N$51+Shipping!$N$59*Shipping!$N$60)*IF(bunker_choice="HFO",bunker_price_ROT,IF(bunker_choice="hydrogen",$BD25*hfo_e_density_lhv/h2_e_density_lhv,(DB25+DC25)*1000000/DD25*hfo_e_density_lhv/DBT_e_density_lhv))+Shipping!$N$73+IF(G25="Panama",Shipping!$N$55,0)+IF(G25="Suez",Shipping!$N$56,0))/Shipping!$N$31*Shipping!$N$86/1000000+IF(inland_transport_to_port="hv dc grid",$BM25/100*1000*DG25,IF(inland_transport_to_port="pipeline",$BN25,0)))))</f>
        <v>19091.290581603746</v>
      </c>
      <c r="DF25" s="28">
        <f t="shared" si="53"/>
        <v>85931.752667991503</v>
      </c>
      <c r="DG25" s="29">
        <f>((Carriers!$T$18/Carriers!$T$23*alk_el_e_demand)+DBT_e_demand)*(DD25+DBT_st_ab_losses)/1000000+DBT_st_e_demand*DD25/1000000</f>
        <v>703.88335483870969</v>
      </c>
      <c r="DH25" s="29">
        <f t="shared" si="23"/>
        <v>0.21935483870967742</v>
      </c>
      <c r="DI25" s="28">
        <f>IFERROR(DF25*1000000/Storage!$M$12,"")</f>
        <v>391.74769598643184</v>
      </c>
      <c r="DJ25" s="28">
        <f>IF($E25="","No Port",((F25/24/Shipping!$N$44+F25/24/Shipping!$N$50+Shipping!$N$59+Shipping!$N$64)*Carriers!$T$39*wacc_nl))</f>
        <v>7035.8721941385957</v>
      </c>
      <c r="DK25" s="100">
        <f>H2_retrieval!$L$25*h2_demand_kt/1000+(co2_liq_e_demand+co2_st_e_demand*2)*Storage!$M$12*co2_density/DBT_density/1000000</f>
        <v>206.61934861671787</v>
      </c>
      <c r="DL25" s="28">
        <f>IFERROR(((DF25*(1+H2_retrieval!$L$34)+DJ25)*1000000/H2_retrieval!$L$8)+h2_regen_lohc,"")</f>
        <v>7306.5045499130665</v>
      </c>
      <c r="DM25" s="149">
        <f t="shared" si="24"/>
        <v>94247.870855307832</v>
      </c>
      <c r="DN25" s="16">
        <f>2*(nabh4_st_nl_cost*nabh4_st_nl_demand/1000000+(nabh4_st_invest*(M25+1/nabh4_st_lifetime+nabh4_st_opex)/(Storage!$O$63/1000000)+nabh4_st_e_demand*1000*$AU25/100)*(DO25+nabh4_st_ab_losses)/1000000)+(h2_demand_kt*1000/365.25*short_st_duration_hrs/24)*(h2_short_st_invest*(1/gh2_short_st_lifetime+$M25+h2_short_st_opex)+h2_short_st_e_demand*1000*$AU25/100)/1000000</f>
        <v>2119.5633410476266</v>
      </c>
      <c r="DO25" s="63">
        <f>Storage!$O$57/((1-Shipping!$P$37)^($F25/24/Shipping!$P$44+0.5*Shipping!$P$59))</f>
        <v>63920000</v>
      </c>
      <c r="DP25" s="16">
        <f>IF($E25="","No Port",((F25/24/Shipping!$P$44+F25/24/Shipping!$P$50+Shipping!$P$59+Shipping!$P$64)*(Shipping!$P$22+wacc_nl*Shipping!$P$19/365.25*1000000+Shipping!$P$35)+(F25/24/Shipping!$P$44*Shipping!$P$45+Shipping!$P$64*Shipping!$P$65)*IF(bunker_choice="HFO",$H25,IF(bunker_choice="hydrogen",$BD25*hfo_e_density_lhv/h2_e_density_lhv,(DM25+DN25)*1000000/DO25*hfo_e_density_lhv/nabh4_e_density_lhv))+(F25/24/Shipping!$P$50*Shipping!$P$51+Shipping!$P$59*Shipping!$P$60)*IF(bunker_choice="HFO",bunker_price_ROT,IF(bunker_choice="hydrogen",$BD25*hfo_e_density_lhv/h2_e_density_lhv,(DM25+DN25)*1000000/DO25*hfo_e_density_lhv/nabh4_e_density_lhv))+Shipping!$P$73+IF(G25="Panama",Shipping!$P$55,0)+IF(G25="Suez",Shipping!$P$56,0))/Shipping!$P$31*(DO25+nabh4_st_ab_losses)/1000000+IF(inland_transport_to_port="hv dc grid",$BM25/100*1000*DR25,IF(inland_transport_to_port="pipeline",$BN25,0)))</f>
        <v>10348.342052235475</v>
      </c>
      <c r="DQ25" s="28">
        <f t="shared" si="54"/>
        <v>106715.77624859093</v>
      </c>
      <c r="DR25" s="29">
        <f>((Carriers!$V$18/Carriers!$V$23*alk_el_e_demand)+nabh4_e_demand)*(DO25+nabh4_st_ab_losses)/1000000+nabh4_st_e_demand*DO25/1000000</f>
        <v>980.02139682539689</v>
      </c>
      <c r="DS25" s="28">
        <f t="shared" si="25"/>
        <v>3.1960000000000002</v>
      </c>
      <c r="DT25" s="28">
        <f>IFERROR(DQ25*1000000/Storage!$O$12,"")</f>
        <v>1669.5209050155026</v>
      </c>
      <c r="DU25" s="28">
        <f>IF($E25="","No Port",((F25/24/Shipping!$P$44+F25/24/Shipping!$P$50+Shipping!$P$59+Shipping!$P$64)*Carriers!$V$39*wacc_nl))</f>
        <v>652.25995373321439</v>
      </c>
      <c r="DV25" s="100">
        <f>H2_retrieval!$N$25*h2_demand_kt/1000+(co2_liq_e_demand+co2_st_e_demand*2)*Storage!$O$12*co2_density/nabh4_density/1000000</f>
        <v>18.783638728971958</v>
      </c>
      <c r="DW25" s="28">
        <f>IFERROR(((DQ25*(1+H2_retrieval!$N$34)+DU25)*1000000/H2_retrieval!$N$8)+h2_regen_nabh4,"")</f>
        <v>8058.5177198106376</v>
      </c>
      <c r="DX25" s="149">
        <f>(Dme_invest*(M25+1/Dme_lifetime)/Dme_prod+Dme_opex+Dme_e_demand*1000*$AU25/100+Carriers!$X$21/Carriers!$X$23*(CO25*1000000/CS25))*(EB25+Dme_st_ab_losses)/1000000</f>
        <v>129740.43656390373</v>
      </c>
      <c r="DY25" s="86">
        <f>(Dme_invest*(M25+1/Dme_lifetime)/Dme_prod+Dme_opex+Dme_e_demand*1000*$AU25/100+Carriers!$X$21/Carriers!$X$23*(CP25*1000000/CS25))*(EB25+Dme_st_ab_losses)/1000000</f>
        <v>167427.6696684591</v>
      </c>
      <c r="DZ25" s="63">
        <f>Dme_st_nl_cost*Dme_st_nl_demand/1000000+(Dme_st_invest*(M25+1/Dme_st_lifetime+Dme_st_opex)/(Storage!$Q$63/1000000)+Dme_st_e_demand*1000*$AU25/100)*(EB25+Dme_st_ab_losses)/1000000+co2_st_nl_cost*Storage!$Q$12*co2_density/Dme_density/1000000+(co2_st_opex_lev+co2_st_invest_lev+co2_st_e_demand*1000*$AU25/100)*Storage!$Q$12/1000000+co2_st_invest_lev*Storage!$Q$12*co2_st_lifetime*M25/1000000+(h2_demand_kt*1000/365.25*short_st_duration_hrs/24)*(h2_short_st_invest*(1/gh2_short_st_lifetime+$M25+h2_short_st_opex)+h2_short_st_e_demand*1000*$AU25/100)/1000000</f>
        <v>8129.1756302018848</v>
      </c>
      <c r="EA25" s="63">
        <f>Dme_st_nl_cost*Dme_st_nl_demand/1000000+(Dme_st_invest*(M25+1/Dme_st_lifetime+Dme_st_opex)/(Storage!$Q$63/1000000)+Dme_st_e_demand*1000*$AU25/100)*(EB25+Dme_st_ab_losses)/1000000+(h2_demand_kt*1000/365.25*short_st_duration_hrs/24)*(h2_short_st_invest*(1/gh2_short_st_lifetime+$M25+h2_short_st_opex)+h2_short_st_e_demand*1000*$AU25/100)/1000000</f>
        <v>4279.9135904232171</v>
      </c>
      <c r="EB25" s="63">
        <f>Storage!$Q$57/((1-Shipping!$R$37)^($F25/24/Shipping!$R$44+0.5*Shipping!$R$59))</f>
        <v>103547089.94708996</v>
      </c>
      <c r="EC25" s="153">
        <f>IF($E25="","No Port",IF(AND(ship_choice="VLCC",G25="Panama"),"Ship cannot pass through Panama",IF(ship_choice="VLCC",((F25/24/Shipping!$AD$44+F25/24/Shipping!$AD$50+Shipping!$AD$59+Shipping!$AD$64)*(Shipping!$AD$22+wacc_nl*Shipping!$AD$19/365.25*1000000+Shipping!$AD$35)+(F25/24/Shipping!$AD$44*Shipping!$AD$45+Shipping!$AD$64*Shipping!$AD$65)*IF(bunker_choice="HFO",$H25,IF(bunker_choice="hydrogen",$BD25*hfo_e_density_lhv/h2_e_density_lhv,(DX25+DZ25)*1000000/EB25*hfo_e_density_lhv/Dme_e_density_lhv))+(F25/24/Shipping!$AD$50*Shipping!$AD$51+Shipping!$AD$59*Shipping!$AD$60)*IF(bunker_choice="HFO",bunker_price_ROT,IF(bunker_choice="hydrogen",$BD25*hfo_e_density_lhv/h2_e_density_lhv,(DX25+DZ25)*1000000/EB25*hfo_e_density_lhv/Dme_e_density_lhv))+Shipping!$AD$73+IF(G25="Panama",Shipping!$AD$55,0)+IF(G25="Suez",Shipping!$AD$56,0))/Shipping!$AD$31*(EB25+Dme_st_ab_losses)/1000000+IF(inland_transport_to_port="hv dc grid",$BM25/100*1000*EE25,IF(inland_transport_to_port="pipeline",$BN25,0)),((F25/24/Shipping!$R$44+F25/24/Shipping!$R$50+Shipping!$R$59+Shipping!$R$64)*(Shipping!$R$22+wacc_nl*Shipping!$R$19/365.25*1000000+Shipping!$R$35)+(F25/24/Shipping!$R$44*Shipping!$R$45+Shipping!$R$64*Shipping!$R$65)*IF(bunker_choice="HFO",$H25,IF(bunker_choice="hydrogen",$BD25*hfo_e_density_lhv/h2_e_density_lhv,(DX25+DZ25)*1000000/EB25*hfo_e_density_lhv/Dme_e_density_lhv))+(F25/24/Shipping!$R$50*Shipping!$R$51+Shipping!$R$59*Shipping!$R$60)*IF(bunker_choice="HFO",bunker_price_ROT,IF(bunker_choice="hydrogen",$BD25*hfo_e_density_lhv/h2_e_density_lhv,(DX25+DZ25)*1000000/EB25*hfo_e_density_lhv/Dme_e_density_lhv))+Shipping!$R$73+IF(G25="Panama",Shipping!$R$55,0)+IF(G25="Suez",Shipping!$R$56,0))/Shipping!$R$31*(EB25+Dme_st_ab_losses)/1000000+IF(inland_transport_to_port="hv dc grid",$BM25/100*1000*EE25,IF(inland_transport_to_port="pipeline",$BN25,0)))))</f>
        <v>13320.321677424741</v>
      </c>
      <c r="ED25" s="28">
        <f t="shared" si="39"/>
        <v>185027.90493630705</v>
      </c>
      <c r="EE25" s="29">
        <f>(Dme_e_demand)*(EB25+Dme_st_ab_losses)/1000000+Dme_st_e_demand*DZ25/1000000+$CV25*(Carriers!$X$21/Carriers!$X$23*EB25)/$CS25</f>
        <v>1550.216841458812</v>
      </c>
      <c r="EF25" s="29">
        <f t="shared" si="26"/>
        <v>1.0354708994708997</v>
      </c>
      <c r="EG25" s="28">
        <f>IFERROR(ED25*1000000/Storage!$Q$12,"")</f>
        <v>1786.896232727079</v>
      </c>
      <c r="EH25" s="28">
        <f>IF($E25="","No Port",((F25/24/Shipping!$R$44+F25/24/Shipping!$R$50+Shipping!$R$59+Shipping!$R$64)*Carriers!$X$39*wacc_nl))</f>
        <v>100.30952709293341</v>
      </c>
      <c r="EI25" s="100">
        <f>H2_retrieval!$P$25*h2_demand_kt/1000+(co2_liq_e_demand+co2_st_e_demand*2)*Storage!$Q$12*co2_density/Dme_density/1000000</f>
        <v>252.45335899349112</v>
      </c>
      <c r="EJ25" s="28">
        <f>IFERROR((((DX25+DZ25+EC25)*(1+H2_retrieval!$P$34)+EH25)*1000000/H2_retrieval!$P$8)+h2_regen_dme,"")</f>
        <v>12294.411146036064</v>
      </c>
      <c r="EK25" s="149">
        <f>(ome_invest*(M25+1/ome_lifetime)/ome_prod+ome_opex+ome_e_demand*1000*$AU25/100+Carriers!$Z$21/Carriers!$Z$23*(CO25*1000000/CS25))*(EO25+ome_st_ab_losses)/1000000</f>
        <v>284870.7323214676</v>
      </c>
      <c r="EL25" s="86">
        <f>(ome_invest*(M25+1/ome_lifetime)/ome_prod+ome_opex+ome_e_demand*1000*$AU25/100+Carriers!$Z$21/Carriers!$Z$23*(CP25*1000000/CS25))*(EO25+ome_st_ab_losses)/1000000</f>
        <v>363983.57091904478</v>
      </c>
      <c r="EM25" s="63">
        <f>ome_st_nl_cost*ome_st_nl_demand/1000000+(ome_st_invest*(M25+1/ome_st_lifetime+ome_st_opex)/(Storage!$S$63/1000000)+ome_st_e_demand*1000*$AU25/100)*(EO25+ome_st_ab_losses)/1000000+co2_st_nl_cost*Storage!$S$12*co2_density/ome_density/1000000+(co2_st_opex_lev+co2_st_invest_lev+co2_st_e_demand*1000*$AU25/100)*Storage!$S$12/1000000+co2_st_invest_lev*Storage!$S$12*co2_st_lifetime*M25/1000000+(h2_demand_kt*1000/365.25*short_st_duration_hrs/24)*(h2_short_st_invest*(1/gh2_short_st_lifetime+$M25+h2_short_st_opex)+h2_short_st_e_demand*1000*$AU25/100)/1000000</f>
        <v>7048.862513612261</v>
      </c>
      <c r="EN25" s="63">
        <f>ome_st_nl_cost*ome_st_nl_demand/1000000+(ome_st_invest*(M25+1/ome_st_lifetime+ome_st_opex)/(Storage!$S$63/1000000)+ome_st_e_demand*1000*$AU25/100)*(EO25+ome_st_ab_losses)/1000000+(h2_demand_kt*1000/365.25*short_st_duration_hrs/24)*(h2_short_st_invest*(1/gh2_short_st_lifetime+$M25+h2_short_st_opex)+h2_short_st_e_demand*1000*$AU25/100)/1000000</f>
        <v>2619.0521019524076</v>
      </c>
      <c r="EO25" s="63">
        <f>Storage!$S$57/((1-Shipping!$T$37)^($F25/24/Shipping!$T$44+0.5*Shipping!$T$59))</f>
        <v>128282539.68253967</v>
      </c>
      <c r="EP25" s="28">
        <f>IF($E25="","No Port",IF(AND(ship_choice="VLCC",G25="Panama"),"Ship cannot pass through Panama",IF(ship_choice="VLCC",((F25/24/Shipping!$AD$44+F25/24/Shipping!$AD$50+Shipping!$AD$59+Shipping!$AD$64)*(Shipping!$AD$22+wacc_nl*Shipping!$AD$19/365.25*1000000+Shipping!$AD$35)+(F25/24/Shipping!$AD$44*Shipping!$AD$45+Shipping!$AD$64*Shipping!$AD$65)*IF(bunker_choice="HFO",$H25,IF(bunker_choice="hydrogen",$BD25*hfo_e_density_lhv/h2_e_density_lhv,(EK25+EM25)*1000000/EO25*hfo_e_density_lhv/Dme_e_density_lhv))+(F25/24/Shipping!$AD$50*Shipping!$AD$51+Shipping!$AD$59*Shipping!$AD$60)*IF(bunker_choice="HFO",bunker_price_ROT,IF(bunker_choice="hydrogen",$BD25*hfo_e_density_lhv/h2_e_density_lhv,(EK25+EM25)*1000000/EO25*hfo_e_density_lhv/ome_e_density_lhv))+Shipping!$AD$73+IF(G25="Panama",Shipping!$AD$55,0)+IF(G25="Suez",Shipping!$AD$56,0))/Shipping!$AD$31*(EO25+ome_st_ab_losses)/1000000+IF(inland_transport_to_port="hv dc grid",$BM25/100*1000*ER25,IF(inland_transport_to_port="pipeline",$BN25,0)),((F25/24/Shipping!$T$44+F25/24/Shipping!$T$50+Shipping!$T$59+Shipping!$T$64)*(Shipping!$T$22+wacc_nl*Shipping!$T$19/365.25*1000000+Shipping!$T$35)+(F25/24/Shipping!$T$44*Shipping!$T$45+Shipping!$T$64*Shipping!$T$65)*IF(bunker_choice="HFO",$H25,IF(bunker_choice="hydrogen",$BD25*hfo_e_density_lhv/h2_e_density_lhv,(EK25+EM25)*1000000/EO25*hfo_e_density_lhv/Dme_e_density_lhv))+(F25/24/Shipping!$T$50*Shipping!$T$51+Shipping!$T$59*Shipping!$T$60)*IF(bunker_choice="HFO",bunker_price_ROT,IF(bunker_choice="hydrogen",$BD25*hfo_e_density_lhv/h2_e_density_lhv,(EK25+EM25)*1000000/EO25*hfo_e_density_lhv/ome_e_density_lhv))+Shipping!$T$73+IF(G25="Panama",Shipping!$T$55,0)+IF(G25="Suez",Shipping!$T$56,0))/Shipping!$T$31*(EO25+ome_st_ab_losses)/1000000+IF(inland_transport_to_port="hv dc grid",$BM25/100*1000*ER25,IF(inland_transport_to_port="pipeline",$BN25,0)))))</f>
        <v>14265.827386388137</v>
      </c>
      <c r="EQ25" s="28">
        <f t="shared" si="40"/>
        <v>380868.45040738536</v>
      </c>
      <c r="ER25" s="29">
        <f>(ome_e_demand)*(EO25+ome_st_ab_losses)/1000000+ome_st_e_demand*EM25/1000000+$CV25*(Carriers!$Z$21/Carriers!$Z$23*EO25)/$CS25</f>
        <v>3352.0814607140774</v>
      </c>
      <c r="ES25" s="29">
        <f t="shared" si="27"/>
        <v>0.1924238095238095</v>
      </c>
      <c r="ET25" s="28">
        <f>IFERROR(EQ25*1000000/Storage!$S$12,"")</f>
        <v>2968.9812140445547</v>
      </c>
      <c r="EU25" s="28">
        <f>IF($E25="","No Port",((F25/24/Shipping!$T$44+F25/24/Shipping!$T$50+Shipping!$T$59+Shipping!$T$64)*Carriers!$Z$39*wacc_nl))</f>
        <v>114.69728780198055</v>
      </c>
      <c r="EV25" s="100">
        <f>H2_retrieval!$R$25*h2_demand_kt/1000+(co2_liq_e_demand+co2_st_e_demand*2)*Storage!$S$12*co2_density/ome_density/1000000</f>
        <v>254.51942895252085</v>
      </c>
      <c r="EW25" s="28">
        <f>IFERROR((((EK25+EM25+EP25)*(1+H2_retrieval!$R$34)+EU25)*1000000/H2_retrieval!$R$8)+h2_regen_ome,"")</f>
        <v>23692.196154171852</v>
      </c>
      <c r="EX25" s="149">
        <f>(sng_invest*(M25+1/sng_lifetime)/sng_prod+lng_invest*(M25+1/lng_lifetime)/lng_prod+sng_opex+lng_opex+(sng_e_demand+lng_e_demand)*1000*$AU25/100+Carriers!$AB$18/Carriers!$AB$23*BD25+Carriers!$AB$20/Carriers!$AB$23*co2_liq_cost)*(FB25+lng_st_ab_losses)/1000000</f>
        <v>100312.95264551468</v>
      </c>
      <c r="EY25" s="86">
        <f>(sng_invest*(M25+1/sng_lifetime)/sng_prod+lng_invest*(M25+1/lng_lifetime)/lng_prod+sng_opex+lng_opex+(sng_e_demand+lng_e_demand)*1000*$AU25/100+Carriers!$AB$18/Carriers!$AB$23*BD25+Carriers!$AB$20/Carriers!$AB$23*BP25)*(FB25+lng_st_ab_losses)/1000000</f>
        <v>121215.77237633237</v>
      </c>
      <c r="EZ25" s="63">
        <f>lng_st_nl_cost*lng_st_nl_demand/1000000+(lng_st_invest*(M25+1/lng_st_lifetime+lng_st_opex)/(Storage!$U$63/1000000)+lng_st_e_demand*1000*$AU25/100)*(FB25+lng_st_ab_losses)/1000000+co2_st_nl_cost*Storage!$U$12*co2_density/lng_density/1000000+(co2_st_opex_lev+co2_st_invest_lev+co2_st_e_demand*1000*$AU25/100)*Storage!$U$12/1000000+co2_st_invest_lev*Storage!$U$12*co2_st_lifetime*M25/1000000+Carriers!$AB$18/Carriers!$AB$23*((FB25+lng_st_ab_losses)/365.25*short_st_duration_hrs/24)*(h2_short_st_invest*(1/gh2_short_st_lifetime+$M25+h2_short_st_opex)+h2_short_st_e_demand*1000*$AU25/100)/1000000+Carriers!$AB$20/Carriers!$AB$23*((FB25+lng_st_ab_losses)/365.25*short_st_duration_hrs/24)*(co2_short_st_invest*(1/co2_short_st_lifetime+$M25+co2_short_st_opex)+co2_short_st_e_demand*1000*$AU25/100)/1000000</f>
        <v>8657.8162536286127</v>
      </c>
      <c r="FA25" s="63">
        <f>lng_st_nl_cost*lng_st_nl_demand/1000000+(lng_st_invest*(M25+1/lng_st_lifetime+lng_st_opex)/(Storage!$U$63/1000000)+lng_st_e_demand*1000*$AU25/100)*(FB25+lng_st_ab_losses)/1000000+Carriers!$AB$18/Carriers!$AB$23*((FB25+lng_st_ab_losses)/365.25*short_st_duration_hrs/24)*(h2_short_st_invest*(1/gh2_short_st_lifetime+$M25+h2_short_st_opex)+h2_short_st_e_demand*1000*$AU25/100)/1000000+Carriers!$AB$20/Carriers!$AB$23*((FB25+lng_st_ab_losses)/365.25*short_st_duration_hrs/24)*(co2_short_st_invest*(1/co2_short_st_lifetime+$M25+co2_short_st_opex)+co2_short_st_e_demand*1000*$AU25/100)/1000000</f>
        <v>6711.4525846030092</v>
      </c>
      <c r="FB25" s="63">
        <f>Storage!$U$57/((1-Shipping!$V$37)^($F25/24/Shipping!$V$44+0.5*Shipping!$V$59))</f>
        <v>41424572.2256428</v>
      </c>
      <c r="FC25" s="28">
        <f>IF($E25="","No Port",IF(G25="Panama","Ship cannot pass through Panama",((F25/24/Shipping!$V$44+F25/24/Shipping!$V$50+Shipping!$V$59+Shipping!$V$64)*(Shipping!$V$22+wacc_nl*Shipping!$V$19/365.25*1000000+Shipping!$V$35)+(F25/24/Shipping!$V$44*Shipping!$V$45+Shipping!$V$64*Shipping!$V$65)*IF(bunker_choice="HFO",$H25,IF(bunker_choice="hydrogen",$BD25*hfo_e_density_lhv/h2_e_density_lhv,(EX25+EZ25)*1000000/FB25*hfo_e_density_lhv/lng_e_density_lhv))+(F25/24/Shipping!$V$50*Shipping!$V$51+Shipping!$V$59*Shipping!$V$60)*IF(bunker_choice="HFO",bunker_price_ROT,IF(bunker_choice="hydrogen",$BD25*hfo_e_density_lhv/h2_e_density_lhv,(EX25+EZ25)*1000000/FB25*hfo_e_density_lhv/lng_e_density_lhv))+Shipping!$V$73+IF(G25="Panama",Shipping!$V$55,0)+IF(G25="Suez",Shipping!$V$56,0))/Shipping!$V$31*(FB25+lng_st_ab_losses)/1000000)+IF(inland_transport_to_port="hv dc grid",$BM25/100*1000*FE25,IF(inland_transport_to_port="pipeline",$BN25,0)))</f>
        <v>9547.6635814445981</v>
      </c>
      <c r="FD25" s="28">
        <f t="shared" si="41"/>
        <v>137474.88854237998</v>
      </c>
      <c r="FE25" s="29">
        <f>((Carriers!$AB$18/Carriers!$AB$23*alk_el_e_demand)+sng_e_demand+lng_e_demand)*(FB25+lng_st_ab_losses)/1000000+lng_st_e_demand*EZ25/1000000</f>
        <v>1110.9686309408701</v>
      </c>
      <c r="FF25" s="29">
        <f t="shared" si="28"/>
        <v>0.8126185861001558</v>
      </c>
      <c r="FG25" s="28">
        <f>IFERROR(FD25*1000000/Storage!$U$12,"")</f>
        <v>3387.405341900007</v>
      </c>
      <c r="FH25" s="28">
        <f>IF($E25="","No Port",((F25/24/Shipping!$V$44+F25/24/Shipping!$V$50+Shipping!$V$59+Shipping!$V$64)*Carriers!$AB$39*wacc_nl))</f>
        <v>33.769234311007615</v>
      </c>
      <c r="FI25" s="100">
        <f>H2_retrieval!$T$25*h2_demand_kt/1000+(co2_liq_e_demand+co2_st_e_demand*2)*Storage!$U$12*co2_density/lng_density/1000000</f>
        <v>236.51371749646054</v>
      </c>
      <c r="FJ25" s="28">
        <f>IFERROR((((EX25+EZ25+FC25)*(1+H2_retrieval!$T$34)+FH25)*1000000/H2_retrieval!$T$8)+h2_regen_lng,"")</f>
        <v>9887.2021987033859</v>
      </c>
      <c r="FK25" s="149">
        <f>(lh2_invest*(M25+1/lh2_lifetime)/lh2_prod+lh2_opex+lh2_e_demand*1000*$AU25/100+Carriers!$AD$18/Carriers!$AD$23*BD25)*(FM25+lh2_st_ab_losses)/1000000</f>
        <v>81859.429743978486</v>
      </c>
      <c r="FL25" s="28">
        <f>lh2_st_nl_cost*lh2_st_nl_demand/1000000+(lh2_st_invest*(M25+1/lh2_st_lifetime+lh2_st_opex)/(Storage!$Y$63/1000000)+lh2_st_e_demand*1000*$AU25/100)*(FM25+lh2_st_ab_losses)/1000000+((FM25+lh2_st_ab_losses)/365.25*short_st_duration_hrs/24)*(h2_short_st_invest*(1/gh2_short_st_lifetime+$M25+h2_short_st_opex)+h2_short_st_e_demand*1000*$AU25/100)/1000000</f>
        <v>75832.687927132632</v>
      </c>
      <c r="FM25" s="63">
        <f>Storage!$Y$57/((1-Shipping!$Z$37)^($F25/24/Shipping!$Z$44+0.5*Shipping!$Z$59))</f>
        <v>14047307.741642043</v>
      </c>
      <c r="FN25" s="28">
        <f>IF($E25="","No Port",IF(G25="Panama","Ship cannot pass through Panama",((F25/24/Shipping!$Z$44+F25/24/Shipping!$Z$50+Shipping!$Z$59+Shipping!$Z$64)*(Shipping!$Z$22+wacc_nl*Shipping!$Z$19/365.25*1000000+Shipping!$Z$35)+(F25/24/Shipping!$Z$44*Shipping!$Z$45+Shipping!$Z$64*Shipping!$Z$65)*IF(bunker_choice="HFO",$H25,IF(bunker_choice="hydrogen",$BD25*hfo_e_density_lhv/h2_e_density_lhv,(FK25+FL25)*1000000/FM25*hfo_e_density_lhv/lh2_e_density_lhv))+(F25/24/Shipping!$Z$50*Shipping!$Z$51+Shipping!$Z$59*Shipping!$Z$60)*IF(bunker_choice="HFO",bunker_price_ROT,IF(bunker_choice="hydrogen",$BD25*hfo_e_density_lhv/h2_e_density_lhv,(FK25+FL25)*1000000/FM25*hfo_e_density_lhv/lh2_e_density_lhv))+Shipping!$Z$73+IF(G25="Panama",Shipping!$Z$55,0)+IF(G25="Suez",Shipping!$Z$56,0))/Shipping!$Z$31*(FM25+lh2_st_ab_losses)/1000000)+IF(inland_transport_to_port="hv dc grid",$BM25/100*1000*FP25,IF(inland_transport_to_port="pipeline",$BN25,0)))</f>
        <v>11162.782946977128</v>
      </c>
      <c r="FO25" s="28">
        <f t="shared" si="42"/>
        <v>168854.90061808826</v>
      </c>
      <c r="FP25" s="29">
        <f>((Carriers!$AD$18/Carriers!$AD$23*alk_el_e_demand)+lh2_e_demand)*(FM25+lh2_st_ab_losses)/1000000+lh2_st_e_demand*FM25/1000000</f>
        <v>814.01675215882881</v>
      </c>
      <c r="FQ25" s="100">
        <f t="shared" si="29"/>
        <v>1.361902463475859</v>
      </c>
      <c r="FR25" s="28">
        <f>IFERROR(FO25*1000000/Storage!$Y$12,"")</f>
        <v>12415.801516035901</v>
      </c>
      <c r="FS25" s="100">
        <f>H2_retrieval!$V$25*h2_demand_kt/1000</f>
        <v>8.16</v>
      </c>
      <c r="FT25" s="28">
        <f>IFERROR(FR25*(1+H2_retrieval!$V$34)/Carrier_properties!$U$7+H2_retrieval!$V$38,"")</f>
        <v>12447.770241904369</v>
      </c>
      <c r="FU25" s="12"/>
      <c r="FV25" s="24">
        <f t="shared" si="30"/>
        <v>4.3780494197704707</v>
      </c>
      <c r="FW25" s="24">
        <f t="shared" si="43"/>
        <v>7.0409262532674255</v>
      </c>
      <c r="FX25" s="24">
        <f t="shared" si="44"/>
        <v>11.449762518233705</v>
      </c>
      <c r="FY25" s="24">
        <f t="shared" si="45"/>
        <v>4.3780494197704707</v>
      </c>
      <c r="FZ25" s="28">
        <f t="shared" si="46"/>
        <v>4139.2983926772558</v>
      </c>
      <c r="GA25" s="28">
        <f t="shared" si="47"/>
        <v>976.59610014284715</v>
      </c>
      <c r="GB25" s="28">
        <f t="shared" si="48"/>
        <v>711.56321951041696</v>
      </c>
      <c r="GC25" s="28">
        <f t="shared" si="49"/>
        <v>1104.3543362978428</v>
      </c>
      <c r="GD25" s="28">
        <f t="shared" si="50"/>
        <v>1616.9229840646472</v>
      </c>
      <c r="GE25" s="28">
        <f t="shared" si="51"/>
        <v>2837.3586290058929</v>
      </c>
      <c r="GF25" s="28">
        <f t="shared" si="52"/>
        <v>2926.1804253779815</v>
      </c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</row>
    <row r="26" spans="1:214" x14ac:dyDescent="0.2">
      <c r="A26" s="40" t="s">
        <v>18</v>
      </c>
      <c r="B26" s="12">
        <v>10910</v>
      </c>
      <c r="C26" s="12">
        <v>1</v>
      </c>
      <c r="D26" s="12">
        <f t="shared" si="0"/>
        <v>0</v>
      </c>
      <c r="E26" s="12"/>
      <c r="F26" s="12"/>
      <c r="G26" s="12"/>
      <c r="H26" s="16">
        <f t="shared" si="1"/>
        <v>382.75862068965517</v>
      </c>
      <c r="I26" s="16">
        <v>5270</v>
      </c>
      <c r="J26" s="16">
        <f t="shared" si="31"/>
        <v>40.957210600681499</v>
      </c>
      <c r="K26" s="16" t="str">
        <f t="shared" si="32"/>
        <v/>
      </c>
      <c r="L26" s="103">
        <v>0.08</v>
      </c>
      <c r="M26" s="103">
        <f t="shared" si="2"/>
        <v>9.8002902367341937E-2</v>
      </c>
      <c r="N26" s="122">
        <f t="shared" si="33"/>
        <v>0.9</v>
      </c>
      <c r="O26" s="46">
        <f t="shared" si="3"/>
        <v>40</v>
      </c>
      <c r="P26" s="70">
        <f t="array" ref="P26">SUMPRODUCT(IF(Solar_data!A$4:A$777=A26,Solar_data!C$4:C$777),IF(Solar_data!A$4:A$777=A26,Solar_data!I$4:I$777))/SUMIF(Solar_data!A$4:A$777,A26,Solar_data!I$4:I$777)</f>
        <v>1916.7974121880743</v>
      </c>
      <c r="Q26" s="16">
        <f t="array" ref="Q26">MAX(IF(Solar_data!$A$777:'Solar_data'!$A$4=Country_details!$A26,Solar_data!$C$4:'Solar_data'!$C$777))</f>
        <v>2098.75</v>
      </c>
      <c r="R26" s="16">
        <f t="array" ref="R26">MIN(IF(Solar_data!$A$777:'Solar_data'!$A$4=Country_details!A26,Solar_data!$C$4:'Solar_data'!$C$777))</f>
        <v>1916.25</v>
      </c>
      <c r="S26" s="24">
        <f t="shared" si="4"/>
        <v>1.9679071493883569</v>
      </c>
      <c r="T26" s="24">
        <f t="shared" si="5"/>
        <v>1.7972980733169805</v>
      </c>
      <c r="U26" s="24">
        <f t="shared" si="6"/>
        <v>1.9684693183947881</v>
      </c>
      <c r="V26" s="16">
        <f t="array" ref="V26">SUM(IF(Solar_data!$A$777:'Solar_data'!$A$4=Country_details!$A26,Solar_data!$I$4:'Solar_data'!$I$777))</f>
        <v>46.545972512939009</v>
      </c>
      <c r="W26" s="148"/>
      <c r="X26" s="16" t="str">
        <f>IFERROR(INDEX(Onshore_wind_data!$J$5:'Onshore_wind_data'!$J$221,MATCH(A26,Onshore_wind_data!$B$5:'Onshore_wind_data'!$B$221,0)),"")</f>
        <v/>
      </c>
      <c r="Y26" s="16" t="str">
        <f>IFERROR(INDEX(Onshore_wind_data!$K$5:'Onshore_wind_data'!$K$221,MATCH(A26,Onshore_wind_data!$B$5:'Onshore_wind_data'!$B$221,0)),"")</f>
        <v/>
      </c>
      <c r="Z26" s="16" t="str">
        <f>IFERROR(INDEX(Onshore_wind_data!$L$5:'Onshore_wind_data'!$L$221,MATCH(A26,Onshore_wind_data!$B$5:'Onshore_wind_data'!$B$221,0)),"")</f>
        <v/>
      </c>
      <c r="AA26" s="24" t="str">
        <f t="shared" si="7"/>
        <v/>
      </c>
      <c r="AB26" s="24" t="str">
        <f t="shared" si="8"/>
        <v/>
      </c>
      <c r="AC26" s="24" t="str">
        <f t="shared" si="9"/>
        <v/>
      </c>
      <c r="AD26" s="16">
        <f>IFERROR(INDEX(Onshore_wind_data!$I$5:'Onshore_wind_data'!$I$221,MATCH(A26,Onshore_wind_data!$B$5:'Onshore_wind_data'!$B$221,0)),"")</f>
        <v>0</v>
      </c>
      <c r="AE26" s="148"/>
      <c r="AF26" s="16" t="e">
        <f>INDEX(Offshore_wind_data!$AA$7:$AA$192,MATCH(Country_details!A26,Offshore_wind_data!$A$7:$A$192,0))</f>
        <v>#N/A</v>
      </c>
      <c r="AG26" s="16" t="e">
        <f>INDEX(Offshore_wind_data!$Y$7:$Y$192,MATCH(Country_details!A26,Offshore_wind_data!$A$7:$A$192,0))</f>
        <v>#N/A</v>
      </c>
      <c r="AH26" s="16" t="e">
        <f>INDEX(Offshore_wind_data!$Z$7:$Z$192,MATCH(Country_details!A26,Offshore_wind_data!$A$7:$A$192,0))</f>
        <v>#N/A</v>
      </c>
      <c r="AI26" s="24" t="e">
        <f t="shared" si="10"/>
        <v>#N/A</v>
      </c>
      <c r="AJ26" s="24" t="e">
        <f t="shared" si="11"/>
        <v>#N/A</v>
      </c>
      <c r="AK26" s="24" t="e">
        <f t="shared" si="12"/>
        <v>#N/A</v>
      </c>
      <c r="AL26" s="16" t="e">
        <f>INDEX(Offshore_wind_data!$W$7:$W$191,MATCH(A26,Offshore_wind_data!$A$7:$A$191,0))</f>
        <v>#N/A</v>
      </c>
      <c r="AM26" s="148"/>
      <c r="AN26" s="12">
        <v>0.4</v>
      </c>
      <c r="AO26" s="12">
        <v>0.5</v>
      </c>
      <c r="AP26" s="34">
        <f>7.3929*11.63</f>
        <v>85.979427000000001</v>
      </c>
      <c r="AQ26" s="15">
        <f t="shared" si="13"/>
        <v>50</v>
      </c>
      <c r="AR26" s="12">
        <f t="shared" si="34"/>
        <v>25</v>
      </c>
      <c r="AS26" s="16">
        <f t="shared" si="35"/>
        <v>21.545972512939009</v>
      </c>
      <c r="AT26" s="12"/>
      <c r="AU26" s="24">
        <f t="shared" si="14"/>
        <v>1.9679071493883569</v>
      </c>
      <c r="AV26" s="16">
        <f t="shared" si="15"/>
        <v>1916.7974121880743</v>
      </c>
      <c r="AW26" s="149">
        <f>HV_DC_Grid!$E$3/(1-AX26)*AU26/100*1000</f>
        <v>2473.3645084147961</v>
      </c>
      <c r="AX26" s="31">
        <f>(1-(1-HV_DC_Grid!$E$25)^(B26*C26*HV_DC_Grid!$E$8/1000))+(1-(1-HV_DC_Grid!$E$26)^(B26*D26*HV_DC_Grid!$E$8/1000))+HV_DC_Grid!$E$35*HV_DC_Grid!$E$28</f>
        <v>0.20436023776794299</v>
      </c>
      <c r="AY26" s="28">
        <f>B26*nl_e_demand/IF(hv_dc_flh="electricity FLH",$AV26,hv_dc_custom)*1000*hv_dc_capacity_multiplier*hv_dc_length_multiplier*1000*(C26*hv_dc_overhead_invest*(hv_dc_overhead_opex+M26+1/hv_dc_lifetime)+D26*hv_dc_sea_invest*(hv_dc_sea_opex+M26+1/hv_dc_lifetime))/1000000+HV_DC_Grid!$E$10*1000*hv_dc_station_invest*hv_dc_station_number*(hv_dc_station_opex+M26+1/hv_dc_lifetime)/1000000</f>
        <v>8012.7332525400416</v>
      </c>
      <c r="AZ26" s="24">
        <f>(AW26+AY26)/(HV_DC_Grid!$E$3*1000)*100</f>
        <v>10.486097760954838</v>
      </c>
      <c r="BA26" s="28">
        <f>MIN(((Carriers!$F$26+Carriers!$F$27)*(alk_el_opex+wacc_nl+1/alk_el_lifetime)+IF(hv_dc_flh="electricity FLH",$AV26,hv_dc_custom)*AZ26/100)/(IF(hv_dc_flh="electricity FLH",$AV26,hv_dc_custom)/alk_el_e_demand)*1000,((Carriers!$H$26+Carriers!$H$27)*(pem_el_opex+wacc_nl+1/pem_el_lifetime)+IF(hv_dc_flh="electricity FLH",$AV26,hv_dc_custom)*AZ26/100)/(IF(hv_dc_flh="electricity FLH",$AV26,hv_dc_custom)/pem_el_e_demand)*1000)</f>
        <v>5710.7548296696432</v>
      </c>
      <c r="BB26" s="12"/>
      <c r="BC26" s="12"/>
      <c r="BD26" s="149">
        <f>MIN(((Carriers!$F$26+Carriers!$F$27)*(alk_el_opex+M26+1/alk_el_lifetime)+$AV26*$AU26/100)/($AV26/alk_el_e_demand)*1000,((Carriers!$H$26+Carriers!$H$27)*(pem_el_opex+M26+1/pem_el_lifetime)+$AV26*$AU26/100)/($AV26/pem_el_e_demand)*1000)</f>
        <v>2524.2427663672038</v>
      </c>
      <c r="BE26" s="28">
        <f>Storage!$AC$50</f>
        <v>8.1664117557772418</v>
      </c>
      <c r="BF26" s="28">
        <f>((Pipeline!$D$22*Pipeline!$D$24*B26*(pipeline_opex+M26+1/pipeline_lifetime))*(Pipeline!$D$39/Pipeline!$D$3)+(Pipeline!$D$57*(pipeline_comp_opex+M26+1/pipeline_comp_lifetime)+Pipeline!$D$47*1000*Pipeline!$D$45*$AU26/100/1000000))*(Pipeline!$D$75/Pipeline!$D$45)</f>
        <v>20981.61286728031</v>
      </c>
      <c r="BG26" s="28">
        <f>BD26+(BE26+BF26)/Storage!$AC$12*1000000</f>
        <v>4067.6088898257394</v>
      </c>
      <c r="BH26" s="28"/>
      <c r="BI26" s="28"/>
      <c r="BJ26" s="28" t="str">
        <f>IF($E26="","No Port",BK26*HV_DC_Grid!$E$3*$AU26/100*1000)</f>
        <v>No Port</v>
      </c>
      <c r="BK26" s="31" t="str">
        <f>IFERROR((1-(1-HV_DC_Grid!$E$25)^(K26*HV_DC_Grid!$E$8/1000))+HV_DC_Grid!$E$35*HV_DC_Grid!$E$28,"")</f>
        <v/>
      </c>
      <c r="BL26" s="28" t="str">
        <f>IFERROR(K26*nl_e_demand/IF(hv_dc_flh="electricity FLH",$AV26,hv_dc_custom)*1000*hv_dc_capacity_multiplier*hv_dc_length_multiplier*1000*(hv_dc_overhead_invest*(hv_dc_overhead_opex+M26+1/hv_dc_lifetime))/1000000+HV_DC_Grid!$E$10*1000*hv_dc_station_invest*hv_dc_station_number*(hv_dc_station_opex+M26+1/hv_dc_lifetime)/1000000,"")</f>
        <v/>
      </c>
      <c r="BM26" s="29" t="str">
        <f>IFERROR((BJ26+BL26)/(HV_DC_Grid!$E$3*1000)*100,"")</f>
        <v/>
      </c>
      <c r="BN26" s="28" t="str">
        <f>IFERROR(((Pipeline!$D$22*Pipeline!$D$24*K26*(pipeline_opex+M26+1/pipeline_lifetime))*(Pipeline!$D$39/Pipeline!$D$3)+(Pipeline!$D$57*(pipeline_comp_opex+M26+1/pipeline_comp_lifetime)+Pipeline!$D$47*1000*Pipeline!$D$45*S26/100/1000000))*(Pipeline!$D$75/Pipeline!$D$45),"")</f>
        <v/>
      </c>
      <c r="BO26" s="28"/>
      <c r="BP26" s="150">
        <f t="shared" si="16"/>
        <v>96.324940505306927</v>
      </c>
      <c r="BQ26" s="34">
        <f t="shared" si="17"/>
        <v>28.893593798453228</v>
      </c>
      <c r="BR26" s="151">
        <f>(nh3_invest*(M26+1/nh3_lifetime)/nh3_prod+nh3_opex+nh3_e_demand*1000*$AU26/100+Carriers!$N$18/Carriers!$N$23*BD26+Carriers!$N$19/Carriers!$N$23*BQ26)*(BT26+nh3_st_ab_losses)/1000000</f>
        <v>43905.930540513036</v>
      </c>
      <c r="BS26" s="63">
        <f>nh3_st_nl_cost*nh3_st_nl_demand/1000000+(nh3_st_invest*(M26+1/nh3_st_lifetime+nh3_st_opex)/(Storage!$G$63/1000000)+nh3_st_e_demand*1000*$AU26/100)*(BT26+nh3_st_ab_losses)/1000000+Carriers!$N$18/Carriers!$N$23*((BT26+nh3_st_ab_losses)/365.25*short_st_duration_hrs/24)*(h2_short_st_invest*(1/gh2_short_st_lifetime+$M26+h2_short_st_opex)+h2_short_st_e_demand*1000*$AU26/100)/1000000+Carriers!$N$19/Carriers!$N$23*((BT26+nh3_st_ab_losses)/365.25*short_st_duration_hrs/24)*(n2_short_st_invest*(1/n2_short_st_lifetime+$M26+n2_short_st_opex)+n2_short_st_e_demand*1000*$AU26/100)/1000000</f>
        <v>3055.4917932507874</v>
      </c>
      <c r="BT26" s="63">
        <f>Storage!$G$57/((1-Shipping!$H$37)^(F26/24/Shipping!$H$44+0.5*Shipping!$H$59))</f>
        <v>76857210.785724297</v>
      </c>
      <c r="BU26" s="63" t="str">
        <f>IF($E26="","No Port",((F26/24/Shipping!$H$44+F26/24/Shipping!$H$50+Shipping!$H$59+Shipping!$H$64)*(Shipping!$H$22+wacc_nl*Shipping!$H$19/365.25*1000000+Shipping!$H$35)+(F26/24/Shipping!$H$44*Shipping!$H$45+Shipping!$H$64*Shipping!$H$65)*IF(bunker_choice="HFO",H26,IF(bunker_choice="hydrogen",BD26*hfo_e_density_lhv/h2_e_density_lhv,(BR26+BS26)*1000000/BT26*hfo_e_density_lhv/nh3_e_density_lhv))+(F26/24/Shipping!$H$50*Shipping!$H$51+Shipping!$H$59*Shipping!$H$60)*IF(bunker_choice="HFO",bunker_price_ROT,IF(bunker_choice="hydrogen",BD26*hfo_e_density_lhv/h2_e_density_lhv,(BR26+BS26)*1000000/BT26*hfo_e_density_lhv/nh3_e_density_lhv))+Shipping!$H$73+IF(G26="Panama",Shipping!$H$55,0)+IF(G26="Suez",Shipping!$H$56,0))/Shipping!$H$31*BT26/1000000+IF(inland_transport_to_port="hv dc grid",$BM26/100*1000*BW26,IF(inland_transport_to_port="pipeline",$BN26,0)))</f>
        <v>No Port</v>
      </c>
      <c r="BV26" s="63" t="str">
        <f t="shared" si="18"/>
        <v/>
      </c>
      <c r="BW26" s="33">
        <f>((Carriers!$N$18/Carriers!$N$23*alk_el_e_demand)+(Carriers!$N$19/Carriers!$N$23*n2_e_demand)+nh3_e_demand)*(BT26+nh3_st_ab_losses)/1000000+nh3_st_e_demand*BT26/1000000</f>
        <v>759.00171168026975</v>
      </c>
      <c r="BX26" s="33">
        <f t="shared" si="19"/>
        <v>0.76626754477640768</v>
      </c>
      <c r="BY26" s="63" t="str">
        <f>IFERROR(BV26*1000000/Storage!$G$12,"")</f>
        <v/>
      </c>
      <c r="BZ26" s="63">
        <f>H2_retrieval!$F$25*h2_demand_kt/1000</f>
        <v>80</v>
      </c>
      <c r="CA26" s="63" t="str">
        <f>IFERROR(BY26*(1+H2_retrieval!$F$34)/Carrier_properties!$E$7+H2_retrieval!$F$38,"")</f>
        <v/>
      </c>
      <c r="CB26" s="149">
        <f>(FA_invest*(M26+1/FA_lifetime)/FA_prod+FA_opex+FA_e_demand*1000*$AU26/100+Carriers!$P$18/Carriers!$P$23*BD26+Carriers!$P$20/Carriers!$P$23*co2_liq_cost)*(CF26+FA_st_ab_losses)/1000000</f>
        <v>88106.6163330407</v>
      </c>
      <c r="CC26" s="86">
        <f>(FA_invest*(M26+1/FA_lifetime)/FA_prod+FA_opex+FA_e_demand*1000*$AU26/100+Carriers!$P$18/Carriers!$P$23*BD26+Carriers!$P$20/Carriers!$P$23*BP26)*(CF26+FA_st_ab_losses)/1000000</f>
        <v>111058.78601585649</v>
      </c>
      <c r="CD26" s="63">
        <f>FA_st_nl_cost*FA_st_nl_demand/1000000+(FA_st_invest*(M26+1/FA_st_lifetime+FA_st_opex)/(Storage!$I$63/1000000)+FA_st_e_demand*1000*$AU26/100)*(CF26+FA_st_ab_losses)/1000000+co2_st_nl_cost*Storage!$I$12*co2_density/FA_density/1000000+(co2_st_opex_lev+co2_st_invest_lev+co2_st_e_demand*1000*$AU26/100)*Storage!$I$12/1000000+co2_st_invest_lev*Storage!$I$12*co2_st_lifetime*M26/1000000+Carriers!$P$18/Carriers!$P$23*((CF26+FA_st_ab_losses)/365.25*short_st_duration_hrs/24)*(h2_short_st_invest*(1/gh2_short_st_lifetime+$M26+h2_short_st_opex)+h2_short_st_e_demand*1000*$AU26/100)/1000000+Carriers!$P$20/Carriers!$P$23*((CF26+FA_st_ab_losses)/365.25*short_st_duration_hrs/24)*(co2_short_st_invest*(1/co2_short_st_lifetime+$M26+co2_short_st_opex)+co2_short_st_e_demand*1000*$AU26/100)/1000000</f>
        <v>10684.657681510285</v>
      </c>
      <c r="CE26" s="63">
        <f>FA_st_nl_cost*FA_st_nl_demand/1000000+(FA_st_invest*(M26+1/FA_st_lifetime+FA_st_opex)/(Storage!$I$63/1000000)+FA_st_e_demand*1000*$AU26/100)*(CF26+FA_st_ab_losses)/1000000+Carriers!$P$18/Carriers!$P$23*((CF26+FA_st_ab_losses)/365.25*short_st_duration_hrs/24)*(h2_short_st_invest*(1/gh2_short_st_lifetime+$M26+h2_short_st_opex)+h2_short_st_e_demand*1000*$AU26/100)/1000000+Carriers!$P$20/Carriers!$P$23*((CF26+FA_st_ab_losses)/365.25*short_st_duration_hrs/24)*(co2_short_st_invest*(1/co2_short_st_lifetime+$M26+co2_short_st_opex)+co2_short_st_e_demand*1000*$AU26/100)/1000000</f>
        <v>4613.3235383992069</v>
      </c>
      <c r="CF26" s="63">
        <f>Storage!$I$57/((1-Shipping!$J$37)^($F26/24/Shipping!$J$44+0.5*Shipping!$J$59))</f>
        <v>310425396.82539684</v>
      </c>
      <c r="CG26" s="28" t="str">
        <f>IF($E26="","No Port",((F26/24/Shipping!$J$44+F26/24/Shipping!$J$50+Shipping!$J$59+Shipping!$J$64)*(Shipping!$J$22+wacc_nl*Shipping!$J$19/365.25*1000000+Shipping!$J$35)+(F26/24/Shipping!$J$44*Shipping!$J$45+Shipping!$J$64*Shipping!$J$65)*IF(bunker_choice="HFO",$H26,IF(bunker_choice="hydrogen",$BD26*hfo_e_density_lhv/h2_e_density_lhv,(CB26+CD26)*1000000/CF26*hfo_e_density_lhv/FA_e_density_lhv))+(F26/24/Shipping!$J$50*Shipping!$J$51+Shipping!$J$59*Shipping!$J$60)*IF(bunker_choice="HFO",bunker_price_ROT,IF(bunker_choice="hydrogen",$BD26*hfo_e_density_lhv/h2_e_density_lhv,(CB26+CD26)*1000000/CF26*hfo_e_density_lhv/FA_e_density_lhv))+Shipping!$J$73+IF(G26="Panama",Shipping!$J$55,0)+IF(G26="Suez",Shipping!$J$56,0))/Shipping!$J$31*CF26/1000000+IF(inland_transport_to_port="hv dc grid",$BM26/100*1000*CI26,IF(inland_transport_to_port="pipeline",$BN26,0)))</f>
        <v>No Port</v>
      </c>
      <c r="CH26" s="28" t="str">
        <f t="shared" si="36"/>
        <v/>
      </c>
      <c r="CI26" s="29">
        <f>((Carriers!$P$18/Carriers!$P$23*alk_el_e_demand)+FA_e_demand)*(CF26+FA_st_ab_losses)/1000000+FA_st_e_demand*CF26/1000000</f>
        <v>1897.8881241622576</v>
      </c>
      <c r="CJ26" s="29">
        <f t="shared" si="20"/>
        <v>0.46563809523809524</v>
      </c>
      <c r="CK26" s="28" t="str">
        <f>IFERROR(CH26*1000000/Storage!$I$12,"")</f>
        <v/>
      </c>
      <c r="CL26" s="28" t="str">
        <f>IF($E26="","No Port",((F26/24/Shipping!$J$44+F26/24/Shipping!$J$50+Shipping!$J$59+Shipping!$J$64)*Carriers!$P$39*wacc_nl))</f>
        <v>No Port</v>
      </c>
      <c r="CM26" s="29">
        <f>H2_retrieval!$H$25*h2_demand_kt/1000+(co2_liq_e_demand+co2_st_e_demand*2)*Storage!$I$12*co2_density/FA_density/1000000</f>
        <v>94.204253879484654</v>
      </c>
      <c r="CN26" s="28" t="str">
        <f>IFERROR((((CB26+CD26+CG26)*(1+H2_retrieval!$H$34)+CL26)*1000000/H2_retrieval!$H$8)+h2_regen_fa,"")</f>
        <v/>
      </c>
      <c r="CO26" s="149">
        <f>(meoh_invest*(M26+1/meoh_lifetime)/meoh_prod+meoh_opex+meoh_e_demand*1000*$AU26/100+Carriers!$R$18/Carriers!$R$23*BD26+Carriers!$R$20/Carriers!$R$23*co2_liq_cost)*(CS26+meoh_st_ab_losses)/1000000</f>
        <v>55329.018706405535</v>
      </c>
      <c r="CP26" s="86">
        <f>(meoh_invest*(M26+1/meoh_lifetime)/meoh_prod+meoh_opex+meoh_e_demand*1000*$AU26/100+Carriers!$R$18/Carriers!$R$23*BD26+Carriers!$R$20/Carriers!$R$23*BP26)*(CS26+meoh_st_ab_losses)/1000000</f>
        <v>68802.650885846568</v>
      </c>
      <c r="CQ26" s="63">
        <f>meoh_st_nl_cost*meoh_st_nl_demand/1000000+(meoh_st_invest*(M26+1/meoh_st_lifetime+meoh_st_opex)/(Storage!$K$63/1000000)+meoh_st_e_demand*1000*$AU26/100)*(CS26+meoh_st_ab_losses)/1000000+co2_st_nl_cost*Storage!$K$12*co2_density/meoh_density/1000000+(co2_st_opex_lev+co2_st_invest_lev+co2_st_e_demand*1000*IFERROR(MIN(S26,AA26,AI26),S26)/100)*Storage!$K$12/1000000+co2_st_invest_lev*Storage!$K$12*co2_st_lifetime*M26/1000000+Carriers!$R$18/Carriers!$R$23*((CS26+meoh_st_ab_losses)/365.25*short_st_duration_hrs/24)*(h2_short_st_invest*(1/gh2_short_st_lifetime+$M26+h2_short_st_opex)+h2_short_st_e_demand*1000*$AU26/100)/1000000+Carriers!$R$20/Carriers!$R$23*((CF26+meoh_st_ab_losses)/365.25*short_st_duration_hrs/24)*(co2_short_st_invest*(1/co2_short_st_lifetime+$M26+co2_short_st_opex)+co2_short_st_e_demand*1000*$AU26/100)/1000000</f>
        <v>4499.3449843184007</v>
      </c>
      <c r="CR26" s="63">
        <f>meoh_st_nl_cost*meoh_st_nl_demand/1000000+(meoh_st_invest*(M26+1/meoh_st_lifetime+meoh_st_opex)/(Storage!$K$63/1000000)+meoh_st_e_demand*1000*$AU26/100)*(CS26+meoh_st_ab_losses)/1000000+Carriers!$R$18/Carriers!$R$23*((CS26+meoh_st_ab_losses)/365.25*short_st_duration_hrs/24)*(h2_short_st_invest*(1/gh2_short_st_lifetime+$M26+h2_short_st_opex)+h2_short_st_e_demand*1000*$AU26/100)/1000000+Carriers!$R$20/Carriers!$R$23*((CF26+meoh_st_ab_losses)/365.25*short_st_duration_hrs/24)*(co2_short_st_invest*(1/co2_short_st_lifetime+$M26+co2_short_st_opex)+co2_short_st_e_demand*1000*$AU26/100)/1000000</f>
        <v>1787.2023873040675</v>
      </c>
      <c r="CS26" s="63">
        <f>Storage!$K$57/((1-Shipping!$L$37)^($F26/24/Shipping!$L$44+0.5*Shipping!$L$59))</f>
        <v>108044444.44444443</v>
      </c>
      <c r="CT26" s="28" t="str">
        <f>IF($E26="","No Port",IF(AND(ship_choice="VLCC",G26="Panama"),"Ship cannot pass through Panama",IF(ship_choice="VLCC",((F26/24/Shipping!$AD$44+F26/24/Shipping!$AD$50+Shipping!$AD$59+Shipping!$AD$64)*(Shipping!$AD$22+wacc_nl*Shipping!$AD$19/365.25*1000000+Shipping!$AD$35)+(F26/24/Shipping!$AD$44*Shipping!$AD$45+Shipping!$AD$64*Shipping!$AD$65)*IF(bunker_choice="HFO",$H26,IF(bunker_choice="hydrogen",$BD26*hfo_e_density_lhv/h2_e_density_lhv,(CO26+CQ26)*1000000/CS26*hfo_e_density_lhv/meoh_e_density_lhv))+(F26/24/Shipping!$AD$50*Shipping!$AD$51+Shipping!$AD$59*Shipping!$AD$60)*IF(bunker_choice="HFO",bunker_price_ROT,IF(bunker_choice="hydrogen",$BD26*hfo_e_density_lhv/h2_e_density_lhv,(CO26+CQ26)*1000000/CS26*hfo_e_density_lhv/meoh_e_density_lhv))+Shipping!$AD$73+IF(G26="Panama",Shipping!$AD$55,0)+IF(G26="Suez",Shipping!$AD$56,0))/Shipping!$AD$31*CS26/1000000+IF(inland_transport_to_port="hv dc grid",$BM26/100*1000*CV26,IF(inland_transport_to_port="pipeline",$BN26,0)),((F26/24/Shipping!$L$44+F26/24/Shipping!$L$50+Shipping!$L$59+Shipping!$L$64)*(Shipping!$L$22+wacc_nl*Shipping!$L$19/365.25*1000000+Shipping!$L$35)+(F26/24/Shipping!$L$44*Shipping!$L$45+Shipping!$L$64*Shipping!$L$65)*IF(bunker_choice="HFO",$H26,IF(bunker_choice="hydrogen",$BD26*hfo_e_density_lhv/h2_e_density_lhv,(CO26+CQ26)*1000000/CS26*hfo_e_density_lhv/meoh_e_density_lhv))+(F26/24/Shipping!$L$50*Shipping!$L$51+Shipping!$L$59*Shipping!$L$60)*IF(bunker_choice="HFO",bunker_price_ROT,IF(bunker_choice="hydrogen",$BD26*hfo_e_density_lhv/h2_e_density_lhv,(CO26+CQ26)*1000000/CS26*hfo_e_density_lhv/meoh_e_density_lhv))+Shipping!$L$73+IF(G26="Panama",Shipping!$L$55,0)+IF(G26="Suez",Shipping!$L$56,0))/Shipping!$L$31*CS26/1000000+IF(inland_transport_to_port="hv dc grid",$BM26/100*1000*CV26,IF(inland_transport_to_port="pipeline",$BN26,0)))))</f>
        <v>No Port</v>
      </c>
      <c r="CU26" s="28" t="str">
        <f t="shared" si="37"/>
        <v/>
      </c>
      <c r="CV26" s="29">
        <f>((Carriers!$R$18/Carriers!$R$23*alk_el_e_demand)+meoh_e_demand)*(CS26+meoh_st_ab_losses)/1000000+meoh_st_e_demand*CS26/1000000</f>
        <v>1119.9789871111109</v>
      </c>
      <c r="CW26" s="29">
        <f t="shared" si="21"/>
        <v>0.16206666666666666</v>
      </c>
      <c r="CX26" s="28" t="str">
        <f>IFERROR(CU26*1000000/Storage!$K$12,"")</f>
        <v/>
      </c>
      <c r="CY26" s="28" t="str">
        <f>IF($E26="","No Port",((F26/24/Shipping!$L$44+F26/24/Shipping!$L$50+Shipping!$L$59+Shipping!$L$64)*Carriers!$R$39*wacc_nl))</f>
        <v>No Port</v>
      </c>
      <c r="CZ26" s="29">
        <f>H2_retrieval!$J$25*h2_demand_kt/1000+(co2_liq_e_demand+co2_st_e_demand*2)*Storage!$K$12*co2_density/meoh_density/1000000</f>
        <v>251.05079059698966</v>
      </c>
      <c r="DA26" s="28" t="str">
        <f>IFERROR((((CO26+CQ26+CT26)*(1+H2_retrieval!$J$34)+CY26)*1000000/H2_retrieval!$J$8)+h2_regen_meoh,"")</f>
        <v/>
      </c>
      <c r="DB26" s="149">
        <f>(DBT_invest*(M26+1/DBT_lifetime)/DBT_prod+DBT_opex+DBT_e_demand*1000*$AU26/100+Carriers!$T$18/Carriers!$T$23*BD26)*(DD26+DBT_st_ab_losses)/1000000</f>
        <v>37261.241609171506</v>
      </c>
      <c r="DC26" s="28">
        <f>2*(DBT_st_nl_cost*DBT_st_nl_demand/1000000+(DBT_st_invest*(M26+1/DBT_st_lifetime+DBT_st_opex)/(Storage!$M$63/1000000)+DBT_st_e_demand*1000*$AU26/100)*(DD26+DBT_st_ab_losses)/1000000)+Carriers!$T$18/Carriers!$T$23*((DD26+DBT_st_ab_losses)/365.25*short_st_duration_hrs/24)*(h2_short_st_invest*(1/gh2_short_st_lifetime+$M26+h2_short_st_opex)+h2_short_st_e_demand*1000*$AU26/100)/1000000</f>
        <v>3754.0440698854736</v>
      </c>
      <c r="DD26" s="63">
        <f>Storage!$M$57/((1-Shipping!$N$37)^($F26/24/Shipping!$N$44+0.5*Shipping!$N$59))</f>
        <v>219354838.70967743</v>
      </c>
      <c r="DE26" s="28" t="str">
        <f>IF($E26="","No Port",IF(AND(ship_choice="VLCC",G26="Panama"),"Ship cannot pass through Panama",IF(ship_choice="VLCC",((F26/24/Shipping!$AD$44+F26/24/Shipping!$AD$50+Shipping!$AD$59+Shipping!$AD$64)*(Shipping!$AD$22+wacc_nl*Shipping!$AD$19/365.25*1000000+Shipping!$AD$35)+(F26/24/Shipping!$AD$44*Shipping!$AD$45+Shipping!$AD$64*Shipping!$AD$65)*IF(bunker_choice="HFO",$H26,IF(bunker_choice="hydrogen",$BD26*hfo_e_density_lhv/h2_e_density_lhv,(DB26+DC26)*1000000/DD26*hfo_e_density_lhv/DBT_e_density_lhv))+(F26/24/Shipping!$AD$50*Shipping!$AD$51+Shipping!$AD$59*Shipping!$AD$60)*IF(bunker_choice="HFO",bunker_price_ROT,IF(bunker_choice="hydrogen",$BD26*hfo_e_density_lhv/h2_e_density_lhv,(DB26+DC26)*1000000/DD26*hfo_e_density_lhv/DBT_e_density_lhv))+Shipping!$AD$73+IF(G26="Panama",Shipping!$AD$55,0)+IF(G26="Suez",Shipping!$AD$56,0))/Shipping!$AD$31*DD26/1000000+IF(inland_transport_to_port="hv dc grid",$BM26/100*1000*DG26,IF(inland_transport_to_port="pipeline",$BN26,0)),((F26/24/Shipping!$N$44+F26/24/Shipping!$N$50+Shipping!$N$59+Shipping!$N$64)*(Shipping!$N$22+wacc_nl*Shipping!$N$19/365.25*1000000+Shipping!$N$35)+(F26/24/Shipping!$N$44*Shipping!$N$45+Shipping!$N$64*Shipping!$N$65)*IF(bunker_choice="HFO",$H26,IF(bunker_choice="hydrogen",$BD26*hfo_e_density_lhv/h2_e_density_lhv,(DB26+DC26)*1000000/DD26*hfo_e_density_lhv/DBT_e_density_lhv))+(F26/24/Shipping!$N$50*Shipping!$N$51+Shipping!$N$59*Shipping!$N$60)*IF(bunker_choice="HFO",bunker_price_ROT,IF(bunker_choice="hydrogen",$BD26*hfo_e_density_lhv/h2_e_density_lhv,(DB26+DC26)*1000000/DD26*hfo_e_density_lhv/DBT_e_density_lhv))+Shipping!$N$73+IF(G26="Panama",Shipping!$N$55,0)+IF(G26="Suez",Shipping!$N$56,0))/Shipping!$N$31*Shipping!$N$86/1000000+IF(inland_transport_to_port="hv dc grid",$BM26/100*1000*DG26,IF(inland_transport_to_port="pipeline",$BN26,0)))))</f>
        <v>No Port</v>
      </c>
      <c r="DF26" s="28" t="str">
        <f t="shared" si="53"/>
        <v/>
      </c>
      <c r="DG26" s="29">
        <f>((Carriers!$T$18/Carriers!$T$23*alk_el_e_demand)+DBT_e_demand)*(DD26+DBT_st_ab_losses)/1000000+DBT_st_e_demand*DD26/1000000</f>
        <v>703.88335483870969</v>
      </c>
      <c r="DH26" s="29">
        <f t="shared" si="23"/>
        <v>0.21935483870967742</v>
      </c>
      <c r="DI26" s="28" t="str">
        <f>IFERROR(DF26*1000000/Storage!$M$12,"")</f>
        <v/>
      </c>
      <c r="DJ26" s="28" t="str">
        <f>IF($E26="","No Port",((F26/24/Shipping!$N$44+F26/24/Shipping!$N$50+Shipping!$N$59+Shipping!$N$64)*Carriers!$T$39*wacc_nl))</f>
        <v>No Port</v>
      </c>
      <c r="DK26" s="100">
        <f>H2_retrieval!$L$25*h2_demand_kt/1000+(co2_liq_e_demand+co2_st_e_demand*2)*Storage!$M$12*co2_density/DBT_density/1000000</f>
        <v>206.61934861671787</v>
      </c>
      <c r="DL26" s="28" t="str">
        <f>IFERROR(((DF26*(1+H2_retrieval!$L$34)+DJ26)*1000000/H2_retrieval!$L$8)+h2_regen_lohc,"")</f>
        <v/>
      </c>
      <c r="DM26" s="149">
        <f t="shared" si="24"/>
        <v>42387.865996284818</v>
      </c>
      <c r="DN26" s="16">
        <f>2*(nabh4_st_nl_cost*nabh4_st_nl_demand/1000000+(nabh4_st_invest*(M26+1/nabh4_st_lifetime+nabh4_st_opex)/(Storage!$O$63/1000000)+nabh4_st_e_demand*1000*$AU26/100)*(DO26+nabh4_st_ab_losses)/1000000)+(h2_demand_kt*1000/365.25*short_st_duration_hrs/24)*(h2_short_st_invest*(1/gh2_short_st_lifetime+$M26+h2_short_st_opex)+h2_short_st_e_demand*1000*$AU26/100)/1000000</f>
        <v>1252.3760530595725</v>
      </c>
      <c r="DO26" s="63">
        <f>Storage!$O$57/((1-Shipping!$P$37)^($F26/24/Shipping!$P$44+0.5*Shipping!$P$59))</f>
        <v>63920000</v>
      </c>
      <c r="DP26" s="16" t="str">
        <f>IF($E26="","No Port",((F26/24/Shipping!$P$44+F26/24/Shipping!$P$50+Shipping!$P$59+Shipping!$P$64)*(Shipping!$P$22+wacc_nl*Shipping!$P$19/365.25*1000000+Shipping!$P$35)+(F26/24/Shipping!$P$44*Shipping!$P$45+Shipping!$P$64*Shipping!$P$65)*IF(bunker_choice="HFO",$H26,IF(bunker_choice="hydrogen",$BD26*hfo_e_density_lhv/h2_e_density_lhv,(DM26+DN26)*1000000/DO26*hfo_e_density_lhv/nabh4_e_density_lhv))+(F26/24/Shipping!$P$50*Shipping!$P$51+Shipping!$P$59*Shipping!$P$60)*IF(bunker_choice="HFO",bunker_price_ROT,IF(bunker_choice="hydrogen",$BD26*hfo_e_density_lhv/h2_e_density_lhv,(DM26+DN26)*1000000/DO26*hfo_e_density_lhv/nabh4_e_density_lhv))+Shipping!$P$73+IF(G26="Panama",Shipping!$P$55,0)+IF(G26="Suez",Shipping!$P$56,0))/Shipping!$P$31*(DO26+nabh4_st_ab_losses)/1000000+IF(inland_transport_to_port="hv dc grid",$BM26/100*1000*DR26,IF(inland_transport_to_port="pipeline",$BN26,0)))</f>
        <v>No Port</v>
      </c>
      <c r="DQ26" s="28" t="str">
        <f t="shared" si="54"/>
        <v/>
      </c>
      <c r="DR26" s="29">
        <f>((Carriers!$V$18/Carriers!$V$23*alk_el_e_demand)+nabh4_e_demand)*(DO26+nabh4_st_ab_losses)/1000000+nabh4_st_e_demand*DO26/1000000</f>
        <v>980.02139682539689</v>
      </c>
      <c r="DS26" s="28">
        <f t="shared" si="25"/>
        <v>3.1960000000000002</v>
      </c>
      <c r="DT26" s="28" t="str">
        <f>IFERROR(DQ26*1000000/Storage!$O$12,"")</f>
        <v/>
      </c>
      <c r="DU26" s="28" t="str">
        <f>IF($E26="","No Port",((F26/24/Shipping!$P$44+F26/24/Shipping!$P$50+Shipping!$P$59+Shipping!$P$64)*Carriers!$V$39*wacc_nl))</f>
        <v>No Port</v>
      </c>
      <c r="DV26" s="100">
        <f>H2_retrieval!$N$25*h2_demand_kt/1000+(co2_liq_e_demand+co2_st_e_demand*2)*Storage!$O$12*co2_density/nabh4_density/1000000</f>
        <v>18.783638728971958</v>
      </c>
      <c r="DW26" s="28" t="str">
        <f>IFERROR(((DQ26*(1+H2_retrieval!$N$34)+DU26)*1000000/H2_retrieval!$N$8)+h2_regen_nabh4,"")</f>
        <v/>
      </c>
      <c r="DX26" s="149">
        <f>(Dme_invest*(M26+1/Dme_lifetime)/Dme_prod+Dme_opex+Dme_e_demand*1000*$AU26/100+Carriers!$X$21/Carriers!$X$23*(CO26*1000000/CS26))*(EB26+Dme_st_ab_losses)/1000000</f>
        <v>77689.638456584391</v>
      </c>
      <c r="DY26" s="86">
        <f>(Dme_invest*(M26+1/Dme_lifetime)/Dme_prod+Dme_opex+Dme_e_demand*1000*$AU26/100+Carriers!$X$21/Carriers!$X$23*(CP26*1000000/CS26))*(EB26+Dme_st_ab_losses)/1000000</f>
        <v>95968.830344856062</v>
      </c>
      <c r="DZ26" s="63">
        <f>Dme_st_nl_cost*Dme_st_nl_demand/1000000+(Dme_st_invest*(M26+1/Dme_st_lifetime+Dme_st_opex)/(Storage!$Q$63/1000000)+Dme_st_e_demand*1000*$AU26/100)*(EB26+Dme_st_ab_losses)/1000000+co2_st_nl_cost*Storage!$Q$12*co2_density/Dme_density/1000000+(co2_st_opex_lev+co2_st_invest_lev+co2_st_e_demand*1000*$AU26/100)*Storage!$Q$12/1000000+co2_st_invest_lev*Storage!$Q$12*co2_st_lifetime*M26/1000000+(h2_demand_kt*1000/365.25*short_st_duration_hrs/24)*(h2_short_st_invest*(1/gh2_short_st_lifetime+$M26+h2_short_st_opex)+h2_short_st_e_demand*1000*$AU26/100)/1000000</f>
        <v>5449.6035324434006</v>
      </c>
      <c r="EA26" s="63">
        <f>Dme_st_nl_cost*Dme_st_nl_demand/1000000+(Dme_st_invest*(M26+1/Dme_st_lifetime+Dme_st_opex)/(Storage!$Q$63/1000000)+Dme_st_e_demand*1000*$AU26/100)*(EB26+Dme_st_ab_losses)/1000000+(h2_demand_kt*1000/365.25*short_st_duration_hrs/24)*(h2_short_st_invest*(1/gh2_short_st_lifetime+$M26+h2_short_st_opex)+h2_short_st_e_demand*1000*$AU26/100)/1000000</f>
        <v>2723.4532889492957</v>
      </c>
      <c r="EB26" s="63">
        <f>Storage!$Q$57/((1-Shipping!$R$37)^($F26/24/Shipping!$R$44+0.5*Shipping!$R$59))</f>
        <v>103547089.94708996</v>
      </c>
      <c r="EC26" s="153" t="str">
        <f>IF($E26="","No Port",IF(AND(ship_choice="VLCC",G26="Panama"),"Ship cannot pass through Panama",IF(ship_choice="VLCC",((F26/24/Shipping!$AD$44+F26/24/Shipping!$AD$50+Shipping!$AD$59+Shipping!$AD$64)*(Shipping!$AD$22+wacc_nl*Shipping!$AD$19/365.25*1000000+Shipping!$AD$35)+(F26/24/Shipping!$AD$44*Shipping!$AD$45+Shipping!$AD$64*Shipping!$AD$65)*IF(bunker_choice="HFO",$H26,IF(bunker_choice="hydrogen",$BD26*hfo_e_density_lhv/h2_e_density_lhv,(DX26+DZ26)*1000000/EB26*hfo_e_density_lhv/Dme_e_density_lhv))+(F26/24/Shipping!$AD$50*Shipping!$AD$51+Shipping!$AD$59*Shipping!$AD$60)*IF(bunker_choice="HFO",bunker_price_ROT,IF(bunker_choice="hydrogen",$BD26*hfo_e_density_lhv/h2_e_density_lhv,(DX26+DZ26)*1000000/EB26*hfo_e_density_lhv/Dme_e_density_lhv))+Shipping!$AD$73+IF(G26="Panama",Shipping!$AD$55,0)+IF(G26="Suez",Shipping!$AD$56,0))/Shipping!$AD$31*(EB26+Dme_st_ab_losses)/1000000+IF(inland_transport_to_port="hv dc grid",$BM26/100*1000*EE26,IF(inland_transport_to_port="pipeline",$BN26,0)),((F26/24/Shipping!$R$44+F26/24/Shipping!$R$50+Shipping!$R$59+Shipping!$R$64)*(Shipping!$R$22+wacc_nl*Shipping!$R$19/365.25*1000000+Shipping!$R$35)+(F26/24/Shipping!$R$44*Shipping!$R$45+Shipping!$R$64*Shipping!$R$65)*IF(bunker_choice="HFO",$H26,IF(bunker_choice="hydrogen",$BD26*hfo_e_density_lhv/h2_e_density_lhv,(DX26+DZ26)*1000000/EB26*hfo_e_density_lhv/Dme_e_density_lhv))+(F26/24/Shipping!$R$50*Shipping!$R$51+Shipping!$R$59*Shipping!$R$60)*IF(bunker_choice="HFO",bunker_price_ROT,IF(bunker_choice="hydrogen",$BD26*hfo_e_density_lhv/h2_e_density_lhv,(DX26+DZ26)*1000000/EB26*hfo_e_density_lhv/Dme_e_density_lhv))+Shipping!$R$73+IF(G26="Panama",Shipping!$R$55,0)+IF(G26="Suez",Shipping!$R$56,0))/Shipping!$R$31*(EB26+Dme_st_ab_losses)/1000000+IF(inland_transport_to_port="hv dc grid",$BM26/100*1000*EE26,IF(inland_transport_to_port="pipeline",$BN26,0)))))</f>
        <v>No Port</v>
      </c>
      <c r="ED26" s="28" t="str">
        <f t="shared" si="39"/>
        <v/>
      </c>
      <c r="EE26" s="29">
        <f>(Dme_e_demand)*(EB26+Dme_st_ab_losses)/1000000+Dme_st_e_demand*DZ26/1000000+$CV26*(Carriers!$X$21/Carriers!$X$23*EB26)/$CS26</f>
        <v>1550.2168146630911</v>
      </c>
      <c r="EF26" s="29">
        <f t="shared" si="26"/>
        <v>1.0354708994708997</v>
      </c>
      <c r="EG26" s="28" t="str">
        <f>IFERROR(ED26*1000000/Storage!$Q$12,"")</f>
        <v/>
      </c>
      <c r="EH26" s="28" t="str">
        <f>IF($E26="","No Port",((F26/24/Shipping!$R$44+F26/24/Shipping!$R$50+Shipping!$R$59+Shipping!$R$64)*Carriers!$X$39*wacc_nl))</f>
        <v>No Port</v>
      </c>
      <c r="EI26" s="100">
        <f>H2_retrieval!$P$25*h2_demand_kt/1000+(co2_liq_e_demand+co2_st_e_demand*2)*Storage!$Q$12*co2_density/Dme_density/1000000</f>
        <v>252.45335899349112</v>
      </c>
      <c r="EJ26" s="28" t="str">
        <f>IFERROR((((DX26+DZ26+EC26)*(1+H2_retrieval!$P$34)+EH26)*1000000/H2_retrieval!$P$8)+h2_regen_dme,"")</f>
        <v/>
      </c>
      <c r="EK26" s="149">
        <f>(ome_invest*(M26+1/ome_lifetime)/ome_prod+ome_opex+ome_e_demand*1000*$AU26/100+Carriers!$Z$21/Carriers!$Z$23*(CO26*1000000/CS26))*(EO26+ome_st_ab_losses)/1000000</f>
        <v>168692.10857944266</v>
      </c>
      <c r="EL26" s="86">
        <f>(ome_invest*(M26+1/ome_lifetime)/ome_prod+ome_opex+ome_e_demand*1000*$AU26/100+Carriers!$Z$21/Carriers!$Z$23*(CP26*1000000/CS26))*(EO26+ome_st_ab_losses)/1000000</f>
        <v>207063.69063586544</v>
      </c>
      <c r="EM26" s="63">
        <f>ome_st_nl_cost*ome_st_nl_demand/1000000+(ome_st_invest*(M26+1/ome_st_lifetime+ome_st_opex)/(Storage!$S$63/1000000)+ome_st_e_demand*1000*$AU26/100)*(EO26+ome_st_ab_losses)/1000000+co2_st_nl_cost*Storage!$S$12*co2_density/ome_density/1000000+(co2_st_opex_lev+co2_st_invest_lev+co2_st_e_demand*1000*$AU26/100)*Storage!$S$12/1000000+co2_st_invest_lev*Storage!$S$12*co2_st_lifetime*M26/1000000+(h2_demand_kt*1000/365.25*short_st_duration_hrs/24)*(h2_short_st_invest*(1/gh2_short_st_lifetime+$M26+h2_short_st_opex)+h2_short_st_e_demand*1000*$AU26/100)/1000000</f>
        <v>4661.4639331637336</v>
      </c>
      <c r="EN26" s="63">
        <f>ome_st_nl_cost*ome_st_nl_demand/1000000+(ome_st_invest*(M26+1/ome_st_lifetime+ome_st_opex)/(Storage!$S$63/1000000)+ome_st_e_demand*1000*$AU26/100)*(EO26+ome_st_ab_losses)/1000000+(h2_demand_kt*1000/365.25*short_st_duration_hrs/24)*(h2_short_st_invest*(1/gh2_short_st_lifetime+$M26+h2_short_st_opex)+h2_short_st_e_demand*1000*$AU26/100)/1000000</f>
        <v>1623.0555748925578</v>
      </c>
      <c r="EO26" s="63">
        <f>Storage!$S$57/((1-Shipping!$T$37)^($F26/24/Shipping!$T$44+0.5*Shipping!$T$59))</f>
        <v>128282539.68253967</v>
      </c>
      <c r="EP26" s="28" t="str">
        <f>IF($E26="","No Port",IF(AND(ship_choice="VLCC",G26="Panama"),"Ship cannot pass through Panama",IF(ship_choice="VLCC",((F26/24/Shipping!$AD$44+F26/24/Shipping!$AD$50+Shipping!$AD$59+Shipping!$AD$64)*(Shipping!$AD$22+wacc_nl*Shipping!$AD$19/365.25*1000000+Shipping!$AD$35)+(F26/24/Shipping!$AD$44*Shipping!$AD$45+Shipping!$AD$64*Shipping!$AD$65)*IF(bunker_choice="HFO",$H26,IF(bunker_choice="hydrogen",$BD26*hfo_e_density_lhv/h2_e_density_lhv,(EK26+EM26)*1000000/EO26*hfo_e_density_lhv/Dme_e_density_lhv))+(F26/24/Shipping!$AD$50*Shipping!$AD$51+Shipping!$AD$59*Shipping!$AD$60)*IF(bunker_choice="HFO",bunker_price_ROT,IF(bunker_choice="hydrogen",$BD26*hfo_e_density_lhv/h2_e_density_lhv,(EK26+EM26)*1000000/EO26*hfo_e_density_lhv/ome_e_density_lhv))+Shipping!$AD$73+IF(G26="Panama",Shipping!$AD$55,0)+IF(G26="Suez",Shipping!$AD$56,0))/Shipping!$AD$31*(EO26+ome_st_ab_losses)/1000000+IF(inland_transport_to_port="hv dc grid",$BM26/100*1000*ER26,IF(inland_transport_to_port="pipeline",$BN26,0)),((F26/24/Shipping!$T$44+F26/24/Shipping!$T$50+Shipping!$T$59+Shipping!$T$64)*(Shipping!$T$22+wacc_nl*Shipping!$T$19/365.25*1000000+Shipping!$T$35)+(F26/24/Shipping!$T$44*Shipping!$T$45+Shipping!$T$64*Shipping!$T$65)*IF(bunker_choice="HFO",$H26,IF(bunker_choice="hydrogen",$BD26*hfo_e_density_lhv/h2_e_density_lhv,(EK26+EM26)*1000000/EO26*hfo_e_density_lhv/Dme_e_density_lhv))+(F26/24/Shipping!$T$50*Shipping!$T$51+Shipping!$T$59*Shipping!$T$60)*IF(bunker_choice="HFO",bunker_price_ROT,IF(bunker_choice="hydrogen",$BD26*hfo_e_density_lhv/h2_e_density_lhv,(EK26+EM26)*1000000/EO26*hfo_e_density_lhv/ome_e_density_lhv))+Shipping!$T$73+IF(G26="Panama",Shipping!$T$55,0)+IF(G26="Suez",Shipping!$T$56,0))/Shipping!$T$31*(EO26+ome_st_ab_losses)/1000000+IF(inland_transport_to_port="hv dc grid",$BM26/100*1000*ER26,IF(inland_transport_to_port="pipeline",$BN26,0)))))</f>
        <v>No Port</v>
      </c>
      <c r="EQ26" s="28" t="str">
        <f t="shared" si="40"/>
        <v/>
      </c>
      <c r="ER26" s="29">
        <f>(ome_e_demand)*(EO26+ome_st_ab_losses)/1000000+ome_st_e_demand*EM26/1000000+$CV26*(Carriers!$Z$21/Carriers!$Z$23*EO26)/$CS26</f>
        <v>3352.0814571329793</v>
      </c>
      <c r="ES26" s="29">
        <f t="shared" si="27"/>
        <v>0.1924238095238095</v>
      </c>
      <c r="ET26" s="28" t="str">
        <f>IFERROR(EQ26*1000000/Storage!$S$12,"")</f>
        <v/>
      </c>
      <c r="EU26" s="28" t="str">
        <f>IF($E26="","No Port",((F26/24/Shipping!$T$44+F26/24/Shipping!$T$50+Shipping!$T$59+Shipping!$T$64)*Carriers!$Z$39*wacc_nl))</f>
        <v>No Port</v>
      </c>
      <c r="EV26" s="100">
        <f>H2_retrieval!$R$25*h2_demand_kt/1000+(co2_liq_e_demand+co2_st_e_demand*2)*Storage!$S$12*co2_density/ome_density/1000000</f>
        <v>254.51942895252085</v>
      </c>
      <c r="EW26" s="28" t="str">
        <f>IFERROR((((EK26+EM26+EP26)*(1+H2_retrieval!$R$34)+EU26)*1000000/H2_retrieval!$R$8)+h2_regen_ome,"")</f>
        <v/>
      </c>
      <c r="EX26" s="149">
        <f>(sng_invest*(M26+1/sng_lifetime)/sng_prod+lng_invest*(M26+1/lng_lifetime)/lng_prod+sng_opex+lng_opex+(sng_e_demand+lng_e_demand)*1000*$AU26/100+Carriers!$AB$18/Carriers!$AB$23*BD26+Carriers!$AB$20/Carriers!$AB$23*co2_liq_cost)*(FB26+lng_st_ab_losses)/1000000</f>
        <v>59287.742700977928</v>
      </c>
      <c r="EY26" s="86">
        <f>(sng_invest*(M26+1/sng_lifetime)/sng_prod+lng_invest*(M26+1/lng_lifetime)/lng_prod+sng_opex+lng_opex+(sng_e_demand+lng_e_demand)*1000*$AU26/100+Carriers!$AB$18/Carriers!$AB$23*BD26+Carriers!$AB$20/Carriers!$AB$23*BP26)*(FB26+lng_st_ab_losses)/1000000</f>
        <v>69250.734773262768</v>
      </c>
      <c r="EZ26" s="63">
        <f>lng_st_nl_cost*lng_st_nl_demand/1000000+(lng_st_invest*(M26+1/lng_st_lifetime+lng_st_opex)/(Storage!$U$63/1000000)+lng_st_e_demand*1000*$AU26/100)*(FB26+lng_st_ab_losses)/1000000+co2_st_nl_cost*Storage!$U$12*co2_density/lng_density/1000000+(co2_st_opex_lev+co2_st_invest_lev+co2_st_e_demand*1000*$AU26/100)*Storage!$U$12/1000000+co2_st_invest_lev*Storage!$U$12*co2_st_lifetime*M26/1000000+Carriers!$AB$18/Carriers!$AB$23*((FB26+lng_st_ab_losses)/365.25*short_st_duration_hrs/24)*(h2_short_st_invest*(1/gh2_short_st_lifetime+$M26+h2_short_st_opex)+h2_short_st_e_demand*1000*$AU26/100)/1000000+Carriers!$AB$20/Carriers!$AB$23*((FB26+lng_st_ab_losses)/365.25*short_st_duration_hrs/24)*(co2_short_st_invest*(1/co2_short_st_lifetime+$M26+co2_short_st_opex)+co2_short_st_e_demand*1000*$AU26/100)/1000000</f>
        <v>5737.9817019441662</v>
      </c>
      <c r="FA26" s="63">
        <f>lng_st_nl_cost*lng_st_nl_demand/1000000+(lng_st_invest*(M26+1/lng_st_lifetime+lng_st_opex)/(Storage!$U$63/1000000)+lng_st_e_demand*1000*$AU26/100)*(FB26+lng_st_ab_losses)/1000000+Carriers!$AB$18/Carriers!$AB$23*((FB26+lng_st_ab_losses)/365.25*short_st_duration_hrs/24)*(h2_short_st_invest*(1/gh2_short_st_lifetime+$M26+h2_short_st_opex)+h2_short_st_e_demand*1000*$AU26/100)/1000000+Carriers!$AB$20/Carriers!$AB$23*((FB26+lng_st_ab_losses)/365.25*short_st_duration_hrs/24)*(co2_short_st_invest*(1/co2_short_st_lifetime+$M26+co2_short_st_opex)+co2_short_st_e_demand*1000*$AU26/100)/1000000</f>
        <v>4231.8091747562921</v>
      </c>
      <c r="FB26" s="63">
        <f>Storage!$U$57/((1-Shipping!$V$37)^($F26/24/Shipping!$V$44+0.5*Shipping!$V$59))</f>
        <v>40707231.50721889</v>
      </c>
      <c r="FC26" s="28" t="str">
        <f>IF($E26="","No Port",IF(G26="Panama","Ship cannot pass through Panama",((F26/24/Shipping!$V$44+F26/24/Shipping!$V$50+Shipping!$V$59+Shipping!$V$64)*(Shipping!$V$22+wacc_nl*Shipping!$V$19/365.25*1000000+Shipping!$V$35)+(F26/24/Shipping!$V$44*Shipping!$V$45+Shipping!$V$64*Shipping!$V$65)*IF(bunker_choice="HFO",$H26,IF(bunker_choice="hydrogen",$BD26*hfo_e_density_lhv/h2_e_density_lhv,(EX26+EZ26)*1000000/FB26*hfo_e_density_lhv/lng_e_density_lhv))+(F26/24/Shipping!$V$50*Shipping!$V$51+Shipping!$V$59*Shipping!$V$60)*IF(bunker_choice="HFO",bunker_price_ROT,IF(bunker_choice="hydrogen",$BD26*hfo_e_density_lhv/h2_e_density_lhv,(EX26+EZ26)*1000000/FB26*hfo_e_density_lhv/lng_e_density_lhv))+Shipping!$V$73+IF(G26="Panama",Shipping!$V$55,0)+IF(G26="Suez",Shipping!$V$56,0))/Shipping!$V$31*(FB26+lng_st_ab_losses)/1000000)+IF(inland_transport_to_port="hv dc grid",$BM26/100*1000*FE26,IF(inland_transport_to_port="pipeline",$BN26,0)))</f>
        <v>No Port</v>
      </c>
      <c r="FD26" s="28" t="str">
        <f t="shared" si="41"/>
        <v/>
      </c>
      <c r="FE26" s="29">
        <f>((Carriers!$AB$18/Carriers!$AB$23*alk_el_e_demand)+sng_e_demand+lng_e_demand)*(FB26+lng_st_ab_losses)/1000000+lng_st_e_demand*EZ26/1000000</f>
        <v>1091.7518737882833</v>
      </c>
      <c r="FF26" s="29">
        <f t="shared" si="28"/>
        <v>0.8126185861001558</v>
      </c>
      <c r="FG26" s="28" t="str">
        <f>IFERROR(FD26*1000000/Storage!$U$12,"")</f>
        <v/>
      </c>
      <c r="FH26" s="28" t="str">
        <f>IF($E26="","No Port",((F26/24/Shipping!$V$44+F26/24/Shipping!$V$50+Shipping!$V$59+Shipping!$V$64)*Carriers!$AB$39*wacc_nl))</f>
        <v>No Port</v>
      </c>
      <c r="FI26" s="100">
        <f>H2_retrieval!$T$25*h2_demand_kt/1000+(co2_liq_e_demand+co2_st_e_demand*2)*Storage!$U$12*co2_density/lng_density/1000000</f>
        <v>236.51371749646054</v>
      </c>
      <c r="FJ26" s="28" t="str">
        <f>IFERROR((((EX26+EZ26+FC26)*(1+H2_retrieval!$T$34)+FH26)*1000000/H2_retrieval!$T$8)+h2_regen_lng,"")</f>
        <v/>
      </c>
      <c r="FK26" s="149">
        <f>(lh2_invest*(M26+1/lh2_lifetime)/lh2_prod+lh2_opex+lh2_e_demand*1000*$AU26/100+Carriers!$AD$18/Carriers!$AD$23*BD26)*(FM26+lh2_st_ab_losses)/1000000</f>
        <v>45590.199097956174</v>
      </c>
      <c r="FL26" s="28">
        <f>lh2_st_nl_cost*lh2_st_nl_demand/1000000+(lh2_st_invest*(M26+1/lh2_st_lifetime+lh2_st_opex)/(Storage!$Y$63/1000000)+lh2_st_e_demand*1000*$AU26/100)*(FM26+lh2_st_ab_losses)/1000000+((FM26+lh2_st_ab_losses)/365.25*short_st_duration_hrs/24)*(h2_short_st_invest*(1/gh2_short_st_lifetime+$M26+h2_short_st_opex)+h2_short_st_e_demand*1000*$AU26/100)/1000000</f>
        <v>49530.695291416218</v>
      </c>
      <c r="FM26" s="63">
        <f>Storage!$Y$57/((1-Shipping!$Z$37)^($F26/24/Shipping!$Z$44+0.5*Shipping!$Z$59))</f>
        <v>13659984.090217989</v>
      </c>
      <c r="FN26" s="28" t="str">
        <f>IF($E26="","No Port",IF(G26="Panama","Ship cannot pass through Panama",((F26/24/Shipping!$Z$44+F26/24/Shipping!$Z$50+Shipping!$Z$59+Shipping!$Z$64)*(Shipping!$Z$22+wacc_nl*Shipping!$Z$19/365.25*1000000+Shipping!$Z$35)+(F26/24/Shipping!$Z$44*Shipping!$Z$45+Shipping!$Z$64*Shipping!$Z$65)*IF(bunker_choice="HFO",$H26,IF(bunker_choice="hydrogen",$BD26*hfo_e_density_lhv/h2_e_density_lhv,(FK26+FL26)*1000000/FM26*hfo_e_density_lhv/lh2_e_density_lhv))+(F26/24/Shipping!$Z$50*Shipping!$Z$51+Shipping!$Z$59*Shipping!$Z$60)*IF(bunker_choice="HFO",bunker_price_ROT,IF(bunker_choice="hydrogen",$BD26*hfo_e_density_lhv/h2_e_density_lhv,(FK26+FL26)*1000000/FM26*hfo_e_density_lhv/lh2_e_density_lhv))+Shipping!$Z$73+IF(G26="Panama",Shipping!$Z$55,0)+IF(G26="Suez",Shipping!$Z$56,0))/Shipping!$Z$31*(FM26+lh2_st_ab_losses)/1000000)+IF(inland_transport_to_port="hv dc grid",$BM26/100*1000*FP26,IF(inland_transport_to_port="pipeline",$BN26,0)))</f>
        <v>No Port</v>
      </c>
      <c r="FO26" s="28" t="str">
        <f t="shared" si="42"/>
        <v/>
      </c>
      <c r="FP26" s="29">
        <f>((Carriers!$AD$18/Carriers!$AD$23*alk_el_e_demand)+lh2_e_demand)*(FM26+lh2_st_ab_losses)/1000000+lh2_st_e_demand*FM26/1000000</f>
        <v>791.60233245091877</v>
      </c>
      <c r="FQ26" s="100">
        <f t="shared" si="29"/>
        <v>1.361902463475859</v>
      </c>
      <c r="FR26" s="28" t="str">
        <f>IFERROR(FO26*1000000/Storage!$Y$12,"")</f>
        <v/>
      </c>
      <c r="FS26" s="100">
        <f>H2_retrieval!$V$25*h2_demand_kt/1000</f>
        <v>8.16</v>
      </c>
      <c r="FT26" s="28" t="str">
        <f>IFERROR(FR26*(1+H2_retrieval!$V$34)/Carrier_properties!$U$7+H2_retrieval!$V$38,"")</f>
        <v/>
      </c>
      <c r="FU26" s="12"/>
      <c r="FV26" s="24">
        <f t="shared" si="30"/>
        <v>1.9679071493883569</v>
      </c>
      <c r="FW26" s="24" t="str">
        <f t="shared" si="43"/>
        <v/>
      </c>
      <c r="FX26" s="24" t="e">
        <f t="shared" si="44"/>
        <v>#N/A</v>
      </c>
      <c r="FY26" s="24" t="e">
        <f t="shared" si="45"/>
        <v>#N/A</v>
      </c>
      <c r="FZ26" s="28">
        <f t="shared" si="46"/>
        <v>2524.2427663672038</v>
      </c>
      <c r="GA26" s="28">
        <f t="shared" si="47"/>
        <v>571.26624934284325</v>
      </c>
      <c r="GB26" s="28">
        <f t="shared" si="48"/>
        <v>357.76320865371423</v>
      </c>
      <c r="GC26" s="28">
        <f t="shared" si="49"/>
        <v>636.79952485871991</v>
      </c>
      <c r="GD26" s="28">
        <f t="shared" si="50"/>
        <v>926.81339855995759</v>
      </c>
      <c r="GE26" s="28">
        <f t="shared" si="51"/>
        <v>1614.1221646241586</v>
      </c>
      <c r="GF26" s="28">
        <f t="shared" si="52"/>
        <v>1701.1899903087751</v>
      </c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</row>
    <row r="27" spans="1:214" x14ac:dyDescent="0.2">
      <c r="A27" s="40" t="s">
        <v>45</v>
      </c>
      <c r="B27" s="12">
        <v>4478</v>
      </c>
      <c r="C27" s="12">
        <v>0.9</v>
      </c>
      <c r="D27" s="12">
        <f t="shared" si="0"/>
        <v>9.9999999999999978E-2</v>
      </c>
      <c r="E27" s="12"/>
      <c r="F27" s="12"/>
      <c r="G27" s="12"/>
      <c r="H27" s="16">
        <f t="shared" si="1"/>
        <v>382.75862068965517</v>
      </c>
      <c r="I27" s="16">
        <v>273600</v>
      </c>
      <c r="J27" s="16">
        <f t="shared" si="31"/>
        <v>295.10944556195608</v>
      </c>
      <c r="K27" s="16" t="str">
        <f t="shared" si="32"/>
        <v/>
      </c>
      <c r="L27" s="103">
        <v>0.153</v>
      </c>
      <c r="M27" s="103">
        <f t="shared" si="2"/>
        <v>0.14962169739395992</v>
      </c>
      <c r="N27" s="122">
        <f t="shared" si="33"/>
        <v>0.85</v>
      </c>
      <c r="O27" s="46">
        <f t="shared" si="3"/>
        <v>40</v>
      </c>
      <c r="P27" s="70">
        <f t="array" ref="P27">SUMPRODUCT(IF(Solar_data!A$4:A$777=A27,Solar_data!C$4:C$777),IF(Solar_data!A$4:A$777=A27,Solar_data!I$4:I$777))/SUMIF(Solar_data!A$4:A$777,A27,Solar_data!I$4:I$777)</f>
        <v>2179.4210384188045</v>
      </c>
      <c r="Q27" s="16">
        <f t="array" ref="Q27">MAX(IF(Solar_data!$A$777:'Solar_data'!$A$4=Country_details!$A27,Solar_data!$C$4:'Solar_data'!$C$777))</f>
        <v>2281.25</v>
      </c>
      <c r="R27" s="16">
        <f t="array" ref="R27">MIN(IF(Solar_data!$A$777:'Solar_data'!$A$4=Country_details!A27,Solar_data!$C$4:'Solar_data'!$C$777))</f>
        <v>2098.75</v>
      </c>
      <c r="S27" s="24">
        <f t="shared" si="4"/>
        <v>2.5180425948868481</v>
      </c>
      <c r="T27" s="24">
        <f t="shared" si="5"/>
        <v>2.4056438386547181</v>
      </c>
      <c r="U27" s="24">
        <f t="shared" si="6"/>
        <v>2.6148302594073023</v>
      </c>
      <c r="V27" s="16">
        <f t="array" ref="V27">SUM(IF(Solar_data!$A$777:'Solar_data'!$A$4=Country_details!$A27,Solar_data!$I$4:'Solar_data'!$I$777))</f>
        <v>2273.1353507368585</v>
      </c>
      <c r="W27" s="148"/>
      <c r="X27" s="16" t="str">
        <f>IFERROR(INDEX(Onshore_wind_data!$J$5:'Onshore_wind_data'!$J$221,MATCH(A27,Onshore_wind_data!$B$5:'Onshore_wind_data'!$B$221,0)),"")</f>
        <v/>
      </c>
      <c r="Y27" s="16" t="str">
        <f>IFERROR(INDEX(Onshore_wind_data!$K$5:'Onshore_wind_data'!$K$221,MATCH(A27,Onshore_wind_data!$B$5:'Onshore_wind_data'!$B$221,0)),"")</f>
        <v/>
      </c>
      <c r="Z27" s="16" t="str">
        <f>IFERROR(INDEX(Onshore_wind_data!$L$5:'Onshore_wind_data'!$L$221,MATCH(A27,Onshore_wind_data!$B$5:'Onshore_wind_data'!$B$221,0)),"")</f>
        <v/>
      </c>
      <c r="AA27" s="24" t="str">
        <f t="shared" si="7"/>
        <v/>
      </c>
      <c r="AB27" s="24" t="str">
        <f t="shared" si="8"/>
        <v/>
      </c>
      <c r="AC27" s="24" t="str">
        <f t="shared" si="9"/>
        <v/>
      </c>
      <c r="AD27" s="16">
        <f>IFERROR(INDEX(Onshore_wind_data!$I$5:'Onshore_wind_data'!$I$221,MATCH(A27,Onshore_wind_data!$B$5:'Onshore_wind_data'!$B$221,0)),"")</f>
        <v>0</v>
      </c>
      <c r="AE27" s="148"/>
      <c r="AF27" s="16" t="str">
        <f>INDEX(Offshore_wind_data!$AA$7:$AA$192,MATCH(Country_details!A27,Offshore_wind_data!$A$7:$A$192,0))</f>
        <v/>
      </c>
      <c r="AG27" s="16" t="str">
        <f>INDEX(Offshore_wind_data!$Y$7:$Y$192,MATCH(Country_details!A27,Offshore_wind_data!$A$7:$A$192,0))</f>
        <v/>
      </c>
      <c r="AH27" s="16" t="str">
        <f>INDEX(Offshore_wind_data!$Z$7:$Z$192,MATCH(Country_details!A27,Offshore_wind_data!$A$7:$A$192,0))</f>
        <v/>
      </c>
      <c r="AI27" s="24" t="str">
        <f t="shared" si="10"/>
        <v/>
      </c>
      <c r="AJ27" s="24" t="str">
        <f t="shared" si="11"/>
        <v/>
      </c>
      <c r="AK27" s="24" t="str">
        <f t="shared" si="12"/>
        <v/>
      </c>
      <c r="AL27" s="16">
        <f>INDEX(Offshore_wind_data!$W$7:$W$191,MATCH(A27,Offshore_wind_data!$A$7:$A$191,0))</f>
        <v>0</v>
      </c>
      <c r="AM27" s="148"/>
      <c r="AN27" s="12">
        <v>19.2</v>
      </c>
      <c r="AO27" s="12">
        <v>43.2</v>
      </c>
      <c r="AP27" s="34"/>
      <c r="AQ27" s="15">
        <f t="shared" si="13"/>
        <v>50</v>
      </c>
      <c r="AR27" s="12">
        <f t="shared" si="34"/>
        <v>2160</v>
      </c>
      <c r="AS27" s="16">
        <f t="shared" si="35"/>
        <v>113.13535073685853</v>
      </c>
      <c r="AT27" s="12"/>
      <c r="AU27" s="24">
        <f t="shared" si="14"/>
        <v>2.5180425948868481</v>
      </c>
      <c r="AV27" s="16">
        <f t="shared" si="15"/>
        <v>2179.4210384188045</v>
      </c>
      <c r="AW27" s="149">
        <f>HV_DC_Grid!$E$3/(1-AX27)*AU27/100*1000</f>
        <v>2790.6022522487992</v>
      </c>
      <c r="AX27" s="31">
        <f>(1-(1-HV_DC_Grid!$E$25)^(B27*C27*HV_DC_Grid!$E$8/1000))+(1-(1-HV_DC_Grid!$E$26)^(B27*D27*HV_DC_Grid!$E$8/1000))+HV_DC_Grid!$E$35*HV_DC_Grid!$E$28</f>
        <v>9.7670550198370218E-2</v>
      </c>
      <c r="AY27" s="28">
        <f>B27*nl_e_demand/IF(hv_dc_flh="electricity FLH",$AV27,hv_dc_custom)*1000*hv_dc_capacity_multiplier*hv_dc_length_multiplier*1000*(C27*hv_dc_overhead_invest*(hv_dc_overhead_opex+M27+1/hv_dc_lifetime)+D27*hv_dc_sea_invest*(hv_dc_sea_opex+M27+1/hv_dc_lifetime))/1000000+HV_DC_Grid!$E$10*1000*hv_dc_station_invest*hv_dc_station_number*(hv_dc_station_opex+M27+1/hv_dc_lifetime)/1000000</f>
        <v>5800.1743386972075</v>
      </c>
      <c r="AZ27" s="24">
        <f>(AW27+AY27)/(HV_DC_Grid!$E$3*1000)*100</f>
        <v>8.5907765909460068</v>
      </c>
      <c r="BA27" s="28">
        <f>MIN(((Carriers!$F$26+Carriers!$F$27)*(alk_el_opex+wacc_nl+1/alk_el_lifetime)+IF(hv_dc_flh="electricity FLH",$AV27,hv_dc_custom)*AZ27/100)/(IF(hv_dc_flh="electricity FLH",$AV27,hv_dc_custom)/alk_el_e_demand)*1000,((Carriers!$H$26+Carriers!$H$27)*(pem_el_opex+wacc_nl+1/pem_el_lifetime)+IF(hv_dc_flh="electricity FLH",$AV27,hv_dc_custom)*AZ27/100)/(IF(hv_dc_flh="electricity FLH",$AV27,hv_dc_custom)/pem_el_e_demand)*1000)</f>
        <v>4737.1283446361067</v>
      </c>
      <c r="BB27" s="12"/>
      <c r="BC27" s="12"/>
      <c r="BD27" s="149">
        <f>MIN(((Carriers!$F$26+Carriers!$F$27)*(alk_el_opex+M27+1/alk_el_lifetime)+$AV27*$AU27/100)/($AV27/alk_el_e_demand)*1000,((Carriers!$H$26+Carriers!$H$27)*(pem_el_opex+M27+1/pem_el_lifetime)+$AV27*$AU27/100)/($AV27/pem_el_e_demand)*1000)</f>
        <v>3050.3267835044044</v>
      </c>
      <c r="BE27" s="28">
        <f>Storage!$AC$50</f>
        <v>8.1664117557772418</v>
      </c>
      <c r="BF27" s="28">
        <f>((Pipeline!$D$22*Pipeline!$D$24*B27*(pipeline_opex+M27+1/pipeline_lifetime))*(Pipeline!$D$39/Pipeline!$D$3)+(Pipeline!$D$57*(pipeline_comp_opex+M27+1/pipeline_comp_lifetime)+Pipeline!$D$47*1000*Pipeline!$D$45*$AU27/100/1000000))*(Pipeline!$D$75/Pipeline!$D$45)</f>
        <v>11388.068690010112</v>
      </c>
      <c r="BG27" s="28">
        <f>BD27+(BE27+BF27)/Storage!$AC$12*1000000</f>
        <v>3888.2852468695432</v>
      </c>
      <c r="BH27" s="28"/>
      <c r="BI27" s="28"/>
      <c r="BJ27" s="28" t="str">
        <f>IF($E27="","No Port",BK27*HV_DC_Grid!$E$3*$AU27/100*1000)</f>
        <v>No Port</v>
      </c>
      <c r="BK27" s="31" t="str">
        <f>IFERROR((1-(1-HV_DC_Grid!$E$25)^(K27*HV_DC_Grid!$E$8/1000))+HV_DC_Grid!$E$35*HV_DC_Grid!$E$28,"")</f>
        <v/>
      </c>
      <c r="BL27" s="28" t="str">
        <f>IFERROR(K27*nl_e_demand/IF(hv_dc_flh="electricity FLH",$AV27,hv_dc_custom)*1000*hv_dc_capacity_multiplier*hv_dc_length_multiplier*1000*(hv_dc_overhead_invest*(hv_dc_overhead_opex+M27+1/hv_dc_lifetime))/1000000+HV_DC_Grid!$E$10*1000*hv_dc_station_invest*hv_dc_station_number*(hv_dc_station_opex+M27+1/hv_dc_lifetime)/1000000,"")</f>
        <v/>
      </c>
      <c r="BM27" s="29" t="str">
        <f>IFERROR((BJ27+BL27)/(HV_DC_Grid!$E$3*1000)*100,"")</f>
        <v/>
      </c>
      <c r="BN27" s="28" t="str">
        <f>IFERROR(((Pipeline!$D$22*Pipeline!$D$24*K27*(pipeline_opex+M27+1/pipeline_lifetime))*(Pipeline!$D$39/Pipeline!$D$3)+(Pipeline!$D$57*(pipeline_comp_opex+M27+1/pipeline_comp_lifetime)+Pipeline!$D$47*1000*Pipeline!$D$45*S27/100/1000000))*(Pipeline!$D$75/Pipeline!$D$45),"")</f>
        <v/>
      </c>
      <c r="BO27" s="28"/>
      <c r="BP27" s="150">
        <f t="shared" si="16"/>
        <v>125.16008296885762</v>
      </c>
      <c r="BQ27" s="34">
        <f t="shared" si="17"/>
        <v>37.591596358779476</v>
      </c>
      <c r="BR27" s="151">
        <f>(nh3_invest*(M27+1/nh3_lifetime)/nh3_prod+nh3_opex+nh3_e_demand*1000*$AU27/100+Carriers!$N$18/Carriers!$N$23*BD27+Carriers!$N$19/Carriers!$N$23*BQ27)*(BT27+nh3_st_ab_losses)/1000000</f>
        <v>53834.073420889261</v>
      </c>
      <c r="BS27" s="63">
        <f>nh3_st_nl_cost*nh3_st_nl_demand/1000000+(nh3_st_invest*(M27+1/nh3_st_lifetime+nh3_st_opex)/(Storage!$G$63/1000000)+nh3_st_e_demand*1000*$AU27/100)*(BT27+nh3_st_ab_losses)/1000000+Carriers!$N$18/Carriers!$N$23*((BT27+nh3_st_ab_losses)/365.25*short_st_duration_hrs/24)*(h2_short_st_invest*(1/gh2_short_st_lifetime+$M27+h2_short_st_opex)+h2_short_st_e_demand*1000*$AU27/100)/1000000+Carriers!$N$19/Carriers!$N$23*((BT27+nh3_st_ab_losses)/365.25*short_st_duration_hrs/24)*(n2_short_st_invest*(1/n2_short_st_lifetime+$M27+n2_short_st_opex)+n2_short_st_e_demand*1000*$AU27/100)/1000000</f>
        <v>3658.3570977478535</v>
      </c>
      <c r="BT27" s="63">
        <f>Storage!$G$57/((1-Shipping!$H$37)^(F27/24/Shipping!$H$44+0.5*Shipping!$H$59))</f>
        <v>76857210.785724297</v>
      </c>
      <c r="BU27" s="63" t="str">
        <f>IF($E27="","No Port",((F27/24/Shipping!$H$44+F27/24/Shipping!$H$50+Shipping!$H$59+Shipping!$H$64)*(Shipping!$H$22+wacc_nl*Shipping!$H$19/365.25*1000000+Shipping!$H$35)+(F27/24/Shipping!$H$44*Shipping!$H$45+Shipping!$H$64*Shipping!$H$65)*IF(bunker_choice="HFO",H27,IF(bunker_choice="hydrogen",BD27*hfo_e_density_lhv/h2_e_density_lhv,(BR27+BS27)*1000000/BT27*hfo_e_density_lhv/nh3_e_density_lhv))+(F27/24/Shipping!$H$50*Shipping!$H$51+Shipping!$H$59*Shipping!$H$60)*IF(bunker_choice="HFO",bunker_price_ROT,IF(bunker_choice="hydrogen",BD27*hfo_e_density_lhv/h2_e_density_lhv,(BR27+BS27)*1000000/BT27*hfo_e_density_lhv/nh3_e_density_lhv))+Shipping!$H$73+IF(G27="Panama",Shipping!$H$55,0)+IF(G27="Suez",Shipping!$H$56,0))/Shipping!$H$31*BT27/1000000+IF(inland_transport_to_port="hv dc grid",$BM27/100*1000*BW27,IF(inland_transport_to_port="pipeline",$BN27,0)))</f>
        <v>No Port</v>
      </c>
      <c r="BV27" s="63" t="str">
        <f t="shared" si="18"/>
        <v/>
      </c>
      <c r="BW27" s="33">
        <f>((Carriers!$N$18/Carriers!$N$23*alk_el_e_demand)+(Carriers!$N$19/Carriers!$N$23*n2_e_demand)+nh3_e_demand)*(BT27+nh3_st_ab_losses)/1000000+nh3_st_e_demand*BT27/1000000</f>
        <v>759.00171168026975</v>
      </c>
      <c r="BX27" s="33">
        <f t="shared" si="19"/>
        <v>0.76626754477640768</v>
      </c>
      <c r="BY27" s="63" t="str">
        <f>IFERROR(BV27*1000000/Storage!$G$12,"")</f>
        <v/>
      </c>
      <c r="BZ27" s="63">
        <f>H2_retrieval!$F$25*h2_demand_kt/1000</f>
        <v>80</v>
      </c>
      <c r="CA27" s="63" t="str">
        <f>IFERROR(BY27*(1+H2_retrieval!$F$34)/Carrier_properties!$E$7+H2_retrieval!$F$38,"")</f>
        <v/>
      </c>
      <c r="CB27" s="149">
        <f>(FA_invest*(M27+1/FA_lifetime)/FA_prod+FA_opex+FA_e_demand*1000*$AU27/100+Carriers!$P$18/Carriers!$P$23*BD27+Carriers!$P$20/Carriers!$P$23*co2_liq_cost)*(CF27+FA_st_ab_losses)/1000000</f>
        <v>109047.03770258669</v>
      </c>
      <c r="CC27" s="86">
        <f>(FA_invest*(M27+1/FA_lifetime)/FA_prod+FA_opex+FA_e_demand*1000*$AU27/100+Carriers!$P$18/Carriers!$P$23*BD27+Carriers!$P$20/Carriers!$P$23*BP27)*(CF27+FA_st_ab_losses)/1000000</f>
        <v>139429.25567823974</v>
      </c>
      <c r="CD27" s="63">
        <f>FA_st_nl_cost*FA_st_nl_demand/1000000+(FA_st_invest*(M27+1/FA_st_lifetime+FA_st_opex)/(Storage!$I$63/1000000)+FA_st_e_demand*1000*$AU27/100)*(CF27+FA_st_ab_losses)/1000000+co2_st_nl_cost*Storage!$I$12*co2_density/FA_density/1000000+(co2_st_opex_lev+co2_st_invest_lev+co2_st_e_demand*1000*$AU27/100)*Storage!$I$12/1000000+co2_st_invest_lev*Storage!$I$12*co2_st_lifetime*M27/1000000+Carriers!$P$18/Carriers!$P$23*((CF27+FA_st_ab_losses)/365.25*short_st_duration_hrs/24)*(h2_short_st_invest*(1/gh2_short_st_lifetime+$M27+h2_short_st_opex)+h2_short_st_e_demand*1000*$AU27/100)/1000000+Carriers!$P$20/Carriers!$P$23*((CF27+FA_st_ab_losses)/365.25*short_st_duration_hrs/24)*(co2_short_st_invest*(1/co2_short_st_lifetime+$M27+co2_short_st_opex)+co2_short_st_e_demand*1000*$AU27/100)/1000000</f>
        <v>12520.970803052338</v>
      </c>
      <c r="CE27" s="63">
        <f>FA_st_nl_cost*FA_st_nl_demand/1000000+(FA_st_invest*(M27+1/FA_st_lifetime+FA_st_opex)/(Storage!$I$63/1000000)+FA_st_e_demand*1000*$AU27/100)*(CF27+FA_st_ab_losses)/1000000+Carriers!$P$18/Carriers!$P$23*((CF27+FA_st_ab_losses)/365.25*short_st_duration_hrs/24)*(h2_short_st_invest*(1/gh2_short_st_lifetime+$M27+h2_short_st_opex)+h2_short_st_e_demand*1000*$AU27/100)/1000000+Carriers!$P$20/Carriers!$P$23*((CF27+FA_st_ab_losses)/365.25*short_st_duration_hrs/24)*(co2_short_st_invest*(1/co2_short_st_lifetime+$M27+co2_short_st_opex)+co2_short_st_e_demand*1000*$AU27/100)/1000000</f>
        <v>5527.4415307220543</v>
      </c>
      <c r="CF27" s="63">
        <f>Storage!$I$57/((1-Shipping!$J$37)^($F27/24/Shipping!$J$44+0.5*Shipping!$J$59))</f>
        <v>310425396.82539684</v>
      </c>
      <c r="CG27" s="28" t="str">
        <f>IF($E27="","No Port",((F27/24/Shipping!$J$44+F27/24/Shipping!$J$50+Shipping!$J$59+Shipping!$J$64)*(Shipping!$J$22+wacc_nl*Shipping!$J$19/365.25*1000000+Shipping!$J$35)+(F27/24/Shipping!$J$44*Shipping!$J$45+Shipping!$J$64*Shipping!$J$65)*IF(bunker_choice="HFO",$H27,IF(bunker_choice="hydrogen",$BD27*hfo_e_density_lhv/h2_e_density_lhv,(CB27+CD27)*1000000/CF27*hfo_e_density_lhv/FA_e_density_lhv))+(F27/24/Shipping!$J$50*Shipping!$J$51+Shipping!$J$59*Shipping!$J$60)*IF(bunker_choice="HFO",bunker_price_ROT,IF(bunker_choice="hydrogen",$BD27*hfo_e_density_lhv/h2_e_density_lhv,(CB27+CD27)*1000000/CF27*hfo_e_density_lhv/FA_e_density_lhv))+Shipping!$J$73+IF(G27="Panama",Shipping!$J$55,0)+IF(G27="Suez",Shipping!$J$56,0))/Shipping!$J$31*CF27/1000000+IF(inland_transport_to_port="hv dc grid",$BM27/100*1000*CI27,IF(inland_transport_to_port="pipeline",$BN27,0)))</f>
        <v>No Port</v>
      </c>
      <c r="CH27" s="28" t="str">
        <f t="shared" si="36"/>
        <v/>
      </c>
      <c r="CI27" s="29">
        <f>((Carriers!$P$18/Carriers!$P$23*alk_el_e_demand)+FA_e_demand)*(CF27+FA_st_ab_losses)/1000000+FA_st_e_demand*CF27/1000000</f>
        <v>1897.8881241622576</v>
      </c>
      <c r="CJ27" s="29">
        <f t="shared" si="20"/>
        <v>0.46563809523809524</v>
      </c>
      <c r="CK27" s="28" t="str">
        <f>IFERROR(CH27*1000000/Storage!$I$12,"")</f>
        <v/>
      </c>
      <c r="CL27" s="28" t="str">
        <f>IF($E27="","No Port",((F27/24/Shipping!$J$44+F27/24/Shipping!$J$50+Shipping!$J$59+Shipping!$J$64)*Carriers!$P$39*wacc_nl))</f>
        <v>No Port</v>
      </c>
      <c r="CM27" s="29">
        <f>H2_retrieval!$H$25*h2_demand_kt/1000+(co2_liq_e_demand+co2_st_e_demand*2)*Storage!$I$12*co2_density/FA_density/1000000</f>
        <v>94.204253879484654</v>
      </c>
      <c r="CN27" s="28" t="str">
        <f>IFERROR((((CB27+CD27+CG27)*(1+H2_retrieval!$H$34)+CL27)*1000000/H2_retrieval!$H$8)+h2_regen_fa,"")</f>
        <v/>
      </c>
      <c r="CO27" s="149">
        <f>(meoh_invest*(M27+1/meoh_lifetime)/meoh_prod+meoh_opex+meoh_e_demand*1000*$AU27/100+Carriers!$R$18/Carriers!$R$23*BD27+Carriers!$R$20/Carriers!$R$23*co2_liq_cost)*(CS27+meoh_st_ab_losses)/1000000</f>
        <v>66762.90002384939</v>
      </c>
      <c r="CP27" s="86">
        <f>(meoh_invest*(M27+1/meoh_lifetime)/meoh_prod+meoh_opex+meoh_e_demand*1000*$AU27/100+Carriers!$R$18/Carriers!$R$23*BD27+Carriers!$R$20/Carriers!$R$23*BP27)*(CS27+meoh_st_ab_losses)/1000000</f>
        <v>84598.199930421484</v>
      </c>
      <c r="CQ27" s="63">
        <f>meoh_st_nl_cost*meoh_st_nl_demand/1000000+(meoh_st_invest*(M27+1/meoh_st_lifetime+meoh_st_opex)/(Storage!$K$63/1000000)+meoh_st_e_demand*1000*$AU27/100)*(CS27+meoh_st_ab_losses)/1000000+co2_st_nl_cost*Storage!$K$12*co2_density/meoh_density/1000000+(co2_st_opex_lev+co2_st_invest_lev+co2_st_e_demand*1000*IFERROR(MIN(S27,AA27,AI27),S27)/100)*Storage!$K$12/1000000+co2_st_invest_lev*Storage!$K$12*co2_st_lifetime*M27/1000000+Carriers!$R$18/Carriers!$R$23*((CS27+meoh_st_ab_losses)/365.25*short_st_duration_hrs/24)*(h2_short_st_invest*(1/gh2_short_st_lifetime+$M27+h2_short_st_opex)+h2_short_st_e_demand*1000*$AU27/100)/1000000+Carriers!$R$20/Carriers!$R$23*((CF27+meoh_st_ab_losses)/365.25*short_st_duration_hrs/24)*(co2_short_st_invest*(1/co2_short_st_lifetime+$M27+co2_short_st_opex)+co2_short_st_e_demand*1000*$AU27/100)/1000000</f>
        <v>5239.0869325324848</v>
      </c>
      <c r="CR27" s="63">
        <f>meoh_st_nl_cost*meoh_st_nl_demand/1000000+(meoh_st_invest*(M27+1/meoh_st_lifetime+meoh_st_opex)/(Storage!$K$63/1000000)+meoh_st_e_demand*1000*$AU27/100)*(CS27+meoh_st_ab_losses)/1000000+Carriers!$R$18/Carriers!$R$23*((CS27+meoh_st_ab_losses)/365.25*short_st_duration_hrs/24)*(h2_short_st_invest*(1/gh2_short_st_lifetime+$M27+h2_short_st_opex)+h2_short_st_e_demand*1000*$AU27/100)/1000000+Carriers!$R$20/Carriers!$R$23*((CF27+meoh_st_ab_losses)/365.25*short_st_duration_hrs/24)*(co2_short_st_invest*(1/co2_short_st_lifetime+$M27+co2_short_st_opex)+co2_short_st_e_demand*1000*$AU27/100)/1000000</f>
        <v>2205.9716914470723</v>
      </c>
      <c r="CS27" s="63">
        <f>Storage!$K$57/((1-Shipping!$L$37)^($F27/24/Shipping!$L$44+0.5*Shipping!$L$59))</f>
        <v>108044444.44444443</v>
      </c>
      <c r="CT27" s="28" t="str">
        <f>IF($E27="","No Port",IF(AND(ship_choice="VLCC",G27="Panama"),"Ship cannot pass through Panama",IF(ship_choice="VLCC",((F27/24/Shipping!$AD$44+F27/24/Shipping!$AD$50+Shipping!$AD$59+Shipping!$AD$64)*(Shipping!$AD$22+wacc_nl*Shipping!$AD$19/365.25*1000000+Shipping!$AD$35)+(F27/24/Shipping!$AD$44*Shipping!$AD$45+Shipping!$AD$64*Shipping!$AD$65)*IF(bunker_choice="HFO",$H27,IF(bunker_choice="hydrogen",$BD27*hfo_e_density_lhv/h2_e_density_lhv,(CO27+CQ27)*1000000/CS27*hfo_e_density_lhv/meoh_e_density_lhv))+(F27/24/Shipping!$AD$50*Shipping!$AD$51+Shipping!$AD$59*Shipping!$AD$60)*IF(bunker_choice="HFO",bunker_price_ROT,IF(bunker_choice="hydrogen",$BD27*hfo_e_density_lhv/h2_e_density_lhv,(CO27+CQ27)*1000000/CS27*hfo_e_density_lhv/meoh_e_density_lhv))+Shipping!$AD$73+IF(G27="Panama",Shipping!$AD$55,0)+IF(G27="Suez",Shipping!$AD$56,0))/Shipping!$AD$31*CS27/1000000+IF(inland_transport_to_port="hv dc grid",$BM27/100*1000*CV27,IF(inland_transport_to_port="pipeline",$BN27,0)),((F27/24/Shipping!$L$44+F27/24/Shipping!$L$50+Shipping!$L$59+Shipping!$L$64)*(Shipping!$L$22+wacc_nl*Shipping!$L$19/365.25*1000000+Shipping!$L$35)+(F27/24/Shipping!$L$44*Shipping!$L$45+Shipping!$L$64*Shipping!$L$65)*IF(bunker_choice="HFO",$H27,IF(bunker_choice="hydrogen",$BD27*hfo_e_density_lhv/h2_e_density_lhv,(CO27+CQ27)*1000000/CS27*hfo_e_density_lhv/meoh_e_density_lhv))+(F27/24/Shipping!$L$50*Shipping!$L$51+Shipping!$L$59*Shipping!$L$60)*IF(bunker_choice="HFO",bunker_price_ROT,IF(bunker_choice="hydrogen",$BD27*hfo_e_density_lhv/h2_e_density_lhv,(CO27+CQ27)*1000000/CS27*hfo_e_density_lhv/meoh_e_density_lhv))+Shipping!$L$73+IF(G27="Panama",Shipping!$L$55,0)+IF(G27="Suez",Shipping!$L$56,0))/Shipping!$L$31*CS27/1000000+IF(inland_transport_to_port="hv dc grid",$BM27/100*1000*CV27,IF(inland_transport_to_port="pipeline",$BN27,0)))))</f>
        <v>No Port</v>
      </c>
      <c r="CU27" s="28" t="str">
        <f t="shared" si="37"/>
        <v/>
      </c>
      <c r="CV27" s="29">
        <f>((Carriers!$R$18/Carriers!$R$23*alk_el_e_demand)+meoh_e_demand)*(CS27+meoh_st_ab_losses)/1000000+meoh_st_e_demand*CS27/1000000</f>
        <v>1119.9789871111109</v>
      </c>
      <c r="CW27" s="29">
        <f t="shared" si="21"/>
        <v>0.16206666666666666</v>
      </c>
      <c r="CX27" s="28" t="str">
        <f>IFERROR(CU27*1000000/Storage!$K$12,"")</f>
        <v/>
      </c>
      <c r="CY27" s="28" t="str">
        <f>IF($E27="","No Port",((F27/24/Shipping!$L$44+F27/24/Shipping!$L$50+Shipping!$L$59+Shipping!$L$64)*Carriers!$R$39*wacc_nl))</f>
        <v>No Port</v>
      </c>
      <c r="CZ27" s="29">
        <f>H2_retrieval!$J$25*h2_demand_kt/1000+(co2_liq_e_demand+co2_st_e_demand*2)*Storage!$K$12*co2_density/meoh_density/1000000</f>
        <v>251.05079059698966</v>
      </c>
      <c r="DA27" s="28" t="str">
        <f>IFERROR((((CO27+CQ27+CT27)*(1+H2_retrieval!$J$34)+CY27)*1000000/H2_retrieval!$J$8)+h2_regen_meoh,"")</f>
        <v/>
      </c>
      <c r="DB27" s="149">
        <f>(DBT_invest*(M27+1/DBT_lifetime)/DBT_prod+DBT_opex+DBT_e_demand*1000*$AU27/100+Carriers!$T$18/Carriers!$T$23*BD27)*(DD27+DBT_st_ab_losses)/1000000</f>
        <v>45010.62228611279</v>
      </c>
      <c r="DC27" s="28">
        <f>2*(DBT_st_nl_cost*DBT_st_nl_demand/1000000+(DBT_st_invest*(M27+1/DBT_st_lifetime+DBT_st_opex)/(Storage!$M$63/1000000)+DBT_st_e_demand*1000*$AU27/100)*(DD27+DBT_st_ab_losses)/1000000)+Carriers!$T$18/Carriers!$T$23*((DD27+DBT_st_ab_losses)/365.25*short_st_duration_hrs/24)*(h2_short_st_invest*(1/gh2_short_st_lifetime+$M27+h2_short_st_opex)+h2_short_st_e_demand*1000*$AU27/100)/1000000</f>
        <v>4491.0054656462007</v>
      </c>
      <c r="DD27" s="63">
        <f>Storage!$M$57/((1-Shipping!$N$37)^($F27/24/Shipping!$N$44+0.5*Shipping!$N$59))</f>
        <v>219354838.70967743</v>
      </c>
      <c r="DE27" s="28" t="str">
        <f>IF($E27="","No Port",IF(AND(ship_choice="VLCC",G27="Panama"),"Ship cannot pass through Panama",IF(ship_choice="VLCC",((F27/24/Shipping!$AD$44+F27/24/Shipping!$AD$50+Shipping!$AD$59+Shipping!$AD$64)*(Shipping!$AD$22+wacc_nl*Shipping!$AD$19/365.25*1000000+Shipping!$AD$35)+(F27/24/Shipping!$AD$44*Shipping!$AD$45+Shipping!$AD$64*Shipping!$AD$65)*IF(bunker_choice="HFO",$H27,IF(bunker_choice="hydrogen",$BD27*hfo_e_density_lhv/h2_e_density_lhv,(DB27+DC27)*1000000/DD27*hfo_e_density_lhv/DBT_e_density_lhv))+(F27/24/Shipping!$AD$50*Shipping!$AD$51+Shipping!$AD$59*Shipping!$AD$60)*IF(bunker_choice="HFO",bunker_price_ROT,IF(bunker_choice="hydrogen",$BD27*hfo_e_density_lhv/h2_e_density_lhv,(DB27+DC27)*1000000/DD27*hfo_e_density_lhv/DBT_e_density_lhv))+Shipping!$AD$73+IF(G27="Panama",Shipping!$AD$55,0)+IF(G27="Suez",Shipping!$AD$56,0))/Shipping!$AD$31*DD27/1000000+IF(inland_transport_to_port="hv dc grid",$BM27/100*1000*DG27,IF(inland_transport_to_port="pipeline",$BN27,0)),((F27/24/Shipping!$N$44+F27/24/Shipping!$N$50+Shipping!$N$59+Shipping!$N$64)*(Shipping!$N$22+wacc_nl*Shipping!$N$19/365.25*1000000+Shipping!$N$35)+(F27/24/Shipping!$N$44*Shipping!$N$45+Shipping!$N$64*Shipping!$N$65)*IF(bunker_choice="HFO",$H27,IF(bunker_choice="hydrogen",$BD27*hfo_e_density_lhv/h2_e_density_lhv,(DB27+DC27)*1000000/DD27*hfo_e_density_lhv/DBT_e_density_lhv))+(F27/24/Shipping!$N$50*Shipping!$N$51+Shipping!$N$59*Shipping!$N$60)*IF(bunker_choice="HFO",bunker_price_ROT,IF(bunker_choice="hydrogen",$BD27*hfo_e_density_lhv/h2_e_density_lhv,(DB27+DC27)*1000000/DD27*hfo_e_density_lhv/DBT_e_density_lhv))+Shipping!$N$73+IF(G27="Panama",Shipping!$N$55,0)+IF(G27="Suez",Shipping!$N$56,0))/Shipping!$N$31*Shipping!$N$86/1000000+IF(inland_transport_to_port="hv dc grid",$BM27/100*1000*DG27,IF(inland_transport_to_port="pipeline",$BN27,0)))))</f>
        <v>No Port</v>
      </c>
      <c r="DF27" s="28" t="str">
        <f t="shared" si="53"/>
        <v/>
      </c>
      <c r="DG27" s="29">
        <f>((Carriers!$T$18/Carriers!$T$23*alk_el_e_demand)+DBT_e_demand)*(DD27+DBT_st_ab_losses)/1000000+DBT_st_e_demand*DD27/1000000</f>
        <v>703.88335483870969</v>
      </c>
      <c r="DH27" s="29">
        <f t="shared" si="23"/>
        <v>0.21935483870967742</v>
      </c>
      <c r="DI27" s="28" t="str">
        <f>IFERROR(DF27*1000000/Storage!$M$12,"")</f>
        <v/>
      </c>
      <c r="DJ27" s="28" t="str">
        <f>IF($E27="","No Port",((F27/24/Shipping!$N$44+F27/24/Shipping!$N$50+Shipping!$N$59+Shipping!$N$64)*Carriers!$T$39*wacc_nl))</f>
        <v>No Port</v>
      </c>
      <c r="DK27" s="100">
        <f>H2_retrieval!$L$25*h2_demand_kt/1000+(co2_liq_e_demand+co2_st_e_demand*2)*Storage!$M$12*co2_density/DBT_density/1000000</f>
        <v>206.61934861671787</v>
      </c>
      <c r="DL27" s="28" t="str">
        <f>IFERROR(((DF27*(1+H2_retrieval!$L$34)+DJ27)*1000000/H2_retrieval!$L$8)+h2_regen_lohc,"")</f>
        <v/>
      </c>
      <c r="DM27" s="149">
        <f t="shared" si="24"/>
        <v>52051.044136384466</v>
      </c>
      <c r="DN27" s="16">
        <f>2*(nabh4_st_nl_cost*nabh4_st_nl_demand/1000000+(nabh4_st_invest*(M27+1/nabh4_st_lifetime+nabh4_st_opex)/(Storage!$O$63/1000000)+nabh4_st_e_demand*1000*$AU27/100)*(DO27+nabh4_st_ab_losses)/1000000)+(h2_demand_kt*1000/365.25*short_st_duration_hrs/24)*(h2_short_st_invest*(1/gh2_short_st_lifetime+$M27+h2_short_st_opex)+h2_short_st_e_demand*1000*$AU27/100)/1000000</f>
        <v>1504.4788587888506</v>
      </c>
      <c r="DO27" s="63">
        <f>Storage!$O$57/((1-Shipping!$P$37)^($F27/24/Shipping!$P$44+0.5*Shipping!$P$59))</f>
        <v>63920000</v>
      </c>
      <c r="DP27" s="16" t="str">
        <f>IF($E27="","No Port",((F27/24/Shipping!$P$44+F27/24/Shipping!$P$50+Shipping!$P$59+Shipping!$P$64)*(Shipping!$P$22+wacc_nl*Shipping!$P$19/365.25*1000000+Shipping!$P$35)+(F27/24/Shipping!$P$44*Shipping!$P$45+Shipping!$P$64*Shipping!$P$65)*IF(bunker_choice="HFO",$H27,IF(bunker_choice="hydrogen",$BD27*hfo_e_density_lhv/h2_e_density_lhv,(DM27+DN27)*1000000/DO27*hfo_e_density_lhv/nabh4_e_density_lhv))+(F27/24/Shipping!$P$50*Shipping!$P$51+Shipping!$P$59*Shipping!$P$60)*IF(bunker_choice="HFO",bunker_price_ROT,IF(bunker_choice="hydrogen",$BD27*hfo_e_density_lhv/h2_e_density_lhv,(DM27+DN27)*1000000/DO27*hfo_e_density_lhv/nabh4_e_density_lhv))+Shipping!$P$73+IF(G27="Panama",Shipping!$P$55,0)+IF(G27="Suez",Shipping!$P$56,0))/Shipping!$P$31*(DO27+nabh4_st_ab_losses)/1000000+IF(inland_transport_to_port="hv dc grid",$BM27/100*1000*DR27,IF(inland_transport_to_port="pipeline",$BN27,0)))</f>
        <v>No Port</v>
      </c>
      <c r="DQ27" s="28" t="str">
        <f t="shared" si="54"/>
        <v/>
      </c>
      <c r="DR27" s="29">
        <f>((Carriers!$V$18/Carriers!$V$23*alk_el_e_demand)+nabh4_e_demand)*(DO27+nabh4_st_ab_losses)/1000000+nabh4_st_e_demand*DO27/1000000</f>
        <v>980.02139682539689</v>
      </c>
      <c r="DS27" s="28">
        <f t="shared" si="25"/>
        <v>3.1960000000000002</v>
      </c>
      <c r="DT27" s="28" t="str">
        <f>IFERROR(DQ27*1000000/Storage!$O$12,"")</f>
        <v/>
      </c>
      <c r="DU27" s="28" t="str">
        <f>IF($E27="","No Port",((F27/24/Shipping!$P$44+F27/24/Shipping!$P$50+Shipping!$P$59+Shipping!$P$64)*Carriers!$V$39*wacc_nl))</f>
        <v>No Port</v>
      </c>
      <c r="DV27" s="100">
        <f>H2_retrieval!$N$25*h2_demand_kt/1000+(co2_liq_e_demand+co2_st_e_demand*2)*Storage!$O$12*co2_density/nabh4_density/1000000</f>
        <v>18.783638728971958</v>
      </c>
      <c r="DW27" s="28" t="str">
        <f>IFERROR(((DQ27*(1+H2_retrieval!$N$34)+DU27)*1000000/H2_retrieval!$N$8)+h2_regen_nabh4,"")</f>
        <v/>
      </c>
      <c r="DX27" s="149">
        <f>(Dme_invest*(M27+1/Dme_lifetime)/Dme_prod+Dme_opex+Dme_e_demand*1000*$AU27/100+Carriers!$X$21/Carriers!$X$23*(CO27*1000000/CS27))*(EB27+Dme_st_ab_losses)/1000000</f>
        <v>93956.729121231576</v>
      </c>
      <c r="DY27" s="86">
        <f>(Dme_invest*(M27+1/Dme_lifetime)/Dme_prod+Dme_opex+Dme_e_demand*1000*$AU27/100+Carriers!$X$21/Carriers!$X$23*(CP27*1000000/CS27))*(EB27+Dme_st_ab_losses)/1000000</f>
        <v>118153.23864704159</v>
      </c>
      <c r="DZ27" s="63">
        <f>Dme_st_nl_cost*Dme_st_nl_demand/1000000+(Dme_st_invest*(M27+1/Dme_st_lifetime+Dme_st_opex)/(Storage!$Q$63/1000000)+Dme_st_e_demand*1000*$AU27/100)*(EB27+Dme_st_ab_losses)/1000000+co2_st_nl_cost*Storage!$Q$12*co2_density/Dme_density/1000000+(co2_st_opex_lev+co2_st_invest_lev+co2_st_e_demand*1000*$AU27/100)*Storage!$Q$12/1000000+co2_st_invest_lev*Storage!$Q$12*co2_st_lifetime*M27/1000000+(h2_demand_kt*1000/365.25*short_st_duration_hrs/24)*(h2_short_st_invest*(1/gh2_short_st_lifetime+$M27+h2_short_st_opex)+h2_short_st_e_demand*1000*$AU27/100)/1000000</f>
        <v>6304.7368535990972</v>
      </c>
      <c r="EA27" s="63">
        <f>Dme_st_nl_cost*Dme_st_nl_demand/1000000+(Dme_st_invest*(M27+1/Dme_st_lifetime+Dme_st_opex)/(Storage!$Q$63/1000000)+Dme_st_e_demand*1000*$AU27/100)*(EB27+Dme_st_ab_losses)/1000000+(h2_demand_kt*1000/365.25*short_st_duration_hrs/24)*(h2_short_st_invest*(1/gh2_short_st_lifetime+$M27+h2_short_st_opex)+h2_short_st_e_demand*1000*$AU27/100)/1000000</f>
        <v>3270.9744657038709</v>
      </c>
      <c r="EB27" s="63">
        <f>Storage!$Q$57/((1-Shipping!$R$37)^($F27/24/Shipping!$R$44+0.5*Shipping!$R$59))</f>
        <v>103547089.94708996</v>
      </c>
      <c r="EC27" s="153" t="str">
        <f>IF($E27="","No Port",IF(AND(ship_choice="VLCC",G27="Panama"),"Ship cannot pass through Panama",IF(ship_choice="VLCC",((F27/24/Shipping!$AD$44+F27/24/Shipping!$AD$50+Shipping!$AD$59+Shipping!$AD$64)*(Shipping!$AD$22+wacc_nl*Shipping!$AD$19/365.25*1000000+Shipping!$AD$35)+(F27/24/Shipping!$AD$44*Shipping!$AD$45+Shipping!$AD$64*Shipping!$AD$65)*IF(bunker_choice="HFO",$H27,IF(bunker_choice="hydrogen",$BD27*hfo_e_density_lhv/h2_e_density_lhv,(DX27+DZ27)*1000000/EB27*hfo_e_density_lhv/Dme_e_density_lhv))+(F27/24/Shipping!$AD$50*Shipping!$AD$51+Shipping!$AD$59*Shipping!$AD$60)*IF(bunker_choice="HFO",bunker_price_ROT,IF(bunker_choice="hydrogen",$BD27*hfo_e_density_lhv/h2_e_density_lhv,(DX27+DZ27)*1000000/EB27*hfo_e_density_lhv/Dme_e_density_lhv))+Shipping!$AD$73+IF(G27="Panama",Shipping!$AD$55,0)+IF(G27="Suez",Shipping!$AD$56,0))/Shipping!$AD$31*(EB27+Dme_st_ab_losses)/1000000+IF(inland_transport_to_port="hv dc grid",$BM27/100*1000*EE27,IF(inland_transport_to_port="pipeline",$BN27,0)),((F27/24/Shipping!$R$44+F27/24/Shipping!$R$50+Shipping!$R$59+Shipping!$R$64)*(Shipping!$R$22+wacc_nl*Shipping!$R$19/365.25*1000000+Shipping!$R$35)+(F27/24/Shipping!$R$44*Shipping!$R$45+Shipping!$R$64*Shipping!$R$65)*IF(bunker_choice="HFO",$H27,IF(bunker_choice="hydrogen",$BD27*hfo_e_density_lhv/h2_e_density_lhv,(DX27+DZ27)*1000000/EB27*hfo_e_density_lhv/Dme_e_density_lhv))+(F27/24/Shipping!$R$50*Shipping!$R$51+Shipping!$R$59*Shipping!$R$60)*IF(bunker_choice="HFO",bunker_price_ROT,IF(bunker_choice="hydrogen",$BD27*hfo_e_density_lhv/h2_e_density_lhv,(DX27+DZ27)*1000000/EB27*hfo_e_density_lhv/Dme_e_density_lhv))+Shipping!$R$73+IF(G27="Panama",Shipping!$R$55,0)+IF(G27="Suez",Shipping!$R$56,0))/Shipping!$R$31*(EB27+Dme_st_ab_losses)/1000000+IF(inland_transport_to_port="hv dc grid",$BM27/100*1000*EE27,IF(inland_transport_to_port="pipeline",$BN27,0)))))</f>
        <v>No Port</v>
      </c>
      <c r="ED27" s="28" t="str">
        <f t="shared" si="39"/>
        <v/>
      </c>
      <c r="EE27" s="29">
        <f>(Dme_e_demand)*(EB27+Dme_st_ab_losses)/1000000+Dme_st_e_demand*DZ27/1000000+$CV27*(Carriers!$X$21/Carriers!$X$23*EB27)/$CS27</f>
        <v>1550.2168232144243</v>
      </c>
      <c r="EF27" s="29">
        <f t="shared" si="26"/>
        <v>1.0354708994708997</v>
      </c>
      <c r="EG27" s="28" t="str">
        <f>IFERROR(ED27*1000000/Storage!$Q$12,"")</f>
        <v/>
      </c>
      <c r="EH27" s="28" t="str">
        <f>IF($E27="","No Port",((F27/24/Shipping!$R$44+F27/24/Shipping!$R$50+Shipping!$R$59+Shipping!$R$64)*Carriers!$X$39*wacc_nl))</f>
        <v>No Port</v>
      </c>
      <c r="EI27" s="100">
        <f>H2_retrieval!$P$25*h2_demand_kt/1000+(co2_liq_e_demand+co2_st_e_demand*2)*Storage!$Q$12*co2_density/Dme_density/1000000</f>
        <v>252.45335899349112</v>
      </c>
      <c r="EJ27" s="28" t="str">
        <f>IFERROR((((DX27+DZ27+EC27)*(1+H2_retrieval!$P$34)+EH27)*1000000/H2_retrieval!$P$8)+h2_regen_dme,"")</f>
        <v/>
      </c>
      <c r="EK27" s="149">
        <f>(ome_invest*(M27+1/ome_lifetime)/ome_prod+ome_opex+ome_e_demand*1000*$AU27/100+Carriers!$Z$21/Carriers!$Z$23*(CO27*1000000/CS27))*(EO27+ome_st_ab_losses)/1000000</f>
        <v>204446.1281003668</v>
      </c>
      <c r="EL27" s="86">
        <f>(ome_invest*(M27+1/ome_lifetime)/ome_prod+ome_opex+ome_e_demand*1000*$AU27/100+Carriers!$Z$21/Carriers!$Z$23*(CP27*1000000/CS27))*(EO27+ome_st_ab_losses)/1000000</f>
        <v>255239.31176098326</v>
      </c>
      <c r="EM27" s="63">
        <f>ome_st_nl_cost*ome_st_nl_demand/1000000+(ome_st_invest*(M27+1/ome_st_lifetime+ome_st_opex)/(Storage!$S$63/1000000)+ome_st_e_demand*1000*$AU27/100)*(EO27+ome_st_ab_losses)/1000000+co2_st_nl_cost*Storage!$S$12*co2_density/ome_density/1000000+(co2_st_opex_lev+co2_st_invest_lev+co2_st_e_demand*1000*$AU27/100)*Storage!$S$12/1000000+co2_st_invest_lev*Storage!$S$12*co2_st_lifetime*M27/1000000+(h2_demand_kt*1000/365.25*short_st_duration_hrs/24)*(h2_short_st_invest*(1/gh2_short_st_lifetime+$M27+h2_short_st_opex)+h2_short_st_e_demand*1000*$AU27/100)/1000000</f>
        <v>5397.2059144554369</v>
      </c>
      <c r="EN27" s="63">
        <f>ome_st_nl_cost*ome_st_nl_demand/1000000+(ome_st_invest*(M27+1/ome_st_lifetime+ome_st_opex)/(Storage!$S$63/1000000)+ome_st_e_demand*1000*$AU27/100)*(EO27+ome_st_ab_losses)/1000000+(h2_demand_kt*1000/365.25*short_st_duration_hrs/24)*(h2_short_st_invest*(1/gh2_short_st_lifetime+$M27+h2_short_st_opex)+h2_short_st_e_demand*1000*$AU27/100)/1000000</f>
        <v>1977.7026635983689</v>
      </c>
      <c r="EO27" s="63">
        <f>Storage!$S$57/((1-Shipping!$T$37)^($F27/24/Shipping!$T$44+0.5*Shipping!$T$59))</f>
        <v>128282539.68253967</v>
      </c>
      <c r="EP27" s="28" t="str">
        <f>IF($E27="","No Port",IF(AND(ship_choice="VLCC",G27="Panama"),"Ship cannot pass through Panama",IF(ship_choice="VLCC",((F27/24/Shipping!$AD$44+F27/24/Shipping!$AD$50+Shipping!$AD$59+Shipping!$AD$64)*(Shipping!$AD$22+wacc_nl*Shipping!$AD$19/365.25*1000000+Shipping!$AD$35)+(F27/24/Shipping!$AD$44*Shipping!$AD$45+Shipping!$AD$64*Shipping!$AD$65)*IF(bunker_choice="HFO",$H27,IF(bunker_choice="hydrogen",$BD27*hfo_e_density_lhv/h2_e_density_lhv,(EK27+EM27)*1000000/EO27*hfo_e_density_lhv/Dme_e_density_lhv))+(F27/24/Shipping!$AD$50*Shipping!$AD$51+Shipping!$AD$59*Shipping!$AD$60)*IF(bunker_choice="HFO",bunker_price_ROT,IF(bunker_choice="hydrogen",$BD27*hfo_e_density_lhv/h2_e_density_lhv,(EK27+EM27)*1000000/EO27*hfo_e_density_lhv/ome_e_density_lhv))+Shipping!$AD$73+IF(G27="Panama",Shipping!$AD$55,0)+IF(G27="Suez",Shipping!$AD$56,0))/Shipping!$AD$31*(EO27+ome_st_ab_losses)/1000000+IF(inland_transport_to_port="hv dc grid",$BM27/100*1000*ER27,IF(inland_transport_to_port="pipeline",$BN27,0)),((F27/24/Shipping!$T$44+F27/24/Shipping!$T$50+Shipping!$T$59+Shipping!$T$64)*(Shipping!$T$22+wacc_nl*Shipping!$T$19/365.25*1000000+Shipping!$T$35)+(F27/24/Shipping!$T$44*Shipping!$T$45+Shipping!$T$64*Shipping!$T$65)*IF(bunker_choice="HFO",$H27,IF(bunker_choice="hydrogen",$BD27*hfo_e_density_lhv/h2_e_density_lhv,(EK27+EM27)*1000000/EO27*hfo_e_density_lhv/Dme_e_density_lhv))+(F27/24/Shipping!$T$50*Shipping!$T$51+Shipping!$T$59*Shipping!$T$60)*IF(bunker_choice="HFO",bunker_price_ROT,IF(bunker_choice="hydrogen",$BD27*hfo_e_density_lhv/h2_e_density_lhv,(EK27+EM27)*1000000/EO27*hfo_e_density_lhv/ome_e_density_lhv))+Shipping!$T$73+IF(G27="Panama",Shipping!$T$55,0)+IF(G27="Suez",Shipping!$T$56,0))/Shipping!$T$31*(EO27+ome_st_ab_losses)/1000000+IF(inland_transport_to_port="hv dc grid",$BM27/100*1000*ER27,IF(inland_transport_to_port="pipeline",$BN27,0)))))</f>
        <v>No Port</v>
      </c>
      <c r="EQ27" s="28" t="str">
        <f t="shared" si="40"/>
        <v/>
      </c>
      <c r="ER27" s="29">
        <f>(ome_e_demand)*(EO27+ome_st_ab_losses)/1000000+ome_st_e_demand*EM27/1000000+$CV27*(Carriers!$Z$21/Carriers!$Z$23*EO27)/$CS27</f>
        <v>3352.0814582365924</v>
      </c>
      <c r="ES27" s="29">
        <f t="shared" si="27"/>
        <v>0.1924238095238095</v>
      </c>
      <c r="ET27" s="28" t="str">
        <f>IFERROR(EQ27*1000000/Storage!$S$12,"")</f>
        <v/>
      </c>
      <c r="EU27" s="28" t="str">
        <f>IF($E27="","No Port",((F27/24/Shipping!$T$44+F27/24/Shipping!$T$50+Shipping!$T$59+Shipping!$T$64)*Carriers!$Z$39*wacc_nl))</f>
        <v>No Port</v>
      </c>
      <c r="EV27" s="100">
        <f>H2_retrieval!$R$25*h2_demand_kt/1000+(co2_liq_e_demand+co2_st_e_demand*2)*Storage!$S$12*co2_density/ome_density/1000000</f>
        <v>254.51942895252085</v>
      </c>
      <c r="EW27" s="28" t="str">
        <f>IFERROR((((EK27+EM27+EP27)*(1+H2_retrieval!$R$34)+EU27)*1000000/H2_retrieval!$R$8)+h2_regen_ome,"")</f>
        <v/>
      </c>
      <c r="EX27" s="149">
        <f>(sng_invest*(M27+1/sng_lifetime)/sng_prod+lng_invest*(M27+1/lng_lifetime)/lng_prod+sng_opex+lng_opex+(sng_e_demand+lng_e_demand)*1000*$AU27/100+Carriers!$AB$18/Carriers!$AB$23*BD27+Carriers!$AB$20/Carriers!$AB$23*co2_liq_cost)*(FB27+lng_st_ab_losses)/1000000</f>
        <v>71931.962970508277</v>
      </c>
      <c r="EY27" s="86">
        <f>(sng_invest*(M27+1/sng_lifetime)/sng_prod+lng_invest*(M27+1/lng_lifetime)/lng_prod+sng_opex+lng_opex+(sng_e_demand+lng_e_demand)*1000*$AU27/100+Carriers!$AB$18/Carriers!$AB$23*BD27+Carriers!$AB$20/Carriers!$AB$23*BP27)*(FB27+lng_st_ab_losses)/1000000</f>
        <v>85120.162648924306</v>
      </c>
      <c r="EZ27" s="63">
        <f>lng_st_nl_cost*lng_st_nl_demand/1000000+(lng_st_invest*(M27+1/lng_st_lifetime+lng_st_opex)/(Storage!$U$63/1000000)+lng_st_e_demand*1000*$AU27/100)*(FB27+lng_st_ab_losses)/1000000+co2_st_nl_cost*Storage!$U$12*co2_density/lng_density/1000000+(co2_st_opex_lev+co2_st_invest_lev+co2_st_e_demand*1000*$AU27/100)*Storage!$U$12/1000000+co2_st_invest_lev*Storage!$U$12*co2_st_lifetime*M27/1000000+Carriers!$AB$18/Carriers!$AB$23*((FB27+lng_st_ab_losses)/365.25*short_st_duration_hrs/24)*(h2_short_st_invest*(1/gh2_short_st_lifetime+$M27+h2_short_st_opex)+h2_short_st_e_demand*1000*$AU27/100)/1000000+Carriers!$AB$20/Carriers!$AB$23*((FB27+lng_st_ab_losses)/365.25*short_st_duration_hrs/24)*(co2_short_st_invest*(1/co2_short_st_lifetime+$M27+co2_short_st_opex)+co2_short_st_e_demand*1000*$AU27/100)/1000000</f>
        <v>6706.893515410211</v>
      </c>
      <c r="FA27" s="63">
        <f>lng_st_nl_cost*lng_st_nl_demand/1000000+(lng_st_invest*(M27+1/lng_st_lifetime+lng_st_opex)/(Storage!$U$63/1000000)+lng_st_e_demand*1000*$AU27/100)*(FB27+lng_st_ab_losses)/1000000+Carriers!$AB$18/Carriers!$AB$23*((FB27+lng_st_ab_losses)/365.25*short_st_duration_hrs/24)*(h2_short_st_invest*(1/gh2_short_st_lifetime+$M27+h2_short_st_opex)+h2_short_st_e_demand*1000*$AU27/100)/1000000+Carriers!$AB$20/Carriers!$AB$23*((FB27+lng_st_ab_losses)/365.25*short_st_duration_hrs/24)*(co2_short_st_invest*(1/co2_short_st_lifetime+$M27+co2_short_st_opex)+co2_short_st_e_demand*1000*$AU27/100)/1000000</f>
        <v>5080.1558392006318</v>
      </c>
      <c r="FB27" s="63">
        <f>Storage!$U$57/((1-Shipping!$V$37)^($F27/24/Shipping!$V$44+0.5*Shipping!$V$59))</f>
        <v>40707231.50721889</v>
      </c>
      <c r="FC27" s="28" t="str">
        <f>IF($E27="","No Port",IF(G27="Panama","Ship cannot pass through Panama",((F27/24/Shipping!$V$44+F27/24/Shipping!$V$50+Shipping!$V$59+Shipping!$V$64)*(Shipping!$V$22+wacc_nl*Shipping!$V$19/365.25*1000000+Shipping!$V$35)+(F27/24/Shipping!$V$44*Shipping!$V$45+Shipping!$V$64*Shipping!$V$65)*IF(bunker_choice="HFO",$H27,IF(bunker_choice="hydrogen",$BD27*hfo_e_density_lhv/h2_e_density_lhv,(EX27+EZ27)*1000000/FB27*hfo_e_density_lhv/lng_e_density_lhv))+(F27/24/Shipping!$V$50*Shipping!$V$51+Shipping!$V$59*Shipping!$V$60)*IF(bunker_choice="HFO",bunker_price_ROT,IF(bunker_choice="hydrogen",$BD27*hfo_e_density_lhv/h2_e_density_lhv,(EX27+EZ27)*1000000/FB27*hfo_e_density_lhv/lng_e_density_lhv))+Shipping!$V$73+IF(G27="Panama",Shipping!$V$55,0)+IF(G27="Suez",Shipping!$V$56,0))/Shipping!$V$31*(FB27+lng_st_ab_losses)/1000000)+IF(inland_transport_to_port="hv dc grid",$BM27/100*1000*FE27,IF(inland_transport_to_port="pipeline",$BN27,0)))</f>
        <v>No Port</v>
      </c>
      <c r="FD27" s="28" t="str">
        <f t="shared" si="41"/>
        <v/>
      </c>
      <c r="FE27" s="29">
        <f>((Carriers!$AB$18/Carriers!$AB$23*alk_el_e_demand)+sng_e_demand+lng_e_demand)*(FB27+lng_st_ab_losses)/1000000+lng_st_e_demand*EZ27/1000000</f>
        <v>1091.7518931665197</v>
      </c>
      <c r="FF27" s="29">
        <f t="shared" si="28"/>
        <v>0.8126185861001558</v>
      </c>
      <c r="FG27" s="28" t="str">
        <f>IFERROR(FD27*1000000/Storage!$U$12,"")</f>
        <v/>
      </c>
      <c r="FH27" s="28" t="str">
        <f>IF($E27="","No Port",((F27/24/Shipping!$V$44+F27/24/Shipping!$V$50+Shipping!$V$59+Shipping!$V$64)*Carriers!$AB$39*wacc_nl))</f>
        <v>No Port</v>
      </c>
      <c r="FI27" s="100">
        <f>H2_retrieval!$T$25*h2_demand_kt/1000+(co2_liq_e_demand+co2_st_e_demand*2)*Storage!$U$12*co2_density/lng_density/1000000</f>
        <v>236.51371749646054</v>
      </c>
      <c r="FJ27" s="28" t="str">
        <f>IFERROR((((EX27+EZ27+FC27)*(1+H2_retrieval!$T$34)+FH27)*1000000/H2_retrieval!$T$8)+h2_regen_lng,"")</f>
        <v/>
      </c>
      <c r="FK27" s="149">
        <f>(lh2_invest*(M27+1/lh2_lifetime)/lh2_prod+lh2_opex+lh2_e_demand*1000*$AU27/100+Carriers!$AD$18/Carriers!$AD$23*BD27)*(FM27+lh2_st_ab_losses)/1000000</f>
        <v>56255.855046488577</v>
      </c>
      <c r="FL27" s="28">
        <f>lh2_st_nl_cost*lh2_st_nl_demand/1000000+(lh2_st_invest*(M27+1/lh2_st_lifetime+lh2_st_opex)/(Storage!$Y$63/1000000)+lh2_st_e_demand*1000*$AU27/100)*(FM27+lh2_st_ab_losses)/1000000+((FM27+lh2_st_ab_losses)/365.25*short_st_duration_hrs/24)*(h2_short_st_invest*(1/gh2_short_st_lifetime+$M27+h2_short_st_opex)+h2_short_st_e_demand*1000*$AU27/100)/1000000</f>
        <v>58405.96123463806</v>
      </c>
      <c r="FM27" s="63">
        <f>Storage!$Y$57/((1-Shipping!$Z$37)^($F27/24/Shipping!$Z$44+0.5*Shipping!$Z$59))</f>
        <v>13659984.090217989</v>
      </c>
      <c r="FN27" s="28" t="str">
        <f>IF($E27="","No Port",IF(G27="Panama","Ship cannot pass through Panama",((F27/24/Shipping!$Z$44+F27/24/Shipping!$Z$50+Shipping!$Z$59+Shipping!$Z$64)*(Shipping!$Z$22+wacc_nl*Shipping!$Z$19/365.25*1000000+Shipping!$Z$35)+(F27/24/Shipping!$Z$44*Shipping!$Z$45+Shipping!$Z$64*Shipping!$Z$65)*IF(bunker_choice="HFO",$H27,IF(bunker_choice="hydrogen",$BD27*hfo_e_density_lhv/h2_e_density_lhv,(FK27+FL27)*1000000/FM27*hfo_e_density_lhv/lh2_e_density_lhv))+(F27/24/Shipping!$Z$50*Shipping!$Z$51+Shipping!$Z$59*Shipping!$Z$60)*IF(bunker_choice="HFO",bunker_price_ROT,IF(bunker_choice="hydrogen",$BD27*hfo_e_density_lhv/h2_e_density_lhv,(FK27+FL27)*1000000/FM27*hfo_e_density_lhv/lh2_e_density_lhv))+Shipping!$Z$73+IF(G27="Panama",Shipping!$Z$55,0)+IF(G27="Suez",Shipping!$Z$56,0))/Shipping!$Z$31*(FM27+lh2_st_ab_losses)/1000000)+IF(inland_transport_to_port="hv dc grid",$BM27/100*1000*FP27,IF(inland_transport_to_port="pipeline",$BN27,0)))</f>
        <v>No Port</v>
      </c>
      <c r="FO27" s="28" t="str">
        <f t="shared" si="42"/>
        <v/>
      </c>
      <c r="FP27" s="29">
        <f>((Carriers!$AD$18/Carriers!$AD$23*alk_el_e_demand)+lh2_e_demand)*(FM27+lh2_st_ab_losses)/1000000+lh2_st_e_demand*FM27/1000000</f>
        <v>791.60233245091877</v>
      </c>
      <c r="FQ27" s="100">
        <f t="shared" si="29"/>
        <v>1.361902463475859</v>
      </c>
      <c r="FR27" s="28" t="str">
        <f>IFERROR(FO27*1000000/Storage!$Y$12,"")</f>
        <v/>
      </c>
      <c r="FS27" s="100">
        <f>H2_retrieval!$V$25*h2_demand_kt/1000</f>
        <v>8.16</v>
      </c>
      <c r="FT27" s="28" t="str">
        <f>IFERROR(FR27*(1+H2_retrieval!$V$34)/Carrier_properties!$U$7+H2_retrieval!$V$38,"")</f>
        <v/>
      </c>
      <c r="FU27" s="12"/>
      <c r="FV27" s="24">
        <f t="shared" si="30"/>
        <v>2.5180425948868481</v>
      </c>
      <c r="FW27" s="24" t="str">
        <f t="shared" si="43"/>
        <v/>
      </c>
      <c r="FX27" s="24" t="str">
        <f t="shared" si="44"/>
        <v/>
      </c>
      <c r="FY27" s="24">
        <f t="shared" si="45"/>
        <v>2.5180425948868481</v>
      </c>
      <c r="FZ27" s="28">
        <f t="shared" si="46"/>
        <v>3050.3267835044044</v>
      </c>
      <c r="GA27" s="28">
        <f t="shared" si="47"/>
        <v>700.44271540086345</v>
      </c>
      <c r="GB27" s="28">
        <f t="shared" si="48"/>
        <v>449.15543993542417</v>
      </c>
      <c r="GC27" s="28">
        <f t="shared" si="49"/>
        <v>782.99444608576039</v>
      </c>
      <c r="GD27" s="28">
        <f t="shared" si="50"/>
        <v>1141.0580317362374</v>
      </c>
      <c r="GE27" s="28">
        <f t="shared" si="51"/>
        <v>1989.6652529067715</v>
      </c>
      <c r="GF27" s="28">
        <f t="shared" si="52"/>
        <v>2091.0329564865979</v>
      </c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</row>
    <row r="28" spans="1:214" x14ac:dyDescent="0.2">
      <c r="A28" s="40" t="s">
        <v>44</v>
      </c>
      <c r="B28" s="12">
        <v>6594</v>
      </c>
      <c r="C28" s="12">
        <v>0.9</v>
      </c>
      <c r="D28" s="12">
        <f t="shared" si="0"/>
        <v>9.9999999999999978E-2</v>
      </c>
      <c r="E28" s="12"/>
      <c r="F28" s="12"/>
      <c r="G28" s="12"/>
      <c r="H28" s="16">
        <f t="shared" si="1"/>
        <v>382.75862068965517</v>
      </c>
      <c r="I28" s="16">
        <v>25680</v>
      </c>
      <c r="J28" s="16">
        <f t="shared" si="31"/>
        <v>90.411270742091361</v>
      </c>
      <c r="K28" s="16" t="str">
        <f t="shared" si="32"/>
        <v/>
      </c>
      <c r="L28" s="103">
        <v>0.14799999999999999</v>
      </c>
      <c r="M28" s="103">
        <f t="shared" si="2"/>
        <v>0.14608616348802717</v>
      </c>
      <c r="N28" s="122">
        <f t="shared" si="33"/>
        <v>0.9</v>
      </c>
      <c r="O28" s="46">
        <f t="shared" si="3"/>
        <v>40</v>
      </c>
      <c r="P28" s="70">
        <f t="array" ref="P28">SUMPRODUCT(IF(Solar_data!A$4:A$777=A28,Solar_data!C$4:C$777),IF(Solar_data!A$4:A$777=A28,Solar_data!I$4:I$777))/SUMIF(Solar_data!A$4:A$777,A28,Solar_data!I$4:I$777)</f>
        <v>1863.9138144128149</v>
      </c>
      <c r="Q28" s="16">
        <f t="array" ref="Q28">MAX(IF(Solar_data!$A$777:'Solar_data'!$A$4=Country_details!$A28,Solar_data!$C$4:'Solar_data'!$C$777))</f>
        <v>2098.75</v>
      </c>
      <c r="R28" s="16">
        <f t="array" ref="R28">MIN(IF(Solar_data!$A$777:'Solar_data'!$A$4=Country_details!A28,Solar_data!$C$4:'Solar_data'!$C$777))</f>
        <v>1733.75</v>
      </c>
      <c r="S28" s="24">
        <f t="shared" si="4"/>
        <v>2.7288574697010617</v>
      </c>
      <c r="T28" s="24">
        <f t="shared" si="5"/>
        <v>2.4235164432826246</v>
      </c>
      <c r="U28" s="24">
        <f t="shared" si="6"/>
        <v>2.9337304313421244</v>
      </c>
      <c r="V28" s="16">
        <f t="array" ref="V28">SUM(IF(Solar_data!$A$777:'Solar_data'!$A$4=Country_details!$A28,Solar_data!$I$4:'Solar_data'!$I$777))</f>
        <v>204.22781902889582</v>
      </c>
      <c r="W28" s="148"/>
      <c r="X28" s="16" t="str">
        <f>IFERROR(INDEX(Onshore_wind_data!$J$5:'Onshore_wind_data'!$J$221,MATCH(A28,Onshore_wind_data!$B$5:'Onshore_wind_data'!$B$221,0)),"")</f>
        <v/>
      </c>
      <c r="Y28" s="16" t="str">
        <f>IFERROR(INDEX(Onshore_wind_data!$K$5:'Onshore_wind_data'!$K$221,MATCH(A28,Onshore_wind_data!$B$5:'Onshore_wind_data'!$B$221,0)),"")</f>
        <v/>
      </c>
      <c r="Z28" s="16" t="str">
        <f>IFERROR(INDEX(Onshore_wind_data!$L$5:'Onshore_wind_data'!$L$221,MATCH(A28,Onshore_wind_data!$B$5:'Onshore_wind_data'!$B$221,0)),"")</f>
        <v/>
      </c>
      <c r="AA28" s="24" t="str">
        <f t="shared" si="7"/>
        <v/>
      </c>
      <c r="AB28" s="24" t="str">
        <f t="shared" si="8"/>
        <v/>
      </c>
      <c r="AC28" s="24" t="str">
        <f t="shared" si="9"/>
        <v/>
      </c>
      <c r="AD28" s="16">
        <f>IFERROR(INDEX(Onshore_wind_data!$I$5:'Onshore_wind_data'!$I$221,MATCH(A28,Onshore_wind_data!$B$5:'Onshore_wind_data'!$B$221,0)),"")</f>
        <v>0</v>
      </c>
      <c r="AE28" s="148"/>
      <c r="AF28" s="16" t="str">
        <f>INDEX(Offshore_wind_data!$AA$7:$AA$192,MATCH(Country_details!A28,Offshore_wind_data!$A$7:$A$192,0))</f>
        <v/>
      </c>
      <c r="AG28" s="16" t="str">
        <f>INDEX(Offshore_wind_data!$Y$7:$Y$192,MATCH(Country_details!A28,Offshore_wind_data!$A$7:$A$192,0))</f>
        <v/>
      </c>
      <c r="AH28" s="16" t="str">
        <f>INDEX(Offshore_wind_data!$Z$7:$Z$192,MATCH(Country_details!A28,Offshore_wind_data!$A$7:$A$192,0))</f>
        <v/>
      </c>
      <c r="AI28" s="24" t="str">
        <f t="shared" si="10"/>
        <v/>
      </c>
      <c r="AJ28" s="24" t="str">
        <f t="shared" si="11"/>
        <v/>
      </c>
      <c r="AK28" s="24" t="str">
        <f t="shared" si="12"/>
        <v/>
      </c>
      <c r="AL28" s="16">
        <f>INDEX(Offshore_wind_data!$W$7:$W$191,MATCH(A28,Offshore_wind_data!$A$7:$A$191,0))</f>
        <v>0</v>
      </c>
      <c r="AM28" s="148"/>
      <c r="AN28" s="12">
        <v>10.8</v>
      </c>
      <c r="AO28" s="12">
        <v>25.8</v>
      </c>
      <c r="AP28" s="34"/>
      <c r="AQ28" s="15">
        <f t="shared" si="13"/>
        <v>50</v>
      </c>
      <c r="AR28" s="12">
        <f t="shared" si="34"/>
        <v>1290</v>
      </c>
      <c r="AS28" s="16">
        <f t="shared" si="35"/>
        <v>-1085.7721809711043</v>
      </c>
      <c r="AT28" s="12"/>
      <c r="AU28" s="24">
        <f t="shared" si="14"/>
        <v>2.7288574697010617</v>
      </c>
      <c r="AV28" s="16">
        <f t="shared" si="15"/>
        <v>1863.9138144128149</v>
      </c>
      <c r="AW28" s="149">
        <f>HV_DC_Grid!$E$3/(1-AX28)*AU28/100*1000</f>
        <v>3155.4631841607684</v>
      </c>
      <c r="AX28" s="31">
        <f>(1-(1-HV_DC_Grid!$E$25)^(B28*C28*HV_DC_Grid!$E$8/1000))+(1-(1-HV_DC_Grid!$E$26)^(B28*D28*HV_DC_Grid!$E$8/1000))+HV_DC_Grid!$E$35*HV_DC_Grid!$E$28</f>
        <v>0.13519590930456948</v>
      </c>
      <c r="AY28" s="28">
        <f>B28*nl_e_demand/IF(hv_dc_flh="electricity FLH",$AV28,hv_dc_custom)*1000*hv_dc_capacity_multiplier*hv_dc_length_multiplier*1000*(C28*hv_dc_overhead_invest*(hv_dc_overhead_opex+M28+1/hv_dc_lifetime)+D28*hv_dc_sea_invest*(hv_dc_sea_opex+M28+1/hv_dc_lifetime))/1000000+HV_DC_Grid!$E$10*1000*hv_dc_station_invest*hv_dc_station_number*(hv_dc_station_opex+M28+1/hv_dc_lifetime)/1000000</f>
        <v>8149.4815508132042</v>
      </c>
      <c r="AZ28" s="24">
        <f>(AW28+AY28)/(HV_DC_Grid!$E$3*1000)*100</f>
        <v>11.304944734973974</v>
      </c>
      <c r="BA28" s="28">
        <f>MIN(((Carriers!$F$26+Carriers!$F$27)*(alk_el_opex+wacc_nl+1/alk_el_lifetime)+IF(hv_dc_flh="electricity FLH",$AV28,hv_dc_custom)*AZ28/100)/(IF(hv_dc_flh="electricity FLH",$AV28,hv_dc_custom)/alk_el_e_demand)*1000,((Carriers!$H$26+Carriers!$H$27)*(pem_el_opex+wacc_nl+1/pem_el_lifetime)+IF(hv_dc_flh="electricity FLH",$AV28,hv_dc_custom)*AZ28/100)/(IF(hv_dc_flh="electricity FLH",$AV28,hv_dc_custom)/pem_el_e_demand)*1000)</f>
        <v>6131.3965202232739</v>
      </c>
      <c r="BB28" s="12"/>
      <c r="BC28" s="12"/>
      <c r="BD28" s="149">
        <f>MIN(((Carriers!$F$26+Carriers!$F$27)*(alk_el_opex+M28+1/alk_el_lifetime)+$AV28*$AU28/100)/($AV28/alk_el_e_demand)*1000,((Carriers!$H$26+Carriers!$H$27)*(pem_el_opex+M28+1/pem_el_lifetime)+$AV28*$AU28/100)/($AV28/pem_el_e_demand)*1000)</f>
        <v>3421.8955977494006</v>
      </c>
      <c r="BE28" s="28">
        <f>Storage!$AC$50</f>
        <v>8.1664117557772418</v>
      </c>
      <c r="BF28" s="28">
        <f>((Pipeline!$D$22*Pipeline!$D$24*B28*(pipeline_opex+M28+1/pipeline_lifetime))*(Pipeline!$D$39/Pipeline!$D$3)+(Pipeline!$D$57*(pipeline_comp_opex+M28+1/pipeline_comp_lifetime)+Pipeline!$D$47*1000*Pipeline!$D$45*$AU28/100/1000000))*(Pipeline!$D$75/Pipeline!$D$45)</f>
        <v>16460.636187026175</v>
      </c>
      <c r="BG28" s="28">
        <f>BD28+(BE28+BF28)/Storage!$AC$12*1000000</f>
        <v>4632.8369653068967</v>
      </c>
      <c r="BH28" s="28"/>
      <c r="BI28" s="28"/>
      <c r="BJ28" s="28" t="str">
        <f>IF($E28="","No Port",BK28*HV_DC_Grid!$E$3*$AU28/100*1000)</f>
        <v>No Port</v>
      </c>
      <c r="BK28" s="31" t="str">
        <f>IFERROR((1-(1-HV_DC_Grid!$E$25)^(K28*HV_DC_Grid!$E$8/1000))+HV_DC_Grid!$E$35*HV_DC_Grid!$E$28,"")</f>
        <v/>
      </c>
      <c r="BL28" s="28" t="str">
        <f>IFERROR(K28*nl_e_demand/IF(hv_dc_flh="electricity FLH",$AV28,hv_dc_custom)*1000*hv_dc_capacity_multiplier*hv_dc_length_multiplier*1000*(hv_dc_overhead_invest*(hv_dc_overhead_opex+M28+1/hv_dc_lifetime))/1000000+HV_DC_Grid!$E$10*1000*hv_dc_station_invest*hv_dc_station_number*(hv_dc_station_opex+M28+1/hv_dc_lifetime)/1000000,"")</f>
        <v/>
      </c>
      <c r="BM28" s="29" t="str">
        <f>IFERROR((BJ28+BL28)/(HV_DC_Grid!$E$3*1000)*100,"")</f>
        <v/>
      </c>
      <c r="BN28" s="28" t="str">
        <f>IFERROR(((Pipeline!$D$22*Pipeline!$D$24*K28*(pipeline_opex+M28+1/pipeline_lifetime))*(Pipeline!$D$39/Pipeline!$D$3)+(Pipeline!$D$57*(pipeline_comp_opex+M28+1/pipeline_comp_lifetime)+Pipeline!$D$47*1000*Pipeline!$D$45*S28/100/1000000))*(Pipeline!$D$75/Pipeline!$D$45),"")</f>
        <v/>
      </c>
      <c r="BO28" s="28"/>
      <c r="BP28" s="150">
        <f t="shared" si="16"/>
        <v>124.55179782736943</v>
      </c>
      <c r="BQ28" s="34">
        <f t="shared" si="17"/>
        <v>37.264665005575324</v>
      </c>
      <c r="BR28" s="151">
        <f>(nh3_invest*(M28+1/nh3_lifetime)/nh3_prod+nh3_opex+nh3_e_demand*1000*$AU28/100+Carriers!$N$18/Carriers!$N$23*BD28+Carriers!$N$19/Carriers!$N$23*BQ28)*(BT28+nh3_st_ab_losses)/1000000</f>
        <v>58864.116593390936</v>
      </c>
      <c r="BS28" s="63">
        <f>nh3_st_nl_cost*nh3_st_nl_demand/1000000+(nh3_st_invest*(M28+1/nh3_st_lifetime+nh3_st_opex)/(Storage!$G$63/1000000)+nh3_st_e_demand*1000*$AU28/100)*(BT28+nh3_st_ab_losses)/1000000+Carriers!$N$18/Carriers!$N$23*((BT28+nh3_st_ab_losses)/365.25*short_st_duration_hrs/24)*(h2_short_st_invest*(1/gh2_short_st_lifetime+$M28+h2_short_st_opex)+h2_short_st_e_demand*1000*$AU28/100)/1000000+Carriers!$N$19/Carriers!$N$23*((BT28+nh3_st_ab_losses)/365.25*short_st_duration_hrs/24)*(n2_short_st_invest*(1/n2_short_st_lifetime+$M28+n2_short_st_opex)+n2_short_st_e_demand*1000*$AU28/100)/1000000</f>
        <v>3618.9938492397737</v>
      </c>
      <c r="BT28" s="63">
        <f>Storage!$G$57/((1-Shipping!$H$37)^(F28/24/Shipping!$H$44+0.5*Shipping!$H$59))</f>
        <v>76857210.785724297</v>
      </c>
      <c r="BU28" s="63" t="str">
        <f>IF($E28="","No Port",((F28/24/Shipping!$H$44+F28/24/Shipping!$H$50+Shipping!$H$59+Shipping!$H$64)*(Shipping!$H$22+wacc_nl*Shipping!$H$19/365.25*1000000+Shipping!$H$35)+(F28/24/Shipping!$H$44*Shipping!$H$45+Shipping!$H$64*Shipping!$H$65)*IF(bunker_choice="HFO",H28,IF(bunker_choice="hydrogen",BD28*hfo_e_density_lhv/h2_e_density_lhv,(BR28+BS28)*1000000/BT28*hfo_e_density_lhv/nh3_e_density_lhv))+(F28/24/Shipping!$H$50*Shipping!$H$51+Shipping!$H$59*Shipping!$H$60)*IF(bunker_choice="HFO",bunker_price_ROT,IF(bunker_choice="hydrogen",BD28*hfo_e_density_lhv/h2_e_density_lhv,(BR28+BS28)*1000000/BT28*hfo_e_density_lhv/nh3_e_density_lhv))+Shipping!$H$73+IF(G28="Panama",Shipping!$H$55,0)+IF(G28="Suez",Shipping!$H$56,0))/Shipping!$H$31*BT28/1000000+IF(inland_transport_to_port="hv dc grid",$BM28/100*1000*BW28,IF(inland_transport_to_port="pipeline",$BN28,0)))</f>
        <v>No Port</v>
      </c>
      <c r="BV28" s="63" t="str">
        <f t="shared" si="18"/>
        <v/>
      </c>
      <c r="BW28" s="33">
        <f>((Carriers!$N$18/Carriers!$N$23*alk_el_e_demand)+(Carriers!$N$19/Carriers!$N$23*n2_e_demand)+nh3_e_demand)*(BT28+nh3_st_ab_losses)/1000000+nh3_st_e_demand*BT28/1000000</f>
        <v>759.00171168026975</v>
      </c>
      <c r="BX28" s="33">
        <f t="shared" si="19"/>
        <v>0.76626754477640768</v>
      </c>
      <c r="BY28" s="63" t="str">
        <f>IFERROR(BV28*1000000/Storage!$G$12,"")</f>
        <v/>
      </c>
      <c r="BZ28" s="63">
        <f>H2_retrieval!$F$25*h2_demand_kt/1000</f>
        <v>80</v>
      </c>
      <c r="CA28" s="63" t="str">
        <f>IFERROR(BY28*(1+H2_retrieval!$F$34)/Carrier_properties!$E$7+H2_retrieval!$F$38,"")</f>
        <v/>
      </c>
      <c r="CB28" s="149">
        <f>(FA_invest*(M28+1/FA_lifetime)/FA_prod+FA_opex+FA_e_demand*1000*$AU28/100+Carriers!$P$18/Carriers!$P$23*BD28+Carriers!$P$20/Carriers!$P$23*co2_liq_cost)*(CF28+FA_st_ab_losses)/1000000</f>
        <v>117468.14323700649</v>
      </c>
      <c r="CC28" s="86">
        <f>(FA_invest*(M28+1/FA_lifetime)/FA_prod+FA_opex+FA_e_demand*1000*$AU28/100+Carriers!$P$18/Carriers!$P$23*BD28+Carriers!$P$20/Carriers!$P$23*BP28)*(CF28+FA_st_ab_losses)/1000000</f>
        <v>147693.62233117889</v>
      </c>
      <c r="CD28" s="63">
        <f>FA_st_nl_cost*FA_st_nl_demand/1000000+(FA_st_invest*(M28+1/FA_st_lifetime+FA_st_opex)/(Storage!$I$63/1000000)+FA_st_e_demand*1000*$AU28/100)*(CF28+FA_st_ab_losses)/1000000+co2_st_nl_cost*Storage!$I$12*co2_density/FA_density/1000000+(co2_st_opex_lev+co2_st_invest_lev+co2_st_e_demand*1000*$AU28/100)*Storage!$I$12/1000000+co2_st_invest_lev*Storage!$I$12*co2_st_lifetime*M28/1000000+Carriers!$P$18/Carriers!$P$23*((CF28+FA_st_ab_losses)/365.25*short_st_duration_hrs/24)*(h2_short_st_invest*(1/gh2_short_st_lifetime+$M28+h2_short_st_opex)+h2_short_st_e_demand*1000*$AU28/100)/1000000+Carriers!$P$20/Carriers!$P$23*((CF28+FA_st_ab_losses)/365.25*short_st_duration_hrs/24)*(co2_short_st_invest*(1/co2_short_st_lifetime+$M28+co2_short_st_opex)+co2_short_st_e_demand*1000*$AU28/100)/1000000</f>
        <v>12473.554898869394</v>
      </c>
      <c r="CE28" s="63">
        <f>FA_st_nl_cost*FA_st_nl_demand/1000000+(FA_st_invest*(M28+1/FA_st_lifetime+FA_st_opex)/(Storage!$I$63/1000000)+FA_st_e_demand*1000*$AU28/100)*(CF28+FA_st_ab_losses)/1000000+Carriers!$P$18/Carriers!$P$23*((CF28+FA_st_ab_losses)/365.25*short_st_duration_hrs/24)*(h2_short_st_invest*(1/gh2_short_st_lifetime+$M28+h2_short_st_opex)+h2_short_st_e_demand*1000*$AU28/100)/1000000+Carriers!$P$20/Carriers!$P$23*((CF28+FA_st_ab_losses)/365.25*short_st_duration_hrs/24)*(co2_short_st_invest*(1/co2_short_st_lifetime+$M28+co2_short_st_opex)+co2_short_st_e_demand*1000*$AU28/100)/1000000</f>
        <v>5466.0503980560607</v>
      </c>
      <c r="CF28" s="63">
        <f>Storage!$I$57/((1-Shipping!$J$37)^($F28/24/Shipping!$J$44+0.5*Shipping!$J$59))</f>
        <v>310425396.82539684</v>
      </c>
      <c r="CG28" s="28" t="str">
        <f>IF($E28="","No Port",((F28/24/Shipping!$J$44+F28/24/Shipping!$J$50+Shipping!$J$59+Shipping!$J$64)*(Shipping!$J$22+wacc_nl*Shipping!$J$19/365.25*1000000+Shipping!$J$35)+(F28/24/Shipping!$J$44*Shipping!$J$45+Shipping!$J$64*Shipping!$J$65)*IF(bunker_choice="HFO",$H28,IF(bunker_choice="hydrogen",$BD28*hfo_e_density_lhv/h2_e_density_lhv,(CB28+CD28)*1000000/CF28*hfo_e_density_lhv/FA_e_density_lhv))+(F28/24/Shipping!$J$50*Shipping!$J$51+Shipping!$J$59*Shipping!$J$60)*IF(bunker_choice="HFO",bunker_price_ROT,IF(bunker_choice="hydrogen",$BD28*hfo_e_density_lhv/h2_e_density_lhv,(CB28+CD28)*1000000/CF28*hfo_e_density_lhv/FA_e_density_lhv))+Shipping!$J$73+IF(G28="Panama",Shipping!$J$55,0)+IF(G28="Suez",Shipping!$J$56,0))/Shipping!$J$31*CF28/1000000+IF(inland_transport_to_port="hv dc grid",$BM28/100*1000*CI28,IF(inland_transport_to_port="pipeline",$BN28,0)))</f>
        <v>No Port</v>
      </c>
      <c r="CH28" s="28" t="str">
        <f t="shared" si="36"/>
        <v/>
      </c>
      <c r="CI28" s="29">
        <f>((Carriers!$P$18/Carriers!$P$23*alk_el_e_demand)+FA_e_demand)*(CF28+FA_st_ab_losses)/1000000+FA_st_e_demand*CF28/1000000</f>
        <v>1897.8881241622576</v>
      </c>
      <c r="CJ28" s="29">
        <f t="shared" si="20"/>
        <v>0.46563809523809524</v>
      </c>
      <c r="CK28" s="28" t="str">
        <f>IFERROR(CH28*1000000/Storage!$I$12,"")</f>
        <v/>
      </c>
      <c r="CL28" s="28" t="str">
        <f>IF($E28="","No Port",((F28/24/Shipping!$J$44+F28/24/Shipping!$J$50+Shipping!$J$59+Shipping!$J$64)*Carriers!$P$39*wacc_nl))</f>
        <v>No Port</v>
      </c>
      <c r="CM28" s="29">
        <f>H2_retrieval!$H$25*h2_demand_kt/1000+(co2_liq_e_demand+co2_st_e_demand*2)*Storage!$I$12*co2_density/FA_density/1000000</f>
        <v>94.204253879484654</v>
      </c>
      <c r="CN28" s="28" t="str">
        <f>IFERROR((((CB28+CD28+CG28)*(1+H2_retrieval!$H$34)+CL28)*1000000/H2_retrieval!$H$8)+h2_regen_fa,"")</f>
        <v/>
      </c>
      <c r="CO28" s="149">
        <f>(meoh_invest*(M28+1/meoh_lifetime)/meoh_prod+meoh_opex+meoh_e_demand*1000*$AU28/100+Carriers!$R$18/Carriers!$R$23*BD28+Carriers!$R$20/Carriers!$R$23*co2_liq_cost)*(CS28+meoh_st_ab_losses)/1000000</f>
        <v>74600.127624492787</v>
      </c>
      <c r="CP28" s="86">
        <f>(meoh_invest*(M28+1/meoh_lifetime)/meoh_prod+meoh_opex+meoh_e_demand*1000*$AU28/100+Carriers!$R$18/Carriers!$R$23*BD28+Carriers!$R$20/Carriers!$R$23*BP28)*(CS28+meoh_st_ab_losses)/1000000</f>
        <v>92343.416968818608</v>
      </c>
      <c r="CQ28" s="63">
        <f>meoh_st_nl_cost*meoh_st_nl_demand/1000000+(meoh_st_invest*(M28+1/meoh_st_lifetime+meoh_st_opex)/(Storage!$K$63/1000000)+meoh_st_e_demand*1000*$AU28/100)*(CS28+meoh_st_ab_losses)/1000000+co2_st_nl_cost*Storage!$K$12*co2_density/meoh_density/1000000+(co2_st_opex_lev+co2_st_invest_lev+co2_st_e_demand*1000*IFERROR(MIN(S28,AA28,AI28),S28)/100)*Storage!$K$12/1000000+co2_st_invest_lev*Storage!$K$12*co2_st_lifetime*M28/1000000+Carriers!$R$18/Carriers!$R$23*((CS28+meoh_st_ab_losses)/365.25*short_st_duration_hrs/24)*(h2_short_st_invest*(1/gh2_short_st_lifetime+$M28+h2_short_st_opex)+h2_short_st_e_demand*1000*$AU28/100)/1000000+Carriers!$R$20/Carriers!$R$23*((CF28+meoh_st_ab_losses)/365.25*short_st_duration_hrs/24)*(co2_short_st_invest*(1/co2_short_st_lifetime+$M28+co2_short_st_opex)+co2_short_st_e_demand*1000*$AU28/100)/1000000</f>
        <v>5215.7742368143408</v>
      </c>
      <c r="CR28" s="63">
        <f>meoh_st_nl_cost*meoh_st_nl_demand/1000000+(meoh_st_invest*(M28+1/meoh_st_lifetime+meoh_st_opex)/(Storage!$K$63/1000000)+meoh_st_e_demand*1000*$AU28/100)*(CS28+meoh_st_ab_losses)/1000000+Carriers!$R$18/Carriers!$R$23*((CS28+meoh_st_ab_losses)/365.25*short_st_duration_hrs/24)*(h2_short_st_invest*(1/gh2_short_st_lifetime+$M28+h2_short_st_opex)+h2_short_st_e_demand*1000*$AU28/100)/1000000+Carriers!$R$20/Carriers!$R$23*((CF28+meoh_st_ab_losses)/365.25*short_st_duration_hrs/24)*(co2_short_st_invest*(1/co2_short_st_lifetime+$M28+co2_short_st_opex)+co2_short_st_e_demand*1000*$AU28/100)/1000000</f>
        <v>2177.79487760948</v>
      </c>
      <c r="CS28" s="63">
        <f>Storage!$K$57/((1-Shipping!$L$37)^($F28/24/Shipping!$L$44+0.5*Shipping!$L$59))</f>
        <v>108044444.44444443</v>
      </c>
      <c r="CT28" s="28" t="str">
        <f>IF($E28="","No Port",IF(AND(ship_choice="VLCC",G28="Panama"),"Ship cannot pass through Panama",IF(ship_choice="VLCC",((F28/24/Shipping!$AD$44+F28/24/Shipping!$AD$50+Shipping!$AD$59+Shipping!$AD$64)*(Shipping!$AD$22+wacc_nl*Shipping!$AD$19/365.25*1000000+Shipping!$AD$35)+(F28/24/Shipping!$AD$44*Shipping!$AD$45+Shipping!$AD$64*Shipping!$AD$65)*IF(bunker_choice="HFO",$H28,IF(bunker_choice="hydrogen",$BD28*hfo_e_density_lhv/h2_e_density_lhv,(CO28+CQ28)*1000000/CS28*hfo_e_density_lhv/meoh_e_density_lhv))+(F28/24/Shipping!$AD$50*Shipping!$AD$51+Shipping!$AD$59*Shipping!$AD$60)*IF(bunker_choice="HFO",bunker_price_ROT,IF(bunker_choice="hydrogen",$BD28*hfo_e_density_lhv/h2_e_density_lhv,(CO28+CQ28)*1000000/CS28*hfo_e_density_lhv/meoh_e_density_lhv))+Shipping!$AD$73+IF(G28="Panama",Shipping!$AD$55,0)+IF(G28="Suez",Shipping!$AD$56,0))/Shipping!$AD$31*CS28/1000000+IF(inland_transport_to_port="hv dc grid",$BM28/100*1000*CV28,IF(inland_transport_to_port="pipeline",$BN28,0)),((F28/24/Shipping!$L$44+F28/24/Shipping!$L$50+Shipping!$L$59+Shipping!$L$64)*(Shipping!$L$22+wacc_nl*Shipping!$L$19/365.25*1000000+Shipping!$L$35)+(F28/24/Shipping!$L$44*Shipping!$L$45+Shipping!$L$64*Shipping!$L$65)*IF(bunker_choice="HFO",$H28,IF(bunker_choice="hydrogen",$BD28*hfo_e_density_lhv/h2_e_density_lhv,(CO28+CQ28)*1000000/CS28*hfo_e_density_lhv/meoh_e_density_lhv))+(F28/24/Shipping!$L$50*Shipping!$L$51+Shipping!$L$59*Shipping!$L$60)*IF(bunker_choice="HFO",bunker_price_ROT,IF(bunker_choice="hydrogen",$BD28*hfo_e_density_lhv/h2_e_density_lhv,(CO28+CQ28)*1000000/CS28*hfo_e_density_lhv/meoh_e_density_lhv))+Shipping!$L$73+IF(G28="Panama",Shipping!$L$55,0)+IF(G28="Suez",Shipping!$L$56,0))/Shipping!$L$31*CS28/1000000+IF(inland_transport_to_port="hv dc grid",$BM28/100*1000*CV28,IF(inland_transport_to_port="pipeline",$BN28,0)))))</f>
        <v>No Port</v>
      </c>
      <c r="CU28" s="28" t="str">
        <f t="shared" si="37"/>
        <v/>
      </c>
      <c r="CV28" s="29">
        <f>((Carriers!$R$18/Carriers!$R$23*alk_el_e_demand)+meoh_e_demand)*(CS28+meoh_st_ab_losses)/1000000+meoh_st_e_demand*CS28/1000000</f>
        <v>1119.9789871111109</v>
      </c>
      <c r="CW28" s="29">
        <f t="shared" si="21"/>
        <v>0.16206666666666666</v>
      </c>
      <c r="CX28" s="28" t="str">
        <f>IFERROR(CU28*1000000/Storage!$K$12,"")</f>
        <v/>
      </c>
      <c r="CY28" s="28" t="str">
        <f>IF($E28="","No Port",((F28/24/Shipping!$L$44+F28/24/Shipping!$L$50+Shipping!$L$59+Shipping!$L$64)*Carriers!$R$39*wacc_nl))</f>
        <v>No Port</v>
      </c>
      <c r="CZ28" s="29">
        <f>H2_retrieval!$J$25*h2_demand_kt/1000+(co2_liq_e_demand+co2_st_e_demand*2)*Storage!$K$12*co2_density/meoh_density/1000000</f>
        <v>251.05079059698966</v>
      </c>
      <c r="DA28" s="28" t="str">
        <f>IFERROR((((CO28+CQ28+CT28)*(1+H2_retrieval!$J$34)+CY28)*1000000/H2_retrieval!$J$8)+h2_regen_meoh,"")</f>
        <v/>
      </c>
      <c r="DB28" s="149">
        <f>(DBT_invest*(M28+1/DBT_lifetime)/DBT_prod+DBT_opex+DBT_e_demand*1000*$AU28/100+Carriers!$T$18/Carriers!$T$23*BD28)*(DD28+DBT_st_ab_losses)/1000000</f>
        <v>50035.733814464715</v>
      </c>
      <c r="DC28" s="28">
        <f>2*(DBT_st_nl_cost*DBT_st_nl_demand/1000000+(DBT_st_invest*(M28+1/DBT_st_lifetime+DBT_st_opex)/(Storage!$M$63/1000000)+DBT_st_e_demand*1000*$AU28/100)*(DD28+DBT_st_ab_losses)/1000000)+Carriers!$T$18/Carriers!$T$23*((DD28+DBT_st_ab_losses)/365.25*short_st_duration_hrs/24)*(h2_short_st_invest*(1/gh2_short_st_lifetime+$M28+h2_short_st_opex)+h2_short_st_e_demand*1000*$AU28/100)/1000000</f>
        <v>4441.6219152412441</v>
      </c>
      <c r="DD28" s="63">
        <f>Storage!$M$57/((1-Shipping!$N$37)^($F28/24/Shipping!$N$44+0.5*Shipping!$N$59))</f>
        <v>219354838.70967743</v>
      </c>
      <c r="DE28" s="28" t="str">
        <f>IF($E28="","No Port",IF(AND(ship_choice="VLCC",G28="Panama"),"Ship cannot pass through Panama",IF(ship_choice="VLCC",((F28/24/Shipping!$AD$44+F28/24/Shipping!$AD$50+Shipping!$AD$59+Shipping!$AD$64)*(Shipping!$AD$22+wacc_nl*Shipping!$AD$19/365.25*1000000+Shipping!$AD$35)+(F28/24/Shipping!$AD$44*Shipping!$AD$45+Shipping!$AD$64*Shipping!$AD$65)*IF(bunker_choice="HFO",$H28,IF(bunker_choice="hydrogen",$BD28*hfo_e_density_lhv/h2_e_density_lhv,(DB28+DC28)*1000000/DD28*hfo_e_density_lhv/DBT_e_density_lhv))+(F28/24/Shipping!$AD$50*Shipping!$AD$51+Shipping!$AD$59*Shipping!$AD$60)*IF(bunker_choice="HFO",bunker_price_ROT,IF(bunker_choice="hydrogen",$BD28*hfo_e_density_lhv/h2_e_density_lhv,(DB28+DC28)*1000000/DD28*hfo_e_density_lhv/DBT_e_density_lhv))+Shipping!$AD$73+IF(G28="Panama",Shipping!$AD$55,0)+IF(G28="Suez",Shipping!$AD$56,0))/Shipping!$AD$31*DD28/1000000+IF(inland_transport_to_port="hv dc grid",$BM28/100*1000*DG28,IF(inland_transport_to_port="pipeline",$BN28,0)),((F28/24/Shipping!$N$44+F28/24/Shipping!$N$50+Shipping!$N$59+Shipping!$N$64)*(Shipping!$N$22+wacc_nl*Shipping!$N$19/365.25*1000000+Shipping!$N$35)+(F28/24/Shipping!$N$44*Shipping!$N$45+Shipping!$N$64*Shipping!$N$65)*IF(bunker_choice="HFO",$H28,IF(bunker_choice="hydrogen",$BD28*hfo_e_density_lhv/h2_e_density_lhv,(DB28+DC28)*1000000/DD28*hfo_e_density_lhv/DBT_e_density_lhv))+(F28/24/Shipping!$N$50*Shipping!$N$51+Shipping!$N$59*Shipping!$N$60)*IF(bunker_choice="HFO",bunker_price_ROT,IF(bunker_choice="hydrogen",$BD28*hfo_e_density_lhv/h2_e_density_lhv,(DB28+DC28)*1000000/DD28*hfo_e_density_lhv/DBT_e_density_lhv))+Shipping!$N$73+IF(G28="Panama",Shipping!$N$55,0)+IF(G28="Suez",Shipping!$N$56,0))/Shipping!$N$31*Shipping!$N$86/1000000+IF(inland_transport_to_port="hv dc grid",$BM28/100*1000*DG28,IF(inland_transport_to_port="pipeline",$BN28,0)))))</f>
        <v>No Port</v>
      </c>
      <c r="DF28" s="28" t="str">
        <f t="shared" si="53"/>
        <v/>
      </c>
      <c r="DG28" s="29">
        <f>((Carriers!$T$18/Carriers!$T$23*alk_el_e_demand)+DBT_e_demand)*(DD28+DBT_st_ab_losses)/1000000+DBT_st_e_demand*DD28/1000000</f>
        <v>703.88335483870969</v>
      </c>
      <c r="DH28" s="29">
        <f t="shared" si="23"/>
        <v>0.21935483870967742</v>
      </c>
      <c r="DI28" s="28" t="str">
        <f>IFERROR(DF28*1000000/Storage!$M$12,"")</f>
        <v/>
      </c>
      <c r="DJ28" s="28" t="str">
        <f>IF($E28="","No Port",((F28/24/Shipping!$N$44+F28/24/Shipping!$N$50+Shipping!$N$59+Shipping!$N$64)*Carriers!$T$39*wacc_nl))</f>
        <v>No Port</v>
      </c>
      <c r="DK28" s="100">
        <f>H2_retrieval!$L$25*h2_demand_kt/1000+(co2_liq_e_demand+co2_st_e_demand*2)*Storage!$M$12*co2_density/DBT_density/1000000</f>
        <v>206.61934861671787</v>
      </c>
      <c r="DL28" s="28" t="str">
        <f>IFERROR(((DF28*(1+H2_retrieval!$L$34)+DJ28)*1000000/H2_retrieval!$L$8)+h2_regen_lohc,"")</f>
        <v/>
      </c>
      <c r="DM28" s="149">
        <f t="shared" si="24"/>
        <v>53816.548648407988</v>
      </c>
      <c r="DN28" s="16">
        <f>2*(nabh4_st_nl_cost*nabh4_st_nl_demand/1000000+(nabh4_st_invest*(M28+1/nabh4_st_lifetime+nabh4_st_opex)/(Storage!$O$63/1000000)+nabh4_st_e_demand*1000*$AU28/100)*(DO28+nabh4_st_ab_losses)/1000000)+(h2_demand_kt*1000/365.25*short_st_duration_hrs/24)*(h2_short_st_invest*(1/gh2_short_st_lifetime+$M28+h2_short_st_opex)+h2_short_st_e_demand*1000*$AU28/100)/1000000</f>
        <v>1503.0984525459612</v>
      </c>
      <c r="DO28" s="63">
        <f>Storage!$O$57/((1-Shipping!$P$37)^($F28/24/Shipping!$P$44+0.5*Shipping!$P$59))</f>
        <v>63920000</v>
      </c>
      <c r="DP28" s="16" t="str">
        <f>IF($E28="","No Port",((F28/24/Shipping!$P$44+F28/24/Shipping!$P$50+Shipping!$P$59+Shipping!$P$64)*(Shipping!$P$22+wacc_nl*Shipping!$P$19/365.25*1000000+Shipping!$P$35)+(F28/24/Shipping!$P$44*Shipping!$P$45+Shipping!$P$64*Shipping!$P$65)*IF(bunker_choice="HFO",$H28,IF(bunker_choice="hydrogen",$BD28*hfo_e_density_lhv/h2_e_density_lhv,(DM28+DN28)*1000000/DO28*hfo_e_density_lhv/nabh4_e_density_lhv))+(F28/24/Shipping!$P$50*Shipping!$P$51+Shipping!$P$59*Shipping!$P$60)*IF(bunker_choice="HFO",bunker_price_ROT,IF(bunker_choice="hydrogen",$BD28*hfo_e_density_lhv/h2_e_density_lhv,(DM28+DN28)*1000000/DO28*hfo_e_density_lhv/nabh4_e_density_lhv))+Shipping!$P$73+IF(G28="Panama",Shipping!$P$55,0)+IF(G28="Suez",Shipping!$P$56,0))/Shipping!$P$31*(DO28+nabh4_st_ab_losses)/1000000+IF(inland_transport_to_port="hv dc grid",$BM28/100*1000*DR28,IF(inland_transport_to_port="pipeline",$BN28,0)))</f>
        <v>No Port</v>
      </c>
      <c r="DQ28" s="28" t="str">
        <f t="shared" si="54"/>
        <v/>
      </c>
      <c r="DR28" s="29">
        <f>((Carriers!$V$18/Carriers!$V$23*alk_el_e_demand)+nabh4_e_demand)*(DO28+nabh4_st_ab_losses)/1000000+nabh4_st_e_demand*DO28/1000000</f>
        <v>980.02139682539689</v>
      </c>
      <c r="DS28" s="28">
        <f t="shared" si="25"/>
        <v>3.1960000000000002</v>
      </c>
      <c r="DT28" s="28" t="str">
        <f>IFERROR(DQ28*1000000/Storage!$O$12,"")</f>
        <v/>
      </c>
      <c r="DU28" s="28" t="str">
        <f>IF($E28="","No Port",((F28/24/Shipping!$P$44+F28/24/Shipping!$P$50+Shipping!$P$59+Shipping!$P$64)*Carriers!$V$39*wacc_nl))</f>
        <v>No Port</v>
      </c>
      <c r="DV28" s="100">
        <f>H2_retrieval!$N$25*h2_demand_kt/1000+(co2_liq_e_demand+co2_st_e_demand*2)*Storage!$O$12*co2_density/nabh4_density/1000000</f>
        <v>18.783638728971958</v>
      </c>
      <c r="DW28" s="28" t="str">
        <f>IFERROR(((DQ28*(1+H2_retrieval!$N$34)+DU28)*1000000/H2_retrieval!$N$8)+h2_regen_nabh4,"")</f>
        <v/>
      </c>
      <c r="DX28" s="149">
        <f>(Dme_invest*(M28+1/Dme_lifetime)/Dme_prod+Dme_opex+Dme_e_demand*1000*$AU28/100+Carriers!$X$21/Carriers!$X$23*(CO28*1000000/CS28))*(EB28+Dme_st_ab_losses)/1000000</f>
        <v>104617.01804877802</v>
      </c>
      <c r="DY28" s="86">
        <f>(Dme_invest*(M28+1/Dme_lifetime)/Dme_prod+Dme_opex+Dme_e_demand*1000*$AU28/100+Carriers!$X$21/Carriers!$X$23*(CP28*1000000/CS28))*(EB28+Dme_st_ab_losses)/1000000</f>
        <v>128688.70015606805</v>
      </c>
      <c r="DZ28" s="63">
        <f>Dme_st_nl_cost*Dme_st_nl_demand/1000000+(Dme_st_invest*(M28+1/Dme_st_lifetime+Dme_st_opex)/(Storage!$Q$63/1000000)+Dme_st_e_demand*1000*$AU28/100)*(EB28+Dme_st_ab_losses)/1000000+co2_st_nl_cost*Storage!$Q$12*co2_density/Dme_density/1000000+(co2_st_opex_lev+co2_st_invest_lev+co2_st_e_demand*1000*$AU28/100)*Storage!$Q$12/1000000+co2_st_invest_lev*Storage!$Q$12*co2_st_lifetime*M28/1000000+(h2_demand_kt*1000/365.25*short_st_duration_hrs/24)*(h2_short_st_invest*(1/gh2_short_st_lifetime+$M28+h2_short_st_opex)+h2_short_st_e_demand*1000*$AU28/100)/1000000</f>
        <v>6274.4753047250197</v>
      </c>
      <c r="EA28" s="63">
        <f>Dme_st_nl_cost*Dme_st_nl_demand/1000000+(Dme_st_invest*(M28+1/Dme_st_lifetime+Dme_st_opex)/(Storage!$Q$63/1000000)+Dme_st_e_demand*1000*$AU28/100)*(EB28+Dme_st_ab_losses)/1000000+(h2_demand_kt*1000/365.25*short_st_duration_hrs/24)*(h2_short_st_invest*(1/gh2_short_st_lifetime+$M28+h2_short_st_opex)+h2_short_st_e_demand*1000*$AU28/100)/1000000</f>
        <v>3236.0512678295377</v>
      </c>
      <c r="EB28" s="63">
        <f>Storage!$Q$57/((1-Shipping!$R$37)^($F28/24/Shipping!$R$44+0.5*Shipping!$R$59))</f>
        <v>103547089.94708996</v>
      </c>
      <c r="EC28" s="153" t="str">
        <f>IF($E28="","No Port",IF(AND(ship_choice="VLCC",G28="Panama"),"Ship cannot pass through Panama",IF(ship_choice="VLCC",((F28/24/Shipping!$AD$44+F28/24/Shipping!$AD$50+Shipping!$AD$59+Shipping!$AD$64)*(Shipping!$AD$22+wacc_nl*Shipping!$AD$19/365.25*1000000+Shipping!$AD$35)+(F28/24/Shipping!$AD$44*Shipping!$AD$45+Shipping!$AD$64*Shipping!$AD$65)*IF(bunker_choice="HFO",$H28,IF(bunker_choice="hydrogen",$BD28*hfo_e_density_lhv/h2_e_density_lhv,(DX28+DZ28)*1000000/EB28*hfo_e_density_lhv/Dme_e_density_lhv))+(F28/24/Shipping!$AD$50*Shipping!$AD$51+Shipping!$AD$59*Shipping!$AD$60)*IF(bunker_choice="HFO",bunker_price_ROT,IF(bunker_choice="hydrogen",$BD28*hfo_e_density_lhv/h2_e_density_lhv,(DX28+DZ28)*1000000/EB28*hfo_e_density_lhv/Dme_e_density_lhv))+Shipping!$AD$73+IF(G28="Panama",Shipping!$AD$55,0)+IF(G28="Suez",Shipping!$AD$56,0))/Shipping!$AD$31*(EB28+Dme_st_ab_losses)/1000000+IF(inland_transport_to_port="hv dc grid",$BM28/100*1000*EE28,IF(inland_transport_to_port="pipeline",$BN28,0)),((F28/24/Shipping!$R$44+F28/24/Shipping!$R$50+Shipping!$R$59+Shipping!$R$64)*(Shipping!$R$22+wacc_nl*Shipping!$R$19/365.25*1000000+Shipping!$R$35)+(F28/24/Shipping!$R$44*Shipping!$R$45+Shipping!$R$64*Shipping!$R$65)*IF(bunker_choice="HFO",$H28,IF(bunker_choice="hydrogen",$BD28*hfo_e_density_lhv/h2_e_density_lhv,(DX28+DZ28)*1000000/EB28*hfo_e_density_lhv/Dme_e_density_lhv))+(F28/24/Shipping!$R$50*Shipping!$R$51+Shipping!$R$59*Shipping!$R$60)*IF(bunker_choice="HFO",bunker_price_ROT,IF(bunker_choice="hydrogen",$BD28*hfo_e_density_lhv/h2_e_density_lhv,(DX28+DZ28)*1000000/EB28*hfo_e_density_lhv/Dme_e_density_lhv))+Shipping!$R$73+IF(G28="Panama",Shipping!$R$55,0)+IF(G28="Suez",Shipping!$R$56,0))/Shipping!$R$31*(EB28+Dme_st_ab_losses)/1000000+IF(inland_transport_to_port="hv dc grid",$BM28/100*1000*EE28,IF(inland_transport_to_port="pipeline",$BN28,0)))))</f>
        <v>No Port</v>
      </c>
      <c r="ED28" s="28" t="str">
        <f t="shared" si="39"/>
        <v/>
      </c>
      <c r="EE28" s="29">
        <f>(Dme_e_demand)*(EB28+Dme_st_ab_losses)/1000000+Dme_st_e_demand*DZ28/1000000+$CV28*(Carriers!$X$21/Carriers!$X$23*EB28)/$CS28</f>
        <v>1550.2168229118088</v>
      </c>
      <c r="EF28" s="29">
        <f t="shared" si="26"/>
        <v>1.0354708994708997</v>
      </c>
      <c r="EG28" s="28" t="str">
        <f>IFERROR(ED28*1000000/Storage!$Q$12,"")</f>
        <v/>
      </c>
      <c r="EH28" s="28" t="str">
        <f>IF($E28="","No Port",((F28/24/Shipping!$R$44+F28/24/Shipping!$R$50+Shipping!$R$59+Shipping!$R$64)*Carriers!$X$39*wacc_nl))</f>
        <v>No Port</v>
      </c>
      <c r="EI28" s="100">
        <f>H2_retrieval!$P$25*h2_demand_kt/1000+(co2_liq_e_demand+co2_st_e_demand*2)*Storage!$Q$12*co2_density/Dme_density/1000000</f>
        <v>252.45335899349112</v>
      </c>
      <c r="EJ28" s="28" t="str">
        <f>IFERROR((((DX28+DZ28+EC28)*(1+H2_retrieval!$P$34)+EH28)*1000000/H2_retrieval!$P$8)+h2_regen_dme,"")</f>
        <v/>
      </c>
      <c r="EK28" s="149">
        <f>(ome_invest*(M28+1/ome_lifetime)/ome_prod+ome_opex+ome_e_demand*1000*$AU28/100+Carriers!$Z$21/Carriers!$Z$23*(CO28*1000000/CS28))*(EO28+ome_st_ab_losses)/1000000</f>
        <v>226950.97397490323</v>
      </c>
      <c r="EL28" s="86">
        <f>(ome_invest*(M28+1/ome_lifetime)/ome_prod+ome_opex+ome_e_demand*1000*$AU28/100+Carriers!$Z$21/Carriers!$Z$23*(CP28*1000000/CS28))*(EO28+ome_st_ab_losses)/1000000</f>
        <v>277482.12058476231</v>
      </c>
      <c r="EM28" s="63">
        <f>ome_st_nl_cost*ome_st_nl_demand/1000000+(ome_st_invest*(M28+1/ome_st_lifetime+ome_st_opex)/(Storage!$S$63/1000000)+ome_st_e_demand*1000*$AU28/100)*(EO28+ome_st_ab_losses)/1000000+co2_st_nl_cost*Storage!$S$12*co2_density/ome_density/1000000+(co2_st_opex_lev+co2_st_invest_lev+co2_st_e_demand*1000*$AU28/100)*Storage!$S$12/1000000+co2_st_invest_lev*Storage!$S$12*co2_st_lifetime*M28/1000000+(h2_demand_kt*1000/365.25*short_st_duration_hrs/24)*(h2_short_st_invest*(1/gh2_short_st_lifetime+$M28+h2_short_st_opex)+h2_short_st_e_demand*1000*$AU28/100)/1000000</f>
        <v>5379.1714956333199</v>
      </c>
      <c r="EN28" s="63">
        <f>ome_st_nl_cost*ome_st_nl_demand/1000000+(ome_st_invest*(M28+1/ome_st_lifetime+ome_st_opex)/(Storage!$S$63/1000000)+ome_st_e_demand*1000*$AU28/100)*(EO28+ome_st_ab_losses)/1000000+(h2_demand_kt*1000/365.25*short_st_duration_hrs/24)*(h2_short_st_invest*(1/gh2_short_st_lifetime+$M28+h2_short_st_opex)+h2_short_st_e_demand*1000*$AU28/100)/1000000</f>
        <v>1953.8930156204447</v>
      </c>
      <c r="EO28" s="63">
        <f>Storage!$S$57/((1-Shipping!$T$37)^($F28/24/Shipping!$T$44+0.5*Shipping!$T$59))</f>
        <v>128282539.68253967</v>
      </c>
      <c r="EP28" s="28" t="str">
        <f>IF($E28="","No Port",IF(AND(ship_choice="VLCC",G28="Panama"),"Ship cannot pass through Panama",IF(ship_choice="VLCC",((F28/24/Shipping!$AD$44+F28/24/Shipping!$AD$50+Shipping!$AD$59+Shipping!$AD$64)*(Shipping!$AD$22+wacc_nl*Shipping!$AD$19/365.25*1000000+Shipping!$AD$35)+(F28/24/Shipping!$AD$44*Shipping!$AD$45+Shipping!$AD$64*Shipping!$AD$65)*IF(bunker_choice="HFO",$H28,IF(bunker_choice="hydrogen",$BD28*hfo_e_density_lhv/h2_e_density_lhv,(EK28+EM28)*1000000/EO28*hfo_e_density_lhv/Dme_e_density_lhv))+(F28/24/Shipping!$AD$50*Shipping!$AD$51+Shipping!$AD$59*Shipping!$AD$60)*IF(bunker_choice="HFO",bunker_price_ROT,IF(bunker_choice="hydrogen",$BD28*hfo_e_density_lhv/h2_e_density_lhv,(EK28+EM28)*1000000/EO28*hfo_e_density_lhv/ome_e_density_lhv))+Shipping!$AD$73+IF(G28="Panama",Shipping!$AD$55,0)+IF(G28="Suez",Shipping!$AD$56,0))/Shipping!$AD$31*(EO28+ome_st_ab_losses)/1000000+IF(inland_transport_to_port="hv dc grid",$BM28/100*1000*ER28,IF(inland_transport_to_port="pipeline",$BN28,0)),((F28/24/Shipping!$T$44+F28/24/Shipping!$T$50+Shipping!$T$59+Shipping!$T$64)*(Shipping!$T$22+wacc_nl*Shipping!$T$19/365.25*1000000+Shipping!$T$35)+(F28/24/Shipping!$T$44*Shipping!$T$45+Shipping!$T$64*Shipping!$T$65)*IF(bunker_choice="HFO",$H28,IF(bunker_choice="hydrogen",$BD28*hfo_e_density_lhv/h2_e_density_lhv,(EK28+EM28)*1000000/EO28*hfo_e_density_lhv/Dme_e_density_lhv))+(F28/24/Shipping!$T$50*Shipping!$T$51+Shipping!$T$59*Shipping!$T$60)*IF(bunker_choice="HFO",bunker_price_ROT,IF(bunker_choice="hydrogen",$BD28*hfo_e_density_lhv/h2_e_density_lhv,(EK28+EM28)*1000000/EO28*hfo_e_density_lhv/ome_e_density_lhv))+Shipping!$T$73+IF(G28="Panama",Shipping!$T$55,0)+IF(G28="Suez",Shipping!$T$56,0))/Shipping!$T$31*(EO28+ome_st_ab_losses)/1000000+IF(inland_transport_to_port="hv dc grid",$BM28/100*1000*ER28,IF(inland_transport_to_port="pipeline",$BN28,0)))))</f>
        <v>No Port</v>
      </c>
      <c r="EQ28" s="28" t="str">
        <f t="shared" si="40"/>
        <v/>
      </c>
      <c r="ER28" s="29">
        <f>(ome_e_demand)*(EO28+ome_st_ab_losses)/1000000+ome_st_e_demand*EM28/1000000+$CV28*(Carriers!$Z$21/Carriers!$Z$23*EO28)/$CS28</f>
        <v>3352.0814582095409</v>
      </c>
      <c r="ES28" s="29">
        <f t="shared" si="27"/>
        <v>0.1924238095238095</v>
      </c>
      <c r="ET28" s="28" t="str">
        <f>IFERROR(EQ28*1000000/Storage!$S$12,"")</f>
        <v/>
      </c>
      <c r="EU28" s="28" t="str">
        <f>IF($E28="","No Port",((F28/24/Shipping!$T$44+F28/24/Shipping!$T$50+Shipping!$T$59+Shipping!$T$64)*Carriers!$Z$39*wacc_nl))</f>
        <v>No Port</v>
      </c>
      <c r="EV28" s="100">
        <f>H2_retrieval!$R$25*h2_demand_kt/1000+(co2_liq_e_demand+co2_st_e_demand*2)*Storage!$S$12*co2_density/ome_density/1000000</f>
        <v>254.51942895252085</v>
      </c>
      <c r="EW28" s="28" t="str">
        <f>IFERROR((((EK28+EM28+EP28)*(1+H2_retrieval!$R$34)+EU28)*1000000/H2_retrieval!$R$8)+h2_regen_ome,"")</f>
        <v/>
      </c>
      <c r="EX28" s="149">
        <f>(sng_invest*(M28+1/sng_lifetime)/sng_prod+lng_invest*(M28+1/lng_lifetime)/lng_prod+sng_opex+lng_opex+(sng_e_demand+lng_e_demand)*1000*$AU28/100+Carriers!$AB$18/Carriers!$AB$23*BD28+Carriers!$AB$20/Carriers!$AB$23*co2_liq_cost)*(FB28+lng_st_ab_losses)/1000000</f>
        <v>79517.575745643131</v>
      </c>
      <c r="EY28" s="86">
        <f>(sng_invest*(M28+1/sng_lifetime)/sng_prod+lng_invest*(M28+1/lng_lifetime)/lng_prod+sng_opex+lng_opex+(sng_e_demand+lng_e_demand)*1000*$AU28/100+Carriers!$AB$18/Carriers!$AB$23*BD28+Carriers!$AB$20/Carriers!$AB$23*BP28)*(FB28+lng_st_ab_losses)/1000000</f>
        <v>92637.738795923739</v>
      </c>
      <c r="EZ28" s="63">
        <f>lng_st_nl_cost*lng_st_nl_demand/1000000+(lng_st_invest*(M28+1/lng_st_lifetime+lng_st_opex)/(Storage!$U$63/1000000)+lng_st_e_demand*1000*$AU28/100)*(FB28+lng_st_ab_losses)/1000000+co2_st_nl_cost*Storage!$U$12*co2_density/lng_density/1000000+(co2_st_opex_lev+co2_st_invest_lev+co2_st_e_demand*1000*$AU28/100)*Storage!$U$12/1000000+co2_st_invest_lev*Storage!$U$12*co2_st_lifetime*M28/1000000+Carriers!$AB$18/Carriers!$AB$23*((FB28+lng_st_ab_losses)/365.25*short_st_duration_hrs/24)*(h2_short_st_invest*(1/gh2_short_st_lifetime+$M28+h2_short_st_opex)+h2_short_st_e_demand*1000*$AU28/100)/1000000+Carriers!$AB$20/Carriers!$AB$23*((FB28+lng_st_ab_losses)/365.25*short_st_duration_hrs/24)*(co2_short_st_invest*(1/co2_short_st_lifetime+$M28+co2_short_st_opex)+co2_short_st_e_demand*1000*$AU28/100)/1000000</f>
        <v>6652.6701129192897</v>
      </c>
      <c r="FA28" s="63">
        <f>lng_st_nl_cost*lng_st_nl_demand/1000000+(lng_st_invest*(M28+1/lng_st_lifetime+lng_st_opex)/(Storage!$U$63/1000000)+lng_st_e_demand*1000*$AU28/100)*(FB28+lng_st_ab_losses)/1000000+Carriers!$AB$18/Carriers!$AB$23*((FB28+lng_st_ab_losses)/365.25*short_st_duration_hrs/24)*(h2_short_st_invest*(1/gh2_short_st_lifetime+$M28+h2_short_st_opex)+h2_short_st_e_demand*1000*$AU28/100)/1000000+Carriers!$AB$20/Carriers!$AB$23*((FB28+lng_st_ab_losses)/365.25*short_st_duration_hrs/24)*(co2_short_st_invest*(1/co2_short_st_lifetime+$M28+co2_short_st_opex)+co2_short_st_e_demand*1000*$AU28/100)/1000000</f>
        <v>5024.1053553781303</v>
      </c>
      <c r="FB28" s="63">
        <f>Storage!$U$57/((1-Shipping!$V$37)^($F28/24/Shipping!$V$44+0.5*Shipping!$V$59))</f>
        <v>40707231.50721889</v>
      </c>
      <c r="FC28" s="28" t="str">
        <f>IF($E28="","No Port",IF(G28="Panama","Ship cannot pass through Panama",((F28/24/Shipping!$V$44+F28/24/Shipping!$V$50+Shipping!$V$59+Shipping!$V$64)*(Shipping!$V$22+wacc_nl*Shipping!$V$19/365.25*1000000+Shipping!$V$35)+(F28/24/Shipping!$V$44*Shipping!$V$45+Shipping!$V$64*Shipping!$V$65)*IF(bunker_choice="HFO",$H28,IF(bunker_choice="hydrogen",$BD28*hfo_e_density_lhv/h2_e_density_lhv,(EX28+EZ28)*1000000/FB28*hfo_e_density_lhv/lng_e_density_lhv))+(F28/24/Shipping!$V$50*Shipping!$V$51+Shipping!$V$59*Shipping!$V$60)*IF(bunker_choice="HFO",bunker_price_ROT,IF(bunker_choice="hydrogen",$BD28*hfo_e_density_lhv/h2_e_density_lhv,(EX28+EZ28)*1000000/FB28*hfo_e_density_lhv/lng_e_density_lhv))+Shipping!$V$73+IF(G28="Panama",Shipping!$V$55,0)+IF(G28="Suez",Shipping!$V$56,0))/Shipping!$V$31*(FB28+lng_st_ab_losses)/1000000)+IF(inland_transport_to_port="hv dc grid",$BM28/100*1000*FE28,IF(inland_transport_to_port="pipeline",$BN28,0)))</f>
        <v>No Port</v>
      </c>
      <c r="FD28" s="28" t="str">
        <f t="shared" si="41"/>
        <v/>
      </c>
      <c r="FE28" s="29">
        <f>((Carriers!$AB$18/Carriers!$AB$23*alk_el_e_demand)+sng_e_demand+lng_e_demand)*(FB28+lng_st_ab_losses)/1000000+lng_st_e_demand*EZ28/1000000</f>
        <v>1091.7518920820517</v>
      </c>
      <c r="FF28" s="29">
        <f t="shared" si="28"/>
        <v>0.8126185861001558</v>
      </c>
      <c r="FG28" s="28" t="str">
        <f>IFERROR(FD28*1000000/Storage!$U$12,"")</f>
        <v/>
      </c>
      <c r="FH28" s="28" t="str">
        <f>IF($E28="","No Port",((F28/24/Shipping!$V$44+F28/24/Shipping!$V$50+Shipping!$V$59+Shipping!$V$64)*Carriers!$AB$39*wacc_nl))</f>
        <v>No Port</v>
      </c>
      <c r="FI28" s="100">
        <f>H2_retrieval!$T$25*h2_demand_kt/1000+(co2_liq_e_demand+co2_st_e_demand*2)*Storage!$U$12*co2_density/lng_density/1000000</f>
        <v>236.51371749646054</v>
      </c>
      <c r="FJ28" s="28" t="str">
        <f>IFERROR((((EX28+EZ28+FC28)*(1+H2_retrieval!$T$34)+FH28)*1000000/H2_retrieval!$T$8)+h2_regen_lng,"")</f>
        <v/>
      </c>
      <c r="FK28" s="149">
        <f>(lh2_invest*(M28+1/lh2_lifetime)/lh2_prod+lh2_opex+lh2_e_demand*1000*$AU28/100+Carriers!$AD$18/Carriers!$AD$23*BD28)*(FM28+lh2_st_ab_losses)/1000000</f>
        <v>61318.468431439644</v>
      </c>
      <c r="FL28" s="28">
        <f>lh2_st_nl_cost*lh2_st_nl_demand/1000000+(lh2_st_invest*(M28+1/lh2_st_lifetime+lh2_st_opex)/(Storage!$Y$63/1000000)+lh2_st_e_demand*1000*$AU28/100)*(FM28+lh2_st_ab_losses)/1000000+((FM28+lh2_st_ab_losses)/365.25*short_st_duration_hrs/24)*(h2_short_st_invest*(1/gh2_short_st_lifetime+$M28+h2_short_st_opex)+h2_short_st_e_demand*1000*$AU28/100)/1000000</f>
        <v>57801.468579697197</v>
      </c>
      <c r="FM28" s="63">
        <f>Storage!$Y$57/((1-Shipping!$Z$37)^($F28/24/Shipping!$Z$44+0.5*Shipping!$Z$59))</f>
        <v>13659984.090217989</v>
      </c>
      <c r="FN28" s="28" t="str">
        <f>IF($E28="","No Port",IF(G28="Panama","Ship cannot pass through Panama",((F28/24/Shipping!$Z$44+F28/24/Shipping!$Z$50+Shipping!$Z$59+Shipping!$Z$64)*(Shipping!$Z$22+wacc_nl*Shipping!$Z$19/365.25*1000000+Shipping!$Z$35)+(F28/24/Shipping!$Z$44*Shipping!$Z$45+Shipping!$Z$64*Shipping!$Z$65)*IF(bunker_choice="HFO",$H28,IF(bunker_choice="hydrogen",$BD28*hfo_e_density_lhv/h2_e_density_lhv,(FK28+FL28)*1000000/FM28*hfo_e_density_lhv/lh2_e_density_lhv))+(F28/24/Shipping!$Z$50*Shipping!$Z$51+Shipping!$Z$59*Shipping!$Z$60)*IF(bunker_choice="HFO",bunker_price_ROT,IF(bunker_choice="hydrogen",$BD28*hfo_e_density_lhv/h2_e_density_lhv,(FK28+FL28)*1000000/FM28*hfo_e_density_lhv/lh2_e_density_lhv))+Shipping!$Z$73+IF(G28="Panama",Shipping!$Z$55,0)+IF(G28="Suez",Shipping!$Z$56,0))/Shipping!$Z$31*(FM28+lh2_st_ab_losses)/1000000)+IF(inland_transport_to_port="hv dc grid",$BM28/100*1000*FP28,IF(inland_transport_to_port="pipeline",$BN28,0)))</f>
        <v>No Port</v>
      </c>
      <c r="FO28" s="28" t="str">
        <f t="shared" si="42"/>
        <v/>
      </c>
      <c r="FP28" s="29">
        <f>((Carriers!$AD$18/Carriers!$AD$23*alk_el_e_demand)+lh2_e_demand)*(FM28+lh2_st_ab_losses)/1000000+lh2_st_e_demand*FM28/1000000</f>
        <v>791.60233245091877</v>
      </c>
      <c r="FQ28" s="100">
        <f t="shared" si="29"/>
        <v>1.361902463475859</v>
      </c>
      <c r="FR28" s="28" t="str">
        <f>IFERROR(FO28*1000000/Storage!$Y$12,"")</f>
        <v/>
      </c>
      <c r="FS28" s="100">
        <f>H2_retrieval!$V$25*h2_demand_kt/1000</f>
        <v>8.16</v>
      </c>
      <c r="FT28" s="28" t="str">
        <f>IFERROR(FR28*(1+H2_retrieval!$V$34)/Carrier_properties!$U$7+H2_retrieval!$V$38,"")</f>
        <v/>
      </c>
      <c r="FU28" s="12"/>
      <c r="FV28" s="24">
        <f t="shared" si="30"/>
        <v>2.7288574697010617</v>
      </c>
      <c r="FW28" s="24" t="str">
        <f t="shared" si="43"/>
        <v/>
      </c>
      <c r="FX28" s="24" t="str">
        <f t="shared" si="44"/>
        <v/>
      </c>
      <c r="FY28" s="24">
        <f t="shared" si="45"/>
        <v>2.7288574697010617</v>
      </c>
      <c r="FZ28" s="28">
        <f t="shared" si="46"/>
        <v>3421.8955977494006</v>
      </c>
      <c r="GA28" s="28">
        <f t="shared" si="47"/>
        <v>765.88931593552627</v>
      </c>
      <c r="GB28" s="28">
        <f t="shared" si="48"/>
        <v>475.77815424119848</v>
      </c>
      <c r="GC28" s="28">
        <f t="shared" si="49"/>
        <v>854.67991846911514</v>
      </c>
      <c r="GD28" s="28">
        <f t="shared" si="50"/>
        <v>1242.8036386326728</v>
      </c>
      <c r="GE28" s="28">
        <f t="shared" si="51"/>
        <v>2163.0544676730465</v>
      </c>
      <c r="GF28" s="28">
        <f t="shared" si="52"/>
        <v>2275.7071745224348</v>
      </c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</row>
    <row r="29" spans="1:214" x14ac:dyDescent="0.2">
      <c r="A29" s="40" t="s">
        <v>46</v>
      </c>
      <c r="B29" s="12">
        <v>9556</v>
      </c>
      <c r="C29" s="12">
        <v>1</v>
      </c>
      <c r="D29" s="12">
        <f t="shared" si="0"/>
        <v>0</v>
      </c>
      <c r="E29" s="12"/>
      <c r="F29" s="12"/>
      <c r="G29" s="12"/>
      <c r="H29" s="16">
        <f t="shared" si="1"/>
        <v>382.75862068965517</v>
      </c>
      <c r="I29" s="16">
        <v>176520</v>
      </c>
      <c r="J29" s="16">
        <f t="shared" si="31"/>
        <v>237.04020989942344</v>
      </c>
      <c r="K29" s="16" t="str">
        <f t="shared" si="32"/>
        <v/>
      </c>
      <c r="L29" s="103">
        <v>0.13400000000000001</v>
      </c>
      <c r="M29" s="103">
        <f t="shared" si="2"/>
        <v>0.13618666855141551</v>
      </c>
      <c r="N29" s="122">
        <f t="shared" si="33"/>
        <v>0.9</v>
      </c>
      <c r="O29" s="46">
        <f t="shared" si="3"/>
        <v>40</v>
      </c>
      <c r="P29" s="70">
        <f t="array" ref="P29">SUMPRODUCT(IF(Solar_data!A$4:A$777=A29,Solar_data!C$4:C$777),IF(Solar_data!A$4:A$777=A29,Solar_data!I$4:I$777))/SUMIF(Solar_data!A$4:A$777,A29,Solar_data!I$4:I$777)</f>
        <v>1996.8164166056886</v>
      </c>
      <c r="Q29" s="16">
        <f t="array" ref="Q29">MAX(IF(Solar_data!$A$777:'Solar_data'!$A$4=Country_details!$A29,Solar_data!$C$4:'Solar_data'!$C$777))</f>
        <v>2098.75</v>
      </c>
      <c r="R29" s="16">
        <f t="array" ref="R29">MIN(IF(Solar_data!$A$777:'Solar_data'!$A$4=Country_details!A29,Solar_data!$C$4:'Solar_data'!$C$777))</f>
        <v>1733.75</v>
      </c>
      <c r="S29" s="24">
        <f t="shared" si="4"/>
        <v>2.4117234315368345</v>
      </c>
      <c r="T29" s="24">
        <f t="shared" si="5"/>
        <v>2.2945891318191096</v>
      </c>
      <c r="U29" s="24">
        <f t="shared" si="6"/>
        <v>2.7776605279915536</v>
      </c>
      <c r="V29" s="16">
        <f t="array" ref="V29">SUM(IF(Solar_data!$A$777:'Solar_data'!$A$4=Country_details!$A29,Solar_data!$I$4:'Solar_data'!$I$777))</f>
        <v>1471.7286245421342</v>
      </c>
      <c r="W29" s="148"/>
      <c r="X29" s="16" t="str">
        <f>IFERROR(INDEX(Onshore_wind_data!$J$5:'Onshore_wind_data'!$J$221,MATCH(A29,Onshore_wind_data!$B$5:'Onshore_wind_data'!$B$221,0)),"")</f>
        <v/>
      </c>
      <c r="Y29" s="16" t="str">
        <f>IFERROR(INDEX(Onshore_wind_data!$K$5:'Onshore_wind_data'!$K$221,MATCH(A29,Onshore_wind_data!$B$5:'Onshore_wind_data'!$B$221,0)),"")</f>
        <v/>
      </c>
      <c r="Z29" s="16" t="str">
        <f>IFERROR(INDEX(Onshore_wind_data!$L$5:'Onshore_wind_data'!$L$221,MATCH(A29,Onshore_wind_data!$B$5:'Onshore_wind_data'!$B$221,0)),"")</f>
        <v/>
      </c>
      <c r="AA29" s="24" t="str">
        <f t="shared" si="7"/>
        <v/>
      </c>
      <c r="AB29" s="24" t="str">
        <f t="shared" si="8"/>
        <v/>
      </c>
      <c r="AC29" s="24" t="str">
        <f t="shared" si="9"/>
        <v/>
      </c>
      <c r="AD29" s="16">
        <f>IFERROR(INDEX(Onshore_wind_data!$I$5:'Onshore_wind_data'!$I$221,MATCH(A29,Onshore_wind_data!$B$5:'Onshore_wind_data'!$B$221,0)),"")</f>
        <v>0</v>
      </c>
      <c r="AE29" s="148"/>
      <c r="AF29" s="16" t="str">
        <f>INDEX(Offshore_wind_data!$AA$7:$AA$192,MATCH(Country_details!A29,Offshore_wind_data!$A$7:$A$192,0))</f>
        <v/>
      </c>
      <c r="AG29" s="16" t="str">
        <f>INDEX(Offshore_wind_data!$Y$7:$Y$192,MATCH(Country_details!A29,Offshore_wind_data!$A$7:$A$192,0))</f>
        <v/>
      </c>
      <c r="AH29" s="16" t="str">
        <f>INDEX(Offshore_wind_data!$Z$7:$Z$192,MATCH(Country_details!A29,Offshore_wind_data!$A$7:$A$192,0))</f>
        <v/>
      </c>
      <c r="AI29" s="24" t="str">
        <f t="shared" si="10"/>
        <v/>
      </c>
      <c r="AJ29" s="24" t="str">
        <f t="shared" si="11"/>
        <v/>
      </c>
      <c r="AK29" s="24" t="str">
        <f t="shared" si="12"/>
        <v/>
      </c>
      <c r="AL29" s="16">
        <f>INDEX(Offshore_wind_data!$W$7:$W$191,MATCH(A29,Offshore_wind_data!$A$7:$A$191,0))</f>
        <v>0</v>
      </c>
      <c r="AM29" s="148"/>
      <c r="AN29" s="12">
        <v>16</v>
      </c>
      <c r="AO29" s="12">
        <v>22</v>
      </c>
      <c r="AP29" s="34">
        <f>0.3966*11.63</f>
        <v>4.6124580000000002</v>
      </c>
      <c r="AQ29" s="15">
        <f t="shared" si="13"/>
        <v>50</v>
      </c>
      <c r="AR29" s="12">
        <f t="shared" si="34"/>
        <v>1100</v>
      </c>
      <c r="AS29" s="16">
        <f t="shared" si="35"/>
        <v>371.72862454213418</v>
      </c>
      <c r="AT29" s="12"/>
      <c r="AU29" s="24">
        <f t="shared" si="14"/>
        <v>2.4117234315368345</v>
      </c>
      <c r="AV29" s="16">
        <f t="shared" si="15"/>
        <v>1996.8164166056886</v>
      </c>
      <c r="AW29" s="149">
        <f>HV_DC_Grid!$E$3/(1-AX29)*AU29/100*1000</f>
        <v>2951.4255827261463</v>
      </c>
      <c r="AX29" s="31">
        <f>(1-(1-HV_DC_Grid!$E$25)^(B29*C29*HV_DC_Grid!$E$8/1000))+(1-(1-HV_DC_Grid!$E$26)^(B29*D29*HV_DC_Grid!$E$8/1000))+HV_DC_Grid!$E$35*HV_DC_Grid!$E$28</f>
        <v>0.18286151422825458</v>
      </c>
      <c r="AY29" s="28">
        <f>B29*nl_e_demand/IF(hv_dc_flh="electricity FLH",$AV29,hv_dc_custom)*1000*hv_dc_capacity_multiplier*hv_dc_length_multiplier*1000*(C29*hv_dc_overhead_invest*(hv_dc_overhead_opex+M29+1/hv_dc_lifetime)+D29*hv_dc_sea_invest*(hv_dc_sea_opex+M29+1/hv_dc_lifetime))/1000000+HV_DC_Grid!$E$10*1000*hv_dc_station_invest*hv_dc_station_number*(hv_dc_station_opex+M29+1/hv_dc_lifetime)/1000000</f>
        <v>9089.2725736720204</v>
      </c>
      <c r="AZ29" s="24">
        <f>(AW29+AY29)/(HV_DC_Grid!$E$3*1000)*100</f>
        <v>12.040698156398166</v>
      </c>
      <c r="BA29" s="28">
        <f>MIN(((Carriers!$F$26+Carriers!$F$27)*(alk_el_opex+wacc_nl+1/alk_el_lifetime)+IF(hv_dc_flh="electricity FLH",$AV29,hv_dc_custom)*AZ29/100)/(IF(hv_dc_flh="electricity FLH",$AV29,hv_dc_custom)/alk_el_e_demand)*1000,((Carriers!$H$26+Carriers!$H$27)*(pem_el_opex+wacc_nl+1/pem_el_lifetime)+IF(hv_dc_flh="electricity FLH",$AV29,hv_dc_custom)*AZ29/100)/(IF(hv_dc_flh="electricity FLH",$AV29,hv_dc_custom)/pem_el_e_demand)*1000)</f>
        <v>6509.3530528088804</v>
      </c>
      <c r="BB29" s="12"/>
      <c r="BC29" s="12"/>
      <c r="BD29" s="149">
        <f>MIN(((Carriers!$F$26+Carriers!$F$27)*(alk_el_opex+M29+1/alk_el_lifetime)+$AV29*$AU29/100)/($AV29/alk_el_e_demand)*1000,((Carriers!$H$26+Carriers!$H$27)*(pem_el_opex+M29+1/pem_el_lifetime)+$AV29*$AU29/100)/($AV29/pem_el_e_demand)*1000)</f>
        <v>3035.3969088836693</v>
      </c>
      <c r="BE29" s="28">
        <f>Storage!$AC$50</f>
        <v>8.1664117557772418</v>
      </c>
      <c r="BF29" s="28">
        <f>((Pipeline!$D$22*Pipeline!$D$24*B29*(pipeline_opex+M29+1/pipeline_lifetime))*(Pipeline!$D$39/Pipeline!$D$3)+(Pipeline!$D$57*(pipeline_comp_opex+M29+1/pipeline_comp_lifetime)+Pipeline!$D$47*1000*Pipeline!$D$45*$AU29/100/1000000))*(Pipeline!$D$75/Pipeline!$D$45)</f>
        <v>22692.093938693517</v>
      </c>
      <c r="BG29" s="28">
        <f>BD29+(BE29+BF29)/Storage!$AC$12*1000000</f>
        <v>4704.5336993578821</v>
      </c>
      <c r="BH29" s="28"/>
      <c r="BI29" s="28"/>
      <c r="BJ29" s="28" t="str">
        <f>IF($E29="","No Port",BK29*HV_DC_Grid!$E$3*$AU29/100*1000)</f>
        <v>No Port</v>
      </c>
      <c r="BK29" s="31" t="str">
        <f>IFERROR((1-(1-HV_DC_Grid!$E$25)^(K29*HV_DC_Grid!$E$8/1000))+HV_DC_Grid!$E$35*HV_DC_Grid!$E$28,"")</f>
        <v/>
      </c>
      <c r="BL29" s="28" t="str">
        <f>IFERROR(K29*nl_e_demand/IF(hv_dc_flh="electricity FLH",$AV29,hv_dc_custom)*1000*hv_dc_capacity_multiplier*hv_dc_length_multiplier*1000*(hv_dc_overhead_invest*(hv_dc_overhead_opex+M29+1/hv_dc_lifetime))/1000000+HV_DC_Grid!$E$10*1000*hv_dc_station_invest*hv_dc_station_number*(hv_dc_station_opex+M29+1/hv_dc_lifetime)/1000000,"")</f>
        <v/>
      </c>
      <c r="BM29" s="29" t="str">
        <f>IFERROR((BJ29+BL29)/(HV_DC_Grid!$E$3*1000)*100,"")</f>
        <v/>
      </c>
      <c r="BN29" s="28" t="str">
        <f>IFERROR(((Pipeline!$D$22*Pipeline!$D$24*K29*(pipeline_opex+M29+1/pipeline_lifetime))*(Pipeline!$D$39/Pipeline!$D$3)+(Pipeline!$D$57*(pipeline_comp_opex+M29+1/pipeline_comp_lifetime)+Pipeline!$D$47*1000*Pipeline!$D$45*S29/100/1000000))*(Pipeline!$D$75/Pipeline!$D$45),"")</f>
        <v/>
      </c>
      <c r="BO29" s="28"/>
      <c r="BP29" s="150">
        <f t="shared" si="16"/>
        <v>117.85781314916035</v>
      </c>
      <c r="BQ29" s="34">
        <f t="shared" si="17"/>
        <v>35.367615146403338</v>
      </c>
      <c r="BR29" s="151">
        <f>(nh3_invest*(M29+1/nh3_lifetime)/nh3_prod+nh3_opex+nh3_e_demand*1000*$AU29/100+Carriers!$N$18/Carriers!$N$23*BD29+Carriers!$N$19/Carriers!$N$23*BQ29)*(BT29+nh3_st_ab_losses)/1000000</f>
        <v>52937.988767008545</v>
      </c>
      <c r="BS29" s="63">
        <f>nh3_st_nl_cost*nh3_st_nl_demand/1000000+(nh3_st_invest*(M29+1/nh3_st_lifetime+nh3_st_opex)/(Storage!$G$63/1000000)+nh3_st_e_demand*1000*$AU29/100)*(BT29+nh3_st_ab_losses)/1000000+Carriers!$N$18/Carriers!$N$23*((BT29+nh3_st_ab_losses)/365.25*short_st_duration_hrs/24)*(h2_short_st_invest*(1/gh2_short_st_lifetime+$M29+h2_short_st_opex)+h2_short_st_e_demand*1000*$AU29/100)/1000000+Carriers!$N$19/Carriers!$N$23*((BT29+nh3_st_ab_losses)/365.25*short_st_duration_hrs/24)*(n2_short_st_invest*(1/n2_short_st_lifetime+$M29+n2_short_st_opex)+n2_short_st_e_demand*1000*$AU29/100)/1000000</f>
        <v>3501.7331209525828</v>
      </c>
      <c r="BT29" s="63">
        <f>Storage!$G$57/((1-Shipping!$H$37)^(F29/24/Shipping!$H$44+0.5*Shipping!$H$59))</f>
        <v>76857210.785724297</v>
      </c>
      <c r="BU29" s="63" t="str">
        <f>IF($E29="","No Port",((F29/24/Shipping!$H$44+F29/24/Shipping!$H$50+Shipping!$H$59+Shipping!$H$64)*(Shipping!$H$22+wacc_nl*Shipping!$H$19/365.25*1000000+Shipping!$H$35)+(F29/24/Shipping!$H$44*Shipping!$H$45+Shipping!$H$64*Shipping!$H$65)*IF(bunker_choice="HFO",H29,IF(bunker_choice="hydrogen",BD29*hfo_e_density_lhv/h2_e_density_lhv,(BR29+BS29)*1000000/BT29*hfo_e_density_lhv/nh3_e_density_lhv))+(F29/24/Shipping!$H$50*Shipping!$H$51+Shipping!$H$59*Shipping!$H$60)*IF(bunker_choice="HFO",bunker_price_ROT,IF(bunker_choice="hydrogen",BD29*hfo_e_density_lhv/h2_e_density_lhv,(BR29+BS29)*1000000/BT29*hfo_e_density_lhv/nh3_e_density_lhv))+Shipping!$H$73+IF(G29="Panama",Shipping!$H$55,0)+IF(G29="Suez",Shipping!$H$56,0))/Shipping!$H$31*BT29/1000000+IF(inland_transport_to_port="hv dc grid",$BM29/100*1000*BW29,IF(inland_transport_to_port="pipeline",$BN29,0)))</f>
        <v>No Port</v>
      </c>
      <c r="BV29" s="63" t="str">
        <f t="shared" si="18"/>
        <v/>
      </c>
      <c r="BW29" s="33">
        <f>((Carriers!$N$18/Carriers!$N$23*alk_el_e_demand)+(Carriers!$N$19/Carriers!$N$23*n2_e_demand)+nh3_e_demand)*(BT29+nh3_st_ab_losses)/1000000+nh3_st_e_demand*BT29/1000000</f>
        <v>759.00171168026975</v>
      </c>
      <c r="BX29" s="33">
        <f t="shared" si="19"/>
        <v>0.76626754477640768</v>
      </c>
      <c r="BY29" s="63" t="str">
        <f>IFERROR(BV29*1000000/Storage!$G$12,"")</f>
        <v/>
      </c>
      <c r="BZ29" s="63">
        <f>H2_retrieval!$F$25*h2_demand_kt/1000</f>
        <v>80</v>
      </c>
      <c r="CA29" s="63" t="str">
        <f>IFERROR(BY29*(1+H2_retrieval!$F$34)/Carrier_properties!$E$7+H2_retrieval!$F$38,"")</f>
        <v/>
      </c>
      <c r="CB29" s="149">
        <f>(FA_invest*(M29+1/FA_lifetime)/FA_prod+FA_opex+FA_e_demand*1000*$AU29/100+Carriers!$P$18/Carriers!$P$23*BD29+Carriers!$P$20/Carriers!$P$23*co2_liq_cost)*(CF29+FA_st_ab_losses)/1000000</f>
        <v>106188.6295511112</v>
      </c>
      <c r="CC29" s="86">
        <f>(FA_invest*(M29+1/FA_lifetime)/FA_prod+FA_opex+FA_e_demand*1000*$AU29/100+Carriers!$P$18/Carriers!$P$23*BD29+Carriers!$P$20/Carriers!$P$23*BP29)*(CF29+FA_st_ab_losses)/1000000</f>
        <v>134689.24706384778</v>
      </c>
      <c r="CD29" s="63">
        <f>FA_st_nl_cost*FA_st_nl_demand/1000000+(FA_st_invest*(M29+1/FA_st_lifetime+FA_st_opex)/(Storage!$I$63/1000000)+FA_st_e_demand*1000*$AU29/100)*(CF29+FA_st_ab_losses)/1000000+co2_st_nl_cost*Storage!$I$12*co2_density/FA_density/1000000+(co2_st_opex_lev+co2_st_invest_lev+co2_st_e_demand*1000*$AU29/100)*Storage!$I$12/1000000+co2_st_invest_lev*Storage!$I$12*co2_st_lifetime*M29/1000000+Carriers!$P$18/Carriers!$P$23*((CF29+FA_st_ab_losses)/365.25*short_st_duration_hrs/24)*(h2_short_st_invest*(1/gh2_short_st_lifetime+$M29+h2_short_st_opex)+h2_short_st_e_demand*1000*$AU29/100)/1000000+Carriers!$P$20/Carriers!$P$23*((CF29+FA_st_ab_losses)/365.25*short_st_duration_hrs/24)*(co2_short_st_invest*(1/co2_short_st_lifetime+$M29+co2_short_st_opex)+co2_short_st_e_demand*1000*$AU29/100)/1000000</f>
        <v>12054.651628091549</v>
      </c>
      <c r="CE29" s="63">
        <f>FA_st_nl_cost*FA_st_nl_demand/1000000+(FA_st_invest*(M29+1/FA_st_lifetime+FA_st_opex)/(Storage!$I$63/1000000)+FA_st_e_demand*1000*$AU29/100)*(CF29+FA_st_ab_losses)/1000000+Carriers!$P$18/Carriers!$P$23*((CF29+FA_st_ab_losses)/365.25*short_st_duration_hrs/24)*(h2_short_st_invest*(1/gh2_short_st_lifetime+$M29+h2_short_st_opex)+h2_short_st_e_demand*1000*$AU29/100)/1000000+Carriers!$P$20/Carriers!$P$23*((CF29+FA_st_ab_losses)/365.25*short_st_duration_hrs/24)*(co2_short_st_invest*(1/co2_short_st_lifetime+$M29+co2_short_st_opex)+co2_short_st_e_demand*1000*$AU29/100)/1000000</f>
        <v>5289.7013624481706</v>
      </c>
      <c r="CF29" s="63">
        <f>Storage!$I$57/((1-Shipping!$J$37)^($F29/24/Shipping!$J$44+0.5*Shipping!$J$59))</f>
        <v>310425396.82539684</v>
      </c>
      <c r="CG29" s="28" t="str">
        <f>IF($E29="","No Port",((F29/24/Shipping!$J$44+F29/24/Shipping!$J$50+Shipping!$J$59+Shipping!$J$64)*(Shipping!$J$22+wacc_nl*Shipping!$J$19/365.25*1000000+Shipping!$J$35)+(F29/24/Shipping!$J$44*Shipping!$J$45+Shipping!$J$64*Shipping!$J$65)*IF(bunker_choice="HFO",$H29,IF(bunker_choice="hydrogen",$BD29*hfo_e_density_lhv/h2_e_density_lhv,(CB29+CD29)*1000000/CF29*hfo_e_density_lhv/FA_e_density_lhv))+(F29/24/Shipping!$J$50*Shipping!$J$51+Shipping!$J$59*Shipping!$J$60)*IF(bunker_choice="HFO",bunker_price_ROT,IF(bunker_choice="hydrogen",$BD29*hfo_e_density_lhv/h2_e_density_lhv,(CB29+CD29)*1000000/CF29*hfo_e_density_lhv/FA_e_density_lhv))+Shipping!$J$73+IF(G29="Panama",Shipping!$J$55,0)+IF(G29="Suez",Shipping!$J$56,0))/Shipping!$J$31*CF29/1000000+IF(inland_transport_to_port="hv dc grid",$BM29/100*1000*CI29,IF(inland_transport_to_port="pipeline",$BN29,0)))</f>
        <v>No Port</v>
      </c>
      <c r="CH29" s="28" t="str">
        <f t="shared" si="36"/>
        <v/>
      </c>
      <c r="CI29" s="29">
        <f>((Carriers!$P$18/Carriers!$P$23*alk_el_e_demand)+FA_e_demand)*(CF29+FA_st_ab_losses)/1000000+FA_st_e_demand*CF29/1000000</f>
        <v>1897.8881241622576</v>
      </c>
      <c r="CJ29" s="29">
        <f t="shared" si="20"/>
        <v>0.46563809523809524</v>
      </c>
      <c r="CK29" s="28" t="str">
        <f>IFERROR(CH29*1000000/Storage!$I$12,"")</f>
        <v/>
      </c>
      <c r="CL29" s="28" t="str">
        <f>IF($E29="","No Port",((F29/24/Shipping!$J$44+F29/24/Shipping!$J$50+Shipping!$J$59+Shipping!$J$64)*Carriers!$P$39*wacc_nl))</f>
        <v>No Port</v>
      </c>
      <c r="CM29" s="29">
        <f>H2_retrieval!$H$25*h2_demand_kt/1000+(co2_liq_e_demand+co2_st_e_demand*2)*Storage!$I$12*co2_density/FA_density/1000000</f>
        <v>94.204253879484654</v>
      </c>
      <c r="CN29" s="28" t="str">
        <f>IFERROR((((CB29+CD29+CG29)*(1+H2_retrieval!$H$34)+CL29)*1000000/H2_retrieval!$H$8)+h2_regen_fa,"")</f>
        <v/>
      </c>
      <c r="CO29" s="149">
        <f>(meoh_invest*(M29+1/meoh_lifetime)/meoh_prod+meoh_opex+meoh_e_demand*1000*$AU29/100+Carriers!$R$18/Carriers!$R$23*BD29+Carriers!$R$20/Carriers!$R$23*co2_liq_cost)*(CS29+meoh_st_ab_losses)/1000000</f>
        <v>66348.816151626699</v>
      </c>
      <c r="CP29" s="86">
        <f>(meoh_invest*(M29+1/meoh_lifetime)/meoh_prod+meoh_opex+meoh_e_demand*1000*$AU29/100+Carriers!$R$18/Carriers!$R$23*BD29+Carriers!$R$20/Carriers!$R$23*BP29)*(CS29+meoh_st_ab_losses)/1000000</f>
        <v>83079.558498005106</v>
      </c>
      <c r="CQ29" s="63">
        <f>meoh_st_nl_cost*meoh_st_nl_demand/1000000+(meoh_st_invest*(M29+1/meoh_st_lifetime+meoh_st_opex)/(Storage!$K$63/1000000)+meoh_st_e_demand*1000*$AU29/100)*(CS29+meoh_st_ab_losses)/1000000+co2_st_nl_cost*Storage!$K$12*co2_density/meoh_density/1000000+(co2_st_opex_lev+co2_st_invest_lev+co2_st_e_demand*1000*IFERROR(MIN(S29,AA29,AI29),S29)/100)*Storage!$K$12/1000000+co2_st_invest_lev*Storage!$K$12*co2_st_lifetime*M29/1000000+Carriers!$R$18/Carriers!$R$23*((CS29+meoh_st_ab_losses)/365.25*short_st_duration_hrs/24)*(h2_short_st_invest*(1/gh2_short_st_lifetime+$M29+h2_short_st_opex)+h2_short_st_e_demand*1000*$AU29/100)/1000000+Carriers!$R$20/Carriers!$R$23*((CF29+meoh_st_ab_losses)/365.25*short_st_duration_hrs/24)*(co2_short_st_invest*(1/co2_short_st_lifetime+$M29+co2_short_st_opex)+co2_short_st_e_demand*1000*$AU29/100)/1000000</f>
        <v>5050.6096795568128</v>
      </c>
      <c r="CR29" s="63">
        <f>meoh_st_nl_cost*meoh_st_nl_demand/1000000+(meoh_st_invest*(M29+1/meoh_st_lifetime+meoh_st_opex)/(Storage!$K$63/1000000)+meoh_st_e_demand*1000*$AU29/100)*(CS29+meoh_st_ab_losses)/1000000+Carriers!$R$18/Carriers!$R$23*((CS29+meoh_st_ab_losses)/365.25*short_st_duration_hrs/24)*(h2_short_st_invest*(1/gh2_short_st_lifetime+$M29+h2_short_st_opex)+h2_short_st_e_demand*1000*$AU29/100)/1000000+Carriers!$R$20/Carriers!$R$23*((CF29+meoh_st_ab_losses)/365.25*short_st_duration_hrs/24)*(co2_short_st_invest*(1/co2_short_st_lifetime+$M29+co2_short_st_opex)+co2_short_st_e_demand*1000*$AU29/100)/1000000</f>
        <v>2097.0520134691715</v>
      </c>
      <c r="CS29" s="63">
        <f>Storage!$K$57/((1-Shipping!$L$37)^($F29/24/Shipping!$L$44+0.5*Shipping!$L$59))</f>
        <v>108044444.44444443</v>
      </c>
      <c r="CT29" s="28" t="str">
        <f>IF($E29="","No Port",IF(AND(ship_choice="VLCC",G29="Panama"),"Ship cannot pass through Panama",IF(ship_choice="VLCC",((F29/24/Shipping!$AD$44+F29/24/Shipping!$AD$50+Shipping!$AD$59+Shipping!$AD$64)*(Shipping!$AD$22+wacc_nl*Shipping!$AD$19/365.25*1000000+Shipping!$AD$35)+(F29/24/Shipping!$AD$44*Shipping!$AD$45+Shipping!$AD$64*Shipping!$AD$65)*IF(bunker_choice="HFO",$H29,IF(bunker_choice="hydrogen",$BD29*hfo_e_density_lhv/h2_e_density_lhv,(CO29+CQ29)*1000000/CS29*hfo_e_density_lhv/meoh_e_density_lhv))+(F29/24/Shipping!$AD$50*Shipping!$AD$51+Shipping!$AD$59*Shipping!$AD$60)*IF(bunker_choice="HFO",bunker_price_ROT,IF(bunker_choice="hydrogen",$BD29*hfo_e_density_lhv/h2_e_density_lhv,(CO29+CQ29)*1000000/CS29*hfo_e_density_lhv/meoh_e_density_lhv))+Shipping!$AD$73+IF(G29="Panama",Shipping!$AD$55,0)+IF(G29="Suez",Shipping!$AD$56,0))/Shipping!$AD$31*CS29/1000000+IF(inland_transport_to_port="hv dc grid",$BM29/100*1000*CV29,IF(inland_transport_to_port="pipeline",$BN29,0)),((F29/24/Shipping!$L$44+F29/24/Shipping!$L$50+Shipping!$L$59+Shipping!$L$64)*(Shipping!$L$22+wacc_nl*Shipping!$L$19/365.25*1000000+Shipping!$L$35)+(F29/24/Shipping!$L$44*Shipping!$L$45+Shipping!$L$64*Shipping!$L$65)*IF(bunker_choice="HFO",$H29,IF(bunker_choice="hydrogen",$BD29*hfo_e_density_lhv/h2_e_density_lhv,(CO29+CQ29)*1000000/CS29*hfo_e_density_lhv/meoh_e_density_lhv))+(F29/24/Shipping!$L$50*Shipping!$L$51+Shipping!$L$59*Shipping!$L$60)*IF(bunker_choice="HFO",bunker_price_ROT,IF(bunker_choice="hydrogen",$BD29*hfo_e_density_lhv/h2_e_density_lhv,(CO29+CQ29)*1000000/CS29*hfo_e_density_lhv/meoh_e_density_lhv))+Shipping!$L$73+IF(G29="Panama",Shipping!$L$55,0)+IF(G29="Suez",Shipping!$L$56,0))/Shipping!$L$31*CS29/1000000+IF(inland_transport_to_port="hv dc grid",$BM29/100*1000*CV29,IF(inland_transport_to_port="pipeline",$BN29,0)))))</f>
        <v>No Port</v>
      </c>
      <c r="CU29" s="28" t="str">
        <f t="shared" si="37"/>
        <v/>
      </c>
      <c r="CV29" s="29">
        <f>((Carriers!$R$18/Carriers!$R$23*alk_el_e_demand)+meoh_e_demand)*(CS29+meoh_st_ab_losses)/1000000+meoh_st_e_demand*CS29/1000000</f>
        <v>1119.9789871111109</v>
      </c>
      <c r="CW29" s="29">
        <f t="shared" si="21"/>
        <v>0.16206666666666666</v>
      </c>
      <c r="CX29" s="28" t="str">
        <f>IFERROR(CU29*1000000/Storage!$K$12,"")</f>
        <v/>
      </c>
      <c r="CY29" s="28" t="str">
        <f>IF($E29="","No Port",((F29/24/Shipping!$L$44+F29/24/Shipping!$L$50+Shipping!$L$59+Shipping!$L$64)*Carriers!$R$39*wacc_nl))</f>
        <v>No Port</v>
      </c>
      <c r="CZ29" s="29">
        <f>H2_retrieval!$J$25*h2_demand_kt/1000+(co2_liq_e_demand+co2_st_e_demand*2)*Storage!$K$12*co2_density/meoh_density/1000000</f>
        <v>251.05079059698966</v>
      </c>
      <c r="DA29" s="28" t="str">
        <f>IFERROR((((CO29+CQ29+CT29)*(1+H2_retrieval!$J$34)+CY29)*1000000/H2_retrieval!$J$8)+h2_regen_meoh,"")</f>
        <v/>
      </c>
      <c r="DB29" s="149">
        <f>(DBT_invest*(M29+1/DBT_lifetime)/DBT_prod+DBT_opex+DBT_e_demand*1000*$AU29/100+Carriers!$T$18/Carriers!$T$23*BD29)*(DD29+DBT_st_ab_losses)/1000000</f>
        <v>44654.662321424454</v>
      </c>
      <c r="DC29" s="28">
        <f>2*(DBT_st_nl_cost*DBT_st_nl_demand/1000000+(DBT_st_invest*(M29+1/DBT_st_lifetime+DBT_st_opex)/(Storage!$M$63/1000000)+DBT_st_e_demand*1000*$AU29/100)*(DD29+DBT_st_ab_losses)/1000000)+Carriers!$T$18/Carriers!$T$23*((DD29+DBT_st_ab_losses)/365.25*short_st_duration_hrs/24)*(h2_short_st_invest*(1/gh2_short_st_lifetime+$M29+h2_short_st_opex)+h2_short_st_e_demand*1000*$AU29/100)/1000000</f>
        <v>4299.355791199564</v>
      </c>
      <c r="DD29" s="63">
        <f>Storage!$M$57/((1-Shipping!$N$37)^($F29/24/Shipping!$N$44+0.5*Shipping!$N$59))</f>
        <v>219354838.70967743</v>
      </c>
      <c r="DE29" s="28" t="str">
        <f>IF($E29="","No Port",IF(AND(ship_choice="VLCC",G29="Panama"),"Ship cannot pass through Panama",IF(ship_choice="VLCC",((F29/24/Shipping!$AD$44+F29/24/Shipping!$AD$50+Shipping!$AD$59+Shipping!$AD$64)*(Shipping!$AD$22+wacc_nl*Shipping!$AD$19/365.25*1000000+Shipping!$AD$35)+(F29/24/Shipping!$AD$44*Shipping!$AD$45+Shipping!$AD$64*Shipping!$AD$65)*IF(bunker_choice="HFO",$H29,IF(bunker_choice="hydrogen",$BD29*hfo_e_density_lhv/h2_e_density_lhv,(DB29+DC29)*1000000/DD29*hfo_e_density_lhv/DBT_e_density_lhv))+(F29/24/Shipping!$AD$50*Shipping!$AD$51+Shipping!$AD$59*Shipping!$AD$60)*IF(bunker_choice="HFO",bunker_price_ROT,IF(bunker_choice="hydrogen",$BD29*hfo_e_density_lhv/h2_e_density_lhv,(DB29+DC29)*1000000/DD29*hfo_e_density_lhv/DBT_e_density_lhv))+Shipping!$AD$73+IF(G29="Panama",Shipping!$AD$55,0)+IF(G29="Suez",Shipping!$AD$56,0))/Shipping!$AD$31*DD29/1000000+IF(inland_transport_to_port="hv dc grid",$BM29/100*1000*DG29,IF(inland_transport_to_port="pipeline",$BN29,0)),((F29/24/Shipping!$N$44+F29/24/Shipping!$N$50+Shipping!$N$59+Shipping!$N$64)*(Shipping!$N$22+wacc_nl*Shipping!$N$19/365.25*1000000+Shipping!$N$35)+(F29/24/Shipping!$N$44*Shipping!$N$45+Shipping!$N$64*Shipping!$N$65)*IF(bunker_choice="HFO",$H29,IF(bunker_choice="hydrogen",$BD29*hfo_e_density_lhv/h2_e_density_lhv,(DB29+DC29)*1000000/DD29*hfo_e_density_lhv/DBT_e_density_lhv))+(F29/24/Shipping!$N$50*Shipping!$N$51+Shipping!$N$59*Shipping!$N$60)*IF(bunker_choice="HFO",bunker_price_ROT,IF(bunker_choice="hydrogen",$BD29*hfo_e_density_lhv/h2_e_density_lhv,(DB29+DC29)*1000000/DD29*hfo_e_density_lhv/DBT_e_density_lhv))+Shipping!$N$73+IF(G29="Panama",Shipping!$N$55,0)+IF(G29="Suez",Shipping!$N$56,0))/Shipping!$N$31*Shipping!$N$86/1000000+IF(inland_transport_to_port="hv dc grid",$BM29/100*1000*DG29,IF(inland_transport_to_port="pipeline",$BN29,0)))))</f>
        <v>No Port</v>
      </c>
      <c r="DF29" s="28" t="str">
        <f>IFERROR(DB29+DC29+DE29,"")</f>
        <v/>
      </c>
      <c r="DG29" s="29">
        <f>((Carriers!$T$18/Carriers!$T$23*alk_el_e_demand)+DBT_e_demand)*(DD29+DBT_st_ab_losses)/1000000+DBT_st_e_demand*DD29/1000000</f>
        <v>703.88335483870969</v>
      </c>
      <c r="DH29" s="29">
        <f t="shared" si="23"/>
        <v>0.21935483870967742</v>
      </c>
      <c r="DI29" s="28" t="str">
        <f>IFERROR(DF29*1000000/Storage!$M$12,"")</f>
        <v/>
      </c>
      <c r="DJ29" s="28" t="str">
        <f>IF($E29="","No Port",((F29/24/Shipping!$N$44+F29/24/Shipping!$N$50+Shipping!$N$59+Shipping!$N$64)*Carriers!$T$39*wacc_nl))</f>
        <v>No Port</v>
      </c>
      <c r="DK29" s="100">
        <f>H2_retrieval!$L$25*h2_demand_kt/1000+(co2_liq_e_demand+co2_st_e_demand*2)*Storage!$M$12*co2_density/DBT_density/1000000</f>
        <v>206.61934861671787</v>
      </c>
      <c r="DL29" s="28" t="str">
        <f>IFERROR(((DF29*(1+H2_retrieval!$L$34)+DJ29)*1000000/H2_retrieval!$L$8)+h2_regen_lohc,"")</f>
        <v/>
      </c>
      <c r="DM29" s="149">
        <f t="shared" si="24"/>
        <v>49896.094390389182</v>
      </c>
      <c r="DN29" s="16">
        <f>2*(nabh4_st_nl_cost*nabh4_st_nl_demand/1000000+(nabh4_st_invest*(M29+1/nabh4_st_lifetime+nabh4_st_opex)/(Storage!$O$63/1000000)+nabh4_st_e_demand*1000*$AU29/100)*(DO29+nabh4_st_ab_losses)/1000000)+(h2_demand_kt*1000/365.25*short_st_duration_hrs/24)*(h2_short_st_invest*(1/gh2_short_st_lifetime+$M29+h2_short_st_opex)+h2_short_st_e_demand*1000*$AU29/100)/1000000</f>
        <v>1441.2200418399768</v>
      </c>
      <c r="DO29" s="63">
        <f>Storage!$O$57/((1-Shipping!$P$37)^($F29/24/Shipping!$P$44+0.5*Shipping!$P$59))</f>
        <v>63920000</v>
      </c>
      <c r="DP29" s="16" t="str">
        <f>IF($E29="","No Port",((F29/24/Shipping!$P$44+F29/24/Shipping!$P$50+Shipping!$P$59+Shipping!$P$64)*(Shipping!$P$22+wacc_nl*Shipping!$P$19/365.25*1000000+Shipping!$P$35)+(F29/24/Shipping!$P$44*Shipping!$P$45+Shipping!$P$64*Shipping!$P$65)*IF(bunker_choice="HFO",$H29,IF(bunker_choice="hydrogen",$BD29*hfo_e_density_lhv/h2_e_density_lhv,(DM29+DN29)*1000000/DO29*hfo_e_density_lhv/nabh4_e_density_lhv))+(F29/24/Shipping!$P$50*Shipping!$P$51+Shipping!$P$59*Shipping!$P$60)*IF(bunker_choice="HFO",bunker_price_ROT,IF(bunker_choice="hydrogen",$BD29*hfo_e_density_lhv/h2_e_density_lhv,(DM29+DN29)*1000000/DO29*hfo_e_density_lhv/nabh4_e_density_lhv))+Shipping!$P$73+IF(G29="Panama",Shipping!$P$55,0)+IF(G29="Suez",Shipping!$P$56,0))/Shipping!$P$31*(DO29+nabh4_st_ab_losses)/1000000+IF(inland_transport_to_port="hv dc grid",$BM29/100*1000*DR29,IF(inland_transport_to_port="pipeline",$BN29,0)))</f>
        <v>No Port</v>
      </c>
      <c r="DQ29" s="28" t="str">
        <f t="shared" ref="DQ29:DQ38" si="55">IFERROR(DM29+DN29+DP29,"")</f>
        <v/>
      </c>
      <c r="DR29" s="29">
        <f>((Carriers!$V$18/Carriers!$V$23*alk_el_e_demand)+nabh4_e_demand)*(DO29+nabh4_st_ab_losses)/1000000+nabh4_st_e_demand*DO29/1000000</f>
        <v>980.02139682539689</v>
      </c>
      <c r="DS29" s="28">
        <f t="shared" si="25"/>
        <v>3.1960000000000002</v>
      </c>
      <c r="DT29" s="28" t="str">
        <f>IFERROR(DQ29*1000000/Storage!$O$12,"")</f>
        <v/>
      </c>
      <c r="DU29" s="28" t="str">
        <f>IF($E29="","No Port",((F29/24/Shipping!$P$44+F29/24/Shipping!$P$50+Shipping!$P$59+Shipping!$P$64)*Carriers!$V$39*wacc_nl))</f>
        <v>No Port</v>
      </c>
      <c r="DV29" s="100">
        <f>H2_retrieval!$N$25*h2_demand_kt/1000+(co2_liq_e_demand+co2_st_e_demand*2)*Storage!$O$12*co2_density/nabh4_density/1000000</f>
        <v>18.783638728971958</v>
      </c>
      <c r="DW29" s="28" t="str">
        <f>IFERROR(((DQ29*(1+H2_retrieval!$N$34)+DU29)*1000000/H2_retrieval!$N$8)+h2_regen_nabh4,"")</f>
        <v/>
      </c>
      <c r="DX29" s="149">
        <f>(Dme_invest*(M29+1/Dme_lifetime)/Dme_prod+Dme_opex+Dme_e_demand*1000*$AU29/100+Carriers!$X$21/Carriers!$X$23*(CO29*1000000/CS29))*(EB29+Dme_st_ab_losses)/1000000</f>
        <v>93210.207811078362</v>
      </c>
      <c r="DY29" s="86">
        <f>(Dme_invest*(M29+1/Dme_lifetime)/Dme_prod+Dme_opex+Dme_e_demand*1000*$AU29/100+Carriers!$X$21/Carriers!$X$23*(CP29*1000000/CS29))*(EB29+Dme_st_ab_losses)/1000000</f>
        <v>115908.20384583213</v>
      </c>
      <c r="DZ29" s="63">
        <f>Dme_st_nl_cost*Dme_st_nl_demand/1000000+(Dme_st_invest*(M29+1/Dme_st_lifetime+Dme_st_opex)/(Storage!$Q$63/1000000)+Dme_st_e_demand*1000*$AU29/100)*(EB29+Dme_st_ab_losses)/1000000+co2_st_nl_cost*Storage!$Q$12*co2_density/Dme_density/1000000+(co2_st_opex_lev+co2_st_invest_lev+co2_st_e_demand*1000*$AU29/100)*Storage!$Q$12/1000000+co2_st_invest_lev*Storage!$Q$12*co2_st_lifetime*M29/1000000+(h2_demand_kt*1000/365.25*short_st_duration_hrs/24)*(h2_short_st_invest*(1/gh2_short_st_lifetime+$M29+h2_short_st_opex)+h2_short_st_e_demand*1000*$AU29/100)/1000000</f>
        <v>6086.3678637602043</v>
      </c>
      <c r="EA29" s="63">
        <f>Dme_st_nl_cost*Dme_st_nl_demand/1000000+(Dme_st_invest*(M29+1/Dme_st_lifetime+Dme_st_opex)/(Storage!$Q$63/1000000)+Dme_st_e_demand*1000*$AU29/100)*(EB29+Dme_st_ab_losses)/1000000+(h2_demand_kt*1000/365.25*short_st_duration_hrs/24)*(h2_short_st_invest*(1/gh2_short_st_lifetime+$M29+h2_short_st_opex)+h2_short_st_e_demand*1000*$AU29/100)/1000000</f>
        <v>3128.8514634918797</v>
      </c>
      <c r="EB29" s="63">
        <f>Storage!$Q$57/((1-Shipping!$R$37)^($F29/24/Shipping!$R$44+0.5*Shipping!$R$59))</f>
        <v>103547089.94708996</v>
      </c>
      <c r="EC29" s="153" t="str">
        <f>IF($E29="","No Port",IF(AND(ship_choice="VLCC",G29="Panama"),"Ship cannot pass through Panama",IF(ship_choice="VLCC",((F29/24/Shipping!$AD$44+F29/24/Shipping!$AD$50+Shipping!$AD$59+Shipping!$AD$64)*(Shipping!$AD$22+wacc_nl*Shipping!$AD$19/365.25*1000000+Shipping!$AD$35)+(F29/24/Shipping!$AD$44*Shipping!$AD$45+Shipping!$AD$64*Shipping!$AD$65)*IF(bunker_choice="HFO",$H29,IF(bunker_choice="hydrogen",$BD29*hfo_e_density_lhv/h2_e_density_lhv,(DX29+DZ29)*1000000/EB29*hfo_e_density_lhv/Dme_e_density_lhv))+(F29/24/Shipping!$AD$50*Shipping!$AD$51+Shipping!$AD$59*Shipping!$AD$60)*IF(bunker_choice="HFO",bunker_price_ROT,IF(bunker_choice="hydrogen",$BD29*hfo_e_density_lhv/h2_e_density_lhv,(DX29+DZ29)*1000000/EB29*hfo_e_density_lhv/Dme_e_density_lhv))+Shipping!$AD$73+IF(G29="Panama",Shipping!$AD$55,0)+IF(G29="Suez",Shipping!$AD$56,0))/Shipping!$AD$31*(EB29+Dme_st_ab_losses)/1000000+IF(inland_transport_to_port="hv dc grid",$BM29/100*1000*EE29,IF(inland_transport_to_port="pipeline",$BN29,0)),((F29/24/Shipping!$R$44+F29/24/Shipping!$R$50+Shipping!$R$59+Shipping!$R$64)*(Shipping!$R$22+wacc_nl*Shipping!$R$19/365.25*1000000+Shipping!$R$35)+(F29/24/Shipping!$R$44*Shipping!$R$45+Shipping!$R$64*Shipping!$R$65)*IF(bunker_choice="HFO",$H29,IF(bunker_choice="hydrogen",$BD29*hfo_e_density_lhv/h2_e_density_lhv,(DX29+DZ29)*1000000/EB29*hfo_e_density_lhv/Dme_e_density_lhv))+(F29/24/Shipping!$R$50*Shipping!$R$51+Shipping!$R$59*Shipping!$R$60)*IF(bunker_choice="HFO",bunker_price_ROT,IF(bunker_choice="hydrogen",$BD29*hfo_e_density_lhv/h2_e_density_lhv,(DX29+DZ29)*1000000/EB29*hfo_e_density_lhv/Dme_e_density_lhv))+Shipping!$R$73+IF(G29="Panama",Shipping!$R$55,0)+IF(G29="Suez",Shipping!$R$56,0))/Shipping!$R$31*(EB29+Dme_st_ab_losses)/1000000+IF(inland_transport_to_port="hv dc grid",$BM29/100*1000*EE29,IF(inland_transport_to_port="pipeline",$BN29,0)))))</f>
        <v>No Port</v>
      </c>
      <c r="ED29" s="28" t="str">
        <f t="shared" si="39"/>
        <v/>
      </c>
      <c r="EE29" s="29">
        <f>(Dme_e_demand)*(EB29+Dme_st_ab_losses)/1000000+Dme_st_e_demand*DZ29/1000000+$CV29*(Carriers!$X$21/Carriers!$X$23*EB29)/$CS29</f>
        <v>1550.2168210307345</v>
      </c>
      <c r="EF29" s="29">
        <f t="shared" si="26"/>
        <v>1.0354708994708997</v>
      </c>
      <c r="EG29" s="28" t="str">
        <f>IFERROR(ED29*1000000/Storage!$Q$12,"")</f>
        <v/>
      </c>
      <c r="EH29" s="28" t="str">
        <f>IF($E29="","No Port",((F29/24/Shipping!$R$44+F29/24/Shipping!$R$50+Shipping!$R$59+Shipping!$R$64)*Carriers!$X$39*wacc_nl))</f>
        <v>No Port</v>
      </c>
      <c r="EI29" s="100">
        <f>H2_retrieval!$P$25*h2_demand_kt/1000+(co2_liq_e_demand+co2_st_e_demand*2)*Storage!$Q$12*co2_density/Dme_density/1000000</f>
        <v>252.45335899349112</v>
      </c>
      <c r="EJ29" s="28" t="str">
        <f>IFERROR((((DX29+DZ29+EC29)*(1+H2_retrieval!$P$34)+EH29)*1000000/H2_retrieval!$P$8)+h2_regen_dme,"")</f>
        <v/>
      </c>
      <c r="EK29" s="149">
        <f>(ome_invest*(M29+1/ome_lifetime)/ome_prod+ome_opex+ome_e_demand*1000*$AU29/100+Carriers!$Z$21/Carriers!$Z$23*(CO29*1000000/CS29))*(EO29+ome_st_ab_losses)/1000000</f>
        <v>202496.11236601864</v>
      </c>
      <c r="EL29" s="86">
        <f>(ome_invest*(M29+1/ome_lifetime)/ome_prod+ome_opex+ome_e_demand*1000*$AU29/100+Carriers!$Z$21/Carriers!$Z$23*(CP29*1000000/CS29))*(EO29+ome_st_ab_losses)/1000000</f>
        <v>250143.62450372637</v>
      </c>
      <c r="EM29" s="63">
        <f>ome_st_nl_cost*ome_st_nl_demand/1000000+(ome_st_invest*(M29+1/ome_st_lifetime+ome_st_opex)/(Storage!$S$63/1000000)+ome_st_e_demand*1000*$AU29/100)*(EO29+ome_st_ab_losses)/1000000+co2_st_nl_cost*Storage!$S$12*co2_density/ome_density/1000000+(co2_st_opex_lev+co2_st_invest_lev+co2_st_e_demand*1000*$AU29/100)*Storage!$S$12/1000000+co2_st_invest_lev*Storage!$S$12*co2_st_lifetime*M29/1000000+(h2_demand_kt*1000/365.25*short_st_duration_hrs/24)*(h2_short_st_invest*(1/gh2_short_st_lifetime+$M29+h2_short_st_opex)+h2_short_st_e_demand*1000*$AU29/100)/1000000</f>
        <v>5210.5121876665708</v>
      </c>
      <c r="EN29" s="63">
        <f>ome_st_nl_cost*ome_st_nl_demand/1000000+(ome_st_invest*(M29+1/ome_st_lifetime+ome_st_opex)/(Storage!$S$63/1000000)+ome_st_e_demand*1000*$AU29/100)*(EO29+ome_st_ab_losses)/1000000+(h2_demand_kt*1000/365.25*short_st_duration_hrs/24)*(h2_short_st_invest*(1/gh2_short_st_lifetime+$M29+h2_short_st_opex)+h2_short_st_e_demand*1000*$AU29/100)/1000000</f>
        <v>1885.4686549761884</v>
      </c>
      <c r="EO29" s="63">
        <f>Storage!$S$57/((1-Shipping!$T$37)^($F29/24/Shipping!$T$44+0.5*Shipping!$T$59))</f>
        <v>128282539.68253967</v>
      </c>
      <c r="EP29" s="28" t="str">
        <f>IF($E29="","No Port",IF(AND(ship_choice="VLCC",G29="Panama"),"Ship cannot pass through Panama",IF(ship_choice="VLCC",((F29/24/Shipping!$AD$44+F29/24/Shipping!$AD$50+Shipping!$AD$59+Shipping!$AD$64)*(Shipping!$AD$22+wacc_nl*Shipping!$AD$19/365.25*1000000+Shipping!$AD$35)+(F29/24/Shipping!$AD$44*Shipping!$AD$45+Shipping!$AD$64*Shipping!$AD$65)*IF(bunker_choice="HFO",$H29,IF(bunker_choice="hydrogen",$BD29*hfo_e_density_lhv/h2_e_density_lhv,(EK29+EM29)*1000000/EO29*hfo_e_density_lhv/Dme_e_density_lhv))+(F29/24/Shipping!$AD$50*Shipping!$AD$51+Shipping!$AD$59*Shipping!$AD$60)*IF(bunker_choice="HFO",bunker_price_ROT,IF(bunker_choice="hydrogen",$BD29*hfo_e_density_lhv/h2_e_density_lhv,(EK29+EM29)*1000000/EO29*hfo_e_density_lhv/ome_e_density_lhv))+Shipping!$AD$73+IF(G29="Panama",Shipping!$AD$55,0)+IF(G29="Suez",Shipping!$AD$56,0))/Shipping!$AD$31*(EO29+ome_st_ab_losses)/1000000+IF(inland_transport_to_port="hv dc grid",$BM29/100*1000*ER29,IF(inland_transport_to_port="pipeline",$BN29,0)),((F29/24/Shipping!$T$44+F29/24/Shipping!$T$50+Shipping!$T$59+Shipping!$T$64)*(Shipping!$T$22+wacc_nl*Shipping!$T$19/365.25*1000000+Shipping!$T$35)+(F29/24/Shipping!$T$44*Shipping!$T$45+Shipping!$T$64*Shipping!$T$65)*IF(bunker_choice="HFO",$H29,IF(bunker_choice="hydrogen",$BD29*hfo_e_density_lhv/h2_e_density_lhv,(EK29+EM29)*1000000/EO29*hfo_e_density_lhv/Dme_e_density_lhv))+(F29/24/Shipping!$T$50*Shipping!$T$51+Shipping!$T$59*Shipping!$T$60)*IF(bunker_choice="HFO",bunker_price_ROT,IF(bunker_choice="hydrogen",$BD29*hfo_e_density_lhv/h2_e_density_lhv,(EK29+EM29)*1000000/EO29*hfo_e_density_lhv/ome_e_density_lhv))+Shipping!$T$73+IF(G29="Panama",Shipping!$T$55,0)+IF(G29="Suez",Shipping!$T$56,0))/Shipping!$T$31*(EO29+ome_st_ab_losses)/1000000+IF(inland_transport_to_port="hv dc grid",$BM29/100*1000*ER29,IF(inland_transport_to_port="pipeline",$BN29,0)))))</f>
        <v>No Port</v>
      </c>
      <c r="EQ29" s="28" t="str">
        <f t="shared" si="40"/>
        <v/>
      </c>
      <c r="ER29" s="29">
        <f>(ome_e_demand)*(EO29+ome_st_ab_losses)/1000000+ome_st_e_demand*EM29/1000000+$CV29*(Carriers!$Z$21/Carriers!$Z$23*EO29)/$CS29</f>
        <v>3352.0814579565517</v>
      </c>
      <c r="ES29" s="29">
        <f t="shared" si="27"/>
        <v>0.1924238095238095</v>
      </c>
      <c r="ET29" s="28" t="str">
        <f>IFERROR(EQ29*1000000/Storage!$S$12,"")</f>
        <v/>
      </c>
      <c r="EU29" s="28" t="str">
        <f>IF($E29="","No Port",((F29/24/Shipping!$T$44+F29/24/Shipping!$T$50+Shipping!$T$59+Shipping!$T$64)*Carriers!$Z$39*wacc_nl))</f>
        <v>No Port</v>
      </c>
      <c r="EV29" s="100">
        <f>H2_retrieval!$R$25*h2_demand_kt/1000+(co2_liq_e_demand+co2_st_e_demand*2)*Storage!$S$12*co2_density/ome_density/1000000</f>
        <v>254.51942895252085</v>
      </c>
      <c r="EW29" s="28" t="str">
        <f>IFERROR((((EK29+EM29+EP29)*(1+H2_retrieval!$R$34)+EU29)*1000000/H2_retrieval!$R$8)+h2_regen_ome,"")</f>
        <v/>
      </c>
      <c r="EX29" s="149">
        <f>(sng_invest*(M29+1/sng_lifetime)/sng_prod+lng_invest*(M29+1/lng_lifetime)/lng_prod+sng_opex+lng_opex+(sng_e_demand+lng_e_demand)*1000*$AU29/100+Carriers!$AB$18/Carriers!$AB$23*BD29+Carriers!$AB$20/Carriers!$AB$23*co2_liq_cost)*(FB29+lng_st_ab_losses)/1000000</f>
        <v>71156.077364681623</v>
      </c>
      <c r="EY29" s="86">
        <f>(sng_invest*(M29+1/sng_lifetime)/sng_prod+lng_invest*(M29+1/lng_lifetime)/lng_prod+sng_opex+lng_opex+(sng_e_demand+lng_e_demand)*1000*$AU29/100+Carriers!$AB$18/Carriers!$AB$23*BD29+Carriers!$AB$20/Carriers!$AB$23*BP29)*(FB29+lng_st_ab_losses)/1000000</f>
        <v>83527.51894334906</v>
      </c>
      <c r="EZ29" s="63">
        <f>lng_st_nl_cost*lng_st_nl_demand/1000000+(lng_st_invest*(M29+1/lng_st_lifetime+lng_st_opex)/(Storage!$U$63/1000000)+lng_st_e_demand*1000*$AU29/100)*(FB29+lng_st_ab_losses)/1000000+co2_st_nl_cost*Storage!$U$12*co2_density/lng_density/1000000+(co2_st_opex_lev+co2_st_invest_lev+co2_st_e_demand*1000*$AU29/100)*Storage!$U$12/1000000+co2_st_invest_lev*Storage!$U$12*co2_st_lifetime*M29/1000000+Carriers!$AB$18/Carriers!$AB$23*((FB29+lng_st_ab_losses)/365.25*short_st_duration_hrs/24)*(h2_short_st_invest*(1/gh2_short_st_lifetime+$M29+h2_short_st_opex)+h2_short_st_e_demand*1000*$AU29/100)/1000000+Carriers!$AB$20/Carriers!$AB$23*((FB29+lng_st_ab_losses)/365.25*short_st_duration_hrs/24)*(co2_short_st_invest*(1/co2_short_st_lifetime+$M29+co2_short_st_opex)+co2_short_st_e_demand*1000*$AU29/100)/1000000</f>
        <v>6456.5121413432407</v>
      </c>
      <c r="FA29" s="63">
        <f>lng_st_nl_cost*lng_st_nl_demand/1000000+(lng_st_invest*(M29+1/lng_st_lifetime+lng_st_opex)/(Storage!$U$63/1000000)+lng_st_e_demand*1000*$AU29/100)*(FB29+lng_st_ab_losses)/1000000+Carriers!$AB$18/Carriers!$AB$23*((FB29+lng_st_ab_losses)/365.25*short_st_duration_hrs/24)*(h2_short_st_invest*(1/gh2_short_st_lifetime+$M29+h2_short_st_opex)+h2_short_st_e_demand*1000*$AU29/100)/1000000+Carriers!$AB$20/Carriers!$AB$23*((FB29+lng_st_ab_losses)/365.25*short_st_duration_hrs/24)*(co2_short_st_invest*(1/co2_short_st_lifetime+$M29+co2_short_st_opex)+co2_short_st_e_demand*1000*$AU29/100)/1000000</f>
        <v>4859.6582295683893</v>
      </c>
      <c r="FB29" s="63">
        <f>Storage!$U$57/((1-Shipping!$V$37)^($F29/24/Shipping!$V$44+0.5*Shipping!$V$59))</f>
        <v>40707231.50721889</v>
      </c>
      <c r="FC29" s="28" t="str">
        <f>IF($E29="","No Port",IF(G29="Panama","Ship cannot pass through Panama",((F29/24/Shipping!$V$44+F29/24/Shipping!$V$50+Shipping!$V$59+Shipping!$V$64)*(Shipping!$V$22+wacc_nl*Shipping!$V$19/365.25*1000000+Shipping!$V$35)+(F29/24/Shipping!$V$44*Shipping!$V$45+Shipping!$V$64*Shipping!$V$65)*IF(bunker_choice="HFO",$H29,IF(bunker_choice="hydrogen",$BD29*hfo_e_density_lhv/h2_e_density_lhv,(EX29+EZ29)*1000000/FB29*hfo_e_density_lhv/lng_e_density_lhv))+(F29/24/Shipping!$V$50*Shipping!$V$51+Shipping!$V$59*Shipping!$V$60)*IF(bunker_choice="HFO",bunker_price_ROT,IF(bunker_choice="hydrogen",$BD29*hfo_e_density_lhv/h2_e_density_lhv,(EX29+EZ29)*1000000/FB29*hfo_e_density_lhv/lng_e_density_lhv))+Shipping!$V$73+IF(G29="Panama",Shipping!$V$55,0)+IF(G29="Suez",Shipping!$V$56,0))/Shipping!$V$31*(FB29+lng_st_ab_losses)/1000000)+IF(inland_transport_to_port="hv dc grid",$BM29/100*1000*FE29,IF(inland_transport_to_port="pipeline",$BN29,0)))</f>
        <v>No Port</v>
      </c>
      <c r="FD29" s="28" t="str">
        <f t="shared" si="41"/>
        <v/>
      </c>
      <c r="FE29" s="29">
        <f>((Carriers!$AB$18/Carriers!$AB$23*alk_el_e_demand)+sng_e_demand+lng_e_demand)*(FB29+lng_st_ab_losses)/1000000+lng_st_e_demand*EZ29/1000000</f>
        <v>1091.7518881588921</v>
      </c>
      <c r="FF29" s="29">
        <f t="shared" si="28"/>
        <v>0.8126185861001558</v>
      </c>
      <c r="FG29" s="28" t="str">
        <f>IFERROR(FD29*1000000/Storage!$U$12,"")</f>
        <v/>
      </c>
      <c r="FH29" s="28" t="str">
        <f>IF($E29="","No Port",((F29/24/Shipping!$V$44+F29/24/Shipping!$V$50+Shipping!$V$59+Shipping!$V$64)*Carriers!$AB$39*wacc_nl))</f>
        <v>No Port</v>
      </c>
      <c r="FI29" s="100">
        <f>H2_retrieval!$T$25*h2_demand_kt/1000+(co2_liq_e_demand+co2_st_e_demand*2)*Storage!$U$12*co2_density/lng_density/1000000</f>
        <v>236.51371749646054</v>
      </c>
      <c r="FJ29" s="28" t="str">
        <f>IFERROR((((EX29+EZ29+FC29)*(1+H2_retrieval!$T$34)+FH29)*1000000/H2_retrieval!$T$8)+h2_regen_lng,"")</f>
        <v/>
      </c>
      <c r="FK29" s="149">
        <f>(lh2_invest*(M29+1/lh2_lifetime)/lh2_prod+lh2_opex+lh2_e_demand*1000*$AU29/100+Carriers!$AD$18/Carriers!$AD$23*BD29)*(FM29+lh2_st_ab_losses)/1000000</f>
        <v>55180.923411612413</v>
      </c>
      <c r="FL29" s="28">
        <f>lh2_st_nl_cost*lh2_st_nl_demand/1000000+(lh2_st_invest*(M29+1/lh2_st_lifetime+lh2_st_opex)/(Storage!$Y$63/1000000)+lh2_st_e_demand*1000*$AU29/100)*(FM29+lh2_st_ab_losses)/1000000+((FM29+lh2_st_ab_losses)/365.25*short_st_duration_hrs/24)*(h2_short_st_invest*(1/gh2_short_st_lifetime+$M29+h2_short_st_opex)+h2_short_st_e_demand*1000*$AU29/100)/1000000</f>
        <v>56096.465270853783</v>
      </c>
      <c r="FM29" s="63">
        <f>Storage!$Y$57/((1-Shipping!$Z$37)^($F29/24/Shipping!$Z$44+0.5*Shipping!$Z$59))</f>
        <v>13659984.090217989</v>
      </c>
      <c r="FN29" s="28" t="str">
        <f>IF($E29="","No Port",IF(G29="Panama","Ship cannot pass through Panama",((F29/24/Shipping!$Z$44+F29/24/Shipping!$Z$50+Shipping!$Z$59+Shipping!$Z$64)*(Shipping!$Z$22+wacc_nl*Shipping!$Z$19/365.25*1000000+Shipping!$Z$35)+(F29/24/Shipping!$Z$44*Shipping!$Z$45+Shipping!$Z$64*Shipping!$Z$65)*IF(bunker_choice="HFO",$H29,IF(bunker_choice="hydrogen",$BD29*hfo_e_density_lhv/h2_e_density_lhv,(FK29+FL29)*1000000/FM29*hfo_e_density_lhv/lh2_e_density_lhv))+(F29/24/Shipping!$Z$50*Shipping!$Z$51+Shipping!$Z$59*Shipping!$Z$60)*IF(bunker_choice="HFO",bunker_price_ROT,IF(bunker_choice="hydrogen",$BD29*hfo_e_density_lhv/h2_e_density_lhv,(FK29+FL29)*1000000/FM29*hfo_e_density_lhv/lh2_e_density_lhv))+Shipping!$Z$73+IF(G29="Panama",Shipping!$Z$55,0)+IF(G29="Suez",Shipping!$Z$56,0))/Shipping!$Z$31*(FM29+lh2_st_ab_losses)/1000000)+IF(inland_transport_to_port="hv dc grid",$BM29/100*1000*FP29,IF(inland_transport_to_port="pipeline",$BN29,0)))</f>
        <v>No Port</v>
      </c>
      <c r="FO29" s="28" t="str">
        <f t="shared" si="42"/>
        <v/>
      </c>
      <c r="FP29" s="29">
        <f>((Carriers!$AD$18/Carriers!$AD$23*alk_el_e_demand)+lh2_e_demand)*(FM29+lh2_st_ab_losses)/1000000+lh2_st_e_demand*FM29/1000000</f>
        <v>791.60233245091877</v>
      </c>
      <c r="FQ29" s="100">
        <f t="shared" si="29"/>
        <v>1.361902463475859</v>
      </c>
      <c r="FR29" s="28" t="str">
        <f>IFERROR(FO29*1000000/Storage!$Y$12,"")</f>
        <v/>
      </c>
      <c r="FS29" s="100">
        <f>H2_retrieval!$V$25*h2_demand_kt/1000</f>
        <v>8.16</v>
      </c>
      <c r="FT29" s="28" t="str">
        <f>IFERROR(FR29*(1+H2_retrieval!$V$34)/Carrier_properties!$U$7+H2_retrieval!$V$38,"")</f>
        <v/>
      </c>
      <c r="FU29" s="12"/>
      <c r="FV29" s="24">
        <f t="shared" si="30"/>
        <v>2.4117234315368345</v>
      </c>
      <c r="FW29" s="24" t="str">
        <f t="shared" si="43"/>
        <v/>
      </c>
      <c r="FX29" s="24" t="str">
        <f t="shared" si="44"/>
        <v/>
      </c>
      <c r="FY29" s="24">
        <f t="shared" si="45"/>
        <v>2.4117234315368345</v>
      </c>
      <c r="FZ29" s="28">
        <f t="shared" si="46"/>
        <v>3035.3969088836693</v>
      </c>
      <c r="GA29" s="28">
        <f t="shared" si="47"/>
        <v>688.78363169590091</v>
      </c>
      <c r="GB29" s="28">
        <f t="shared" si="48"/>
        <v>433.88604296318465</v>
      </c>
      <c r="GC29" s="28">
        <f t="shared" si="49"/>
        <v>768.93873558416919</v>
      </c>
      <c r="GD29" s="28">
        <f t="shared" si="50"/>
        <v>1119.3767386901786</v>
      </c>
      <c r="GE29" s="28">
        <f t="shared" si="51"/>
        <v>1949.9428770490192</v>
      </c>
      <c r="GF29" s="28">
        <f t="shared" si="52"/>
        <v>2051.9086130565415</v>
      </c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</row>
    <row r="30" spans="1:214" x14ac:dyDescent="0.2">
      <c r="A30" s="40" t="s">
        <v>47</v>
      </c>
      <c r="B30" s="12">
        <v>5019</v>
      </c>
      <c r="C30" s="12">
        <v>0.9</v>
      </c>
      <c r="D30" s="12">
        <f t="shared" si="0"/>
        <v>9.9999999999999978E-2</v>
      </c>
      <c r="E30" s="12" t="s">
        <v>705</v>
      </c>
      <c r="F30" s="12">
        <v>4550</v>
      </c>
      <c r="G30" s="12"/>
      <c r="H30" s="16">
        <f t="shared" si="1"/>
        <v>382.75862068965517</v>
      </c>
      <c r="I30" s="16">
        <v>472710</v>
      </c>
      <c r="J30" s="16">
        <f t="shared" si="31"/>
        <v>387.90239274582945</v>
      </c>
      <c r="K30" s="27">
        <f t="shared" si="32"/>
        <v>465.48287129499533</v>
      </c>
      <c r="L30" s="103">
        <v>0.14099999999999999</v>
      </c>
      <c r="M30" s="103">
        <f t="shared" si="2"/>
        <v>0.14113641601972132</v>
      </c>
      <c r="N30" s="122">
        <f t="shared" si="33"/>
        <v>0.85</v>
      </c>
      <c r="O30" s="46">
        <f t="shared" si="3"/>
        <v>40</v>
      </c>
      <c r="P30" s="70">
        <f t="array" ref="P30">SUMPRODUCT(IF(Solar_data!A$4:A$777=A30,Solar_data!C$4:C$777),IF(Solar_data!A$4:A$777=A30,Solar_data!I$4:I$777))/SUMIF(Solar_data!A$4:A$777,A30,Solar_data!I$4:I$777)</f>
        <v>1876.5489700929188</v>
      </c>
      <c r="Q30" s="16">
        <f t="array" ref="Q30">MAX(IF(Solar_data!$A$777:'Solar_data'!$A$4=Country_details!$A30,Solar_data!$C$4:'Solar_data'!$C$777))</f>
        <v>2281.25</v>
      </c>
      <c r="R30" s="16">
        <f t="array" ref="R30">MIN(IF(Solar_data!$A$777:'Solar_data'!$A$4=Country_details!A30,Solar_data!$C$4:'Solar_data'!$C$777))</f>
        <v>1551.25</v>
      </c>
      <c r="S30" s="24">
        <f t="shared" si="4"/>
        <v>2.7935860267036161</v>
      </c>
      <c r="T30" s="24">
        <f t="shared" si="5"/>
        <v>2.2979949506966095</v>
      </c>
      <c r="U30" s="24">
        <f t="shared" si="6"/>
        <v>3.3794043392597195</v>
      </c>
      <c r="V30" s="16">
        <f t="array" ref="V30">SUM(IF(Solar_data!$A$777:'Solar_data'!$A$4=Country_details!$A30,Solar_data!$I$4:'Solar_data'!$I$777))</f>
        <v>3286.4378145098381</v>
      </c>
      <c r="W30" s="148"/>
      <c r="X30" s="16" t="str">
        <f>IFERROR(INDEX(Onshore_wind_data!$J$5:'Onshore_wind_data'!$J$221,MATCH(A30,Onshore_wind_data!$B$5:'Onshore_wind_data'!$B$221,0)),"")</f>
        <v/>
      </c>
      <c r="Y30" s="16" t="str">
        <f>IFERROR(INDEX(Onshore_wind_data!$K$5:'Onshore_wind_data'!$K$221,MATCH(A30,Onshore_wind_data!$B$5:'Onshore_wind_data'!$B$221,0)),"")</f>
        <v/>
      </c>
      <c r="Z30" s="16" t="str">
        <f>IFERROR(INDEX(Onshore_wind_data!$L$5:'Onshore_wind_data'!$L$221,MATCH(A30,Onshore_wind_data!$B$5:'Onshore_wind_data'!$B$221,0)),"")</f>
        <v/>
      </c>
      <c r="AA30" s="24" t="str">
        <f t="shared" si="7"/>
        <v/>
      </c>
      <c r="AB30" s="24" t="str">
        <f t="shared" si="8"/>
        <v/>
      </c>
      <c r="AC30" s="24" t="str">
        <f t="shared" si="9"/>
        <v/>
      </c>
      <c r="AD30" s="16">
        <f>IFERROR(INDEX(Onshore_wind_data!$I$5:'Onshore_wind_data'!$I$221,MATCH(A30,Onshore_wind_data!$B$5:'Onshore_wind_data'!$B$221,0)),"")</f>
        <v>0</v>
      </c>
      <c r="AE30" s="148"/>
      <c r="AF30" s="16">
        <f>INDEX(Offshore_wind_data!$AA$7:$AA$192,MATCH(Country_details!A30,Offshore_wind_data!$A$7:$A$192,0))</f>
        <v>3153.6</v>
      </c>
      <c r="AG30" s="16">
        <f>INDEX(Offshore_wind_data!$Y$7:$Y$192,MATCH(Country_details!A30,Offshore_wind_data!$A$7:$A$192,0))</f>
        <v>3153.6</v>
      </c>
      <c r="AH30" s="16">
        <f>INDEX(Offshore_wind_data!$Z$7:$Z$192,MATCH(Country_details!A30,Offshore_wind_data!$A$7:$A$192,0))</f>
        <v>3153.6</v>
      </c>
      <c r="AI30" s="24">
        <f t="shared" si="10"/>
        <v>9.373128565056124</v>
      </c>
      <c r="AJ30" s="24">
        <f t="shared" si="11"/>
        <v>9.373128565056124</v>
      </c>
      <c r="AK30" s="24">
        <f t="shared" si="12"/>
        <v>9.373128565056124</v>
      </c>
      <c r="AL30" s="16">
        <f>INDEX(Offshore_wind_data!$W$7:$W$191,MATCH(A30,Offshore_wind_data!$A$7:$A$191,0))</f>
        <v>1.8290879999999998</v>
      </c>
      <c r="AM30" s="148"/>
      <c r="AN30" s="12">
        <v>24.1</v>
      </c>
      <c r="AO30" s="12">
        <v>49.8</v>
      </c>
      <c r="AP30" s="34">
        <f>0.3307*11.63</f>
        <v>3.846041</v>
      </c>
      <c r="AQ30" s="15">
        <f t="shared" si="13"/>
        <v>50</v>
      </c>
      <c r="AR30" s="12">
        <f t="shared" si="34"/>
        <v>2490</v>
      </c>
      <c r="AS30" s="16">
        <f t="shared" si="35"/>
        <v>798.26690250983802</v>
      </c>
      <c r="AT30" s="12"/>
      <c r="AU30" s="24">
        <f t="shared" si="14"/>
        <v>2.7935860267036161</v>
      </c>
      <c r="AV30" s="16">
        <f t="shared" si="15"/>
        <v>1876.5489700929188</v>
      </c>
      <c r="AW30" s="149">
        <f>HV_DC_Grid!$E$3/(1-AX30)*AU30/100*1000</f>
        <v>3129.6617148997316</v>
      </c>
      <c r="AX30" s="31">
        <f>(1-(1-HV_DC_Grid!$E$25)^(B30*C30*HV_DC_Grid!$E$8/1000))+(1-(1-HV_DC_Grid!$E$26)^(B30*D30*HV_DC_Grid!$E$8/1000))+HV_DC_Grid!$E$35*HV_DC_Grid!$E$28</f>
        <v>0.10738403022797059</v>
      </c>
      <c r="AY30" s="28">
        <f>B30*nl_e_demand/IF(hv_dc_flh="electricity FLH",$AV30,hv_dc_custom)*1000*hv_dc_capacity_multiplier*hv_dc_length_multiplier*1000*(C30*hv_dc_overhead_invest*(hv_dc_overhead_opex+M30+1/hv_dc_lifetime)+D30*hv_dc_sea_invest*(hv_dc_sea_opex+M30+1/hv_dc_lifetime))/1000000+HV_DC_Grid!$E$10*1000*hv_dc_station_invest*hv_dc_station_number*(hv_dc_station_opex+M30+1/hv_dc_lifetime)/1000000</f>
        <v>6142.2938903754775</v>
      </c>
      <c r="AZ30" s="24">
        <f>(AW30+AY30)/(HV_DC_Grid!$E$3*1000)*100</f>
        <v>9.2719556052752097</v>
      </c>
      <c r="BA30" s="28">
        <f>MIN(((Carriers!$F$26+Carriers!$F$27)*(alk_el_opex+wacc_nl+1/alk_el_lifetime)+IF(hv_dc_flh="electricity FLH",$AV30,hv_dc_custom)*AZ30/100)/(IF(hv_dc_flh="electricity FLH",$AV30,hv_dc_custom)/alk_el_e_demand)*1000,((Carriers!$H$26+Carriers!$H$27)*(pem_el_opex+wacc_nl+1/pem_el_lifetime)+IF(hv_dc_flh="electricity FLH",$AV30,hv_dc_custom)*AZ30/100)/(IF(hv_dc_flh="electricity FLH",$AV30,hv_dc_custom)/pem_el_e_demand)*1000)</f>
        <v>5087.0500042970179</v>
      </c>
      <c r="BB30" s="12"/>
      <c r="BC30" s="12"/>
      <c r="BD30" s="149">
        <f>MIN(((Carriers!$F$26+Carriers!$F$27)*(alk_el_opex+M30+1/alk_el_lifetime)+$AV30*$AU30/100)/($AV30/alk_el_e_demand)*1000,((Carriers!$H$26+Carriers!$H$27)*(pem_el_opex+M30+1/pem_el_lifetime)+$AV30*$AU30/100)/($AV30/pem_el_e_demand)*1000)</f>
        <v>3394.120789855901</v>
      </c>
      <c r="BE30" s="28">
        <f>Storage!$AC$50</f>
        <v>8.1664117557772418</v>
      </c>
      <c r="BF30" s="28">
        <f>((Pipeline!$D$22*Pipeline!$D$24*B30*(pipeline_opex+M30+1/pipeline_lifetime))*(Pipeline!$D$39/Pipeline!$D$3)+(Pipeline!$D$57*(pipeline_comp_opex+M30+1/pipeline_comp_lifetime)+Pipeline!$D$47*1000*Pipeline!$D$45*$AU30/100/1000000))*(Pipeline!$D$75/Pipeline!$D$45)</f>
        <v>12259.819759685322</v>
      </c>
      <c r="BG30" s="28">
        <f>BD30+(BE30+BF30)/Storage!$AC$12*1000000</f>
        <v>4296.1785965795116</v>
      </c>
      <c r="BH30" s="28"/>
      <c r="BI30" s="28"/>
      <c r="BJ30" s="28">
        <f>IF($E30="","No Port",BK30*HV_DC_Grid!$E$3*$AU30/100*1000)</f>
        <v>64.16609230723256</v>
      </c>
      <c r="BK30" s="31">
        <f>IFERROR((1-(1-HV_DC_Grid!$E$25)^(K30*HV_DC_Grid!$E$8/1000))+HV_DC_Grid!$E$35*HV_DC_Grid!$E$28,"")</f>
        <v>2.2969076911852779E-2</v>
      </c>
      <c r="BL30" s="28">
        <f>IFERROR(K30*nl_e_demand/IF(hv_dc_flh="electricity FLH",$AV30,hv_dc_custom)*1000*hv_dc_capacity_multiplier*hv_dc_length_multiplier*1000*(hv_dc_overhead_invest*(hv_dc_overhead_opex+M30+1/hv_dc_lifetime))/1000000+HV_DC_Grid!$E$10*1000*hv_dc_station_invest*hv_dc_station_number*(hv_dc_station_opex+M30+1/hv_dc_lifetime)/1000000,"")</f>
        <v>897.89933734158421</v>
      </c>
      <c r="BM30" s="29">
        <f>IFERROR((BJ30+BL30)/(HV_DC_Grid!$E$3*1000)*100,"")</f>
        <v>0.96206542964881681</v>
      </c>
      <c r="BN30" s="28">
        <f>IFERROR(((Pipeline!$D$22*Pipeline!$D$24*K30*(pipeline_opex+M30+1/pipeline_lifetime))*(Pipeline!$D$39/Pipeline!$D$3)+(Pipeline!$D$57*(pipeline_comp_opex+M30+1/pipeline_comp_lifetime)+Pipeline!$D$47*1000*Pipeline!$D$45*S30/100/1000000))*(Pipeline!$D$75/Pipeline!$D$45),"")</f>
        <v>1220.33257874933</v>
      </c>
      <c r="BO30" s="28"/>
      <c r="BP30" s="150">
        <f t="shared" si="16"/>
        <v>122.43293115673056</v>
      </c>
      <c r="BQ30" s="34">
        <f t="shared" si="17"/>
        <v>36.557701175889918</v>
      </c>
      <c r="BR30" s="151">
        <f>(nh3_invest*(M30+1/nh3_lifetime)/nh3_prod+nh3_opex+nh3_e_demand*1000*$AU30/100+Carriers!$N$18/Carriers!$N$23*BD30+Carriers!$N$19/Carriers!$N$23*BQ30)*(BT30+nh3_st_ab_losses)/1000000</f>
        <v>59986.860046934431</v>
      </c>
      <c r="BS30" s="63">
        <f>nh3_st_nl_cost*nh3_st_nl_demand/1000000+(nh3_st_invest*(M30+1/nh3_st_lifetime+nh3_st_opex)/(Storage!$G$63/1000000)+nh3_st_e_demand*1000*$AU30/100)*(BT30+nh3_st_ab_losses)/1000000+Carriers!$N$18/Carriers!$N$23*((BT30+nh3_st_ab_losses)/365.25*short_st_duration_hrs/24)*(h2_short_st_invest*(1/gh2_short_st_lifetime+$M30+h2_short_st_opex)+h2_short_st_e_demand*1000*$AU30/100)/1000000+Carriers!$N$19/Carriers!$N$23*((BT30+nh3_st_ab_losses)/365.25*short_st_duration_hrs/24)*(n2_short_st_invest*(1/n2_short_st_lifetime+$M30+n2_short_st_opex)+n2_short_st_e_demand*1000*$AU30/100)/1000000</f>
        <v>3630.7076302081141</v>
      </c>
      <c r="BT30" s="63">
        <f>Storage!$G$57/((1-Shipping!$H$37)^(F30/24/Shipping!$H$44+0.5*Shipping!$H$59))</f>
        <v>79099203.525625125</v>
      </c>
      <c r="BU30" s="63">
        <f>IF($E30="","No Port",((F30/24/Shipping!$H$44+F30/24/Shipping!$H$50+Shipping!$H$59+Shipping!$H$64)*(Shipping!$H$22+wacc_nl*Shipping!$H$19/365.25*1000000+Shipping!$H$35)+(F30/24/Shipping!$H$44*Shipping!$H$45+Shipping!$H$64*Shipping!$H$65)*IF(bunker_choice="HFO",H30,IF(bunker_choice="hydrogen",BD30*hfo_e_density_lhv/h2_e_density_lhv,(BR30+BS30)*1000000/BT30*hfo_e_density_lhv/nh3_e_density_lhv))+(F30/24/Shipping!$H$50*Shipping!$H$51+Shipping!$H$59*Shipping!$H$60)*IF(bunker_choice="HFO",bunker_price_ROT,IF(bunker_choice="hydrogen",BD30*hfo_e_density_lhv/h2_e_density_lhv,(BR30+BS30)*1000000/BT30*hfo_e_density_lhv/nh3_e_density_lhv))+Shipping!$H$73+IF(G30="Panama",Shipping!$H$55,0)+IF(G30="Suez",Shipping!$H$56,0))/Shipping!$H$31*BT30/1000000+IF(inland_transport_to_port="hv dc grid",$BM30/100*1000*BW30,IF(inland_transport_to_port="pipeline",$BN30,0)))</f>
        <v>4474.7211633459519</v>
      </c>
      <c r="BV30" s="63">
        <f t="shared" si="18"/>
        <v>68092.288840488502</v>
      </c>
      <c r="BW30" s="33">
        <f>((Carriers!$N$18/Carriers!$N$23*alk_el_e_demand)+(Carriers!$N$19/Carriers!$N$23*n2_e_demand)+nh3_e_demand)*(BT30+nh3_st_ab_losses)/1000000+nh3_st_e_demand*BT30/1000000</f>
        <v>781.12411916938413</v>
      </c>
      <c r="BX30" s="33">
        <f t="shared" si="19"/>
        <v>0.76626754477640768</v>
      </c>
      <c r="BY30" s="63">
        <f>IFERROR(BV30*1000000/Storage!$G$12,"")</f>
        <v>889.36329271148873</v>
      </c>
      <c r="BZ30" s="63">
        <f>H2_retrieval!$F$25*h2_demand_kt/1000</f>
        <v>80</v>
      </c>
      <c r="CA30" s="63">
        <f>IFERROR(BY30*(1+H2_retrieval!$F$34)/Carrier_properties!$E$7+H2_retrieval!$F$38,"")</f>
        <v>5416.0119237973022</v>
      </c>
      <c r="CB30" s="149">
        <f>(FA_invest*(M30+1/FA_lifetime)/FA_prod+FA_opex+FA_e_demand*1000*$AU30/100+Carriers!$P$18/Carriers!$P$23*BD30+Carriers!$P$20/Carriers!$P$23*co2_liq_cost)*(CF30+FA_st_ab_losses)/1000000</f>
        <v>116997.42952185583</v>
      </c>
      <c r="CC30" s="86">
        <f>(FA_invest*(M30+1/FA_lifetime)/FA_prod+FA_opex+FA_e_demand*1000*$AU30/100+Carriers!$P$18/Carriers!$P$23*BD30+Carriers!$P$20/Carriers!$P$23*BP30)*(CF30+FA_st_ab_losses)/1000000</f>
        <v>146676.93310337621</v>
      </c>
      <c r="CD30" s="63">
        <f>FA_st_nl_cost*FA_st_nl_demand/1000000+(FA_st_invest*(M30+1/FA_st_lifetime+FA_st_opex)/(Storage!$I$63/1000000)+FA_st_e_demand*1000*$AU30/100)*(CF30+FA_st_ab_losses)/1000000+co2_st_nl_cost*Storage!$I$12*co2_density/FA_density/1000000+(co2_st_opex_lev+co2_st_invest_lev+co2_st_e_demand*1000*$AU30/100)*Storage!$I$12/1000000+co2_st_invest_lev*Storage!$I$12*co2_st_lifetime*M30/1000000+Carriers!$P$18/Carriers!$P$23*((CF30+FA_st_ab_losses)/365.25*short_st_duration_hrs/24)*(h2_short_st_invest*(1/gh2_short_st_lifetime+$M30+h2_short_st_opex)+h2_short_st_e_demand*1000*$AU30/100)/1000000+Carriers!$P$20/Carriers!$P$23*((CF30+FA_st_ab_losses)/365.25*short_st_duration_hrs/24)*(co2_short_st_invest*(1/co2_short_st_lifetime+$M30+co2_short_st_opex)+co2_short_st_e_demand*1000*$AU30/100)/1000000</f>
        <v>12334.515881919639</v>
      </c>
      <c r="CE30" s="63">
        <f>FA_st_nl_cost*FA_st_nl_demand/1000000+(FA_st_invest*(M30+1/FA_st_lifetime+FA_st_opex)/(Storage!$I$63/1000000)+FA_st_e_demand*1000*$AU30/100)*(CF30+FA_st_ab_losses)/1000000+Carriers!$P$18/Carriers!$P$23*((CF30+FA_st_ab_losses)/365.25*short_st_duration_hrs/24)*(h2_short_st_invest*(1/gh2_short_st_lifetime+$M30+h2_short_st_opex)+h2_short_st_e_demand*1000*$AU30/100)/1000000+Carriers!$P$20/Carriers!$P$23*((CF30+FA_st_ab_losses)/365.25*short_st_duration_hrs/24)*(co2_short_st_invest*(1/co2_short_st_lifetime+$M30+co2_short_st_opex)+co2_short_st_e_demand*1000*$AU30/100)/1000000</f>
        <v>5378.9718808758435</v>
      </c>
      <c r="CF30" s="63">
        <f>Storage!$I$57/((1-Shipping!$J$37)^($F30/24/Shipping!$J$44+0.5*Shipping!$J$59))</f>
        <v>310425396.82539684</v>
      </c>
      <c r="CG30" s="28">
        <f>IF($E30="","No Port",((F30/24/Shipping!$J$44+F30/24/Shipping!$J$50+Shipping!$J$59+Shipping!$J$64)*(Shipping!$J$22+wacc_nl*Shipping!$J$19/365.25*1000000+Shipping!$J$35)+(F30/24/Shipping!$J$44*Shipping!$J$45+Shipping!$J$64*Shipping!$J$65)*IF(bunker_choice="HFO",$H30,IF(bunker_choice="hydrogen",$BD30*hfo_e_density_lhv/h2_e_density_lhv,(CB30+CD30)*1000000/CF30*hfo_e_density_lhv/FA_e_density_lhv))+(F30/24/Shipping!$J$50*Shipping!$J$51+Shipping!$J$59*Shipping!$J$60)*IF(bunker_choice="HFO",bunker_price_ROT,IF(bunker_choice="hydrogen",$BD30*hfo_e_density_lhv/h2_e_density_lhv,(CB30+CD30)*1000000/CF30*hfo_e_density_lhv/FA_e_density_lhv))+Shipping!$J$73+IF(G30="Panama",Shipping!$J$55,0)+IF(G30="Suez",Shipping!$J$56,0))/Shipping!$J$31*CF30/1000000+IF(inland_transport_to_port="hv dc grid",$BM30/100*1000*CI30,IF(inland_transport_to_port="pipeline",$BN30,0)))</f>
        <v>15689.977115171219</v>
      </c>
      <c r="CH30" s="28">
        <f t="shared" si="36"/>
        <v>167745.88209942327</v>
      </c>
      <c r="CI30" s="29">
        <f>((Carriers!$P$18/Carriers!$P$23*alk_el_e_demand)+FA_e_demand)*(CF30+FA_st_ab_losses)/1000000+FA_st_e_demand*CF30/1000000</f>
        <v>1897.8881241622576</v>
      </c>
      <c r="CJ30" s="29">
        <f t="shared" si="20"/>
        <v>0.46563809523809524</v>
      </c>
      <c r="CK30" s="28">
        <f>IFERROR(CH30*1000000/Storage!$I$12,"")</f>
        <v>540.37422135848738</v>
      </c>
      <c r="CL30" s="28">
        <f>IF($E30="","No Port",((F30/24/Shipping!$J$44+F30/24/Shipping!$J$50+Shipping!$J$59+Shipping!$J$64)*Carriers!$P$39*wacc_nl))</f>
        <v>233.32178326387691</v>
      </c>
      <c r="CM30" s="29">
        <f>H2_retrieval!$H$25*h2_demand_kt/1000+(co2_liq_e_demand+co2_st_e_demand*2)*Storage!$I$12*co2_density/FA_density/1000000</f>
        <v>94.204253879484654</v>
      </c>
      <c r="CN30" s="28">
        <f>IFERROR((((CB30+CD30+CG30)*(1+H2_retrieval!$H$34)+CL30)*1000000/H2_retrieval!$H$8)+h2_regen_fa,"")</f>
        <v>10770.220037047144</v>
      </c>
      <c r="CO30" s="149">
        <f>(meoh_invest*(M30+1/meoh_lifetime)/meoh_prod+meoh_opex+meoh_e_demand*1000*$AU30/100+Carriers!$R$18/Carriers!$R$23*BD30+Carriers!$R$20/Carriers!$R$23*co2_liq_cost)*(CS30+meoh_st_ab_losses)/1000000</f>
        <v>74033.608840580957</v>
      </c>
      <c r="CP30" s="86">
        <f>(meoh_invest*(M30+1/meoh_lifetime)/meoh_prod+meoh_opex+meoh_e_demand*1000*$AU30/100+Carriers!$R$18/Carriers!$R$23*BD30+Carriers!$R$20/Carriers!$R$23*BP30)*(CS30+meoh_st_ab_losses)/1000000</f>
        <v>91456.393703713344</v>
      </c>
      <c r="CQ30" s="63">
        <f>meoh_st_nl_cost*meoh_st_nl_demand/1000000+(meoh_st_invest*(M30+1/meoh_st_lifetime+meoh_st_opex)/(Storage!$K$63/1000000)+meoh_st_e_demand*1000*$AU30/100)*(CS30+meoh_st_ab_losses)/1000000+co2_st_nl_cost*Storage!$K$12*co2_density/meoh_density/1000000+(co2_st_opex_lev+co2_st_invest_lev+co2_st_e_demand*1000*IFERROR(MIN(S30,AA30,AI30),S30)/100)*Storage!$K$12/1000000+co2_st_invest_lev*Storage!$K$12*co2_st_lifetime*M30/1000000+Carriers!$R$18/Carriers!$R$23*((CS30+meoh_st_ab_losses)/365.25*short_st_duration_hrs/24)*(h2_short_st_invest*(1/gh2_short_st_lifetime+$M30+h2_short_st_opex)+h2_short_st_e_demand*1000*$AU30/100)/1000000+Carriers!$R$20/Carriers!$R$23*((CF30+meoh_st_ab_losses)/365.25*short_st_duration_hrs/24)*(co2_short_st_invest*(1/co2_short_st_lifetime+$M30+co2_short_st_opex)+co2_short_st_e_demand*1000*$AU30/100)/1000000</f>
        <v>5157.7725050815479</v>
      </c>
      <c r="CR30" s="63">
        <f>meoh_st_nl_cost*meoh_st_nl_demand/1000000+(meoh_st_invest*(M30+1/meoh_st_lifetime+meoh_st_opex)/(Storage!$K$63/1000000)+meoh_st_e_demand*1000*$AU30/100)*(CS30+meoh_st_ab_losses)/1000000+Carriers!$R$18/Carriers!$R$23*((CS30+meoh_st_ab_losses)/365.25*short_st_duration_hrs/24)*(h2_short_st_invest*(1/gh2_short_st_lifetime+$M30+h2_short_st_opex)+h2_short_st_e_demand*1000*$AU30/100)/1000000+Carriers!$R$20/Carriers!$R$23*((CF30+meoh_st_ab_losses)/365.25*short_st_duration_hrs/24)*(co2_short_st_invest*(1/co2_short_st_lifetime+$M30+co2_short_st_opex)+co2_short_st_e_demand*1000*$AU30/100)/1000000</f>
        <v>2137.8781459703268</v>
      </c>
      <c r="CS30" s="63">
        <f>Storage!$K$57/((1-Shipping!$L$37)^($F30/24/Shipping!$L$44+0.5*Shipping!$L$59))</f>
        <v>108044444.44444443</v>
      </c>
      <c r="CT30" s="28">
        <f>IF($E30="","No Port",IF(AND(ship_choice="VLCC",G30="Panama"),"Ship cannot pass through Panama",IF(ship_choice="VLCC",((F30/24/Shipping!$AD$44+F30/24/Shipping!$AD$50+Shipping!$AD$59+Shipping!$AD$64)*(Shipping!$AD$22+wacc_nl*Shipping!$AD$19/365.25*1000000+Shipping!$AD$35)+(F30/24/Shipping!$AD$44*Shipping!$AD$45+Shipping!$AD$64*Shipping!$AD$65)*IF(bunker_choice="HFO",$H30,IF(bunker_choice="hydrogen",$BD30*hfo_e_density_lhv/h2_e_density_lhv,(CO30+CQ30)*1000000/CS30*hfo_e_density_lhv/meoh_e_density_lhv))+(F30/24/Shipping!$AD$50*Shipping!$AD$51+Shipping!$AD$59*Shipping!$AD$60)*IF(bunker_choice="HFO",bunker_price_ROT,IF(bunker_choice="hydrogen",$BD30*hfo_e_density_lhv/h2_e_density_lhv,(CO30+CQ30)*1000000/CS30*hfo_e_density_lhv/meoh_e_density_lhv))+Shipping!$AD$73+IF(G30="Panama",Shipping!$AD$55,0)+IF(G30="Suez",Shipping!$AD$56,0))/Shipping!$AD$31*CS30/1000000+IF(inland_transport_to_port="hv dc grid",$BM30/100*1000*CV30,IF(inland_transport_to_port="pipeline",$BN30,0)),((F30/24/Shipping!$L$44+F30/24/Shipping!$L$50+Shipping!$L$59+Shipping!$L$64)*(Shipping!$L$22+wacc_nl*Shipping!$L$19/365.25*1000000+Shipping!$L$35)+(F30/24/Shipping!$L$44*Shipping!$L$45+Shipping!$L$64*Shipping!$L$65)*IF(bunker_choice="HFO",$H30,IF(bunker_choice="hydrogen",$BD30*hfo_e_density_lhv/h2_e_density_lhv,(CO30+CQ30)*1000000/CS30*hfo_e_density_lhv/meoh_e_density_lhv))+(F30/24/Shipping!$L$50*Shipping!$L$51+Shipping!$L$59*Shipping!$L$60)*IF(bunker_choice="HFO",bunker_price_ROT,IF(bunker_choice="hydrogen",$BD30*hfo_e_density_lhv/h2_e_density_lhv,(CO30+CQ30)*1000000/CS30*hfo_e_density_lhv/meoh_e_density_lhv))+Shipping!$L$73+IF(G30="Panama",Shipping!$L$55,0)+IF(G30="Suez",Shipping!$L$56,0))/Shipping!$L$31*CS30/1000000+IF(inland_transport_to_port="hv dc grid",$BM30/100*1000*CV30,IF(inland_transport_to_port="pipeline",$BN30,0)))))</f>
        <v>5967.4385982195599</v>
      </c>
      <c r="CU30" s="28">
        <f t="shared" si="37"/>
        <v>99561.710447903228</v>
      </c>
      <c r="CV30" s="29">
        <f>((Carriers!$R$18/Carriers!$R$23*alk_el_e_demand)+meoh_e_demand)*(CS30+meoh_st_ab_losses)/1000000+meoh_st_e_demand*CS30/1000000</f>
        <v>1119.9789871111109</v>
      </c>
      <c r="CW30" s="29">
        <f t="shared" si="21"/>
        <v>0.16206666666666666</v>
      </c>
      <c r="CX30" s="28">
        <f>IFERROR(CU30*1000000/Storage!$K$12,"")</f>
        <v>921.48847596784162</v>
      </c>
      <c r="CY30" s="28">
        <f>IF($E30="","No Port",((F30/24/Shipping!$L$44+F30/24/Shipping!$L$50+Shipping!$L$59+Shipping!$L$64)*Carriers!$R$39*wacc_nl))</f>
        <v>83.471420986004588</v>
      </c>
      <c r="CZ30" s="29">
        <f>H2_retrieval!$J$25*h2_demand_kt/1000+(co2_liq_e_demand+co2_st_e_demand*2)*Storage!$K$12*co2_density/meoh_density/1000000</f>
        <v>251.05079059698966</v>
      </c>
      <c r="DA30" s="28">
        <f>IFERROR((((CO30+CQ30+CT30)*(1+H2_retrieval!$J$34)+CY30)*1000000/H2_retrieval!$J$8)+h2_regen_meoh,"")</f>
        <v>7437.9440847305332</v>
      </c>
      <c r="DB30" s="149">
        <f>(DBT_invest*(M30+1/DBT_lifetime)/DBT_prod+DBT_opex+DBT_e_demand*1000*$AU30/100+Carriers!$T$18/Carriers!$T$23*BD30)*(DD30+DBT_st_ab_losses)/1000000</f>
        <v>49606.887998268539</v>
      </c>
      <c r="DC30" s="28">
        <f>2*(DBT_st_nl_cost*DBT_st_nl_demand/1000000+(DBT_st_invest*(M30+1/DBT_st_lifetime+DBT_st_opex)/(Storage!$M$63/1000000)+DBT_st_e_demand*1000*$AU30/100)*(DD30+DBT_st_ab_losses)/1000000)+Carriers!$T$18/Carriers!$T$23*((DD30+DBT_st_ab_losses)/365.25*short_st_duration_hrs/24)*(h2_short_st_invest*(1/gh2_short_st_lifetime+$M30+h2_short_st_opex)+h2_short_st_e_demand*1000*$AU30/100)/1000000</f>
        <v>4371.4712439751274</v>
      </c>
      <c r="DD30" s="63">
        <f>Storage!$M$57/((1-Shipping!$N$37)^($F30/24/Shipping!$N$44+0.5*Shipping!$N$59))</f>
        <v>219354838.70967743</v>
      </c>
      <c r="DE30" s="28">
        <f>IF($E30="","No Port",IF(AND(ship_choice="VLCC",G30="Panama"),"Ship cannot pass through Panama",IF(ship_choice="VLCC",((F30/24/Shipping!$AD$44+F30/24/Shipping!$AD$50+Shipping!$AD$59+Shipping!$AD$64)*(Shipping!$AD$22+wacc_nl*Shipping!$AD$19/365.25*1000000+Shipping!$AD$35)+(F30/24/Shipping!$AD$44*Shipping!$AD$45+Shipping!$AD$64*Shipping!$AD$65)*IF(bunker_choice="HFO",$H30,IF(bunker_choice="hydrogen",$BD30*hfo_e_density_lhv/h2_e_density_lhv,(DB30+DC30)*1000000/DD30*hfo_e_density_lhv/DBT_e_density_lhv))+(F30/24/Shipping!$AD$50*Shipping!$AD$51+Shipping!$AD$59*Shipping!$AD$60)*IF(bunker_choice="HFO",bunker_price_ROT,IF(bunker_choice="hydrogen",$BD30*hfo_e_density_lhv/h2_e_density_lhv,(DB30+DC30)*1000000/DD30*hfo_e_density_lhv/DBT_e_density_lhv))+Shipping!$AD$73+IF(G30="Panama",Shipping!$AD$55,0)+IF(G30="Suez",Shipping!$AD$56,0))/Shipping!$AD$31*DD30/1000000+IF(inland_transport_to_port="hv dc grid",$BM30/100*1000*DG30,IF(inland_transport_to_port="pipeline",$BN30,0)),((F30/24/Shipping!$N$44+F30/24/Shipping!$N$50+Shipping!$N$59+Shipping!$N$64)*(Shipping!$N$22+wacc_nl*Shipping!$N$19/365.25*1000000+Shipping!$N$35)+(F30/24/Shipping!$N$44*Shipping!$N$45+Shipping!$N$64*Shipping!$N$65)*IF(bunker_choice="HFO",$H30,IF(bunker_choice="hydrogen",$BD30*hfo_e_density_lhv/h2_e_density_lhv,(DB30+DC30)*1000000/DD30*hfo_e_density_lhv/DBT_e_density_lhv))+(F30/24/Shipping!$N$50*Shipping!$N$51+Shipping!$N$59*Shipping!$N$60)*IF(bunker_choice="HFO",bunker_price_ROT,IF(bunker_choice="hydrogen",$BD30*hfo_e_density_lhv/h2_e_density_lhv,(DB30+DC30)*1000000/DD30*hfo_e_density_lhv/DBT_e_density_lhv))+Shipping!$N$73+IF(G30="Panama",Shipping!$N$55,0)+IF(G30="Suez",Shipping!$N$56,0))/Shipping!$N$31*Shipping!$N$86/1000000+IF(inland_transport_to_port="hv dc grid",$BM30/100*1000*DG30,IF(inland_transport_to_port="pipeline",$BN30,0)))))</f>
        <v>10184.975047501917</v>
      </c>
      <c r="DF30" s="28">
        <f t="shared" ref="DF30:DF37" si="56">IFERROR(DB30+DC30+DE30,"")</f>
        <v>64163.33428974558</v>
      </c>
      <c r="DG30" s="29">
        <f>((Carriers!$T$18/Carriers!$T$23*alk_el_e_demand)+DBT_e_demand)*(DD30+DBT_st_ab_losses)/1000000+DBT_st_e_demand*DD30/1000000</f>
        <v>703.88335483870969</v>
      </c>
      <c r="DH30" s="29">
        <f t="shared" si="23"/>
        <v>0.21935483870967742</v>
      </c>
      <c r="DI30" s="28">
        <f>IFERROR(DF30*1000000/Storage!$M$12,"")</f>
        <v>292.50931808560483</v>
      </c>
      <c r="DJ30" s="28">
        <f>IF($E30="","No Port",((F30/24/Shipping!$N$44+F30/24/Shipping!$N$50+Shipping!$N$59+Shipping!$N$64)*Carriers!$T$39*wacc_nl))</f>
        <v>6079.4978458466639</v>
      </c>
      <c r="DK30" s="100">
        <f>H2_retrieval!$L$25*h2_demand_kt/1000+(co2_liq_e_demand+co2_st_e_demand*2)*Storage!$M$12*co2_density/DBT_density/1000000</f>
        <v>206.61934861671787</v>
      </c>
      <c r="DL30" s="28">
        <f>IFERROR(((DF30*(1+H2_retrieval!$L$34)+DJ30)*1000000/H2_retrieval!$L$8)+h2_regen_lohc,"")</f>
        <v>5635.5639082558719</v>
      </c>
      <c r="DM30" s="149">
        <f t="shared" si="24"/>
        <v>54037.529416581194</v>
      </c>
      <c r="DN30" s="16">
        <f>2*(nabh4_st_nl_cost*nabh4_st_nl_demand/1000000+(nabh4_st_invest*(M30+1/nabh4_st_lifetime+nabh4_st_opex)/(Storage!$O$63/1000000)+nabh4_st_e_demand*1000*$AU30/100)*(DO30+nabh4_st_ab_losses)/1000000)+(h2_demand_kt*1000/365.25*short_st_duration_hrs/24)*(h2_short_st_invest*(1/gh2_short_st_lifetime+$M30+h2_short_st_opex)+h2_short_st_e_demand*1000*$AU30/100)/1000000</f>
        <v>1486.4350718694925</v>
      </c>
      <c r="DO30" s="63">
        <f>Storage!$O$57/((1-Shipping!$P$37)^($F30/24/Shipping!$P$44+0.5*Shipping!$P$59))</f>
        <v>63920000</v>
      </c>
      <c r="DP30" s="16">
        <f>IF($E30="","No Port",((F30/24/Shipping!$P$44+F30/24/Shipping!$P$50+Shipping!$P$59+Shipping!$P$64)*(Shipping!$P$22+wacc_nl*Shipping!$P$19/365.25*1000000+Shipping!$P$35)+(F30/24/Shipping!$P$44*Shipping!$P$45+Shipping!$P$64*Shipping!$P$65)*IF(bunker_choice="HFO",$H30,IF(bunker_choice="hydrogen",$BD30*hfo_e_density_lhv/h2_e_density_lhv,(DM30+DN30)*1000000/DO30*hfo_e_density_lhv/nabh4_e_density_lhv))+(F30/24/Shipping!$P$50*Shipping!$P$51+Shipping!$P$59*Shipping!$P$60)*IF(bunker_choice="HFO",bunker_price_ROT,IF(bunker_choice="hydrogen",$BD30*hfo_e_density_lhv/h2_e_density_lhv,(DM30+DN30)*1000000/DO30*hfo_e_density_lhv/nabh4_e_density_lhv))+Shipping!$P$73+IF(G30="Panama",Shipping!$P$55,0)+IF(G30="Suez",Shipping!$P$56,0))/Shipping!$P$31*(DO30+nabh4_st_ab_losses)/1000000+IF(inland_transport_to_port="hv dc grid",$BM30/100*1000*DR30,IF(inland_transport_to_port="pipeline",$BN30,0)))</f>
        <v>3539.4571610824719</v>
      </c>
      <c r="DQ30" s="28">
        <f t="shared" si="55"/>
        <v>59063.421649533157</v>
      </c>
      <c r="DR30" s="29">
        <f>((Carriers!$V$18/Carriers!$V$23*alk_el_e_demand)+nabh4_e_demand)*(DO30+nabh4_st_ab_losses)/1000000+nabh4_st_e_demand*DO30/1000000</f>
        <v>980.02139682539689</v>
      </c>
      <c r="DS30" s="28">
        <f t="shared" si="25"/>
        <v>3.1960000000000002</v>
      </c>
      <c r="DT30" s="28">
        <f>IFERROR(DQ30*1000000/Storage!$O$12,"")</f>
        <v>924.02098951084417</v>
      </c>
      <c r="DU30" s="28">
        <f>IF($E30="","No Port",((F30/24/Shipping!$P$44+F30/24/Shipping!$P$50+Shipping!$P$59+Shipping!$P$64)*Carriers!$V$39*wacc_nl))</f>
        <v>566.64621360953015</v>
      </c>
      <c r="DV30" s="100">
        <f>H2_retrieval!$N$25*h2_demand_kt/1000+(co2_liq_e_demand+co2_st_e_demand*2)*Storage!$O$12*co2_density/nabh4_density/1000000</f>
        <v>18.783638728971958</v>
      </c>
      <c r="DW30" s="28">
        <f>IFERROR(((DQ30*(1+H2_retrieval!$N$34)+DU30)*1000000/H2_retrieval!$N$8)+h2_regen_nabh4,"")</f>
        <v>4478.2959969310323</v>
      </c>
      <c r="DX30" s="149">
        <f>(Dme_invest*(M30+1/Dme_lifetime)/Dme_prod+Dme_opex+Dme_e_demand*1000*$AU30/100+Carriers!$X$21/Carriers!$X$23*(CO30*1000000/CS30))*(EB30+Dme_st_ab_losses)/1000000</f>
        <v>103813.62838078778</v>
      </c>
      <c r="DY30" s="86">
        <f>(Dme_invest*(M30+1/Dme_lifetime)/Dme_prod+Dme_opex+Dme_e_demand*1000*$AU30/100+Carriers!$X$21/Carriers!$X$23*(CP30*1000000/CS30))*(EB30+Dme_st_ab_losses)/1000000</f>
        <v>127450.49359276984</v>
      </c>
      <c r="DZ30" s="63">
        <f>Dme_st_nl_cost*Dme_st_nl_demand/1000000+(Dme_st_invest*(M30+1/Dme_st_lifetime+Dme_st_opex)/(Storage!$Q$63/1000000)+Dme_st_e_demand*1000*$AU30/100)*(EB30+Dme_st_ab_losses)/1000000+co2_st_nl_cost*Storage!$Q$12*co2_density/Dme_density/1000000+(co2_st_opex_lev+co2_st_invest_lev+co2_st_e_demand*1000*$AU30/100)*Storage!$Q$12/1000000+co2_st_invest_lev*Storage!$Q$12*co2_st_lifetime*M30/1000000+(h2_demand_kt*1000/365.25*short_st_duration_hrs/24)*(h2_short_st_invest*(1/gh2_short_st_lifetime+$M30+h2_short_st_opex)+h2_short_st_e_demand*1000*$AU30/100)/1000000</f>
        <v>6205.8599844609716</v>
      </c>
      <c r="EA30" s="63">
        <f>Dme_st_nl_cost*Dme_st_nl_demand/1000000+(Dme_st_invest*(M30+1/Dme_st_lifetime+Dme_st_opex)/(Storage!$Q$63/1000000)+Dme_st_e_demand*1000*$AU30/100)*(EB30+Dme_st_ab_losses)/1000000+(h2_demand_kt*1000/365.25*short_st_duration_hrs/24)*(h2_short_st_invest*(1/gh2_short_st_lifetime+$M30+h2_short_st_opex)+h2_short_st_e_demand*1000*$AU30/100)/1000000</f>
        <v>3184.7681587774432</v>
      </c>
      <c r="EB30" s="63">
        <f>Storage!$Q$57/((1-Shipping!$R$37)^($F30/24/Shipping!$R$44+0.5*Shipping!$R$59))</f>
        <v>103547089.94708996</v>
      </c>
      <c r="EC30" s="153">
        <f>IF($E30="","No Port",IF(AND(ship_choice="VLCC",G30="Panama"),"Ship cannot pass through Panama",IF(ship_choice="VLCC",((F30/24/Shipping!$AD$44+F30/24/Shipping!$AD$50+Shipping!$AD$59+Shipping!$AD$64)*(Shipping!$AD$22+wacc_nl*Shipping!$AD$19/365.25*1000000+Shipping!$AD$35)+(F30/24/Shipping!$AD$44*Shipping!$AD$45+Shipping!$AD$64*Shipping!$AD$65)*IF(bunker_choice="HFO",$H30,IF(bunker_choice="hydrogen",$BD30*hfo_e_density_lhv/h2_e_density_lhv,(DX30+DZ30)*1000000/EB30*hfo_e_density_lhv/Dme_e_density_lhv))+(F30/24/Shipping!$AD$50*Shipping!$AD$51+Shipping!$AD$59*Shipping!$AD$60)*IF(bunker_choice="HFO",bunker_price_ROT,IF(bunker_choice="hydrogen",$BD30*hfo_e_density_lhv/h2_e_density_lhv,(DX30+DZ30)*1000000/EB30*hfo_e_density_lhv/Dme_e_density_lhv))+Shipping!$AD$73+IF(G30="Panama",Shipping!$AD$55,0)+IF(G30="Suez",Shipping!$AD$56,0))/Shipping!$AD$31*(EB30+Dme_st_ab_losses)/1000000+IF(inland_transport_to_port="hv dc grid",$BM30/100*1000*EE30,IF(inland_transport_to_port="pipeline",$BN30,0)),((F30/24/Shipping!$R$44+F30/24/Shipping!$R$50+Shipping!$R$59+Shipping!$R$64)*(Shipping!$R$22+wacc_nl*Shipping!$R$19/365.25*1000000+Shipping!$R$35)+(F30/24/Shipping!$R$44*Shipping!$R$45+Shipping!$R$64*Shipping!$R$65)*IF(bunker_choice="HFO",$H30,IF(bunker_choice="hydrogen",$BD30*hfo_e_density_lhv/h2_e_density_lhv,(DX30+DZ30)*1000000/EB30*hfo_e_density_lhv/Dme_e_density_lhv))+(F30/24/Shipping!$R$50*Shipping!$R$51+Shipping!$R$59*Shipping!$R$60)*IF(bunker_choice="HFO",bunker_price_ROT,IF(bunker_choice="hydrogen",$BD30*hfo_e_density_lhv/h2_e_density_lhv,(DX30+DZ30)*1000000/EB30*hfo_e_density_lhv/Dme_e_density_lhv))+Shipping!$R$73+IF(G30="Panama",Shipping!$R$55,0)+IF(G30="Suez",Shipping!$R$56,0))/Shipping!$R$31*(EB30+Dme_st_ab_losses)/1000000+IF(inland_transport_to_port="hv dc grid",$BM30/100*1000*EE30,IF(inland_transport_to_port="pipeline",$BN30,0)))))</f>
        <v>5946.3432916845977</v>
      </c>
      <c r="ED30" s="28">
        <f t="shared" si="39"/>
        <v>136581.60504323189</v>
      </c>
      <c r="EE30" s="29">
        <f>(Dme_e_demand)*(EB30+Dme_st_ab_losses)/1000000+Dme_st_e_demand*DZ30/1000000+$CV30*(Carriers!$X$21/Carriers!$X$23*EB30)/$CS30</f>
        <v>1550.2168222256557</v>
      </c>
      <c r="EF30" s="29">
        <f t="shared" si="26"/>
        <v>1.0354708994708997</v>
      </c>
      <c r="EG30" s="28">
        <f>IFERROR(ED30*1000000/Storage!$Q$12,"")</f>
        <v>1319.0289086156045</v>
      </c>
      <c r="EH30" s="28">
        <f>IF($E30="","No Port",((F30/24/Shipping!$R$44+F30/24/Shipping!$R$50+Shipping!$R$59+Shipping!$R$64)*Carriers!$X$39*wacc_nl))</f>
        <v>86.474597646224495</v>
      </c>
      <c r="EI30" s="100">
        <f>H2_retrieval!$P$25*h2_demand_kt/1000+(co2_liq_e_demand+co2_st_e_demand*2)*Storage!$Q$12*co2_density/Dme_density/1000000</f>
        <v>252.45335899349112</v>
      </c>
      <c r="EJ30" s="28">
        <f>IFERROR((((DX30+DZ30+EC30)*(1+H2_retrieval!$P$34)+EH30)*1000000/H2_retrieval!$P$8)+h2_regen_dme,"")</f>
        <v>9703.3863560328482</v>
      </c>
      <c r="EK30" s="149">
        <f>(ome_invest*(M30+1/ome_lifetime)/ome_prod+ome_opex+ome_e_demand*1000*$AU30/100+Carriers!$Z$21/Carriers!$Z$23*(CO30*1000000/CS30))*(EO30+ome_st_ab_losses)/1000000</f>
        <v>225222.45159313275</v>
      </c>
      <c r="EL30" s="86">
        <f>(ome_invest*(M30+1/ome_lifetime)/ome_prod+ome_opex+ome_e_demand*1000*$AU30/100+Carriers!$Z$21/Carriers!$Z$23*(CP30*1000000/CS30))*(EO30+ome_st_ab_losses)/1000000</f>
        <v>274840.83289696462</v>
      </c>
      <c r="EM30" s="63">
        <f>ome_st_nl_cost*ome_st_nl_demand/1000000+(ome_st_invest*(M30+1/ome_st_lifetime+ome_st_opex)/(Storage!$S$63/1000000)+ome_st_e_demand*1000*$AU30/100)*(EO30+ome_st_ab_losses)/1000000+co2_st_nl_cost*Storage!$S$12*co2_density/ome_density/1000000+(co2_st_opex_lev+co2_st_invest_lev+co2_st_e_demand*1000*$AU30/100)*Storage!$S$12/1000000+co2_st_invest_lev*Storage!$S$12*co2_st_lifetime*M30/1000000+(h2_demand_kt*1000/365.25*short_st_duration_hrs/24)*(h2_short_st_invest*(1/gh2_short_st_lifetime+$M30+h2_short_st_opex)+h2_short_st_e_demand*1000*$AU30/100)/1000000</f>
        <v>5323.9192105571547</v>
      </c>
      <c r="EN30" s="63">
        <f>ome_st_nl_cost*ome_st_nl_demand/1000000+(ome_st_invest*(M30+1/ome_st_lifetime+ome_st_opex)/(Storage!$S$63/1000000)+ome_st_e_demand*1000*$AU30/100)*(EO30+ome_st_ab_losses)/1000000+(h2_demand_kt*1000/365.25*short_st_duration_hrs/24)*(h2_short_st_invest*(1/gh2_short_st_lifetime+$M30+h2_short_st_opex)+h2_short_st_e_demand*1000*$AU30/100)/1000000</f>
        <v>1920.1132806055084</v>
      </c>
      <c r="EO30" s="63">
        <f>Storage!$S$57/((1-Shipping!$T$37)^($F30/24/Shipping!$T$44+0.5*Shipping!$T$59))</f>
        <v>128282539.68253967</v>
      </c>
      <c r="EP30" s="28">
        <f>IF($E30="","No Port",IF(AND(ship_choice="VLCC",G30="Panama"),"Ship cannot pass through Panama",IF(ship_choice="VLCC",((F30/24/Shipping!$AD$44+F30/24/Shipping!$AD$50+Shipping!$AD$59+Shipping!$AD$64)*(Shipping!$AD$22+wacc_nl*Shipping!$AD$19/365.25*1000000+Shipping!$AD$35)+(F30/24/Shipping!$AD$44*Shipping!$AD$45+Shipping!$AD$64*Shipping!$AD$65)*IF(bunker_choice="HFO",$H30,IF(bunker_choice="hydrogen",$BD30*hfo_e_density_lhv/h2_e_density_lhv,(EK30+EM30)*1000000/EO30*hfo_e_density_lhv/Dme_e_density_lhv))+(F30/24/Shipping!$AD$50*Shipping!$AD$51+Shipping!$AD$59*Shipping!$AD$60)*IF(bunker_choice="HFO",bunker_price_ROT,IF(bunker_choice="hydrogen",$BD30*hfo_e_density_lhv/h2_e_density_lhv,(EK30+EM30)*1000000/EO30*hfo_e_density_lhv/ome_e_density_lhv))+Shipping!$AD$73+IF(G30="Panama",Shipping!$AD$55,0)+IF(G30="Suez",Shipping!$AD$56,0))/Shipping!$AD$31*(EO30+ome_st_ab_losses)/1000000+IF(inland_transport_to_port="hv dc grid",$BM30/100*1000*ER30,IF(inland_transport_to_port="pipeline",$BN30,0)),((F30/24/Shipping!$T$44+F30/24/Shipping!$T$50+Shipping!$T$59+Shipping!$T$64)*(Shipping!$T$22+wacc_nl*Shipping!$T$19/365.25*1000000+Shipping!$T$35)+(F30/24/Shipping!$T$44*Shipping!$T$45+Shipping!$T$64*Shipping!$T$65)*IF(bunker_choice="HFO",$H30,IF(bunker_choice="hydrogen",$BD30*hfo_e_density_lhv/h2_e_density_lhv,(EK30+EM30)*1000000/EO30*hfo_e_density_lhv/Dme_e_density_lhv))+(F30/24/Shipping!$T$50*Shipping!$T$51+Shipping!$T$59*Shipping!$T$60)*IF(bunker_choice="HFO",bunker_price_ROT,IF(bunker_choice="hydrogen",$BD30*hfo_e_density_lhv/h2_e_density_lhv,(EK30+EM30)*1000000/EO30*hfo_e_density_lhv/ome_e_density_lhv))+Shipping!$T$73+IF(G30="Panama",Shipping!$T$55,0)+IF(G30="Suez",Shipping!$T$56,0))/Shipping!$T$31*(EO30+ome_st_ab_losses)/1000000+IF(inland_transport_to_port="hv dc grid",$BM30/100*1000*ER30,IF(inland_transport_to_port="pipeline",$BN30,0)))))</f>
        <v>6553.9500587513085</v>
      </c>
      <c r="EQ30" s="28">
        <f t="shared" si="40"/>
        <v>283314.89623632148</v>
      </c>
      <c r="ER30" s="29">
        <f>(ome_e_demand)*(EO30+ome_st_ab_losses)/1000000+ome_st_e_demand*EM30/1000000+$CV30*(Carriers!$Z$21/Carriers!$Z$23*EO30)/$CS30</f>
        <v>3352.0814581266623</v>
      </c>
      <c r="ES30" s="29">
        <f t="shared" si="27"/>
        <v>0.1924238095238095</v>
      </c>
      <c r="ET30" s="28">
        <f>IFERROR(EQ30*1000000/Storage!$S$12,"")</f>
        <v>2208.5226636254615</v>
      </c>
      <c r="EU30" s="28">
        <f>IF($E30="","No Port",((F30/24/Shipping!$T$44+F30/24/Shipping!$T$50+Shipping!$T$59+Shipping!$T$64)*Carriers!$Z$39*wacc_nl))</f>
        <v>99.106677164701736</v>
      </c>
      <c r="EV30" s="100">
        <f>H2_retrieval!$R$25*h2_demand_kt/1000+(co2_liq_e_demand+co2_st_e_demand*2)*Storage!$S$12*co2_density/ome_density/1000000</f>
        <v>254.51942895252085</v>
      </c>
      <c r="EW30" s="28">
        <f>IFERROR((((EK30+EM30+EP30)*(1+H2_retrieval!$R$34)+EU30)*1000000/H2_retrieval!$R$8)+h2_regen_ome,"")</f>
        <v>18611.262921108315</v>
      </c>
      <c r="EX30" s="149">
        <f>(sng_invest*(M30+1/sng_lifetime)/sng_prod+lng_invest*(M30+1/lng_lifetime)/lng_prod+sng_opex+lng_opex+(sng_e_demand+lng_e_demand)*1000*$AU30/100+Carriers!$AB$18/Carriers!$AB$23*BD30+Carriers!$AB$20/Carriers!$AB$23*co2_liq_cost)*(FB30+lng_st_ab_losses)/1000000</f>
        <v>79976.155956656963</v>
      </c>
      <c r="EY30" s="86">
        <f>(sng_invest*(M30+1/sng_lifetime)/sng_prod+lng_invest*(M30+1/lng_lifetime)/lng_prod+sng_opex+lng_opex+(sng_e_demand+lng_e_demand)*1000*$AU30/100+Carriers!$AB$18/Carriers!$AB$23*BD30+Carriers!$AB$20/Carriers!$AB$23*BP30)*(FB30+lng_st_ab_losses)/1000000</f>
        <v>93049.070041920422</v>
      </c>
      <c r="EZ30" s="63">
        <f>lng_st_nl_cost*lng_st_nl_demand/1000000+(lng_st_invest*(M30+1/lng_st_lifetime+lng_st_opex)/(Storage!$U$63/1000000)+lng_st_e_demand*1000*$AU30/100)*(FB30+lng_st_ab_losses)/1000000+co2_st_nl_cost*Storage!$U$12*co2_density/lng_density/1000000+(co2_st_opex_lev+co2_st_invest_lev+co2_st_e_demand*1000*$AU30/100)*Storage!$U$12/1000000+co2_st_invest_lev*Storage!$U$12*co2_st_lifetime*M30/1000000+Carriers!$AB$18/Carriers!$AB$23*((FB30+lng_st_ab_losses)/365.25*short_st_duration_hrs/24)*(h2_short_st_invest*(1/gh2_short_st_lifetime+$M30+h2_short_st_opex)+h2_short_st_e_demand*1000*$AU30/100)/1000000+Carriers!$AB$20/Carriers!$AB$23*((FB30+lng_st_ab_losses)/365.25*short_st_duration_hrs/24)*(co2_short_st_invest*(1/co2_short_st_lifetime+$M30+co2_short_st_opex)+co2_short_st_e_demand*1000*$AU30/100)/1000000</f>
        <v>6614.2872945703966</v>
      </c>
      <c r="FA30" s="63">
        <f>lng_st_nl_cost*lng_st_nl_demand/1000000+(lng_st_invest*(M30+1/lng_st_lifetime+lng_st_opex)/(Storage!$U$63/1000000)+lng_st_e_demand*1000*$AU30/100)*(FB30+lng_st_ab_losses)/1000000+Carriers!$AB$18/Carriers!$AB$23*((FB30+lng_st_ab_losses)/365.25*short_st_duration_hrs/24)*(h2_short_st_invest*(1/gh2_short_st_lifetime+$M30+h2_short_st_opex)+h2_short_st_e_demand*1000*$AU30/100)/1000000+Carriers!$AB$20/Carriers!$AB$23*((FB30+lng_st_ab_losses)/365.25*short_st_duration_hrs/24)*(co2_short_st_invest*(1/co2_short_st_lifetime+$M30+co2_short_st_opex)+co2_short_st_e_demand*1000*$AU30/100)/1000000</f>
        <v>4992.5157038975767</v>
      </c>
      <c r="FB30" s="63">
        <f>Storage!$U$57/((1-Shipping!$V$37)^($F30/24/Shipping!$V$44+0.5*Shipping!$V$59))</f>
        <v>41307465.607179426</v>
      </c>
      <c r="FC30" s="28">
        <f>IF($E30="","No Port",IF(G30="Panama","Ship cannot pass through Panama",((F30/24/Shipping!$V$44+F30/24/Shipping!$V$50+Shipping!$V$59+Shipping!$V$64)*(Shipping!$V$22+wacc_nl*Shipping!$V$19/365.25*1000000+Shipping!$V$35)+(F30/24/Shipping!$V$44*Shipping!$V$45+Shipping!$V$64*Shipping!$V$65)*IF(bunker_choice="HFO",$H30,IF(bunker_choice="hydrogen",$BD30*hfo_e_density_lhv/h2_e_density_lhv,(EX30+EZ30)*1000000/FB30*hfo_e_density_lhv/lng_e_density_lhv))+(F30/24/Shipping!$V$50*Shipping!$V$51+Shipping!$V$59*Shipping!$V$60)*IF(bunker_choice="HFO",bunker_price_ROT,IF(bunker_choice="hydrogen",$BD30*hfo_e_density_lhv/h2_e_density_lhv,(EX30+EZ30)*1000000/FB30*hfo_e_density_lhv/lng_e_density_lhv))+Shipping!$V$73+IF(G30="Panama",Shipping!$V$55,0)+IF(G30="Suez",Shipping!$V$56,0))/Shipping!$V$31*(FB30+lng_st_ab_losses)/1000000)+IF(inland_transport_to_port="hv dc grid",$BM30/100*1000*FE30,IF(inland_transport_to_port="pipeline",$BN30,0)))</f>
        <v>2994.0500597967457</v>
      </c>
      <c r="FD30" s="28">
        <f t="shared" si="41"/>
        <v>101035.63580561474</v>
      </c>
      <c r="FE30" s="29">
        <f>((Carriers!$AB$18/Carriers!$AB$23*alk_el_e_demand)+sng_e_demand+lng_e_demand)*(FB30+lng_st_ab_losses)/1000000+lng_st_e_demand*EZ30/1000000</f>
        <v>1107.8314440091044</v>
      </c>
      <c r="FF30" s="29">
        <f t="shared" si="28"/>
        <v>0.8126185861001558</v>
      </c>
      <c r="FG30" s="28">
        <f>IFERROR(FD30*1000000/Storage!$U$12,"")</f>
        <v>2489.5357696158203</v>
      </c>
      <c r="FH30" s="28">
        <f>IF($E30="","No Port",((F30/24/Shipping!$V$44+F30/24/Shipping!$V$50+Shipping!$V$59+Shipping!$V$64)*Carriers!$AB$39*wacc_nl))</f>
        <v>29.264212451555991</v>
      </c>
      <c r="FI30" s="100">
        <f>H2_retrieval!$T$25*h2_demand_kt/1000+(co2_liq_e_demand+co2_st_e_demand*2)*Storage!$U$12*co2_density/lng_density/1000000</f>
        <v>236.51371749646054</v>
      </c>
      <c r="FJ30" s="28">
        <f>IFERROR((((EX30+EZ30+FC30)*(1+H2_retrieval!$T$34)+FH30)*1000000/H2_retrieval!$T$8)+h2_regen_lng,"")</f>
        <v>7759.3754199222676</v>
      </c>
      <c r="FK30" s="149">
        <f>(lh2_invest*(M30+1/lh2_lifetime)/lh2_prod+lh2_opex+lh2_e_demand*1000*$AU30/100+Carriers!$AD$18/Carriers!$AD$23*BD30)*(FM30+lh2_st_ab_losses)/1000000</f>
        <v>62145.831622134188</v>
      </c>
      <c r="FL30" s="28">
        <f>lh2_st_nl_cost*lh2_st_nl_demand/1000000+(lh2_st_invest*(M30+1/lh2_st_lifetime+lh2_st_opex)/(Storage!$Y$63/1000000)+lh2_st_e_demand*1000*$AU30/100)*(FM30+lh2_st_ab_losses)/1000000+((FM30+lh2_st_ab_losses)/365.25*short_st_duration_hrs/24)*(h2_short_st_invest*(1/gh2_short_st_lifetime+$M30+h2_short_st_opex)+h2_short_st_e_demand*1000*$AU30/100)/1000000</f>
        <v>57764.576294749073</v>
      </c>
      <c r="FM30" s="63">
        <f>Storage!$Y$57/((1-Shipping!$Z$37)^($F30/24/Shipping!$Z$44+0.5*Shipping!$Z$59))</f>
        <v>13983799.427923776</v>
      </c>
      <c r="FN30" s="28">
        <f>IF($E30="","No Port",IF(G30="Panama","Ship cannot pass through Panama",((F30/24/Shipping!$Z$44+F30/24/Shipping!$Z$50+Shipping!$Z$59+Shipping!$Z$64)*(Shipping!$Z$22+wacc_nl*Shipping!$Z$19/365.25*1000000+Shipping!$Z$35)+(F30/24/Shipping!$Z$44*Shipping!$Z$45+Shipping!$Z$64*Shipping!$Z$65)*IF(bunker_choice="HFO",$H30,IF(bunker_choice="hydrogen",$BD30*hfo_e_density_lhv/h2_e_density_lhv,(FK30+FL30)*1000000/FM30*hfo_e_density_lhv/lh2_e_density_lhv))+(F30/24/Shipping!$Z$50*Shipping!$Z$51+Shipping!$Z$59*Shipping!$Z$60)*IF(bunker_choice="HFO",bunker_price_ROT,IF(bunker_choice="hydrogen",$BD30*hfo_e_density_lhv/h2_e_density_lhv,(FK30+FL30)*1000000/FM30*hfo_e_density_lhv/lh2_e_density_lhv))+Shipping!$Z$73+IF(G30="Panama",Shipping!$Z$55,0)+IF(G30="Suez",Shipping!$Z$56,0))/Shipping!$Z$31*(FM30+lh2_st_ab_losses)/1000000)+IF(inland_transport_to_port="hv dc grid",$BM30/100*1000*FP30,IF(inland_transport_to_port="pipeline",$BN30,0)))</f>
        <v>4335.8250506138993</v>
      </c>
      <c r="FO30" s="28">
        <f t="shared" si="42"/>
        <v>124246.23296749717</v>
      </c>
      <c r="FP30" s="29">
        <f>((Carriers!$AD$18/Carriers!$AD$23*alk_el_e_demand)+lh2_e_demand)*(FM30+lh2_st_ab_losses)/1000000+lh2_st_e_demand*FM30/1000000</f>
        <v>810.34152604395263</v>
      </c>
      <c r="FQ30" s="100">
        <f t="shared" si="29"/>
        <v>1.361902463475859</v>
      </c>
      <c r="FR30" s="28">
        <f>IFERROR(FO30*1000000/Storage!$Y$12,"")</f>
        <v>9135.7524240806742</v>
      </c>
      <c r="FS30" s="100">
        <f>H2_retrieval!$V$25*h2_demand_kt/1000</f>
        <v>8.16</v>
      </c>
      <c r="FT30" s="28">
        <f>IFERROR(FR30*(1+H2_retrieval!$V$34)/Carrier_properties!$U$7+H2_retrieval!$V$38,"")</f>
        <v>9167.7211499491423</v>
      </c>
      <c r="FU30" s="12"/>
      <c r="FV30" s="24">
        <f t="shared" si="30"/>
        <v>2.7935860267036161</v>
      </c>
      <c r="FW30" s="24" t="str">
        <f t="shared" si="43"/>
        <v/>
      </c>
      <c r="FX30" s="24">
        <f t="shared" si="44"/>
        <v>9.373128565056124</v>
      </c>
      <c r="FY30" s="24">
        <f t="shared" si="45"/>
        <v>2.7935860267036161</v>
      </c>
      <c r="FZ30" s="28">
        <f t="shared" si="46"/>
        <v>3394.120789855901</v>
      </c>
      <c r="GA30" s="28">
        <f t="shared" si="47"/>
        <v>758.37501988880308</v>
      </c>
      <c r="GB30" s="28">
        <f t="shared" si="48"/>
        <v>472.50300588607041</v>
      </c>
      <c r="GC30" s="28">
        <f t="shared" si="49"/>
        <v>846.47011860697262</v>
      </c>
      <c r="GD30" s="28">
        <f t="shared" si="50"/>
        <v>1230.8457307481451</v>
      </c>
      <c r="GE30" s="28">
        <f t="shared" si="51"/>
        <v>2142.4648559118973</v>
      </c>
      <c r="GF30" s="28">
        <f t="shared" si="52"/>
        <v>2252.5969258629138</v>
      </c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</row>
    <row r="31" spans="1:214" x14ac:dyDescent="0.2">
      <c r="A31" s="40" t="s">
        <v>19</v>
      </c>
      <c r="B31" s="12">
        <v>6454</v>
      </c>
      <c r="C31" s="12">
        <v>0.1</v>
      </c>
      <c r="D31" s="12">
        <f t="shared" si="0"/>
        <v>0.9</v>
      </c>
      <c r="E31" s="12" t="s">
        <v>706</v>
      </c>
      <c r="F31" s="12">
        <v>2782</v>
      </c>
      <c r="G31" s="12"/>
      <c r="H31" s="16">
        <f t="shared" si="1"/>
        <v>382.75862068965517</v>
      </c>
      <c r="I31" s="16">
        <v>9093510</v>
      </c>
      <c r="J31" s="16">
        <f t="shared" si="31"/>
        <v>1701.3389236454807</v>
      </c>
      <c r="K31" s="27">
        <f t="shared" si="32"/>
        <v>2041.6067083745768</v>
      </c>
      <c r="L31" s="103">
        <v>5.0999999999999997E-2</v>
      </c>
      <c r="M31" s="103">
        <f t="shared" si="2"/>
        <v>7.7496805712932049E-2</v>
      </c>
      <c r="N31" s="122">
        <f t="shared" si="33"/>
        <v>0.9</v>
      </c>
      <c r="O31" s="46">
        <f t="shared" si="3"/>
        <v>40</v>
      </c>
      <c r="P31" s="70">
        <f t="array" ref="P31">SUMPRODUCT(IF(Solar_data!A$4:A$777=A31,Solar_data!C$4:C$777),IF(Solar_data!A$4:A$777=A31,Solar_data!I$4:I$777))/SUMIF(Solar_data!A$4:A$777,A31,Solar_data!I$4:I$777)</f>
        <v>1447.1433728306092</v>
      </c>
      <c r="Q31" s="16">
        <f t="array" ref="Q31">MAX(IF(Solar_data!$A$777:'Solar_data'!$A$4=Country_details!$A31,Solar_data!$C$4:'Solar_data'!$C$777))</f>
        <v>1916.25</v>
      </c>
      <c r="R31" s="16">
        <f t="array" ref="R31">MIN(IF(Solar_data!$A$777:'Solar_data'!$A$4=Country_details!A31,Solar_data!$C$4:'Solar_data'!$C$777))</f>
        <v>638.75</v>
      </c>
      <c r="S31" s="24">
        <f t="shared" si="4"/>
        <v>2.2192544404716674</v>
      </c>
      <c r="T31" s="24">
        <f t="shared" si="5"/>
        <v>1.6759709621153167</v>
      </c>
      <c r="U31" s="24">
        <f t="shared" si="6"/>
        <v>5.0279128863459501</v>
      </c>
      <c r="V31" s="16">
        <f t="array" ref="V31">SUM(IF(Solar_data!$A$777:'Solar_data'!$A$4=Country_details!$A31,Solar_data!$I$4:'Solar_data'!$I$777))</f>
        <v>57278.295777748353</v>
      </c>
      <c r="W31" s="148"/>
      <c r="X31" s="16">
        <f>IFERROR(INDEX(Onshore_wind_data!$J$5:'Onshore_wind_data'!$J$221,MATCH(A31,Onshore_wind_data!$B$5:'Onshore_wind_data'!$B$221,0)),"")</f>
        <v>3221.1010056338851</v>
      </c>
      <c r="Y31" s="16">
        <f>IFERROR(INDEX(Onshore_wind_data!$K$5:'Onshore_wind_data'!$K$221,MATCH(A31,Onshore_wind_data!$B$5:'Onshore_wind_data'!$B$221,0)),"")</f>
        <v>3971</v>
      </c>
      <c r="Z31" s="16">
        <f>IFERROR(INDEX(Onshore_wind_data!$L$5:'Onshore_wind_data'!$L$221,MATCH(A31,Onshore_wind_data!$B$5:'Onshore_wind_data'!$B$221,0)),"")</f>
        <v>2847.5</v>
      </c>
      <c r="AA31" s="24">
        <f t="shared" si="7"/>
        <v>3.3252608801472761</v>
      </c>
      <c r="AB31" s="24">
        <f t="shared" si="8"/>
        <v>2.6973057580048874</v>
      </c>
      <c r="AC31" s="24">
        <f t="shared" si="9"/>
        <v>3.7615456242449192</v>
      </c>
      <c r="AD31" s="16">
        <f>IFERROR(INDEX(Onshore_wind_data!$I$5:'Onshore_wind_data'!$I$221,MATCH(A31,Onshore_wind_data!$B$5:'Onshore_wind_data'!$B$221,0)),"")</f>
        <v>43684.841415570998</v>
      </c>
      <c r="AE31" s="148"/>
      <c r="AF31" s="16">
        <f>INDEX(Offshore_wind_data!$AA$7:$AA$192,MATCH(Country_details!A31,Offshore_wind_data!$A$7:$A$192,0))</f>
        <v>4106.9475204834962</v>
      </c>
      <c r="AG31" s="16">
        <f>INDEX(Offshore_wind_data!$Y$7:$Y$192,MATCH(Country_details!A31,Offshore_wind_data!$A$7:$A$192,0))</f>
        <v>4204.8</v>
      </c>
      <c r="AH31" s="16">
        <f>INDEX(Offshore_wind_data!$Z$7:$Z$192,MATCH(Country_details!A31,Offshore_wind_data!$A$7:$A$192,0))</f>
        <v>3153.6</v>
      </c>
      <c r="AI31" s="24">
        <f t="shared" si="10"/>
        <v>5.0279563341923321</v>
      </c>
      <c r="AJ31" s="24">
        <f t="shared" si="11"/>
        <v>4.9109476787981565</v>
      </c>
      <c r="AK31" s="24">
        <f t="shared" si="12"/>
        <v>6.5479302383975426</v>
      </c>
      <c r="AL31" s="16">
        <f>INDEX(Offshore_wind_data!$W$7:$W$191,MATCH(A31,Offshore_wind_data!$A$7:$A$191,0))</f>
        <v>20060.056607999999</v>
      </c>
      <c r="AM31" s="148"/>
      <c r="AN31" s="12">
        <v>36.6</v>
      </c>
      <c r="AO31" s="12">
        <v>44.9</v>
      </c>
      <c r="AP31" s="34">
        <f>7.2022*11.63</f>
        <v>83.761586000000008</v>
      </c>
      <c r="AQ31" s="15">
        <f t="shared" si="13"/>
        <v>50</v>
      </c>
      <c r="AR31" s="12">
        <f t="shared" si="34"/>
        <v>2245</v>
      </c>
      <c r="AS31" s="16">
        <f t="shared" si="35"/>
        <v>118778.19380131936</v>
      </c>
      <c r="AT31" s="12"/>
      <c r="AU31" s="24">
        <f t="shared" si="14"/>
        <v>2.9824018179978782</v>
      </c>
      <c r="AV31" s="16">
        <f t="shared" si="15"/>
        <v>4668.2443784644947</v>
      </c>
      <c r="AW31" s="149">
        <f>HV_DC_Grid!$E$3/(1-AX31)*AU31/100*1000</f>
        <v>3438.9243976019493</v>
      </c>
      <c r="AX31" s="31">
        <f>(1-(1-HV_DC_Grid!$E$25)^(B31*C31*HV_DC_Grid!$E$8/1000))+(1-(1-HV_DC_Grid!$E$26)^(B31*D31*HV_DC_Grid!$E$8/1000))+HV_DC_Grid!$E$35*HV_DC_Grid!$E$28</f>
        <v>0.13275156031996971</v>
      </c>
      <c r="AY31" s="28">
        <f>B31*nl_e_demand/IF(hv_dc_flh="electricity FLH",$AV31,hv_dc_custom)*1000*hv_dc_capacity_multiplier*hv_dc_length_multiplier*1000*(C31*hv_dc_overhead_invest*(hv_dc_overhead_opex+M31+1/hv_dc_lifetime)+D31*hv_dc_sea_invest*(hv_dc_sea_opex+M31+1/hv_dc_lifetime))/1000000+HV_DC_Grid!$E$10*1000*hv_dc_station_invest*hv_dc_station_number*(hv_dc_station_opex+M31+1/hv_dc_lifetime)/1000000</f>
        <v>11260.967485560583</v>
      </c>
      <c r="AZ31" s="24">
        <f>(AW31+AY31)/(HV_DC_Grid!$E$3*1000)*100</f>
        <v>14.699891883162532</v>
      </c>
      <c r="BA31" s="28">
        <f>MIN(((Carriers!$F$26+Carriers!$F$27)*(alk_el_opex+wacc_nl+1/alk_el_lifetime)+IF(hv_dc_flh="electricity FLH",$AV31,hv_dc_custom)*AZ31/100)/(IF(hv_dc_flh="electricity FLH",$AV31,hv_dc_custom)/alk_el_e_demand)*1000,((Carriers!$H$26+Carriers!$H$27)*(pem_el_opex+wacc_nl+1/pem_el_lifetime)+IF(hv_dc_flh="electricity FLH",$AV31,hv_dc_custom)*AZ31/100)/(IF(hv_dc_flh="electricity FLH",$AV31,hv_dc_custom)/pem_el_e_demand)*1000)</f>
        <v>7865.3890357099008</v>
      </c>
      <c r="BB31" s="12"/>
      <c r="BC31" s="12"/>
      <c r="BD31" s="149">
        <f>MIN(((Carriers!$F$26+Carriers!$F$27)*(alk_el_opex+M31+1/alk_el_lifetime)+$AV31*$AU31/100)/($AV31/alk_el_e_demand)*1000,((Carriers!$H$26+Carriers!$H$27)*(pem_el_opex+M31+1/pem_el_lifetime)+$AV31*$AU31/100)/($AV31/pem_el_e_demand)*1000)</f>
        <v>2074.4597569468783</v>
      </c>
      <c r="BE31" s="28">
        <f>Storage!$AC$50</f>
        <v>8.1664117557772418</v>
      </c>
      <c r="BF31" s="28">
        <f>((Pipeline!$D$22*Pipeline!$D$24*B31*(pipeline_opex+M31+1/pipeline_lifetime))*(Pipeline!$D$39/Pipeline!$D$3)+(Pipeline!$D$57*(pipeline_comp_opex+M31+1/pipeline_comp_lifetime)+Pipeline!$D$47*1000*Pipeline!$D$45*$AU31/100/1000000))*(Pipeline!$D$75/Pipeline!$D$45)</f>
        <v>10909.172763130919</v>
      </c>
      <c r="BG31" s="28">
        <f>BD31+(BE31+BF31)/Storage!$AC$12*1000000</f>
        <v>2877.2052845120766</v>
      </c>
      <c r="BH31" s="28"/>
      <c r="BI31" s="28"/>
      <c r="BJ31" s="28">
        <f>IF($E31="","No Port",BK31*HV_DC_Grid!$E$3*$AU31/100*1000)</f>
        <v>157.30755393904701</v>
      </c>
      <c r="BK31" s="31">
        <f>IFERROR((1-(1-HV_DC_Grid!$E$25)^(K31*HV_DC_Grid!$E$8/1000))+HV_DC_Grid!$E$35*HV_DC_Grid!$E$28,"")</f>
        <v>5.2745258197518616E-2</v>
      </c>
      <c r="BL31" s="28">
        <f>IFERROR(K31*nl_e_demand/IF(hv_dc_flh="electricity FLH",$AV31,hv_dc_custom)*1000*hv_dc_capacity_multiplier*hv_dc_length_multiplier*1000*(hv_dc_overhead_invest*(hv_dc_overhead_opex+M31+1/hv_dc_lifetime))/1000000+HV_DC_Grid!$E$10*1000*hv_dc_station_invest*hv_dc_station_number*(hv_dc_station_opex+M31+1/hv_dc_lifetime)/1000000,"")</f>
        <v>1509.6715184532932</v>
      </c>
      <c r="BM31" s="29">
        <f>IFERROR((BJ31+BL31)/(HV_DC_Grid!$E$3*1000)*100,"")</f>
        <v>1.6669790723923401</v>
      </c>
      <c r="BN31" s="28">
        <f>IFERROR(((Pipeline!$D$22*Pipeline!$D$24*K31*(pipeline_opex+M31+1/pipeline_lifetime))*(Pipeline!$D$39/Pipeline!$D$3)+(Pipeline!$D$57*(pipeline_comp_opex+M31+1/pipeline_comp_lifetime)+Pipeline!$D$47*1000*Pipeline!$D$45*S31/100/1000000))*(Pipeline!$D$75/Pipeline!$D$45),"")</f>
        <v>3493.2991995437651</v>
      </c>
      <c r="BO31" s="28"/>
      <c r="BP31" s="150">
        <f t="shared" si="16"/>
        <v>91.65161285545436</v>
      </c>
      <c r="BQ31" s="34">
        <f t="shared" si="17"/>
        <v>26.772127049885761</v>
      </c>
      <c r="BR31" s="151">
        <f>(nh3_invest*(M31+1/nh3_lifetime)/nh3_prod+nh3_opex+nh3_e_demand*1000*$AU31/100+Carriers!$N$18/Carriers!$N$23*BD31+Carriers!$N$19/Carriers!$N$23*BQ31)*(BT31+nh3_st_ab_losses)/1000000</f>
        <v>38026.214505590309</v>
      </c>
      <c r="BS31" s="63">
        <f>nh3_st_nl_cost*nh3_st_nl_demand/1000000+(nh3_st_invest*(M31+1/nh3_st_lifetime+nh3_st_opex)/(Storage!$G$63/1000000)+nh3_st_e_demand*1000*$AU31/100)*(BT31+nh3_st_ab_losses)/1000000+Carriers!$N$18/Carriers!$N$23*((BT31+nh3_st_ab_losses)/365.25*short_st_duration_hrs/24)*(h2_short_st_invest*(1/gh2_short_st_lifetime+$M31+h2_short_st_opex)+h2_short_st_e_demand*1000*$AU31/100)/1000000+Carriers!$N$19/Carriers!$N$23*((BT31+nh3_st_ab_losses)/365.25*short_st_duration_hrs/24)*(n2_short_st_invest*(1/n2_short_st_lifetime+$M31+n2_short_st_opex)+n2_short_st_e_demand*1000*$AU31/100)/1000000</f>
        <v>2854.2322810260293</v>
      </c>
      <c r="BT31" s="63">
        <f>Storage!$G$57/((1-Shipping!$H$37)^(F31/24/Shipping!$H$44+0.5*Shipping!$H$59))</f>
        <v>78220363.215802401</v>
      </c>
      <c r="BU31" s="63">
        <f>IF($E31="","No Port",((F31/24/Shipping!$H$44+F31/24/Shipping!$H$50+Shipping!$H$59+Shipping!$H$64)*(Shipping!$H$22+wacc_nl*Shipping!$H$19/365.25*1000000+Shipping!$H$35)+(F31/24/Shipping!$H$44*Shipping!$H$45+Shipping!$H$64*Shipping!$H$65)*IF(bunker_choice="HFO",H31,IF(bunker_choice="hydrogen",BD31*hfo_e_density_lhv/h2_e_density_lhv,(BR31+BS31)*1000000/BT31*hfo_e_density_lhv/nh3_e_density_lhv))+(F31/24/Shipping!$H$50*Shipping!$H$51+Shipping!$H$59*Shipping!$H$60)*IF(bunker_choice="HFO",bunker_price_ROT,IF(bunker_choice="hydrogen",BD31*hfo_e_density_lhv/h2_e_density_lhv,(BR31+BS31)*1000000/BT31*hfo_e_density_lhv/nh3_e_density_lhv))+Shipping!$H$73+IF(G31="Panama",Shipping!$H$55,0)+IF(G31="Suez",Shipping!$H$56,0))/Shipping!$H$31*BT31/1000000+IF(inland_transport_to_port="hv dc grid",$BM31/100*1000*BW31,IF(inland_transport_to_port="pipeline",$BN31,0)))</f>
        <v>5316.1086516781161</v>
      </c>
      <c r="BV31" s="63">
        <f t="shared" si="18"/>
        <v>46196.555438294454</v>
      </c>
      <c r="BW31" s="33">
        <f>((Carriers!$N$18/Carriers!$N$23*alk_el_e_demand)+(Carriers!$N$19/Carriers!$N$23*n2_e_demand)+nh3_e_demand)*(BT31+nh3_st_ab_losses)/1000000+nh3_st_e_demand*BT31/1000000</f>
        <v>772.45234110973797</v>
      </c>
      <c r="BX31" s="33">
        <f t="shared" si="19"/>
        <v>0.76626754477640768</v>
      </c>
      <c r="BY31" s="63">
        <f>IFERROR(BV31*1000000/Storage!$G$12,"")</f>
        <v>603.37993267896195</v>
      </c>
      <c r="BZ31" s="63">
        <f>H2_retrieval!$F$25*h2_demand_kt/1000</f>
        <v>80</v>
      </c>
      <c r="CA31" s="63">
        <f>IFERROR(BY31*(1+H2_retrieval!$F$34)/Carrier_properties!$E$7+H2_retrieval!$F$38,"")</f>
        <v>3806.031526577151</v>
      </c>
      <c r="CB31" s="149">
        <f>(FA_invest*(M31+1/FA_lifetime)/FA_prod+FA_opex+FA_e_demand*1000*$AU31/100+Carriers!$P$18/Carriers!$P$23*BD31+Carriers!$P$20/Carriers!$P$23*co2_liq_cost)*(CF31+FA_st_ab_losses)/1000000</f>
        <v>87131.896743730555</v>
      </c>
      <c r="CC31" s="86">
        <f>(FA_invest*(M31+1/FA_lifetime)/FA_prod+FA_opex+FA_e_demand*1000*$AU31/100+Carriers!$P$18/Carriers!$P$23*BD31+Carriers!$P$20/Carriers!$P$23*BP31)*(CF31+FA_st_ab_losses)/1000000</f>
        <v>108879.87434840601</v>
      </c>
      <c r="CD31" s="63">
        <f>FA_st_nl_cost*FA_st_nl_demand/1000000+(FA_st_invest*(M31+1/FA_st_lifetime+FA_st_opex)/(Storage!$I$63/1000000)+FA_st_e_demand*1000*$AU31/100)*(CF31+FA_st_ab_losses)/1000000+co2_st_nl_cost*Storage!$I$12*co2_density/FA_density/1000000+(co2_st_opex_lev+co2_st_invest_lev+co2_st_e_demand*1000*$AU31/100)*Storage!$I$12/1000000+co2_st_invest_lev*Storage!$I$12*co2_st_lifetime*M31/1000000+Carriers!$P$18/Carriers!$P$23*((CF31+FA_st_ab_losses)/365.25*short_st_duration_hrs/24)*(h2_short_st_invest*(1/gh2_short_st_lifetime+$M31+h2_short_st_opex)+h2_short_st_e_demand*1000*$AU31/100)/1000000+Carriers!$P$20/Carriers!$P$23*((CF31+FA_st_ab_losses)/365.25*short_st_duration_hrs/24)*(co2_short_st_invest*(1/co2_short_st_lifetime+$M31+co2_short_st_opex)+co2_short_st_e_demand*1000*$AU31/100)/1000000</f>
        <v>10343.982996331366</v>
      </c>
      <c r="CE31" s="63">
        <f>FA_st_nl_cost*FA_st_nl_demand/1000000+(FA_st_invest*(M31+1/FA_st_lifetime+FA_st_opex)/(Storage!$I$63/1000000)+FA_st_e_demand*1000*$AU31/100)*(CF31+FA_st_ab_losses)/1000000+Carriers!$P$18/Carriers!$P$23*((CF31+FA_st_ab_losses)/365.25*short_st_duration_hrs/24)*(h2_short_st_invest*(1/gh2_short_st_lifetime+$M31+h2_short_st_opex)+h2_short_st_e_demand*1000*$AU31/100)/1000000+Carriers!$P$20/Carriers!$P$23*((CF31+FA_st_ab_losses)/365.25*short_st_duration_hrs/24)*(co2_short_st_invest*(1/co2_short_st_lifetime+$M31+co2_short_st_opex)+co2_short_st_e_demand*1000*$AU31/100)/1000000</f>
        <v>4256.2329067294631</v>
      </c>
      <c r="CF31" s="63">
        <f>Storage!$I$57/((1-Shipping!$J$37)^($F31/24/Shipping!$J$44+0.5*Shipping!$J$59))</f>
        <v>310425396.82539684</v>
      </c>
      <c r="CG31" s="28">
        <f>IF($E31="","No Port",((F31/24/Shipping!$J$44+F31/24/Shipping!$J$50+Shipping!$J$59+Shipping!$J$64)*(Shipping!$J$22+wacc_nl*Shipping!$J$19/365.25*1000000+Shipping!$J$35)+(F31/24/Shipping!$J$44*Shipping!$J$45+Shipping!$J$64*Shipping!$J$65)*IF(bunker_choice="HFO",$H31,IF(bunker_choice="hydrogen",$BD31*hfo_e_density_lhv/h2_e_density_lhv,(CB31+CD31)*1000000/CF31*hfo_e_density_lhv/FA_e_density_lhv))+(F31/24/Shipping!$J$50*Shipping!$J$51+Shipping!$J$59*Shipping!$J$60)*IF(bunker_choice="HFO",bunker_price_ROT,IF(bunker_choice="hydrogen",$BD31*hfo_e_density_lhv/h2_e_density_lhv,(CB31+CD31)*1000000/CF31*hfo_e_density_lhv/FA_e_density_lhv))+Shipping!$J$73+IF(G31="Panama",Shipping!$J$55,0)+IF(G31="Suez",Shipping!$J$56,0))/Shipping!$J$31*CF31/1000000+IF(inland_transport_to_port="hv dc grid",$BM31/100*1000*CI31,IF(inland_transport_to_port="pipeline",$BN31,0)))</f>
        <v>11071.684171875855</v>
      </c>
      <c r="CH31" s="28">
        <f t="shared" si="36"/>
        <v>124207.79142701133</v>
      </c>
      <c r="CI31" s="29">
        <f>((Carriers!$P$18/Carriers!$P$23*alk_el_e_demand)+FA_e_demand)*(CF31+FA_st_ab_losses)/1000000+FA_st_e_demand*CF31/1000000</f>
        <v>1897.8881241622576</v>
      </c>
      <c r="CJ31" s="29">
        <f t="shared" si="20"/>
        <v>0.46563809523809524</v>
      </c>
      <c r="CK31" s="28">
        <f>IFERROR(CH31*1000000/Storage!$I$12,"")</f>
        <v>400.12122943946417</v>
      </c>
      <c r="CL31" s="28">
        <f>IF($E31="","No Port",((F31/24/Shipping!$J$44+F31/24/Shipping!$J$50+Shipping!$J$59+Shipping!$J$64)*Carriers!$P$39*wacc_nl))</f>
        <v>160.05128365276957</v>
      </c>
      <c r="CM31" s="29">
        <f>H2_retrieval!$H$25*h2_demand_kt/1000+(co2_liq_e_demand+co2_st_e_demand*2)*Storage!$I$12*co2_density/FA_density/1000000</f>
        <v>94.204253879484654</v>
      </c>
      <c r="CN31" s="28">
        <f>IFERROR((((CB31+CD31+CG31)*(1+H2_retrieval!$H$34)+CL31)*1000000/H2_retrieval!$H$8)+h2_regen_fa,"")</f>
        <v>8082.8943674427301</v>
      </c>
      <c r="CO31" s="149">
        <f>(meoh_invest*(M31+1/meoh_lifetime)/meoh_prod+meoh_opex+meoh_e_demand*1000*$AU31/100+Carriers!$R$18/Carriers!$R$23*BD31+Carriers!$R$20/Carriers!$R$23*co2_liq_cost)*(CS31+meoh_st_ab_losses)/1000000</f>
        <v>46365.189323299164</v>
      </c>
      <c r="CP31" s="86">
        <f>(meoh_invest*(M31+1/meoh_lifetime)/meoh_prod+meoh_opex+meoh_e_demand*1000*$AU31/100+Carriers!$R$18/Carriers!$R$23*BD31+Carriers!$R$20/Carriers!$R$23*BP31)*(CS31+meoh_st_ab_losses)/1000000</f>
        <v>59131.923577250956</v>
      </c>
      <c r="CQ31" s="63">
        <f>meoh_st_nl_cost*meoh_st_nl_demand/1000000+(meoh_st_invest*(M31+1/meoh_st_lifetime+meoh_st_opex)/(Storage!$K$63/1000000)+meoh_st_e_demand*1000*$AU31/100)*(CS31+meoh_st_ab_losses)/1000000+co2_st_nl_cost*Storage!$K$12*co2_density/meoh_density/1000000+(co2_st_opex_lev+co2_st_invest_lev+co2_st_e_demand*1000*IFERROR(MIN(S31,AA31,AI31),S31)/100)*Storage!$K$12/1000000+co2_st_invest_lev*Storage!$K$12*co2_st_lifetime*M31/1000000+Carriers!$R$18/Carriers!$R$23*((CS31+meoh_st_ab_losses)/365.25*short_st_duration_hrs/24)*(h2_short_st_invest*(1/gh2_short_st_lifetime+$M31+h2_short_st_opex)+h2_short_st_e_demand*1000*$AU31/100)/1000000+Carriers!$R$20/Carriers!$R$23*((CF31+meoh_st_ab_losses)/365.25*short_st_duration_hrs/24)*(co2_short_st_invest*(1/co2_short_st_lifetime+$M31+co2_short_st_opex)+co2_short_st_e_demand*1000*$AU31/100)/1000000</f>
        <v>4258.7552211861776</v>
      </c>
      <c r="CR31" s="63">
        <f>meoh_st_nl_cost*meoh_st_nl_demand/1000000+(meoh_st_invest*(M31+1/meoh_st_lifetime+meoh_st_opex)/(Storage!$K$63/1000000)+meoh_st_e_demand*1000*$AU31/100)*(CS31+meoh_st_ab_losses)/1000000+Carriers!$R$18/Carriers!$R$23*((CS31+meoh_st_ab_losses)/365.25*short_st_duration_hrs/24)*(h2_short_st_invest*(1/gh2_short_st_lifetime+$M31+h2_short_st_opex)+h2_short_st_e_demand*1000*$AU31/100)/1000000+Carriers!$R$20/Carriers!$R$23*((CF31+meoh_st_ab_losses)/365.25*short_st_duration_hrs/24)*(co2_short_st_invest*(1/co2_short_st_lifetime+$M31+co2_short_st_opex)+co2_short_st_e_demand*1000*$AU31/100)/1000000</f>
        <v>1623.3528416249121</v>
      </c>
      <c r="CS31" s="63">
        <f>Storage!$K$57/((1-Shipping!$L$37)^($F31/24/Shipping!$L$44+0.5*Shipping!$L$59))</f>
        <v>108044444.44444443</v>
      </c>
      <c r="CT31" s="28">
        <f>IF($E31="","No Port",IF(AND(ship_choice="VLCC",G31="Panama"),"Ship cannot pass through Panama",IF(ship_choice="VLCC",((F31/24/Shipping!$AD$44+F31/24/Shipping!$AD$50+Shipping!$AD$59+Shipping!$AD$64)*(Shipping!$AD$22+wacc_nl*Shipping!$AD$19/365.25*1000000+Shipping!$AD$35)+(F31/24/Shipping!$AD$44*Shipping!$AD$45+Shipping!$AD$64*Shipping!$AD$65)*IF(bunker_choice="HFO",$H31,IF(bunker_choice="hydrogen",$BD31*hfo_e_density_lhv/h2_e_density_lhv,(CO31+CQ31)*1000000/CS31*hfo_e_density_lhv/meoh_e_density_lhv))+(F31/24/Shipping!$AD$50*Shipping!$AD$51+Shipping!$AD$59*Shipping!$AD$60)*IF(bunker_choice="HFO",bunker_price_ROT,IF(bunker_choice="hydrogen",$BD31*hfo_e_density_lhv/h2_e_density_lhv,(CO31+CQ31)*1000000/CS31*hfo_e_density_lhv/meoh_e_density_lhv))+Shipping!$AD$73+IF(G31="Panama",Shipping!$AD$55,0)+IF(G31="Suez",Shipping!$AD$56,0))/Shipping!$AD$31*CS31/1000000+IF(inland_transport_to_port="hv dc grid",$BM31/100*1000*CV31,IF(inland_transport_to_port="pipeline",$BN31,0)),((F31/24/Shipping!$L$44+F31/24/Shipping!$L$50+Shipping!$L$59+Shipping!$L$64)*(Shipping!$L$22+wacc_nl*Shipping!$L$19/365.25*1000000+Shipping!$L$35)+(F31/24/Shipping!$L$44*Shipping!$L$45+Shipping!$L$64*Shipping!$L$65)*IF(bunker_choice="HFO",$H31,IF(bunker_choice="hydrogen",$BD31*hfo_e_density_lhv/h2_e_density_lhv,(CO31+CQ31)*1000000/CS31*hfo_e_density_lhv/meoh_e_density_lhv))+(F31/24/Shipping!$L$50*Shipping!$L$51+Shipping!$L$59*Shipping!$L$60)*IF(bunker_choice="HFO",bunker_price_ROT,IF(bunker_choice="hydrogen",$BD31*hfo_e_density_lhv/h2_e_density_lhv,(CO31+CQ31)*1000000/CS31*hfo_e_density_lhv/meoh_e_density_lhv))+Shipping!$L$73+IF(G31="Panama",Shipping!$L$55,0)+IF(G31="Suez",Shipping!$L$56,0))/Shipping!$L$31*CS31/1000000+IF(inland_transport_to_port="hv dc grid",$BM31/100*1000*CV31,IF(inland_transport_to_port="pipeline",$BN31,0)))))</f>
        <v>5964.5143034887888</v>
      </c>
      <c r="CU31" s="28">
        <f t="shared" si="37"/>
        <v>66719.790722364662</v>
      </c>
      <c r="CV31" s="29">
        <f>((Carriers!$R$18/Carriers!$R$23*alk_el_e_demand)+meoh_e_demand)*(CS31+meoh_st_ab_losses)/1000000+meoh_st_e_demand*CS31/1000000</f>
        <v>1119.9789871111109</v>
      </c>
      <c r="CW31" s="29">
        <f t="shared" si="21"/>
        <v>0.16206666666666666</v>
      </c>
      <c r="CX31" s="28">
        <f>IFERROR(CU31*1000000/Storage!$K$12,"")</f>
        <v>617.52171585899021</v>
      </c>
      <c r="CY31" s="28">
        <f>IF($E31="","No Port",((F31/24/Shipping!$L$44+F31/24/Shipping!$L$50+Shipping!$L$59+Shipping!$L$64)*Carriers!$R$39*wacc_nl))</f>
        <v>57.090035161325275</v>
      </c>
      <c r="CZ31" s="29">
        <f>H2_retrieval!$J$25*h2_demand_kt/1000+(co2_liq_e_demand+co2_st_e_demand*2)*Storage!$K$12*co2_density/meoh_density/1000000</f>
        <v>251.05079059698966</v>
      </c>
      <c r="DA31" s="28">
        <f>IFERROR((((CO31+CQ31+CT31)*(1+H2_retrieval!$J$34)+CY31)*1000000/H2_retrieval!$J$8)+h2_regen_meoh,"")</f>
        <v>5335.2424316619581</v>
      </c>
      <c r="DB31" s="149">
        <f>(DBT_invest*(M31+1/DBT_lifetime)/DBT_prod+DBT_opex+DBT_e_demand*1000*$AU31/100+Carriers!$T$18/Carriers!$T$23*BD31)*(DD31+DBT_st_ab_losses)/1000000</f>
        <v>30970.013263471581</v>
      </c>
      <c r="DC31" s="28">
        <f>2*(DBT_st_nl_cost*DBT_st_nl_demand/1000000+(DBT_st_invest*(M31+1/DBT_st_lifetime+DBT_st_opex)/(Storage!$M$63/1000000)+DBT_st_e_demand*1000*$AU31/100)*(DD31+DBT_st_ab_losses)/1000000)+Carriers!$T$18/Carriers!$T$23*((DD31+DBT_st_ab_losses)/365.25*short_st_duration_hrs/24)*(h2_short_st_invest*(1/gh2_short_st_lifetime+$M31+h2_short_st_opex)+h2_short_st_e_demand*1000*$AU31/100)/1000000</f>
        <v>3466.7033608474162</v>
      </c>
      <c r="DD31" s="63">
        <f>Storage!$M$57/((1-Shipping!$N$37)^($F31/24/Shipping!$N$44+0.5*Shipping!$N$59))</f>
        <v>219354838.70967743</v>
      </c>
      <c r="DE31" s="28">
        <f>IF($E31="","No Port",IF(AND(ship_choice="VLCC",G31="Panama"),"Ship cannot pass through Panama",IF(ship_choice="VLCC",((F31/24/Shipping!$AD$44+F31/24/Shipping!$AD$50+Shipping!$AD$59+Shipping!$AD$64)*(Shipping!$AD$22+wacc_nl*Shipping!$AD$19/365.25*1000000+Shipping!$AD$35)+(F31/24/Shipping!$AD$44*Shipping!$AD$45+Shipping!$AD$64*Shipping!$AD$65)*IF(bunker_choice="HFO",$H31,IF(bunker_choice="hydrogen",$BD31*hfo_e_density_lhv/h2_e_density_lhv,(DB31+DC31)*1000000/DD31*hfo_e_density_lhv/DBT_e_density_lhv))+(F31/24/Shipping!$AD$50*Shipping!$AD$51+Shipping!$AD$59*Shipping!$AD$60)*IF(bunker_choice="HFO",bunker_price_ROT,IF(bunker_choice="hydrogen",$BD31*hfo_e_density_lhv/h2_e_density_lhv,(DB31+DC31)*1000000/DD31*hfo_e_density_lhv/DBT_e_density_lhv))+Shipping!$AD$73+IF(G31="Panama",Shipping!$AD$55,0)+IF(G31="Suez",Shipping!$AD$56,0))/Shipping!$AD$31*DD31/1000000+IF(inland_transport_to_port="hv dc grid",$BM31/100*1000*DG31,IF(inland_transport_to_port="pipeline",$BN31,0)),((F31/24/Shipping!$N$44+F31/24/Shipping!$N$50+Shipping!$N$59+Shipping!$N$64)*(Shipping!$N$22+wacc_nl*Shipping!$N$19/365.25*1000000+Shipping!$N$35)+(F31/24/Shipping!$N$44*Shipping!$N$45+Shipping!$N$64*Shipping!$N$65)*IF(bunker_choice="HFO",$H31,IF(bunker_choice="hydrogen",$BD31*hfo_e_density_lhv/h2_e_density_lhv,(DB31+DC31)*1000000/DD31*hfo_e_density_lhv/DBT_e_density_lhv))+(F31/24/Shipping!$N$50*Shipping!$N$51+Shipping!$N$59*Shipping!$N$60)*IF(bunker_choice="HFO",bunker_price_ROT,IF(bunker_choice="hydrogen",$BD31*hfo_e_density_lhv/h2_e_density_lhv,(DB31+DC31)*1000000/DD31*hfo_e_density_lhv/DBT_e_density_lhv))+Shipping!$N$73+IF(G31="Panama",Shipping!$N$55,0)+IF(G31="Suez",Shipping!$N$56,0))/Shipping!$N$31*Shipping!$N$86/1000000+IF(inland_transport_to_port="hv dc grid",$BM31/100*1000*DG31,IF(inland_transport_to_port="pipeline",$BN31,0)))))</f>
        <v>8105.6679006829936</v>
      </c>
      <c r="DF31" s="28">
        <f t="shared" si="56"/>
        <v>42542.384525001995</v>
      </c>
      <c r="DG31" s="29">
        <f>((Carriers!$T$18/Carriers!$T$23*alk_el_e_demand)+DBT_e_demand)*(DD31+DBT_st_ab_losses)/1000000+DBT_st_e_demand*DD31/1000000</f>
        <v>703.88335483870969</v>
      </c>
      <c r="DH31" s="29">
        <f t="shared" si="23"/>
        <v>0.21935483870967742</v>
      </c>
      <c r="DI31" s="28">
        <f>IFERROR(DF31*1000000/Storage!$M$12,"")</f>
        <v>193.943223569862</v>
      </c>
      <c r="DJ31" s="28">
        <f>IF($E31="","No Port",((F31/24/Shipping!$N$44+F31/24/Shipping!$N$50+Shipping!$N$59+Shipping!$N$64)*Carriers!$T$39*wacc_nl))</f>
        <v>4158.0548370056022</v>
      </c>
      <c r="DK31" s="100">
        <f>H2_retrieval!$L$25*h2_demand_kt/1000+(co2_liq_e_demand+co2_st_e_demand*2)*Storage!$M$12*co2_density/DBT_density/1000000</f>
        <v>206.61934861671787</v>
      </c>
      <c r="DL31" s="28">
        <f>IFERROR(((DF31*(1+H2_retrieval!$L$34)+DJ31)*1000000/H2_retrieval!$L$8)+h2_regen_lohc,"")</f>
        <v>3904.5056160805298</v>
      </c>
      <c r="DM31" s="149">
        <f t="shared" si="24"/>
        <v>50593.732961107431</v>
      </c>
      <c r="DN31" s="16">
        <f>2*(nabh4_st_nl_cost*nabh4_st_nl_demand/1000000+(nabh4_st_invest*(M31+1/nabh4_st_lifetime+nabh4_st_opex)/(Storage!$O$63/1000000)+nabh4_st_e_demand*1000*$AU31/100)*(DO31+nabh4_st_ab_losses)/1000000)+(h2_demand_kt*1000/365.25*short_st_duration_hrs/24)*(h2_short_st_invest*(1/gh2_short_st_lifetime+$M31+h2_short_st_opex)+h2_short_st_e_demand*1000*$AU31/100)/1000000</f>
        <v>1231.0569481538532</v>
      </c>
      <c r="DO31" s="63">
        <f>Storage!$O$57/((1-Shipping!$P$37)^($F31/24/Shipping!$P$44+0.5*Shipping!$P$59))</f>
        <v>63920000</v>
      </c>
      <c r="DP31" s="16">
        <f>IF($E31="","No Port",((F31/24/Shipping!$P$44+F31/24/Shipping!$P$50+Shipping!$P$59+Shipping!$P$64)*(Shipping!$P$22+wacc_nl*Shipping!$P$19/365.25*1000000+Shipping!$P$35)+(F31/24/Shipping!$P$44*Shipping!$P$45+Shipping!$P$64*Shipping!$P$65)*IF(bunker_choice="HFO",$H31,IF(bunker_choice="hydrogen",$BD31*hfo_e_density_lhv/h2_e_density_lhv,(DM31+DN31)*1000000/DO31*hfo_e_density_lhv/nabh4_e_density_lhv))+(F31/24/Shipping!$P$50*Shipping!$P$51+Shipping!$P$59*Shipping!$P$60)*IF(bunker_choice="HFO",bunker_price_ROT,IF(bunker_choice="hydrogen",$BD31*hfo_e_density_lhv/h2_e_density_lhv,(DM31+DN31)*1000000/DO31*hfo_e_density_lhv/nabh4_e_density_lhv))+Shipping!$P$73+IF(G31="Panama",Shipping!$P$55,0)+IF(G31="Suez",Shipping!$P$56,0))/Shipping!$P$31*(DO31+nabh4_st_ab_losses)/1000000+IF(inland_transport_to_port="hv dc grid",$BM31/100*1000*DR31,IF(inland_transport_to_port="pipeline",$BN31,0)))</f>
        <v>4630.1269080682623</v>
      </c>
      <c r="DQ31" s="28">
        <f t="shared" si="55"/>
        <v>56454.916817329547</v>
      </c>
      <c r="DR31" s="29">
        <f>((Carriers!$V$18/Carriers!$V$23*alk_el_e_demand)+nabh4_e_demand)*(DO31+nabh4_st_ab_losses)/1000000+nabh4_st_e_demand*DO31/1000000</f>
        <v>980.02139682539689</v>
      </c>
      <c r="DS31" s="28">
        <f t="shared" si="25"/>
        <v>3.1960000000000002</v>
      </c>
      <c r="DT31" s="28">
        <f>IFERROR(DQ31*1000000/Storage!$O$12,"")</f>
        <v>883.21209038375378</v>
      </c>
      <c r="DU31" s="28">
        <f>IF($E31="","No Port",((F31/24/Shipping!$P$44+F31/24/Shipping!$P$50+Shipping!$P$59+Shipping!$P$64)*Carriers!$V$39*wacc_nl))</f>
        <v>394.64042663376449</v>
      </c>
      <c r="DV31" s="100">
        <f>H2_retrieval!$N$25*h2_demand_kt/1000+(co2_liq_e_demand+co2_st_e_demand*2)*Storage!$O$12*co2_density/nabh4_density/1000000</f>
        <v>18.783638728971958</v>
      </c>
      <c r="DW31" s="28">
        <f>IFERROR(((DQ31*(1+H2_retrieval!$N$34)+DU31)*1000000/H2_retrieval!$N$8)+h2_regen_nabh4,"")</f>
        <v>4270.0106501793089</v>
      </c>
      <c r="DX31" s="149">
        <f>(Dme_invest*(M31+1/Dme_lifetime)/Dme_prod+Dme_opex+Dme_e_demand*1000*$AU31/100+Carriers!$X$21/Carriers!$X$23*(CO31*1000000/CS31))*(EB31+Dme_st_ab_losses)/1000000</f>
        <v>65623.357161117339</v>
      </c>
      <c r="DY31" s="86">
        <f>(Dme_invest*(M31+1/Dme_lifetime)/Dme_prod+Dme_opex+Dme_e_demand*1000*$AU31/100+Carriers!$X$21/Carriers!$X$23*(CP31*1000000/CS31))*(EB31+Dme_st_ab_losses)/1000000</f>
        <v>82943.526073746572</v>
      </c>
      <c r="DZ31" s="63">
        <f>Dme_st_nl_cost*Dme_st_nl_demand/1000000+(Dme_st_invest*(M31+1/Dme_st_lifetime+Dme_st_opex)/(Storage!$Q$63/1000000)+Dme_st_e_demand*1000*$AU31/100)*(EB31+Dme_st_ab_losses)/1000000+co2_st_nl_cost*Storage!$Q$12*co2_density/Dme_density/1000000+(co2_st_opex_lev+co2_st_invest_lev+co2_st_e_demand*1000*$AU31/100)*Storage!$Q$12/1000000+co2_st_invest_lev*Storage!$Q$12*co2_st_lifetime*M31/1000000+(h2_demand_kt*1000/365.25*short_st_duration_hrs/24)*(h2_short_st_invest*(1/gh2_short_st_lifetime+$M31+h2_short_st_opex)+h2_short_st_e_demand*1000*$AU31/100)/1000000</f>
        <v>5250.3642746370124</v>
      </c>
      <c r="EA31" s="63">
        <f>Dme_st_nl_cost*Dme_st_nl_demand/1000000+(Dme_st_invest*(M31+1/Dme_st_lifetime+Dme_st_opex)/(Storage!$Q$63/1000000)+Dme_st_e_demand*1000*$AU31/100)*(EB31+Dme_st_ab_losses)/1000000+(h2_demand_kt*1000/365.25*short_st_duration_hrs/24)*(h2_short_st_invest*(1/gh2_short_st_lifetime+$M31+h2_short_st_opex)+h2_short_st_e_demand*1000*$AU31/100)/1000000</f>
        <v>2518.7382437065853</v>
      </c>
      <c r="EB31" s="63">
        <f>Storage!$Q$57/((1-Shipping!$R$37)^($F31/24/Shipping!$R$44+0.5*Shipping!$R$59))</f>
        <v>103547089.94708996</v>
      </c>
      <c r="EC31" s="153">
        <f>IF($E31="","No Port",IF(AND(ship_choice="VLCC",G31="Panama"),"Ship cannot pass through Panama",IF(ship_choice="VLCC",((F31/24/Shipping!$AD$44+F31/24/Shipping!$AD$50+Shipping!$AD$59+Shipping!$AD$64)*(Shipping!$AD$22+wacc_nl*Shipping!$AD$19/365.25*1000000+Shipping!$AD$35)+(F31/24/Shipping!$AD$44*Shipping!$AD$45+Shipping!$AD$64*Shipping!$AD$65)*IF(bunker_choice="HFO",$H31,IF(bunker_choice="hydrogen",$BD31*hfo_e_density_lhv/h2_e_density_lhv,(DX31+DZ31)*1000000/EB31*hfo_e_density_lhv/Dme_e_density_lhv))+(F31/24/Shipping!$AD$50*Shipping!$AD$51+Shipping!$AD$59*Shipping!$AD$60)*IF(bunker_choice="HFO",bunker_price_ROT,IF(bunker_choice="hydrogen",$BD31*hfo_e_density_lhv/h2_e_density_lhv,(DX31+DZ31)*1000000/EB31*hfo_e_density_lhv/Dme_e_density_lhv))+Shipping!$AD$73+IF(G31="Panama",Shipping!$AD$55,0)+IF(G31="Suez",Shipping!$AD$56,0))/Shipping!$AD$31*(EB31+Dme_st_ab_losses)/1000000+IF(inland_transport_to_port="hv dc grid",$BM31/100*1000*EE31,IF(inland_transport_to_port="pipeline",$BN31,0)),((F31/24/Shipping!$R$44+F31/24/Shipping!$R$50+Shipping!$R$59+Shipping!$R$64)*(Shipping!$R$22+wacc_nl*Shipping!$R$19/365.25*1000000+Shipping!$R$35)+(F31/24/Shipping!$R$44*Shipping!$R$45+Shipping!$R$64*Shipping!$R$65)*IF(bunker_choice="HFO",$H31,IF(bunker_choice="hydrogen",$BD31*hfo_e_density_lhv/h2_e_density_lhv,(DX31+DZ31)*1000000/EB31*hfo_e_density_lhv/Dme_e_density_lhv))+(F31/24/Shipping!$R$50*Shipping!$R$51+Shipping!$R$59*Shipping!$R$60)*IF(bunker_choice="HFO",bunker_price_ROT,IF(bunker_choice="hydrogen",$BD31*hfo_e_density_lhv/h2_e_density_lhv,(DX31+DZ31)*1000000/EB31*hfo_e_density_lhv/Dme_e_density_lhv))+Shipping!$R$73+IF(G31="Panama",Shipping!$R$55,0)+IF(G31="Suez",Shipping!$R$56,0))/Shipping!$R$31*(EB31+Dme_st_ab_losses)/1000000+IF(inland_transport_to_port="hv dc grid",$BM31/100*1000*EE31,IF(inland_transport_to_port="pipeline",$BN31,0)))))</f>
        <v>6083.2722472990908</v>
      </c>
      <c r="ED31" s="28">
        <f t="shared" si="39"/>
        <v>91545.536564752241</v>
      </c>
      <c r="EE31" s="29">
        <f>(Dme_e_demand)*(EB31+Dme_st_ab_losses)/1000000+Dme_st_e_demand*DZ31/1000000+$CV31*(Carriers!$X$21/Carriers!$X$23*EB31)/$CS31</f>
        <v>1550.2168126706986</v>
      </c>
      <c r="EF31" s="29">
        <f t="shared" si="26"/>
        <v>1.0354708994708997</v>
      </c>
      <c r="EG31" s="28">
        <f>IFERROR(ED31*1000000/Storage!$Q$12,"")</f>
        <v>884.09569608889819</v>
      </c>
      <c r="EH31" s="28">
        <f>IF($E31="","No Port",((F31/24/Shipping!$R$44+F31/24/Shipping!$R$50+Shipping!$R$59+Shipping!$R$64)*Carriers!$X$39*wacc_nl))</f>
        <v>58.678966666927565</v>
      </c>
      <c r="EI31" s="100">
        <f>H2_retrieval!$P$25*h2_demand_kt/1000+(co2_liq_e_demand+co2_st_e_demand*2)*Storage!$Q$12*co2_density/Dme_density/1000000</f>
        <v>252.45335899349112</v>
      </c>
      <c r="EJ31" s="28">
        <f>IFERROR((((DX31+DZ31+EC31)*(1+H2_retrieval!$P$34)+EH31)*1000000/H2_retrieval!$P$8)+h2_regen_dme,"")</f>
        <v>6833.0456497932018</v>
      </c>
      <c r="EK31" s="149">
        <f>(ome_invest*(M31+1/ome_lifetime)/ome_prod+ome_opex+ome_e_demand*1000*$AU31/100+Carriers!$Z$21/Carriers!$Z$23*(CO31*1000000/CS31))*(EO31+ome_st_ab_losses)/1000000</f>
        <v>143899.75121180093</v>
      </c>
      <c r="EL31" s="86">
        <f>(ome_invest*(M31+1/ome_lifetime)/ome_prod+ome_opex+ome_e_demand*1000*$AU31/100+Carriers!$Z$21/Carriers!$Z$23*(CP31*1000000/CS31))*(EO31+ome_st_ab_losses)/1000000</f>
        <v>180258.15735602871</v>
      </c>
      <c r="EM31" s="63">
        <f>ome_st_nl_cost*ome_st_nl_demand/1000000+(ome_st_invest*(M31+1/ome_st_lifetime+ome_st_opex)/(Storage!$S$63/1000000)+ome_st_e_demand*1000*$AU31/100)*(EO31+ome_st_ab_losses)/1000000+co2_st_nl_cost*Storage!$S$12*co2_density/ome_density/1000000+(co2_st_opex_lev+co2_st_invest_lev+co2_st_e_demand*1000*$AU31/100)*Storage!$S$12/1000000+co2_st_invest_lev*Storage!$S$12*co2_st_lifetime*M31/1000000+(h2_demand_kt*1000/365.25*short_st_duration_hrs/24)*(h2_short_st_invest*(1/gh2_short_st_lifetime+$M31+h2_short_st_opex)+h2_short_st_e_demand*1000*$AU31/100)/1000000</f>
        <v>4529.7485531508091</v>
      </c>
      <c r="EN31" s="63">
        <f>ome_st_nl_cost*ome_st_nl_demand/1000000+(ome_st_invest*(M31+1/ome_st_lifetime+ome_st_opex)/(Storage!$S$63/1000000)+ome_st_e_demand*1000*$AU31/100)*(EO31+ome_st_ab_losses)/1000000+(h2_demand_kt*1000/365.25*short_st_duration_hrs/24)*(h2_short_st_invest*(1/gh2_short_st_lifetime+$M31+h2_short_st_opex)+h2_short_st_e_demand*1000*$AU31/100)/1000000</f>
        <v>1484.556344947664</v>
      </c>
      <c r="EO31" s="63">
        <f>Storage!$S$57/((1-Shipping!$T$37)^($F31/24/Shipping!$T$44+0.5*Shipping!$T$59))</f>
        <v>128282539.68253967</v>
      </c>
      <c r="EP31" s="28">
        <f>IF($E31="","No Port",IF(AND(ship_choice="VLCC",G31="Panama"),"Ship cannot pass through Panama",IF(ship_choice="VLCC",((F31/24/Shipping!$AD$44+F31/24/Shipping!$AD$50+Shipping!$AD$59+Shipping!$AD$64)*(Shipping!$AD$22+wacc_nl*Shipping!$AD$19/365.25*1000000+Shipping!$AD$35)+(F31/24/Shipping!$AD$44*Shipping!$AD$45+Shipping!$AD$64*Shipping!$AD$65)*IF(bunker_choice="HFO",$H31,IF(bunker_choice="hydrogen",$BD31*hfo_e_density_lhv/h2_e_density_lhv,(EK31+EM31)*1000000/EO31*hfo_e_density_lhv/Dme_e_density_lhv))+(F31/24/Shipping!$AD$50*Shipping!$AD$51+Shipping!$AD$59*Shipping!$AD$60)*IF(bunker_choice="HFO",bunker_price_ROT,IF(bunker_choice="hydrogen",$BD31*hfo_e_density_lhv/h2_e_density_lhv,(EK31+EM31)*1000000/EO31*hfo_e_density_lhv/ome_e_density_lhv))+Shipping!$AD$73+IF(G31="Panama",Shipping!$AD$55,0)+IF(G31="Suez",Shipping!$AD$56,0))/Shipping!$AD$31*(EO31+ome_st_ab_losses)/1000000+IF(inland_transport_to_port="hv dc grid",$BM31/100*1000*ER31,IF(inland_transport_to_port="pipeline",$BN31,0)),((F31/24/Shipping!$T$44+F31/24/Shipping!$T$50+Shipping!$T$59+Shipping!$T$64)*(Shipping!$T$22+wacc_nl*Shipping!$T$19/365.25*1000000+Shipping!$T$35)+(F31/24/Shipping!$T$44*Shipping!$T$45+Shipping!$T$64*Shipping!$T$65)*IF(bunker_choice="HFO",$H31,IF(bunker_choice="hydrogen",$BD31*hfo_e_density_lhv/h2_e_density_lhv,(EK31+EM31)*1000000/EO31*hfo_e_density_lhv/Dme_e_density_lhv))+(F31/24/Shipping!$T$50*Shipping!$T$51+Shipping!$T$59*Shipping!$T$60)*IF(bunker_choice="HFO",bunker_price_ROT,IF(bunker_choice="hydrogen",$BD31*hfo_e_density_lhv/h2_e_density_lhv,(EK31+EM31)*1000000/EO31*hfo_e_density_lhv/ome_e_density_lhv))+Shipping!$T$73+IF(G31="Panama",Shipping!$T$55,0)+IF(G31="Suez",Shipping!$T$56,0))/Shipping!$T$31*(EO31+ome_st_ab_losses)/1000000+IF(inland_transport_to_port="hv dc grid",$BM31/100*1000*ER31,IF(inland_transport_to_port="pipeline",$BN31,0)))))</f>
        <v>6252.8897560313371</v>
      </c>
      <c r="EQ31" s="28">
        <f t="shared" si="40"/>
        <v>187995.6034570077</v>
      </c>
      <c r="ER31" s="29">
        <f>(ome_e_demand)*(EO31+ome_st_ab_losses)/1000000+ome_st_e_demand*EM31/1000000+$CV31*(Carriers!$Z$21/Carriers!$Z$23*EO31)/$CS31</f>
        <v>3352.0814569354061</v>
      </c>
      <c r="ES31" s="29">
        <f t="shared" si="27"/>
        <v>0.1924238095238095</v>
      </c>
      <c r="ET31" s="28">
        <f>IFERROR(EQ31*1000000/Storage!$S$12,"")</f>
        <v>1465.4808356791168</v>
      </c>
      <c r="EU31" s="28">
        <f>IF($E31="","No Port",((F31/24/Shipping!$T$44+F31/24/Shipping!$T$50+Shipping!$T$59+Shipping!$T$64)*Carriers!$Z$39*wacc_nl))</f>
        <v>67.783723066168918</v>
      </c>
      <c r="EV31" s="100">
        <f>H2_retrieval!$R$25*h2_demand_kt/1000+(co2_liq_e_demand+co2_st_e_demand*2)*Storage!$S$12*co2_density/ome_density/1000000</f>
        <v>254.51942895252085</v>
      </c>
      <c r="EW31" s="28">
        <f>IFERROR((((EK31+EM31+EP31)*(1+H2_retrieval!$R$34)+EU31)*1000000/H2_retrieval!$R$8)+h2_regen_ome,"")</f>
        <v>12548.817752317384</v>
      </c>
      <c r="EX31" s="149">
        <f>(sng_invest*(M31+1/sng_lifetime)/sng_prod+lng_invest*(M31+1/lng_lifetime)/lng_prod+sng_opex+lng_opex+(sng_e_demand+lng_e_demand)*1000*$AU31/100+Carriers!$AB$18/Carriers!$AB$23*BD31+Carriers!$AB$20/Carriers!$AB$23*co2_liq_cost)*(FB31+lng_st_ab_losses)/1000000</f>
        <v>50253.347476101226</v>
      </c>
      <c r="EY31" s="86">
        <f>(sng_invest*(M31+1/sng_lifetime)/sng_prod+lng_invest*(M31+1/lng_lifetime)/lng_prod+sng_opex+lng_opex+(sng_e_demand+lng_e_demand)*1000*$AU31/100+Carriers!$AB$18/Carriers!$AB$23*BD31+Carriers!$AB$20/Carriers!$AB$23*BP31)*(FB31+lng_st_ab_losses)/1000000</f>
        <v>59778.398549950267</v>
      </c>
      <c r="EZ31" s="63">
        <f>lng_st_nl_cost*lng_st_nl_demand/1000000+(lng_st_invest*(M31+1/lng_st_lifetime+lng_st_opex)/(Storage!$U$63/1000000)+lng_st_e_demand*1000*$AU31/100)*(FB31+lng_st_ab_losses)/1000000+co2_st_nl_cost*Storage!$U$12*co2_density/lng_density/1000000+(co2_st_opex_lev+co2_st_invest_lev+co2_st_e_demand*1000*$AU31/100)*Storage!$U$12/1000000+co2_st_invest_lev*Storage!$U$12*co2_st_lifetime*M31/1000000+Carriers!$AB$18/Carriers!$AB$23*((FB31+lng_st_ab_losses)/365.25*short_st_duration_hrs/24)*(h2_short_st_invest*(1/gh2_short_st_lifetime+$M31+h2_short_st_opex)+h2_short_st_e_demand*1000*$AU31/100)/1000000+Carriers!$AB$20/Carriers!$AB$23*((FB31+lng_st_ab_losses)/365.25*short_st_duration_hrs/24)*(co2_short_st_invest*(1/co2_short_st_lifetime+$M31+co2_short_st_opex)+co2_short_st_e_demand*1000*$AU31/100)/1000000</f>
        <v>5433.7300401947441</v>
      </c>
      <c r="FA31" s="63">
        <f>lng_st_nl_cost*lng_st_nl_demand/1000000+(lng_st_invest*(M31+1/lng_st_lifetime+lng_st_opex)/(Storage!$U$63/1000000)+lng_st_e_demand*1000*$AU31/100)*(FB31+lng_st_ab_losses)/1000000+Carriers!$AB$18/Carriers!$AB$23*((FB31+lng_st_ab_losses)/365.25*short_st_duration_hrs/24)*(h2_short_st_invest*(1/gh2_short_st_lifetime+$M31+h2_short_st_opex)+h2_short_st_e_demand*1000*$AU31/100)/1000000+Carriers!$AB$20/Carriers!$AB$23*((FB31+lng_st_ab_losses)/365.25*short_st_duration_hrs/24)*(co2_short_st_invest*(1/co2_short_st_lifetime+$M31+co2_short_st_opex)+co2_short_st_e_demand*1000*$AU31/100)/1000000</f>
        <v>3925.4113391958299</v>
      </c>
      <c r="FB31" s="63">
        <f>Storage!$U$57/((1-Shipping!$V$37)^($F31/24/Shipping!$V$44+0.5*Shipping!$V$59))</f>
        <v>41073187.526544124</v>
      </c>
      <c r="FC31" s="28">
        <f>IF($E31="","No Port",IF(G31="Panama","Ship cannot pass through Panama",((F31/24/Shipping!$V$44+F31/24/Shipping!$V$50+Shipping!$V$59+Shipping!$V$64)*(Shipping!$V$22+wacc_nl*Shipping!$V$19/365.25*1000000+Shipping!$V$35)+(F31/24/Shipping!$V$44*Shipping!$V$45+Shipping!$V$64*Shipping!$V$65)*IF(bunker_choice="HFO",$H31,IF(bunker_choice="hydrogen",$BD31*hfo_e_density_lhv/h2_e_density_lhv,(EX31+EZ31)*1000000/FB31*hfo_e_density_lhv/lng_e_density_lhv))+(F31/24/Shipping!$V$50*Shipping!$V$51+Shipping!$V$59*Shipping!$V$60)*IF(bunker_choice="HFO",bunker_price_ROT,IF(bunker_choice="hydrogen",$BD31*hfo_e_density_lhv/h2_e_density_lhv,(EX31+EZ31)*1000000/FB31*hfo_e_density_lhv/lng_e_density_lhv))+Shipping!$V$73+IF(G31="Panama",Shipping!$V$55,0)+IF(G31="Suez",Shipping!$V$56,0))/Shipping!$V$31*(FB31+lng_st_ab_losses)/1000000)+IF(inland_transport_to_port="hv dc grid",$BM31/100*1000*FE31,IF(inland_transport_to_port="pipeline",$BN31,0)))</f>
        <v>4431.0427898483649</v>
      </c>
      <c r="FD31" s="28">
        <f t="shared" si="41"/>
        <v>68134.852678994459</v>
      </c>
      <c r="FE31" s="29">
        <f>((Carriers!$AB$18/Carriers!$AB$23*alk_el_e_demand)+sng_e_demand+lng_e_demand)*(FB31+lng_st_ab_losses)/1000000+lng_st_e_demand*EZ31/1000000</f>
        <v>1101.5553911902914</v>
      </c>
      <c r="FF31" s="29">
        <f t="shared" si="28"/>
        <v>0.8126185861001558</v>
      </c>
      <c r="FG31" s="28">
        <f>IFERROR(FD31*1000000/Storage!$U$12,"")</f>
        <v>1678.8547085327953</v>
      </c>
      <c r="FH31" s="28">
        <f>IF($E31="","No Port",((F31/24/Shipping!$V$44+F31/24/Shipping!$V$50+Shipping!$V$59+Shipping!$V$64)*Carriers!$AB$39*wacc_nl))</f>
        <v>20.213213988475911</v>
      </c>
      <c r="FI31" s="100">
        <f>H2_retrieval!$T$25*h2_demand_kt/1000+(co2_liq_e_demand+co2_st_e_demand*2)*Storage!$U$12*co2_density/lng_density/1000000</f>
        <v>236.51371749646054</v>
      </c>
      <c r="FJ31" s="28">
        <f>IFERROR((((EX31+EZ31+FC31)*(1+H2_retrieval!$T$34)+FH31)*1000000/H2_retrieval!$T$8)+h2_regen_lng,"")</f>
        <v>5592.0648314411756</v>
      </c>
      <c r="FK31" s="149">
        <f>(lh2_invest*(M31+1/lh2_lifetime)/lh2_prod+lh2_opex+lh2_e_demand*1000*$AU31/100+Carriers!$AD$18/Carriers!$AD$23*BD31)*(FM31+lh2_st_ab_losses)/1000000</f>
        <v>39702.768460189844</v>
      </c>
      <c r="FL31" s="28">
        <f>lh2_st_nl_cost*lh2_st_nl_demand/1000000+(lh2_st_invest*(M31+1/lh2_st_lifetime+lh2_st_opex)/(Storage!$Y$63/1000000)+lh2_st_e_demand*1000*$AU31/100)*(FM31+lh2_st_ab_losses)/1000000+((FM31+lh2_st_ab_losses)/365.25*short_st_duration_hrs/24)*(h2_short_st_invest*(1/gh2_short_st_lifetime+$M31+h2_short_st_opex)+h2_short_st_e_demand*1000*$AU31/100)/1000000</f>
        <v>46358.857585698635</v>
      </c>
      <c r="FM31" s="63">
        <f>Storage!$Y$57/((1-Shipping!$Z$37)^($F31/24/Shipping!$Z$44+0.5*Shipping!$Z$59))</f>
        <v>13857072.038912885</v>
      </c>
      <c r="FN31" s="28">
        <f>IF($E31="","No Port",IF(G31="Panama","Ship cannot pass through Panama",((F31/24/Shipping!$Z$44+F31/24/Shipping!$Z$50+Shipping!$Z$59+Shipping!$Z$64)*(Shipping!$Z$22+wacc_nl*Shipping!$Z$19/365.25*1000000+Shipping!$Z$35)+(F31/24/Shipping!$Z$44*Shipping!$Z$45+Shipping!$Z$64*Shipping!$Z$65)*IF(bunker_choice="HFO",$H31,IF(bunker_choice="hydrogen",$BD31*hfo_e_density_lhv/h2_e_density_lhv,(FK31+FL31)*1000000/FM31*hfo_e_density_lhv/lh2_e_density_lhv))+(F31/24/Shipping!$Z$50*Shipping!$Z$51+Shipping!$Z$59*Shipping!$Z$60)*IF(bunker_choice="HFO",bunker_price_ROT,IF(bunker_choice="hydrogen",$BD31*hfo_e_density_lhv/h2_e_density_lhv,(FK31+FL31)*1000000/FM31*hfo_e_density_lhv/lh2_e_density_lhv))+Shipping!$Z$73+IF(G31="Panama",Shipping!$Z$55,0)+IF(G31="Suez",Shipping!$Z$56,0))/Shipping!$Z$31*(FM31+lh2_st_ab_losses)/1000000)+IF(inland_transport_to_port="hv dc grid",$BM31/100*1000*FP31,IF(inland_transport_to_port="pipeline",$BN31,0)))</f>
        <v>5290.0068832800016</v>
      </c>
      <c r="FO31" s="28">
        <f t="shared" si="42"/>
        <v>91351.632929168481</v>
      </c>
      <c r="FP31" s="29">
        <f>((Carriers!$AD$18/Carriers!$AD$23*alk_el_e_demand)+lh2_e_demand)*(FM31+lh2_st_ab_losses)/1000000+lh2_st_e_demand*FM31/1000000</f>
        <v>803.00781204189241</v>
      </c>
      <c r="FQ31" s="100">
        <f t="shared" si="29"/>
        <v>1.361902463475859</v>
      </c>
      <c r="FR31" s="28">
        <f>IFERROR(FO31*1000000/Storage!$Y$12,"")</f>
        <v>6717.0318330270948</v>
      </c>
      <c r="FS31" s="100">
        <f>H2_retrieval!$V$25*h2_demand_kt/1000</f>
        <v>8.16</v>
      </c>
      <c r="FT31" s="28">
        <f>IFERROR(FR31*(1+H2_retrieval!$V$34)/Carrier_properties!$U$7+H2_retrieval!$V$38,"")</f>
        <v>6749.0005588955619</v>
      </c>
      <c r="FU31" s="12"/>
      <c r="FV31" s="24">
        <f t="shared" si="30"/>
        <v>2.2192544404716674</v>
      </c>
      <c r="FW31" s="24">
        <f t="shared" si="43"/>
        <v>3.3252608801472761</v>
      </c>
      <c r="FX31" s="24">
        <f t="shared" si="44"/>
        <v>5.0279563341923321</v>
      </c>
      <c r="FY31" s="24">
        <f t="shared" si="45"/>
        <v>2.2192544404716674</v>
      </c>
      <c r="FZ31" s="28">
        <f t="shared" si="46"/>
        <v>2074.4597569468783</v>
      </c>
      <c r="GA31" s="28">
        <f t="shared" si="47"/>
        <v>486.1421366796734</v>
      </c>
      <c r="GB31" s="28">
        <f t="shared" si="48"/>
        <v>350.74409330512037</v>
      </c>
      <c r="GC31" s="28">
        <f t="shared" si="49"/>
        <v>547.29258761338815</v>
      </c>
      <c r="GD31" s="28">
        <f t="shared" si="50"/>
        <v>801.02227997067507</v>
      </c>
      <c r="GE31" s="28">
        <f t="shared" si="51"/>
        <v>1405.1651752616756</v>
      </c>
      <c r="GF31" s="28">
        <f t="shared" si="52"/>
        <v>1455.4117211214161</v>
      </c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</row>
    <row r="32" spans="1:214" x14ac:dyDescent="0.2">
      <c r="A32" s="40" t="s">
        <v>194</v>
      </c>
      <c r="B32" s="12">
        <v>5261</v>
      </c>
      <c r="C32" s="12">
        <v>0.9</v>
      </c>
      <c r="D32" s="12">
        <f t="shared" si="0"/>
        <v>9.9999999999999978E-2</v>
      </c>
      <c r="E32" s="12"/>
      <c r="F32" s="12"/>
      <c r="G32" s="12"/>
      <c r="H32" s="16">
        <f t="shared" si="1"/>
        <v>382.75862068965517</v>
      </c>
      <c r="I32" s="16">
        <v>622980</v>
      </c>
      <c r="J32" s="16">
        <f t="shared" si="31"/>
        <v>445.30965955700748</v>
      </c>
      <c r="K32" s="16" t="str">
        <f t="shared" si="32"/>
        <v/>
      </c>
      <c r="L32" s="103">
        <v>0.14799999999999999</v>
      </c>
      <c r="M32" s="103">
        <f t="shared" si="2"/>
        <v>0.14608616348802717</v>
      </c>
      <c r="N32" s="122">
        <f t="shared" si="33"/>
        <v>0.85</v>
      </c>
      <c r="O32" s="46">
        <f t="shared" si="3"/>
        <v>40</v>
      </c>
      <c r="P32" s="70">
        <f t="array" ref="P32">SUMPRODUCT(IF(Solar_data!A$4:A$777=A32,Solar_data!C$4:C$777),IF(Solar_data!A$4:A$777=A32,Solar_data!I$4:I$777))/SUMIF(Solar_data!A$4:A$777,A32,Solar_data!I$4:I$777)</f>
        <v>1985.6956904238286</v>
      </c>
      <c r="Q32" s="16">
        <f t="array" ref="Q32">MAX(IF(Solar_data!$A$777:'Solar_data'!$A$4=Country_details!$A32,Solar_data!$C$4:'Solar_data'!$C$777))</f>
        <v>2281.25</v>
      </c>
      <c r="R32" s="16">
        <f t="array" ref="R32">MIN(IF(Solar_data!$A$777:'Solar_data'!$A$4=Country_details!A32,Solar_data!$C$4:'Solar_data'!$C$777))</f>
        <v>1733.75</v>
      </c>
      <c r="S32" s="24">
        <f t="shared" si="4"/>
        <v>2.71217413736353</v>
      </c>
      <c r="T32" s="24">
        <f t="shared" si="5"/>
        <v>2.3607901353388394</v>
      </c>
      <c r="U32" s="24">
        <f t="shared" si="6"/>
        <v>3.1063028096563672</v>
      </c>
      <c r="V32" s="16">
        <f t="array" ref="V32">SUM(IF(Solar_data!$A$777:'Solar_data'!$A$4=Country_details!$A32,Solar_data!$I$4:'Solar_data'!$I$777))</f>
        <v>4674.4319886480116</v>
      </c>
      <c r="W32" s="148"/>
      <c r="X32" s="16" t="str">
        <f>IFERROR(INDEX(Onshore_wind_data!$J$5:'Onshore_wind_data'!$J$221,MATCH(A32,Onshore_wind_data!$B$5:'Onshore_wind_data'!$B$221,0)),"")</f>
        <v/>
      </c>
      <c r="Y32" s="16" t="str">
        <f>IFERROR(INDEX(Onshore_wind_data!$K$5:'Onshore_wind_data'!$K$221,MATCH(A32,Onshore_wind_data!$B$5:'Onshore_wind_data'!$B$221,0)),"")</f>
        <v/>
      </c>
      <c r="Z32" s="16" t="str">
        <f>IFERROR(INDEX(Onshore_wind_data!$L$5:'Onshore_wind_data'!$L$221,MATCH(A32,Onshore_wind_data!$B$5:'Onshore_wind_data'!$B$221,0)),"")</f>
        <v/>
      </c>
      <c r="AA32" s="24" t="str">
        <f t="shared" si="7"/>
        <v/>
      </c>
      <c r="AB32" s="24" t="str">
        <f t="shared" si="8"/>
        <v/>
      </c>
      <c r="AC32" s="24" t="str">
        <f t="shared" si="9"/>
        <v/>
      </c>
      <c r="AD32" s="16">
        <f>IFERROR(INDEX(Onshore_wind_data!$I$5:'Onshore_wind_data'!$I$221,MATCH(A32,Onshore_wind_data!$B$5:'Onshore_wind_data'!$B$221,0)),"")</f>
        <v>0</v>
      </c>
      <c r="AE32" s="148"/>
      <c r="AF32" s="16" t="str">
        <f>INDEX(Offshore_wind_data!$AA$7:$AA$192,MATCH(Country_details!A32,Offshore_wind_data!$A$7:$A$192,0))</f>
        <v/>
      </c>
      <c r="AG32" s="16" t="str">
        <f>INDEX(Offshore_wind_data!$Y$7:$Y$192,MATCH(Country_details!A32,Offshore_wind_data!$A$7:$A$192,0))</f>
        <v/>
      </c>
      <c r="AH32" s="16" t="str">
        <f>INDEX(Offshore_wind_data!$Z$7:$Z$192,MATCH(Country_details!A32,Offshore_wind_data!$A$7:$A$192,0))</f>
        <v/>
      </c>
      <c r="AI32" s="24" t="str">
        <f t="shared" si="10"/>
        <v/>
      </c>
      <c r="AJ32" s="24" t="str">
        <f t="shared" si="11"/>
        <v/>
      </c>
      <c r="AK32" s="24" t="str">
        <f t="shared" si="12"/>
        <v/>
      </c>
      <c r="AL32" s="16">
        <f>INDEX(Offshore_wind_data!$W$7:$W$191,MATCH(A32,Offshore_wind_data!$A$7:$A$191,0))</f>
        <v>0</v>
      </c>
      <c r="AM32" s="148"/>
      <c r="AN32" s="12">
        <v>4.7</v>
      </c>
      <c r="AO32" s="12">
        <v>8.9</v>
      </c>
      <c r="AP32" s="34"/>
      <c r="AQ32" s="15">
        <f t="shared" si="13"/>
        <v>50</v>
      </c>
      <c r="AR32" s="12">
        <f t="shared" si="34"/>
        <v>445</v>
      </c>
      <c r="AS32" s="16">
        <f t="shared" si="35"/>
        <v>4229.4319886480116</v>
      </c>
      <c r="AT32" s="12"/>
      <c r="AU32" s="24">
        <f t="shared" si="14"/>
        <v>2.71217413736353</v>
      </c>
      <c r="AV32" s="16">
        <f t="shared" si="15"/>
        <v>1985.6956904238286</v>
      </c>
      <c r="AW32" s="149">
        <f>HV_DC_Grid!$E$3/(1-AX32)*AU32/100*1000</f>
        <v>3053.2266424047561</v>
      </c>
      <c r="AX32" s="31">
        <f>(1-(1-HV_DC_Grid!$E$25)^(B32*C32*HV_DC_Grid!$E$8/1000))+(1-(1-HV_DC_Grid!$E$26)^(B32*D32*HV_DC_Grid!$E$8/1000))+HV_DC_Grid!$E$35*HV_DC_Grid!$E$28</f>
        <v>0.11170232183373362</v>
      </c>
      <c r="AY32" s="28">
        <f>B32*nl_e_demand/IF(hv_dc_flh="electricity FLH",$AV32,hv_dc_custom)*1000*hv_dc_capacity_multiplier*hv_dc_length_multiplier*1000*(C32*hv_dc_overhead_invest*(hv_dc_overhead_opex+M32+1/hv_dc_lifetime)+D32*hv_dc_sea_invest*(hv_dc_sea_opex+M32+1/hv_dc_lifetime))/1000000+HV_DC_Grid!$E$10*1000*hv_dc_station_invest*hv_dc_station_number*(hv_dc_station_opex+M32+1/hv_dc_lifetime)/1000000</f>
        <v>6598.678553000037</v>
      </c>
      <c r="AZ32" s="24">
        <f>(AW32+AY32)/(HV_DC_Grid!$E$3*1000)*100</f>
        <v>9.6519051954047939</v>
      </c>
      <c r="BA32" s="28">
        <f>MIN(((Carriers!$F$26+Carriers!$F$27)*(alk_el_opex+wacc_nl+1/alk_el_lifetime)+IF(hv_dc_flh="electricity FLH",$AV32,hv_dc_custom)*AZ32/100)/(IF(hv_dc_flh="electricity FLH",$AV32,hv_dc_custom)/alk_el_e_demand)*1000,((Carriers!$H$26+Carriers!$H$27)*(pem_el_opex+wacc_nl+1/pem_el_lifetime)+IF(hv_dc_flh="electricity FLH",$AV32,hv_dc_custom)*AZ32/100)/(IF(hv_dc_flh="electricity FLH",$AV32,hv_dc_custom)/pem_el_e_demand)*1000)</f>
        <v>5282.2301087465848</v>
      </c>
      <c r="BB32" s="12"/>
      <c r="BC32" s="12"/>
      <c r="BD32" s="149">
        <f>MIN(((Carriers!$F$26+Carriers!$F$27)*(alk_el_opex+M32+1/alk_el_lifetime)+$AV32*$AU32/100)/($AV32/alk_el_e_demand)*1000,((Carriers!$H$26+Carriers!$H$27)*(pem_el_opex+M32+1/pem_el_lifetime)+$AV32*$AU32/100)/($AV32/pem_el_e_demand)*1000)</f>
        <v>3289.4346258186565</v>
      </c>
      <c r="BE32" s="28">
        <f>Storage!$AC$50</f>
        <v>8.1664117557772418</v>
      </c>
      <c r="BF32" s="28">
        <f>((Pipeline!$D$22*Pipeline!$D$24*B32*(pipeline_opex+M32+1/pipeline_lifetime))*(Pipeline!$D$39/Pipeline!$D$3)+(Pipeline!$D$57*(pipeline_comp_opex+M32+1/pipeline_comp_lifetime)+Pipeline!$D$47*1000*Pipeline!$D$45*$AU32/100/1000000))*(Pipeline!$D$75/Pipeline!$D$45)</f>
        <v>13150.868063392354</v>
      </c>
      <c r="BG32" s="28">
        <f>BD32+(BE32+BF32)/Storage!$AC$12*1000000</f>
        <v>4257.0106901677837</v>
      </c>
      <c r="BH32" s="28"/>
      <c r="BI32" s="28"/>
      <c r="BJ32" s="28" t="str">
        <f>IF($E32="","No Port",BK32*HV_DC_Grid!$E$3*$AU32/100*1000)</f>
        <v>No Port</v>
      </c>
      <c r="BK32" s="31" t="str">
        <f>IFERROR((1-(1-HV_DC_Grid!$E$25)^(K32*HV_DC_Grid!$E$8/1000))+HV_DC_Grid!$E$35*HV_DC_Grid!$E$28,"")</f>
        <v/>
      </c>
      <c r="BL32" s="28" t="str">
        <f>IFERROR(K32*nl_e_demand/IF(hv_dc_flh="electricity FLH",$AV32,hv_dc_custom)*1000*hv_dc_capacity_multiplier*hv_dc_length_multiplier*1000*(hv_dc_overhead_invest*(hv_dc_overhead_opex+M32+1/hv_dc_lifetime))/1000000+HV_DC_Grid!$E$10*1000*hv_dc_station_invest*hv_dc_station_number*(hv_dc_station_opex+M32+1/hv_dc_lifetime)/1000000,"")</f>
        <v/>
      </c>
      <c r="BM32" s="29" t="str">
        <f>IFERROR((BJ32+BL32)/(HV_DC_Grid!$E$3*1000)*100,"")</f>
        <v/>
      </c>
      <c r="BN32" s="28" t="str">
        <f>IFERROR(((Pipeline!$D$22*Pipeline!$D$24*K32*(pipeline_opex+M32+1/pipeline_lifetime))*(Pipeline!$D$39/Pipeline!$D$3)+(Pipeline!$D$57*(pipeline_comp_opex+M32+1/pipeline_comp_lifetime)+Pipeline!$D$47*1000*Pipeline!$D$45*S32/100/1000000))*(Pipeline!$D$75/Pipeline!$D$45),"")</f>
        <v/>
      </c>
      <c r="BO32" s="28"/>
      <c r="BP32" s="150">
        <f t="shared" si="16"/>
        <v>124.460039499513</v>
      </c>
      <c r="BQ32" s="34">
        <f t="shared" si="17"/>
        <v>37.246616980710144</v>
      </c>
      <c r="BR32" s="151">
        <f>(nh3_invest*(M32+1/nh3_lifetime)/nh3_prod+nh3_opex+nh3_e_demand*1000*$AU32/100+Carriers!$N$18/Carriers!$N$23*BD32+Carriers!$N$19/Carriers!$N$23*BQ32)*(BT32+nh3_st_ab_losses)/1000000</f>
        <v>57044.490201050241</v>
      </c>
      <c r="BS32" s="63">
        <f>nh3_st_nl_cost*nh3_st_nl_demand/1000000+(nh3_st_invest*(M32+1/nh3_st_lifetime+nh3_st_opex)/(Storage!$G$63/1000000)+nh3_st_e_demand*1000*$AU32/100)*(BT32+nh3_st_ab_losses)/1000000+Carriers!$N$18/Carriers!$N$23*((BT32+nh3_st_ab_losses)/365.25*short_st_duration_hrs/24)*(h2_short_st_invest*(1/gh2_short_st_lifetime+$M32+h2_short_st_opex)+h2_short_st_e_demand*1000*$AU32/100)/1000000+Carriers!$N$19/Carriers!$N$23*((BT32+nh3_st_ab_losses)/365.25*short_st_duration_hrs/24)*(n2_short_st_invest*(1/n2_short_st_lifetime+$M32+n2_short_st_opex)+n2_short_st_e_demand*1000*$AU32/100)/1000000</f>
        <v>3618.8643482151933</v>
      </c>
      <c r="BT32" s="63">
        <f>Storage!$G$57/((1-Shipping!$H$37)^(F32/24/Shipping!$H$44+0.5*Shipping!$H$59))</f>
        <v>76857210.785724297</v>
      </c>
      <c r="BU32" s="63" t="str">
        <f>IF($E32="","No Port",((F32/24/Shipping!$H$44+F32/24/Shipping!$H$50+Shipping!$H$59+Shipping!$H$64)*(Shipping!$H$22+wacc_nl*Shipping!$H$19/365.25*1000000+Shipping!$H$35)+(F32/24/Shipping!$H$44*Shipping!$H$45+Shipping!$H$64*Shipping!$H$65)*IF(bunker_choice="HFO",H32,IF(bunker_choice="hydrogen",BD32*hfo_e_density_lhv/h2_e_density_lhv,(BR32+BS32)*1000000/BT32*hfo_e_density_lhv/nh3_e_density_lhv))+(F32/24/Shipping!$H$50*Shipping!$H$51+Shipping!$H$59*Shipping!$H$60)*IF(bunker_choice="HFO",bunker_price_ROT,IF(bunker_choice="hydrogen",BD32*hfo_e_density_lhv/h2_e_density_lhv,(BR32+BS32)*1000000/BT32*hfo_e_density_lhv/nh3_e_density_lhv))+Shipping!$H$73+IF(G32="Panama",Shipping!$H$55,0)+IF(G32="Suez",Shipping!$H$56,0))/Shipping!$H$31*BT32/1000000+IF(inland_transport_to_port="hv dc grid",$BM32/100*1000*BW32,IF(inland_transport_to_port="pipeline",$BN32,0)))</f>
        <v>No Port</v>
      </c>
      <c r="BV32" s="63" t="str">
        <f t="shared" si="18"/>
        <v/>
      </c>
      <c r="BW32" s="33">
        <f>((Carriers!$N$18/Carriers!$N$23*alk_el_e_demand)+(Carriers!$N$19/Carriers!$N$23*n2_e_demand)+nh3_e_demand)*(BT32+nh3_st_ab_losses)/1000000+nh3_st_e_demand*BT32/1000000</f>
        <v>759.00171168026975</v>
      </c>
      <c r="BX32" s="33">
        <f t="shared" si="19"/>
        <v>0.76626754477640768</v>
      </c>
      <c r="BY32" s="63" t="str">
        <f>IFERROR(BV32*1000000/Storage!$G$12,"")</f>
        <v/>
      </c>
      <c r="BZ32" s="63">
        <f>H2_retrieval!$F$25*h2_demand_kt/1000</f>
        <v>80</v>
      </c>
      <c r="CA32" s="63" t="str">
        <f>IFERROR(BY32*(1+H2_retrieval!$F$34)/Carrier_properties!$E$7+H2_retrieval!$F$38,"")</f>
        <v/>
      </c>
      <c r="CB32" s="149">
        <f>(FA_invest*(M32+1/FA_lifetime)/FA_prod+FA_opex+FA_e_demand*1000*$AU32/100+Carriers!$P$18/Carriers!$P$23*BD32+Carriers!$P$20/Carriers!$P$23*co2_liq_cost)*(CF32+FA_st_ab_losses)/1000000</f>
        <v>114876.73737377427</v>
      </c>
      <c r="CC32" s="86">
        <f>(FA_invest*(M32+1/FA_lifetime)/FA_prod+FA_opex+FA_e_demand*1000*$AU32/100+Carriers!$P$18/Carriers!$P$23*BD32+Carriers!$P$20/Carriers!$P$23*BP32)*(CF32+FA_st_ab_losses)/1000000</f>
        <v>145078.5727905102</v>
      </c>
      <c r="CD32" s="63">
        <f>FA_st_nl_cost*FA_st_nl_demand/1000000+(FA_st_invest*(M32+1/FA_st_lifetime+FA_st_opex)/(Storage!$I$63/1000000)+FA_st_e_demand*1000*$AU32/100)*(CF32+FA_st_ab_losses)/1000000+co2_st_nl_cost*Storage!$I$12*co2_density/FA_density/1000000+(co2_st_opex_lev+co2_st_invest_lev+co2_st_e_demand*1000*$AU32/100)*Storage!$I$12/1000000+co2_st_invest_lev*Storage!$I$12*co2_st_lifetime*M32/1000000+Carriers!$P$18/Carriers!$P$23*((CF32+FA_st_ab_losses)/365.25*short_st_duration_hrs/24)*(h2_short_st_invest*(1/gh2_short_st_lifetime+$M32+h2_short_st_opex)+h2_short_st_e_demand*1000*$AU32/100)/1000000+Carriers!$P$20/Carriers!$P$23*((CF32+FA_st_ab_losses)/365.25*short_st_duration_hrs/24)*(co2_short_st_invest*(1/co2_short_st_lifetime+$M32+co2_short_st_opex)+co2_short_st_e_demand*1000*$AU32/100)/1000000</f>
        <v>12468.294082086662</v>
      </c>
      <c r="CE32" s="63">
        <f>FA_st_nl_cost*FA_st_nl_demand/1000000+(FA_st_invest*(M32+1/FA_st_lifetime+FA_st_opex)/(Storage!$I$63/1000000)+FA_st_e_demand*1000*$AU32/100)*(CF32+FA_st_ab_losses)/1000000+Carriers!$P$18/Carriers!$P$23*((CF32+FA_st_ab_losses)/365.25*short_st_duration_hrs/24)*(h2_short_st_invest*(1/gh2_short_st_lifetime+$M32+h2_short_st_opex)+h2_short_st_e_demand*1000*$AU32/100)/1000000+Carriers!$P$20/Carriers!$P$23*((CF32+FA_st_ab_losses)/365.25*short_st_duration_hrs/24)*(co2_short_st_invest*(1/co2_short_st_lifetime+$M32+co2_short_st_opex)+co2_short_st_e_demand*1000*$AU32/100)/1000000</f>
        <v>5465.9685113345759</v>
      </c>
      <c r="CF32" s="63">
        <f>Storage!$I$57/((1-Shipping!$J$37)^($F32/24/Shipping!$J$44+0.5*Shipping!$J$59))</f>
        <v>310425396.82539684</v>
      </c>
      <c r="CG32" s="28" t="str">
        <f>IF($E32="","No Port",((F32/24/Shipping!$J$44+F32/24/Shipping!$J$50+Shipping!$J$59+Shipping!$J$64)*(Shipping!$J$22+wacc_nl*Shipping!$J$19/365.25*1000000+Shipping!$J$35)+(F32/24/Shipping!$J$44*Shipping!$J$45+Shipping!$J$64*Shipping!$J$65)*IF(bunker_choice="HFO",$H32,IF(bunker_choice="hydrogen",$BD32*hfo_e_density_lhv/h2_e_density_lhv,(CB32+CD32)*1000000/CF32*hfo_e_density_lhv/FA_e_density_lhv))+(F32/24/Shipping!$J$50*Shipping!$J$51+Shipping!$J$59*Shipping!$J$60)*IF(bunker_choice="HFO",bunker_price_ROT,IF(bunker_choice="hydrogen",$BD32*hfo_e_density_lhv/h2_e_density_lhv,(CB32+CD32)*1000000/CF32*hfo_e_density_lhv/FA_e_density_lhv))+Shipping!$J$73+IF(G32="Panama",Shipping!$J$55,0)+IF(G32="Suez",Shipping!$J$56,0))/Shipping!$J$31*CF32/1000000+IF(inland_transport_to_port="hv dc grid",$BM32/100*1000*CI32,IF(inland_transport_to_port="pipeline",$BN32,0)))</f>
        <v>No Port</v>
      </c>
      <c r="CH32" s="28" t="str">
        <f t="shared" si="36"/>
        <v/>
      </c>
      <c r="CI32" s="29">
        <f>((Carriers!$P$18/Carriers!$P$23*alk_el_e_demand)+FA_e_demand)*(CF32+FA_st_ab_losses)/1000000+FA_st_e_demand*CF32/1000000</f>
        <v>1897.8881241622576</v>
      </c>
      <c r="CJ32" s="29">
        <f t="shared" si="20"/>
        <v>0.46563809523809524</v>
      </c>
      <c r="CK32" s="28" t="str">
        <f>IFERROR(CH32*1000000/Storage!$I$12,"")</f>
        <v/>
      </c>
      <c r="CL32" s="28" t="str">
        <f>IF($E32="","No Port",((F32/24/Shipping!$J$44+F32/24/Shipping!$J$50+Shipping!$J$59+Shipping!$J$64)*Carriers!$P$39*wacc_nl))</f>
        <v>No Port</v>
      </c>
      <c r="CM32" s="29">
        <f>H2_retrieval!$H$25*h2_demand_kt/1000+(co2_liq_e_demand+co2_st_e_demand*2)*Storage!$I$12*co2_density/FA_density/1000000</f>
        <v>94.204253879484654</v>
      </c>
      <c r="CN32" s="28" t="str">
        <f>IFERROR((((CB32+CD32+CG32)*(1+H2_retrieval!$H$34)+CL32)*1000000/H2_retrieval!$H$8)+h2_regen_fa,"")</f>
        <v/>
      </c>
      <c r="CO32" s="149">
        <f>(meoh_invest*(M32+1/meoh_lifetime)/meoh_prod+meoh_opex+meoh_e_demand*1000*$AU32/100+Carriers!$R$18/Carriers!$R$23*BD32+Carriers!$R$20/Carriers!$R$23*co2_liq_cost)*(CS32+meoh_st_ab_losses)/1000000</f>
        <v>71829.863468604395</v>
      </c>
      <c r="CP32" s="86">
        <f>(meoh_invest*(M32+1/meoh_lifetime)/meoh_prod+meoh_opex+meoh_e_demand*1000*$AU32/100+Carriers!$R$18/Carriers!$R$23*BD32+Carriers!$R$20/Carriers!$R$23*BP32)*(CS32+meoh_st_ab_losses)/1000000</f>
        <v>89559.27324435128</v>
      </c>
      <c r="CQ32" s="63">
        <f>meoh_st_nl_cost*meoh_st_nl_demand/1000000+(meoh_st_invest*(M32+1/meoh_st_lifetime+meoh_st_opex)/(Storage!$K$63/1000000)+meoh_st_e_demand*1000*$AU32/100)*(CS32+meoh_st_ab_losses)/1000000+co2_st_nl_cost*Storage!$K$12*co2_density/meoh_density/1000000+(co2_st_opex_lev+co2_st_invest_lev+co2_st_e_demand*1000*IFERROR(MIN(S32,AA32,AI32),S32)/100)*Storage!$K$12/1000000+co2_st_invest_lev*Storage!$K$12*co2_st_lifetime*M32/1000000+Carriers!$R$18/Carriers!$R$23*((CS32+meoh_st_ab_losses)/365.25*short_st_duration_hrs/24)*(h2_short_st_invest*(1/gh2_short_st_lifetime+$M32+h2_short_st_opex)+h2_short_st_e_demand*1000*$AU32/100)/1000000+Carriers!$R$20/Carriers!$R$23*((CF32+meoh_st_ab_losses)/365.25*short_st_duration_hrs/24)*(co2_short_st_invest*(1/co2_short_st_lifetime+$M32+co2_short_st_opex)+co2_short_st_e_demand*1000*$AU32/100)/1000000</f>
        <v>5213.9377228981484</v>
      </c>
      <c r="CR32" s="63">
        <f>meoh_st_nl_cost*meoh_st_nl_demand/1000000+(meoh_st_invest*(M32+1/meoh_st_lifetime+meoh_st_opex)/(Storage!$K$63/1000000)+meoh_st_e_demand*1000*$AU32/100)*(CS32+meoh_st_ab_losses)/1000000+Carriers!$R$18/Carriers!$R$23*((CS32+meoh_st_ab_losses)/365.25*short_st_duration_hrs/24)*(h2_short_st_invest*(1/gh2_short_st_lifetime+$M32+h2_short_st_opex)+h2_short_st_e_demand*1000*$AU32/100)/1000000+Carriers!$R$20/Carriers!$R$23*((CF32+meoh_st_ab_losses)/365.25*short_st_duration_hrs/24)*(co2_short_st_invest*(1/co2_short_st_lifetime+$M32+co2_short_st_opex)+co2_short_st_e_demand*1000*$AU32/100)/1000000</f>
        <v>2177.7609050671781</v>
      </c>
      <c r="CS32" s="63">
        <f>Storage!$K$57/((1-Shipping!$L$37)^($F32/24/Shipping!$L$44+0.5*Shipping!$L$59))</f>
        <v>108044444.44444443</v>
      </c>
      <c r="CT32" s="28" t="str">
        <f>IF($E32="","No Port",IF(AND(ship_choice="VLCC",G32="Panama"),"Ship cannot pass through Panama",IF(ship_choice="VLCC",((F32/24/Shipping!$AD$44+F32/24/Shipping!$AD$50+Shipping!$AD$59+Shipping!$AD$64)*(Shipping!$AD$22+wacc_nl*Shipping!$AD$19/365.25*1000000+Shipping!$AD$35)+(F32/24/Shipping!$AD$44*Shipping!$AD$45+Shipping!$AD$64*Shipping!$AD$65)*IF(bunker_choice="HFO",$H32,IF(bunker_choice="hydrogen",$BD32*hfo_e_density_lhv/h2_e_density_lhv,(CO32+CQ32)*1000000/CS32*hfo_e_density_lhv/meoh_e_density_lhv))+(F32/24/Shipping!$AD$50*Shipping!$AD$51+Shipping!$AD$59*Shipping!$AD$60)*IF(bunker_choice="HFO",bunker_price_ROT,IF(bunker_choice="hydrogen",$BD32*hfo_e_density_lhv/h2_e_density_lhv,(CO32+CQ32)*1000000/CS32*hfo_e_density_lhv/meoh_e_density_lhv))+Shipping!$AD$73+IF(G32="Panama",Shipping!$AD$55,0)+IF(G32="Suez",Shipping!$AD$56,0))/Shipping!$AD$31*CS32/1000000+IF(inland_transport_to_port="hv dc grid",$BM32/100*1000*CV32,IF(inland_transport_to_port="pipeline",$BN32,0)),((F32/24/Shipping!$L$44+F32/24/Shipping!$L$50+Shipping!$L$59+Shipping!$L$64)*(Shipping!$L$22+wacc_nl*Shipping!$L$19/365.25*1000000+Shipping!$L$35)+(F32/24/Shipping!$L$44*Shipping!$L$45+Shipping!$L$64*Shipping!$L$65)*IF(bunker_choice="HFO",$H32,IF(bunker_choice="hydrogen",$BD32*hfo_e_density_lhv/h2_e_density_lhv,(CO32+CQ32)*1000000/CS32*hfo_e_density_lhv/meoh_e_density_lhv))+(F32/24/Shipping!$L$50*Shipping!$L$51+Shipping!$L$59*Shipping!$L$60)*IF(bunker_choice="HFO",bunker_price_ROT,IF(bunker_choice="hydrogen",$BD32*hfo_e_density_lhv/h2_e_density_lhv,(CO32+CQ32)*1000000/CS32*hfo_e_density_lhv/meoh_e_density_lhv))+Shipping!$L$73+IF(G32="Panama",Shipping!$L$55,0)+IF(G32="Suez",Shipping!$L$56,0))/Shipping!$L$31*CS32/1000000+IF(inland_transport_to_port="hv dc grid",$BM32/100*1000*CV32,IF(inland_transport_to_port="pipeline",$BN32,0)))))</f>
        <v>No Port</v>
      </c>
      <c r="CU32" s="28" t="str">
        <f t="shared" si="37"/>
        <v/>
      </c>
      <c r="CV32" s="29">
        <f>((Carriers!$R$18/Carriers!$R$23*alk_el_e_demand)+meoh_e_demand)*(CS32+meoh_st_ab_losses)/1000000+meoh_st_e_demand*CS32/1000000</f>
        <v>1119.9789871111109</v>
      </c>
      <c r="CW32" s="29">
        <f t="shared" si="21"/>
        <v>0.16206666666666666</v>
      </c>
      <c r="CX32" s="28" t="str">
        <f>IFERROR(CU32*1000000/Storage!$K$12,"")</f>
        <v/>
      </c>
      <c r="CY32" s="28" t="str">
        <f>IF($E32="","No Port",((F32/24/Shipping!$L$44+F32/24/Shipping!$L$50+Shipping!$L$59+Shipping!$L$64)*Carriers!$R$39*wacc_nl))</f>
        <v>No Port</v>
      </c>
      <c r="CZ32" s="29">
        <f>H2_retrieval!$J$25*h2_demand_kt/1000+(co2_liq_e_demand+co2_st_e_demand*2)*Storage!$K$12*co2_density/meoh_density/1000000</f>
        <v>251.05079059698966</v>
      </c>
      <c r="DA32" s="28" t="str">
        <f>IFERROR((((CO32+CQ32+CT32)*(1+H2_retrieval!$J$34)+CY32)*1000000/H2_retrieval!$J$8)+h2_regen_meoh,"")</f>
        <v/>
      </c>
      <c r="DB32" s="149">
        <f>(DBT_invest*(M32+1/DBT_lifetime)/DBT_prod+DBT_opex+DBT_e_demand*1000*$AU32/100+Carriers!$T$18/Carriers!$T$23*BD32)*(DD32+DBT_st_ab_losses)/1000000</f>
        <v>48233.425090923367</v>
      </c>
      <c r="DC32" s="28">
        <f>2*(DBT_st_nl_cost*DBT_st_nl_demand/1000000+(DBT_st_invest*(M32+1/DBT_st_lifetime+DBT_st_opex)/(Storage!$M$63/1000000)+DBT_st_e_demand*1000*$AU32/100)*(DD32+DBT_st_ab_losses)/1000000)+Carriers!$T$18/Carriers!$T$23*((DD32+DBT_st_ab_losses)/365.25*short_st_duration_hrs/24)*(h2_short_st_invest*(1/gh2_short_st_lifetime+$M32+h2_short_st_opex)+h2_short_st_e_demand*1000*$AU32/100)/1000000</f>
        <v>4441.5485167810784</v>
      </c>
      <c r="DD32" s="63">
        <f>Storage!$M$57/((1-Shipping!$N$37)^($F32/24/Shipping!$N$44+0.5*Shipping!$N$59))</f>
        <v>219354838.70967743</v>
      </c>
      <c r="DE32" s="28" t="str">
        <f>IF($E32="","No Port",IF(AND(ship_choice="VLCC",G32="Panama"),"Ship cannot pass through Panama",IF(ship_choice="VLCC",((F32/24/Shipping!$AD$44+F32/24/Shipping!$AD$50+Shipping!$AD$59+Shipping!$AD$64)*(Shipping!$AD$22+wacc_nl*Shipping!$AD$19/365.25*1000000+Shipping!$AD$35)+(F32/24/Shipping!$AD$44*Shipping!$AD$45+Shipping!$AD$64*Shipping!$AD$65)*IF(bunker_choice="HFO",$H32,IF(bunker_choice="hydrogen",$BD32*hfo_e_density_lhv/h2_e_density_lhv,(DB32+DC32)*1000000/DD32*hfo_e_density_lhv/DBT_e_density_lhv))+(F32/24/Shipping!$AD$50*Shipping!$AD$51+Shipping!$AD$59*Shipping!$AD$60)*IF(bunker_choice="HFO",bunker_price_ROT,IF(bunker_choice="hydrogen",$BD32*hfo_e_density_lhv/h2_e_density_lhv,(DB32+DC32)*1000000/DD32*hfo_e_density_lhv/DBT_e_density_lhv))+Shipping!$AD$73+IF(G32="Panama",Shipping!$AD$55,0)+IF(G32="Suez",Shipping!$AD$56,0))/Shipping!$AD$31*DD32/1000000+IF(inland_transport_to_port="hv dc grid",$BM32/100*1000*DG32,IF(inland_transport_to_port="pipeline",$BN32,0)),((F32/24/Shipping!$N$44+F32/24/Shipping!$N$50+Shipping!$N$59+Shipping!$N$64)*(Shipping!$N$22+wacc_nl*Shipping!$N$19/365.25*1000000+Shipping!$N$35)+(F32/24/Shipping!$N$44*Shipping!$N$45+Shipping!$N$64*Shipping!$N$65)*IF(bunker_choice="HFO",$H32,IF(bunker_choice="hydrogen",$BD32*hfo_e_density_lhv/h2_e_density_lhv,(DB32+DC32)*1000000/DD32*hfo_e_density_lhv/DBT_e_density_lhv))+(F32/24/Shipping!$N$50*Shipping!$N$51+Shipping!$N$59*Shipping!$N$60)*IF(bunker_choice="HFO",bunker_price_ROT,IF(bunker_choice="hydrogen",$BD32*hfo_e_density_lhv/h2_e_density_lhv,(DB32+DC32)*1000000/DD32*hfo_e_density_lhv/DBT_e_density_lhv))+Shipping!$N$73+IF(G32="Panama",Shipping!$N$55,0)+IF(G32="Suez",Shipping!$N$56,0))/Shipping!$N$31*Shipping!$N$86/1000000+IF(inland_transport_to_port="hv dc grid",$BM32/100*1000*DG32,IF(inland_transport_to_port="pipeline",$BN32,0)))))</f>
        <v>No Port</v>
      </c>
      <c r="DF32" s="28" t="str">
        <f t="shared" si="56"/>
        <v/>
      </c>
      <c r="DG32" s="29">
        <f>((Carriers!$T$18/Carriers!$T$23*alk_el_e_demand)+DBT_e_demand)*(DD32+DBT_st_ab_losses)/1000000+DBT_st_e_demand*DD32/1000000</f>
        <v>703.88335483870969</v>
      </c>
      <c r="DH32" s="29">
        <f t="shared" si="23"/>
        <v>0.21935483870967742</v>
      </c>
      <c r="DI32" s="28" t="str">
        <f>IFERROR(DF32*1000000/Storage!$M$12,"")</f>
        <v/>
      </c>
      <c r="DJ32" s="28" t="str">
        <f>IF($E32="","No Port",((F32/24/Shipping!$N$44+F32/24/Shipping!$N$50+Shipping!$N$59+Shipping!$N$64)*Carriers!$T$39*wacc_nl))</f>
        <v>No Port</v>
      </c>
      <c r="DK32" s="100">
        <f>H2_retrieval!$L$25*h2_demand_kt/1000+(co2_liq_e_demand+co2_st_e_demand*2)*Storage!$M$12*co2_density/DBT_density/1000000</f>
        <v>206.61934861671787</v>
      </c>
      <c r="DL32" s="28" t="str">
        <f>IFERROR(((DF32*(1+H2_retrieval!$L$34)+DJ32)*1000000/H2_retrieval!$L$8)+h2_regen_lohc,"")</f>
        <v/>
      </c>
      <c r="DM32" s="149">
        <f t="shared" si="24"/>
        <v>53653.581621098194</v>
      </c>
      <c r="DN32" s="16">
        <f>2*(nabh4_st_nl_cost*nabh4_st_nl_demand/1000000+(nabh4_st_invest*(M32+1/nabh4_st_lifetime+nabh4_st_opex)/(Storage!$O$63/1000000)+nabh4_st_e_demand*1000*$AU32/100)*(DO32+nabh4_st_ab_losses)/1000000)+(h2_demand_kt*1000/365.25*short_st_duration_hrs/24)*(h2_short_st_invest*(1/gh2_short_st_lifetime+$M32+h2_short_st_opex)+h2_short_st_e_demand*1000*$AU32/100)/1000000</f>
        <v>1502.0318468762612</v>
      </c>
      <c r="DO32" s="63">
        <f>Storage!$O$57/((1-Shipping!$P$37)^($F32/24/Shipping!$P$44+0.5*Shipping!$P$59))</f>
        <v>63920000</v>
      </c>
      <c r="DP32" s="16" t="str">
        <f>IF($E32="","No Port",((F32/24/Shipping!$P$44+F32/24/Shipping!$P$50+Shipping!$P$59+Shipping!$P$64)*(Shipping!$P$22+wacc_nl*Shipping!$P$19/365.25*1000000+Shipping!$P$35)+(F32/24/Shipping!$P$44*Shipping!$P$45+Shipping!$P$64*Shipping!$P$65)*IF(bunker_choice="HFO",$H32,IF(bunker_choice="hydrogen",$BD32*hfo_e_density_lhv/h2_e_density_lhv,(DM32+DN32)*1000000/DO32*hfo_e_density_lhv/nabh4_e_density_lhv))+(F32/24/Shipping!$P$50*Shipping!$P$51+Shipping!$P$59*Shipping!$P$60)*IF(bunker_choice="HFO",bunker_price_ROT,IF(bunker_choice="hydrogen",$BD32*hfo_e_density_lhv/h2_e_density_lhv,(DM32+DN32)*1000000/DO32*hfo_e_density_lhv/nabh4_e_density_lhv))+Shipping!$P$73+IF(G32="Panama",Shipping!$P$55,0)+IF(G32="Suez",Shipping!$P$56,0))/Shipping!$P$31*(DO32+nabh4_st_ab_losses)/1000000+IF(inland_transport_to_port="hv dc grid",$BM32/100*1000*DR32,IF(inland_transport_to_port="pipeline",$BN32,0)))</f>
        <v>No Port</v>
      </c>
      <c r="DQ32" s="28" t="str">
        <f t="shared" si="55"/>
        <v/>
      </c>
      <c r="DR32" s="29">
        <f>((Carriers!$V$18/Carriers!$V$23*alk_el_e_demand)+nabh4_e_demand)*(DO32+nabh4_st_ab_losses)/1000000+nabh4_st_e_demand*DO32/1000000</f>
        <v>980.02139682539689</v>
      </c>
      <c r="DS32" s="28">
        <f t="shared" si="25"/>
        <v>3.1960000000000002</v>
      </c>
      <c r="DT32" s="28" t="str">
        <f>IFERROR(DQ32*1000000/Storage!$O$12,"")</f>
        <v/>
      </c>
      <c r="DU32" s="28" t="str">
        <f>IF($E32="","No Port",((F32/24/Shipping!$P$44+F32/24/Shipping!$P$50+Shipping!$P$59+Shipping!$P$64)*Carriers!$V$39*wacc_nl))</f>
        <v>No Port</v>
      </c>
      <c r="DV32" s="100">
        <f>H2_retrieval!$N$25*h2_demand_kt/1000+(co2_liq_e_demand+co2_st_e_demand*2)*Storage!$O$12*co2_density/nabh4_density/1000000</f>
        <v>18.783638728971958</v>
      </c>
      <c r="DW32" s="28" t="str">
        <f>IFERROR(((DQ32*(1+H2_retrieval!$N$34)+DU32)*1000000/H2_retrieval!$N$8)+h2_regen_nabh4,"")</f>
        <v/>
      </c>
      <c r="DX32" s="149">
        <f>(Dme_invest*(M32+1/Dme_lifetime)/Dme_prod+Dme_opex+Dme_e_demand*1000*$AU32/100+Carriers!$X$21/Carriers!$X$23*(CO32*1000000/CS32))*(EB32+Dme_st_ab_losses)/1000000</f>
        <v>100853.3611120462</v>
      </c>
      <c r="DY32" s="86">
        <f>(Dme_invest*(M32+1/Dme_lifetime)/Dme_prod+Dme_opex+Dme_e_demand*1000*$AU32/100+Carriers!$X$21/Carriers!$X$23*(CP32*1000000/CS32))*(EB32+Dme_st_ab_losses)/1000000</f>
        <v>124906.21330814359</v>
      </c>
      <c r="DZ32" s="63">
        <f>Dme_st_nl_cost*Dme_st_nl_demand/1000000+(Dme_st_invest*(M32+1/Dme_st_lifetime+Dme_st_opex)/(Storage!$Q$63/1000000)+Dme_st_e_demand*1000*$AU32/100)*(EB32+Dme_st_ab_losses)/1000000+co2_st_nl_cost*Storage!$Q$12*co2_density/Dme_density/1000000+(co2_st_opex_lev+co2_st_invest_lev+co2_st_e_demand*1000*$AU32/100)*Storage!$Q$12/1000000+co2_st_invest_lev*Storage!$Q$12*co2_st_lifetime*M32/1000000+(h2_demand_kt*1000/365.25*short_st_duration_hrs/24)*(h2_short_st_invest*(1/gh2_short_st_lifetime+$M32+h2_short_st_opex)+h2_short_st_e_demand*1000*$AU32/100)/1000000</f>
        <v>6272.5746970532537</v>
      </c>
      <c r="EA32" s="63">
        <f>Dme_st_nl_cost*Dme_st_nl_demand/1000000+(Dme_st_invest*(M32+1/Dme_st_lifetime+Dme_st_opex)/(Storage!$Q$63/1000000)+Dme_st_e_demand*1000*$AU32/100)*(EB32+Dme_st_ab_losses)/1000000+(h2_demand_kt*1000/365.25*short_st_duration_hrs/24)*(h2_short_st_invest*(1/gh2_short_st_lifetime+$M32+h2_short_st_opex)+h2_short_st_e_demand*1000*$AU32/100)/1000000</f>
        <v>3235.8781706719433</v>
      </c>
      <c r="EB32" s="63">
        <f>Storage!$Q$57/((1-Shipping!$R$37)^($F32/24/Shipping!$R$44+0.5*Shipping!$R$59))</f>
        <v>103547089.94708996</v>
      </c>
      <c r="EC32" s="153" t="str">
        <f>IF($E32="","No Port",IF(AND(ship_choice="VLCC",G32="Panama"),"Ship cannot pass through Panama",IF(ship_choice="VLCC",((F32/24/Shipping!$AD$44+F32/24/Shipping!$AD$50+Shipping!$AD$59+Shipping!$AD$64)*(Shipping!$AD$22+wacc_nl*Shipping!$AD$19/365.25*1000000+Shipping!$AD$35)+(F32/24/Shipping!$AD$44*Shipping!$AD$45+Shipping!$AD$64*Shipping!$AD$65)*IF(bunker_choice="HFO",$H32,IF(bunker_choice="hydrogen",$BD32*hfo_e_density_lhv/h2_e_density_lhv,(DX32+DZ32)*1000000/EB32*hfo_e_density_lhv/Dme_e_density_lhv))+(F32/24/Shipping!$AD$50*Shipping!$AD$51+Shipping!$AD$59*Shipping!$AD$60)*IF(bunker_choice="HFO",bunker_price_ROT,IF(bunker_choice="hydrogen",$BD32*hfo_e_density_lhv/h2_e_density_lhv,(DX32+DZ32)*1000000/EB32*hfo_e_density_lhv/Dme_e_density_lhv))+Shipping!$AD$73+IF(G32="Panama",Shipping!$AD$55,0)+IF(G32="Suez",Shipping!$AD$56,0))/Shipping!$AD$31*(EB32+Dme_st_ab_losses)/1000000+IF(inland_transport_to_port="hv dc grid",$BM32/100*1000*EE32,IF(inland_transport_to_port="pipeline",$BN32,0)),((F32/24/Shipping!$R$44+F32/24/Shipping!$R$50+Shipping!$R$59+Shipping!$R$64)*(Shipping!$R$22+wacc_nl*Shipping!$R$19/365.25*1000000+Shipping!$R$35)+(F32/24/Shipping!$R$44*Shipping!$R$45+Shipping!$R$64*Shipping!$R$65)*IF(bunker_choice="HFO",$H32,IF(bunker_choice="hydrogen",$BD32*hfo_e_density_lhv/h2_e_density_lhv,(DX32+DZ32)*1000000/EB32*hfo_e_density_lhv/Dme_e_density_lhv))+(F32/24/Shipping!$R$50*Shipping!$R$51+Shipping!$R$59*Shipping!$R$60)*IF(bunker_choice="HFO",bunker_price_ROT,IF(bunker_choice="hydrogen",$BD32*hfo_e_density_lhv/h2_e_density_lhv,(DX32+DZ32)*1000000/EB32*hfo_e_density_lhv/Dme_e_density_lhv))+Shipping!$R$73+IF(G32="Panama",Shipping!$R$55,0)+IF(G32="Suez",Shipping!$R$56,0))/Shipping!$R$31*(EB32+Dme_st_ab_losses)/1000000+IF(inland_transport_to_port="hv dc grid",$BM32/100*1000*EE32,IF(inland_transport_to_port="pipeline",$BN32,0)))))</f>
        <v>No Port</v>
      </c>
      <c r="ED32" s="28" t="str">
        <f t="shared" si="39"/>
        <v/>
      </c>
      <c r="EE32" s="29">
        <f>(Dme_e_demand)*(EB32+Dme_st_ab_losses)/1000000+Dme_st_e_demand*DZ32/1000000+$CV32*(Carriers!$X$21/Carriers!$X$23*EB32)/$CS32</f>
        <v>1550.2168228928028</v>
      </c>
      <c r="EF32" s="29">
        <f t="shared" si="26"/>
        <v>1.0354708994708997</v>
      </c>
      <c r="EG32" s="28" t="str">
        <f>IFERROR(ED32*1000000/Storage!$Q$12,"")</f>
        <v/>
      </c>
      <c r="EH32" s="28" t="str">
        <f>IF($E32="","No Port",((F32/24/Shipping!$R$44+F32/24/Shipping!$R$50+Shipping!$R$59+Shipping!$R$64)*Carriers!$X$39*wacc_nl))</f>
        <v>No Port</v>
      </c>
      <c r="EI32" s="100">
        <f>H2_retrieval!$P$25*h2_demand_kt/1000+(co2_liq_e_demand+co2_st_e_demand*2)*Storage!$Q$12*co2_density/Dme_density/1000000</f>
        <v>252.45335899349112</v>
      </c>
      <c r="EJ32" s="28" t="str">
        <f>IFERROR((((DX32+DZ32+EC32)*(1+H2_retrieval!$P$34)+EH32)*1000000/H2_retrieval!$P$8)+h2_regen_dme,"")</f>
        <v/>
      </c>
      <c r="EK32" s="149">
        <f>(ome_invest*(M32+1/ome_lifetime)/ome_prod+ome_opex+ome_e_demand*1000*$AU32/100+Carriers!$Z$21/Carriers!$Z$23*(CO32*1000000/CS32))*(EO32+ome_st_ab_losses)/1000000</f>
        <v>219034.42460108545</v>
      </c>
      <c r="EL32" s="86">
        <f>(ome_invest*(M32+1/ome_lifetime)/ome_prod+ome_opex+ome_e_demand*1000*$AU32/100+Carriers!$Z$21/Carriers!$Z$23*(CP32*1000000/CS32))*(EO32+ome_st_ab_losses)/1000000</f>
        <v>269526.04356186354</v>
      </c>
      <c r="EM32" s="63">
        <f>ome_st_nl_cost*ome_st_nl_demand/1000000+(ome_st_invest*(M32+1/ome_st_lifetime+ome_st_opex)/(Storage!$S$63/1000000)+ome_st_e_demand*1000*$AU32/100)*(EO32+ome_st_ab_losses)/1000000+co2_st_nl_cost*Storage!$S$12*co2_density/ome_density/1000000+(co2_st_opex_lev+co2_st_invest_lev+co2_st_e_demand*1000*$AU32/100)*Storage!$S$12/1000000+co2_st_invest_lev*Storage!$S$12*co2_st_lifetime*M32/1000000+(h2_demand_kt*1000/365.25*short_st_duration_hrs/24)*(h2_short_st_invest*(1/gh2_short_st_lifetime+$M32+h2_short_st_opex)+h2_short_st_e_demand*1000*$AU32/100)/1000000</f>
        <v>5376.9990056203706</v>
      </c>
      <c r="EN32" s="63">
        <f>ome_st_nl_cost*ome_st_nl_demand/1000000+(ome_st_invest*(M32+1/ome_st_lifetime+ome_st_opex)/(Storage!$S$63/1000000)+ome_st_e_demand*1000*$AU32/100)*(EO32+ome_st_ab_losses)/1000000+(h2_demand_kt*1000/365.25*short_st_duration_hrs/24)*(h2_short_st_invest*(1/gh2_short_st_lifetime+$M32+h2_short_st_opex)+h2_short_st_e_demand*1000*$AU32/100)/1000000</f>
        <v>1953.8607058501207</v>
      </c>
      <c r="EO32" s="63">
        <f>Storage!$S$57/((1-Shipping!$T$37)^($F32/24/Shipping!$T$44+0.5*Shipping!$T$59))</f>
        <v>128282539.68253967</v>
      </c>
      <c r="EP32" s="28" t="str">
        <f>IF($E32="","No Port",IF(AND(ship_choice="VLCC",G32="Panama"),"Ship cannot pass through Panama",IF(ship_choice="VLCC",((F32/24/Shipping!$AD$44+F32/24/Shipping!$AD$50+Shipping!$AD$59+Shipping!$AD$64)*(Shipping!$AD$22+wacc_nl*Shipping!$AD$19/365.25*1000000+Shipping!$AD$35)+(F32/24/Shipping!$AD$44*Shipping!$AD$45+Shipping!$AD$64*Shipping!$AD$65)*IF(bunker_choice="HFO",$H32,IF(bunker_choice="hydrogen",$BD32*hfo_e_density_lhv/h2_e_density_lhv,(EK32+EM32)*1000000/EO32*hfo_e_density_lhv/Dme_e_density_lhv))+(F32/24/Shipping!$AD$50*Shipping!$AD$51+Shipping!$AD$59*Shipping!$AD$60)*IF(bunker_choice="HFO",bunker_price_ROT,IF(bunker_choice="hydrogen",$BD32*hfo_e_density_lhv/h2_e_density_lhv,(EK32+EM32)*1000000/EO32*hfo_e_density_lhv/ome_e_density_lhv))+Shipping!$AD$73+IF(G32="Panama",Shipping!$AD$55,0)+IF(G32="Suez",Shipping!$AD$56,0))/Shipping!$AD$31*(EO32+ome_st_ab_losses)/1000000+IF(inland_transport_to_port="hv dc grid",$BM32/100*1000*ER32,IF(inland_transport_to_port="pipeline",$BN32,0)),((F32/24/Shipping!$T$44+F32/24/Shipping!$T$50+Shipping!$T$59+Shipping!$T$64)*(Shipping!$T$22+wacc_nl*Shipping!$T$19/365.25*1000000+Shipping!$T$35)+(F32/24/Shipping!$T$44*Shipping!$T$45+Shipping!$T$64*Shipping!$T$65)*IF(bunker_choice="HFO",$H32,IF(bunker_choice="hydrogen",$BD32*hfo_e_density_lhv/h2_e_density_lhv,(EK32+EM32)*1000000/EO32*hfo_e_density_lhv/Dme_e_density_lhv))+(F32/24/Shipping!$T$50*Shipping!$T$51+Shipping!$T$59*Shipping!$T$60)*IF(bunker_choice="HFO",bunker_price_ROT,IF(bunker_choice="hydrogen",$BD32*hfo_e_density_lhv/h2_e_density_lhv,(EK32+EM32)*1000000/EO32*hfo_e_density_lhv/ome_e_density_lhv))+Shipping!$T$73+IF(G32="Panama",Shipping!$T$55,0)+IF(G32="Suez",Shipping!$T$56,0))/Shipping!$T$31*(EO32+ome_st_ab_losses)/1000000+IF(inland_transport_to_port="hv dc grid",$BM32/100*1000*ER32,IF(inland_transport_to_port="pipeline",$BN32,0)))))</f>
        <v>No Port</v>
      </c>
      <c r="EQ32" s="28" t="str">
        <f t="shared" si="40"/>
        <v/>
      </c>
      <c r="ER32" s="29">
        <f>(ome_e_demand)*(EO32+ome_st_ab_losses)/1000000+ome_st_e_demand*EM32/1000000+$CV32*(Carriers!$Z$21/Carriers!$Z$23*EO32)/$CS32</f>
        <v>3352.0814582062822</v>
      </c>
      <c r="ES32" s="29">
        <f t="shared" si="27"/>
        <v>0.1924238095238095</v>
      </c>
      <c r="ET32" s="28" t="str">
        <f>IFERROR(EQ32*1000000/Storage!$S$12,"")</f>
        <v/>
      </c>
      <c r="EU32" s="28" t="str">
        <f>IF($E32="","No Port",((F32/24/Shipping!$T$44+F32/24/Shipping!$T$50+Shipping!$T$59+Shipping!$T$64)*Carriers!$Z$39*wacc_nl))</f>
        <v>No Port</v>
      </c>
      <c r="EV32" s="100">
        <f>H2_retrieval!$R$25*h2_demand_kt/1000+(co2_liq_e_demand+co2_st_e_demand*2)*Storage!$S$12*co2_density/ome_density/1000000</f>
        <v>254.51942895252085</v>
      </c>
      <c r="EW32" s="28" t="str">
        <f>IFERROR((((EK32+EM32+EP32)*(1+H2_retrieval!$R$34)+EU32)*1000000/H2_retrieval!$R$8)+h2_regen_ome,"")</f>
        <v/>
      </c>
      <c r="EX32" s="149">
        <f>(sng_invest*(M32+1/sng_lifetime)/sng_prod+lng_invest*(M32+1/lng_lifetime)/lng_prod+sng_opex+lng_opex+(sng_e_demand+lng_e_demand)*1000*$AU32/100+Carriers!$AB$18/Carriers!$AB$23*BD32+Carriers!$AB$20/Carriers!$AB$23*co2_liq_cost)*(FB32+lng_st_ab_losses)/1000000</f>
        <v>76795.794474269758</v>
      </c>
      <c r="EY32" s="86">
        <f>(sng_invest*(M32+1/sng_lifetime)/sng_prod+lng_invest*(M32+1/lng_lifetime)/lng_prod+sng_opex+lng_opex+(sng_e_demand+lng_e_demand)*1000*$AU32/100+Carriers!$AB$18/Carriers!$AB$23*BD32+Carriers!$AB$20/Carriers!$AB$23*BP32)*(FB32+lng_st_ab_losses)/1000000</f>
        <v>89905.69436537569</v>
      </c>
      <c r="EZ32" s="63">
        <f>lng_st_nl_cost*lng_st_nl_demand/1000000+(lng_st_invest*(M32+1/lng_st_lifetime+lng_st_opex)/(Storage!$U$63/1000000)+lng_st_e_demand*1000*$AU32/100)*(FB32+lng_st_ab_losses)/1000000+co2_st_nl_cost*Storage!$U$12*co2_density/lng_density/1000000+(co2_st_opex_lev+co2_st_invest_lev+co2_st_e_demand*1000*$AU32/100)*Storage!$U$12/1000000+co2_st_invest_lev*Storage!$U$12*co2_st_lifetime*M32/1000000+Carriers!$AB$18/Carriers!$AB$23*((FB32+lng_st_ab_losses)/365.25*short_st_duration_hrs/24)*(h2_short_st_invest*(1/gh2_short_st_lifetime+$M32+h2_short_st_opex)+h2_short_st_e_demand*1000*$AU32/100)/1000000+Carriers!$AB$20/Carriers!$AB$23*((FB32+lng_st_ab_losses)/365.25*short_st_duration_hrs/24)*(co2_short_st_invest*(1/co2_short_st_lifetime+$M32+co2_short_st_opex)+co2_short_st_e_demand*1000*$AU32/100)/1000000</f>
        <v>6651.855036745611</v>
      </c>
      <c r="FA32" s="63">
        <f>lng_st_nl_cost*lng_st_nl_demand/1000000+(lng_st_invest*(M32+1/lng_st_lifetime+lng_st_opex)/(Storage!$U$63/1000000)+lng_st_e_demand*1000*$AU32/100)*(FB32+lng_st_ab_losses)/1000000+Carriers!$AB$18/Carriers!$AB$23*((FB32+lng_st_ab_losses)/365.25*short_st_duration_hrs/24)*(h2_short_st_invest*(1/gh2_short_st_lifetime+$M32+h2_short_st_opex)+h2_short_st_e_demand*1000*$AU32/100)/1000000+Carriers!$AB$20/Carriers!$AB$23*((FB32+lng_st_ab_losses)/365.25*short_st_duration_hrs/24)*(co2_short_st_invest*(1/co2_short_st_lifetime+$M32+co2_short_st_opex)+co2_short_st_e_demand*1000*$AU32/100)/1000000</f>
        <v>5023.9673576825562</v>
      </c>
      <c r="FB32" s="63">
        <f>Storage!$U$57/((1-Shipping!$V$37)^($F32/24/Shipping!$V$44+0.5*Shipping!$V$59))</f>
        <v>40707231.50721889</v>
      </c>
      <c r="FC32" s="28" t="str">
        <f>IF($E32="","No Port",IF(G32="Panama","Ship cannot pass through Panama",((F32/24/Shipping!$V$44+F32/24/Shipping!$V$50+Shipping!$V$59+Shipping!$V$64)*(Shipping!$V$22+wacc_nl*Shipping!$V$19/365.25*1000000+Shipping!$V$35)+(F32/24/Shipping!$V$44*Shipping!$V$45+Shipping!$V$64*Shipping!$V$65)*IF(bunker_choice="HFO",$H32,IF(bunker_choice="hydrogen",$BD32*hfo_e_density_lhv/h2_e_density_lhv,(EX32+EZ32)*1000000/FB32*hfo_e_density_lhv/lng_e_density_lhv))+(F32/24/Shipping!$V$50*Shipping!$V$51+Shipping!$V$59*Shipping!$V$60)*IF(bunker_choice="HFO",bunker_price_ROT,IF(bunker_choice="hydrogen",$BD32*hfo_e_density_lhv/h2_e_density_lhv,(EX32+EZ32)*1000000/FB32*hfo_e_density_lhv/lng_e_density_lhv))+Shipping!$V$73+IF(G32="Panama",Shipping!$V$55,0)+IF(G32="Suez",Shipping!$V$56,0))/Shipping!$V$31*(FB32+lng_st_ab_losses)/1000000)+IF(inland_transport_to_port="hv dc grid",$BM32/100*1000*FE32,IF(inland_transport_to_port="pipeline",$BN32,0)))</f>
        <v>No Port</v>
      </c>
      <c r="FD32" s="28" t="str">
        <f t="shared" si="41"/>
        <v/>
      </c>
      <c r="FE32" s="29">
        <f>((Carriers!$AB$18/Carriers!$AB$23*alk_el_e_demand)+sng_e_demand+lng_e_demand)*(FB32+lng_st_ab_losses)/1000000+lng_st_e_demand*EZ32/1000000</f>
        <v>1091.7518920657501</v>
      </c>
      <c r="FF32" s="29">
        <f t="shared" si="28"/>
        <v>0.8126185861001558</v>
      </c>
      <c r="FG32" s="28" t="str">
        <f>IFERROR(FD32*1000000/Storage!$U$12,"")</f>
        <v/>
      </c>
      <c r="FH32" s="28" t="str">
        <f>IF($E32="","No Port",((F32/24/Shipping!$V$44+F32/24/Shipping!$V$50+Shipping!$V$59+Shipping!$V$64)*Carriers!$AB$39*wacc_nl))</f>
        <v>No Port</v>
      </c>
      <c r="FI32" s="100">
        <f>H2_retrieval!$T$25*h2_demand_kt/1000+(co2_liq_e_demand+co2_st_e_demand*2)*Storage!$U$12*co2_density/lng_density/1000000</f>
        <v>236.51371749646054</v>
      </c>
      <c r="FJ32" s="28" t="str">
        <f>IFERROR((((EX32+EZ32+FC32)*(1+H2_retrieval!$T$34)+FH32)*1000000/H2_retrieval!$T$8)+h2_regen_lng,"")</f>
        <v/>
      </c>
      <c r="FK32" s="149">
        <f>(lh2_invest*(M32+1/lh2_lifetime)/lh2_prod+lh2_opex+lh2_e_demand*1000*$AU32/100+Carriers!$AD$18/Carriers!$AD$23*BD32)*(FM32+lh2_st_ab_losses)/1000000</f>
        <v>59491.928107969274</v>
      </c>
      <c r="FL32" s="28">
        <f>lh2_st_nl_cost*lh2_st_nl_demand/1000000+(lh2_st_invest*(M32+1/lh2_st_lifetime+lh2_st_opex)/(Storage!$Y$63/1000000)+lh2_st_e_demand*1000*$AU32/100)*(FM32+lh2_st_ab_losses)/1000000+((FM32+lh2_st_ab_losses)/365.25*short_st_duration_hrs/24)*(h2_short_st_invest*(1/gh2_short_st_lifetime+$M32+h2_short_st_opex)+h2_short_st_e_demand*1000*$AU32/100)/1000000</f>
        <v>57801.240159978966</v>
      </c>
      <c r="FM32" s="63">
        <f>Storage!$Y$57/((1-Shipping!$Z$37)^($F32/24/Shipping!$Z$44+0.5*Shipping!$Z$59))</f>
        <v>13659984.090217989</v>
      </c>
      <c r="FN32" s="28" t="str">
        <f>IF($E32="","No Port",IF(G32="Panama","Ship cannot pass through Panama",((F32/24/Shipping!$Z$44+F32/24/Shipping!$Z$50+Shipping!$Z$59+Shipping!$Z$64)*(Shipping!$Z$22+wacc_nl*Shipping!$Z$19/365.25*1000000+Shipping!$Z$35)+(F32/24/Shipping!$Z$44*Shipping!$Z$45+Shipping!$Z$64*Shipping!$Z$65)*IF(bunker_choice="HFO",$H32,IF(bunker_choice="hydrogen",$BD32*hfo_e_density_lhv/h2_e_density_lhv,(FK32+FL32)*1000000/FM32*hfo_e_density_lhv/lh2_e_density_lhv))+(F32/24/Shipping!$Z$50*Shipping!$Z$51+Shipping!$Z$59*Shipping!$Z$60)*IF(bunker_choice="HFO",bunker_price_ROT,IF(bunker_choice="hydrogen",$BD32*hfo_e_density_lhv/h2_e_density_lhv,(FK32+FL32)*1000000/FM32*hfo_e_density_lhv/lh2_e_density_lhv))+Shipping!$Z$73+IF(G32="Panama",Shipping!$Z$55,0)+IF(G32="Suez",Shipping!$Z$56,0))/Shipping!$Z$31*(FM32+lh2_st_ab_losses)/1000000)+IF(inland_transport_to_port="hv dc grid",$BM32/100*1000*FP32,IF(inland_transport_to_port="pipeline",$BN32,0)))</f>
        <v>No Port</v>
      </c>
      <c r="FO32" s="28" t="str">
        <f t="shared" si="42"/>
        <v/>
      </c>
      <c r="FP32" s="29">
        <f>((Carriers!$AD$18/Carriers!$AD$23*alk_el_e_demand)+lh2_e_demand)*(FM32+lh2_st_ab_losses)/1000000+lh2_st_e_demand*FM32/1000000</f>
        <v>791.60233245091877</v>
      </c>
      <c r="FQ32" s="100">
        <f t="shared" si="29"/>
        <v>1.361902463475859</v>
      </c>
      <c r="FR32" s="28" t="str">
        <f>IFERROR(FO32*1000000/Storage!$Y$12,"")</f>
        <v/>
      </c>
      <c r="FS32" s="100">
        <f>H2_retrieval!$V$25*h2_demand_kt/1000</f>
        <v>8.16</v>
      </c>
      <c r="FT32" s="28" t="str">
        <f>IFERROR(FR32*(1+H2_retrieval!$V$34)/Carrier_properties!$U$7+H2_retrieval!$V$38,"")</f>
        <v/>
      </c>
      <c r="FU32" s="12"/>
      <c r="FV32" s="24">
        <f t="shared" si="30"/>
        <v>2.71217413736353</v>
      </c>
      <c r="FW32" s="24" t="str">
        <f t="shared" si="43"/>
        <v/>
      </c>
      <c r="FX32" s="24" t="str">
        <f t="shared" si="44"/>
        <v/>
      </c>
      <c r="FY32" s="24">
        <f t="shared" si="45"/>
        <v>2.71217413736353</v>
      </c>
      <c r="FZ32" s="28">
        <f t="shared" si="46"/>
        <v>3289.4346258186565</v>
      </c>
      <c r="GA32" s="28">
        <f t="shared" si="47"/>
        <v>742.21390052897766</v>
      </c>
      <c r="GB32" s="28">
        <f t="shared" si="48"/>
        <v>467.35407049221459</v>
      </c>
      <c r="GC32" s="28">
        <f t="shared" si="49"/>
        <v>828.9114142319637</v>
      </c>
      <c r="GD32" s="28">
        <f t="shared" si="50"/>
        <v>1206.2744918468265</v>
      </c>
      <c r="GE32" s="28">
        <f t="shared" si="51"/>
        <v>2101.0345151324464</v>
      </c>
      <c r="GF32" s="28">
        <f t="shared" si="52"/>
        <v>2208.5927005237904</v>
      </c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</row>
    <row r="33" spans="1:214" x14ac:dyDescent="0.2">
      <c r="A33" s="40" t="s">
        <v>48</v>
      </c>
      <c r="B33" s="12">
        <v>4248</v>
      </c>
      <c r="C33" s="12">
        <v>0.9</v>
      </c>
      <c r="D33" s="12">
        <f t="shared" si="0"/>
        <v>9.9999999999999978E-2</v>
      </c>
      <c r="E33" s="12"/>
      <c r="F33" s="12"/>
      <c r="G33" s="12"/>
      <c r="H33" s="16">
        <f t="shared" si="1"/>
        <v>382.75862068965517</v>
      </c>
      <c r="I33" s="16">
        <v>1260000</v>
      </c>
      <c r="J33" s="16">
        <f t="shared" si="31"/>
        <v>633.30123684671287</v>
      </c>
      <c r="K33" s="16" t="str">
        <f t="shared" si="32"/>
        <v/>
      </c>
      <c r="L33" s="103">
        <v>4.4999999999999998E-2</v>
      </c>
      <c r="M33" s="103">
        <f t="shared" si="2"/>
        <v>7.3254165025812779E-2</v>
      </c>
      <c r="N33" s="122">
        <f t="shared" si="33"/>
        <v>0.75</v>
      </c>
      <c r="O33" s="46">
        <f t="shared" si="3"/>
        <v>40</v>
      </c>
      <c r="P33" s="70">
        <f t="array" ref="P33">SUMPRODUCT(IF(Solar_data!A$4:A$777=A33,Solar_data!C$4:C$777),IF(Solar_data!A$4:A$777=A33,Solar_data!I$4:I$777))/SUMIF(Solar_data!A$4:A$777,A33,Solar_data!I$4:I$777)</f>
        <v>2378.7809995180592</v>
      </c>
      <c r="Q33" s="16">
        <f t="array" ref="Q33">MAX(IF(Solar_data!$A$777:'Solar_data'!$A$4=Country_details!$A33,Solar_data!$C$4:'Solar_data'!$C$777))</f>
        <v>2646.25</v>
      </c>
      <c r="R33" s="16">
        <f t="array" ref="R33">MIN(IF(Solar_data!$A$777:'Solar_data'!$A$4=Country_details!A33,Solar_data!$C$4:'Solar_data'!$C$777))</f>
        <v>2098.75</v>
      </c>
      <c r="S33" s="24">
        <f t="shared" si="4"/>
        <v>1.5616135380261003</v>
      </c>
      <c r="T33" s="24">
        <f t="shared" si="5"/>
        <v>1.4037738735367631</v>
      </c>
      <c r="U33" s="24">
        <f t="shared" si="6"/>
        <v>1.7699757535898315</v>
      </c>
      <c r="V33" s="16">
        <f t="array" ref="V33">SUM(IF(Solar_data!$A$777:'Solar_data'!$A$4=Country_details!$A33,Solar_data!$I$4:'Solar_data'!$I$777))</f>
        <v>10176.653450622223</v>
      </c>
      <c r="W33" s="148"/>
      <c r="X33" s="16" t="str">
        <f>IFERROR(INDEX(Onshore_wind_data!$J$5:'Onshore_wind_data'!$J$221,MATCH(A33,Onshore_wind_data!$B$5:'Onshore_wind_data'!$B$221,0)),"")</f>
        <v/>
      </c>
      <c r="Y33" s="16" t="str">
        <f>IFERROR(INDEX(Onshore_wind_data!$K$5:'Onshore_wind_data'!$K$221,MATCH(A33,Onshore_wind_data!$B$5:'Onshore_wind_data'!$B$221,0)),"")</f>
        <v/>
      </c>
      <c r="Z33" s="16" t="str">
        <f>IFERROR(INDEX(Onshore_wind_data!$L$5:'Onshore_wind_data'!$L$221,MATCH(A33,Onshore_wind_data!$B$5:'Onshore_wind_data'!$B$221,0)),"")</f>
        <v/>
      </c>
      <c r="AA33" s="24" t="str">
        <f t="shared" si="7"/>
        <v/>
      </c>
      <c r="AB33" s="24" t="str">
        <f t="shared" si="8"/>
        <v/>
      </c>
      <c r="AC33" s="24" t="str">
        <f t="shared" si="9"/>
        <v/>
      </c>
      <c r="AD33" s="16">
        <f>IFERROR(INDEX(Onshore_wind_data!$I$5:'Onshore_wind_data'!$I$221,MATCH(A33,Onshore_wind_data!$B$5:'Onshore_wind_data'!$B$221,0)),"")</f>
        <v>0</v>
      </c>
      <c r="AE33" s="148"/>
      <c r="AF33" s="16" t="str">
        <f>INDEX(Offshore_wind_data!$AA$7:$AA$192,MATCH(Country_details!A33,Offshore_wind_data!$A$7:$A$192,0))</f>
        <v/>
      </c>
      <c r="AG33" s="16" t="str">
        <f>INDEX(Offshore_wind_data!$Y$7:$Y$192,MATCH(Country_details!A33,Offshore_wind_data!$A$7:$A$192,0))</f>
        <v/>
      </c>
      <c r="AH33" s="16" t="str">
        <f>INDEX(Offshore_wind_data!$Z$7:$Z$192,MATCH(Country_details!A33,Offshore_wind_data!$A$7:$A$192,0))</f>
        <v/>
      </c>
      <c r="AI33" s="24" t="str">
        <f t="shared" si="10"/>
        <v/>
      </c>
      <c r="AJ33" s="24" t="str">
        <f t="shared" si="11"/>
        <v/>
      </c>
      <c r="AK33" s="24" t="str">
        <f t="shared" si="12"/>
        <v/>
      </c>
      <c r="AL33" s="16">
        <f>INDEX(Offshore_wind_data!$W$7:$W$191,MATCH(A33,Offshore_wind_data!$A$7:$A$191,0))</f>
        <v>0</v>
      </c>
      <c r="AM33" s="148"/>
      <c r="AN33" s="12">
        <v>14.9</v>
      </c>
      <c r="AO33" s="12">
        <v>33.6</v>
      </c>
      <c r="AP33" s="34"/>
      <c r="AQ33" s="15">
        <f t="shared" si="13"/>
        <v>50</v>
      </c>
      <c r="AR33" s="12">
        <f t="shared" si="34"/>
        <v>1680</v>
      </c>
      <c r="AS33" s="16">
        <f t="shared" si="35"/>
        <v>8496.6534506222233</v>
      </c>
      <c r="AT33" s="12"/>
      <c r="AU33" s="24">
        <f t="shared" si="14"/>
        <v>1.5616135380261003</v>
      </c>
      <c r="AV33" s="16">
        <f t="shared" si="15"/>
        <v>2378.7809995180592</v>
      </c>
      <c r="AW33" s="149">
        <f>HV_DC_Grid!$E$3/(1-AX33)*AU33/100*1000</f>
        <v>1722.7145767362406</v>
      </c>
      <c r="AX33" s="31">
        <f>(1-(1-HV_DC_Grid!$E$25)^(B33*C33*HV_DC_Grid!$E$8/1000))+(1-(1-HV_DC_Grid!$E$26)^(B33*D33*HV_DC_Grid!$E$8/1000))+HV_DC_Grid!$E$35*HV_DC_Grid!$E$28</f>
        <v>9.3515804002398104E-2</v>
      </c>
      <c r="AY33" s="28">
        <f>B33*nl_e_demand/IF(hv_dc_flh="electricity FLH",$AV33,hv_dc_custom)*1000*hv_dc_capacity_multiplier*hv_dc_length_multiplier*1000*(C33*hv_dc_overhead_invest*(hv_dc_overhead_opex+M33+1/hv_dc_lifetime)+D33*hv_dc_sea_invest*(hv_dc_sea_opex+M33+1/hv_dc_lifetime))/1000000+HV_DC_Grid!$E$10*1000*hv_dc_station_invest*hv_dc_station_number*(hv_dc_station_opex+M33+1/hv_dc_lifetime)/1000000</f>
        <v>3213.1350446772431</v>
      </c>
      <c r="AZ33" s="24">
        <f>(AW33+AY33)/(HV_DC_Grid!$E$3*1000)*100</f>
        <v>4.9358496214134835</v>
      </c>
      <c r="BA33" s="28">
        <f>MIN(((Carriers!$F$26+Carriers!$F$27)*(alk_el_opex+wacc_nl+1/alk_el_lifetime)+IF(hv_dc_flh="electricity FLH",$AV33,hv_dc_custom)*AZ33/100)/(IF(hv_dc_flh="electricity FLH",$AV33,hv_dc_custom)/alk_el_e_demand)*1000,((Carriers!$H$26+Carriers!$H$27)*(pem_el_opex+wacc_nl+1/pem_el_lifetime)+IF(hv_dc_flh="electricity FLH",$AV33,hv_dc_custom)*AZ33/100)/(IF(hv_dc_flh="electricity FLH",$AV33,hv_dc_custom)/pem_el_e_demand)*1000)</f>
        <v>2859.5923603872502</v>
      </c>
      <c r="BB33" s="12"/>
      <c r="BC33" s="12"/>
      <c r="BD33" s="149">
        <f>MIN(((Carriers!$F$26+Carriers!$F$27)*(alk_el_opex+M33+1/alk_el_lifetime)+$AV33*$AU33/100)/($AV33/alk_el_e_demand)*1000,((Carriers!$H$26+Carriers!$H$27)*(pem_el_opex+M33+1/pem_el_lifetime)+$AV33*$AU33/100)/($AV33/pem_el_e_demand)*1000)</f>
        <v>1834.5678419542398</v>
      </c>
      <c r="BE33" s="28">
        <f>Storage!$AC$50</f>
        <v>8.1664117557772418</v>
      </c>
      <c r="BF33" s="28">
        <f>((Pipeline!$D$22*Pipeline!$D$24*B33*(pipeline_opex+M33+1/pipeline_lifetime))*(Pipeline!$D$39/Pipeline!$D$3)+(Pipeline!$D$57*(pipeline_comp_opex+M33+1/pipeline_comp_lifetime)+Pipeline!$D$47*1000*Pipeline!$D$45*$AU33/100/1000000))*(Pipeline!$D$75/Pipeline!$D$45)</f>
        <v>6960.6227077729272</v>
      </c>
      <c r="BG33" s="28">
        <f>BD33+(BE33+BF33)/Storage!$AC$12*1000000</f>
        <v>2346.9788066254682</v>
      </c>
      <c r="BH33" s="28"/>
      <c r="BI33" s="28"/>
      <c r="BJ33" s="28" t="str">
        <f>IF($E33="","No Port",BK33*HV_DC_Grid!$E$3*$AU33/100*1000)</f>
        <v>No Port</v>
      </c>
      <c r="BK33" s="31" t="str">
        <f>IFERROR((1-(1-HV_DC_Grid!$E$25)^(K33*HV_DC_Grid!$E$8/1000))+HV_DC_Grid!$E$35*HV_DC_Grid!$E$28,"")</f>
        <v/>
      </c>
      <c r="BL33" s="28" t="str">
        <f>IFERROR(K33*nl_e_demand/IF(hv_dc_flh="electricity FLH",$AV33,hv_dc_custom)*1000*hv_dc_capacity_multiplier*hv_dc_length_multiplier*1000*(hv_dc_overhead_invest*(hv_dc_overhead_opex+M33+1/hv_dc_lifetime))/1000000+HV_DC_Grid!$E$10*1000*hv_dc_station_invest*hv_dc_station_number*(hv_dc_station_opex+M33+1/hv_dc_lifetime)/1000000,"")</f>
        <v/>
      </c>
      <c r="BM33" s="29" t="str">
        <f>IFERROR((BJ33+BL33)/(HV_DC_Grid!$E$3*1000)*100,"")</f>
        <v/>
      </c>
      <c r="BN33" s="28" t="str">
        <f>IFERROR(((Pipeline!$D$22*Pipeline!$D$24*K33*(pipeline_opex+M33+1/pipeline_lifetime))*(Pipeline!$D$39/Pipeline!$D$3)+(Pipeline!$D$57*(pipeline_comp_opex+M33+1/pipeline_comp_lifetime)+Pipeline!$D$47*1000*Pipeline!$D$45*S33/100/1000000))*(Pipeline!$D$75/Pipeline!$D$45),"")</f>
        <v/>
      </c>
      <c r="BO33" s="28"/>
      <c r="BP33" s="150">
        <f t="shared" si="16"/>
        <v>81.715956972049938</v>
      </c>
      <c r="BQ33" s="34">
        <f t="shared" si="17"/>
        <v>24.569129633955793</v>
      </c>
      <c r="BR33" s="151">
        <f>(nh3_invest*(M33+1/nh3_lifetime)/nh3_prod+nh3_opex+nh3_e_demand*1000*$AU33/100+Carriers!$N$18/Carriers!$N$23*BD33+Carriers!$N$19/Carriers!$N$23*BQ33)*(BT33+nh3_st_ab_losses)/1000000</f>
        <v>33087.542163756378</v>
      </c>
      <c r="BS33" s="63">
        <f>nh3_st_nl_cost*nh3_st_nl_demand/1000000+(nh3_st_invest*(M33+1/nh3_st_lifetime+nh3_st_opex)/(Storage!$G$63/1000000)+nh3_st_e_demand*1000*$AU33/100)*(BT33+nh3_st_ab_losses)/1000000+Carriers!$N$18/Carriers!$N$23*((BT33+nh3_st_ab_losses)/365.25*short_st_duration_hrs/24)*(h2_short_st_invest*(1/gh2_short_st_lifetime+$M33+h2_short_st_opex)+h2_short_st_e_demand*1000*$AU33/100)/1000000+Carriers!$N$19/Carriers!$N$23*((BT33+nh3_st_ab_losses)/365.25*short_st_duration_hrs/24)*(n2_short_st_invest*(1/n2_short_st_lifetime+$M33+n2_short_st_opex)+n2_short_st_e_demand*1000*$AU33/100)/1000000</f>
        <v>2765.340423354874</v>
      </c>
      <c r="BT33" s="63">
        <f>Storage!$G$57/((1-Shipping!$H$37)^(F33/24/Shipping!$H$44+0.5*Shipping!$H$59))</f>
        <v>76857210.785724297</v>
      </c>
      <c r="BU33" s="63" t="str">
        <f>IF($E33="","No Port",((F33/24/Shipping!$H$44+F33/24/Shipping!$H$50+Shipping!$H$59+Shipping!$H$64)*(Shipping!$H$22+wacc_nl*Shipping!$H$19/365.25*1000000+Shipping!$H$35)+(F33/24/Shipping!$H$44*Shipping!$H$45+Shipping!$H$64*Shipping!$H$65)*IF(bunker_choice="HFO",H33,IF(bunker_choice="hydrogen",BD33*hfo_e_density_lhv/h2_e_density_lhv,(BR33+BS33)*1000000/BT33*hfo_e_density_lhv/nh3_e_density_lhv))+(F33/24/Shipping!$H$50*Shipping!$H$51+Shipping!$H$59*Shipping!$H$60)*IF(bunker_choice="HFO",bunker_price_ROT,IF(bunker_choice="hydrogen",BD33*hfo_e_density_lhv/h2_e_density_lhv,(BR33+BS33)*1000000/BT33*hfo_e_density_lhv/nh3_e_density_lhv))+Shipping!$H$73+IF(G33="Panama",Shipping!$H$55,0)+IF(G33="Suez",Shipping!$H$56,0))/Shipping!$H$31*BT33/1000000+IF(inland_transport_to_port="hv dc grid",$BM33/100*1000*BW33,IF(inland_transport_to_port="pipeline",$BN33,0)))</f>
        <v>No Port</v>
      </c>
      <c r="BV33" s="63" t="str">
        <f t="shared" si="18"/>
        <v/>
      </c>
      <c r="BW33" s="33">
        <f>((Carriers!$N$18/Carriers!$N$23*alk_el_e_demand)+(Carriers!$N$19/Carriers!$N$23*n2_e_demand)+nh3_e_demand)*(BT33+nh3_st_ab_losses)/1000000+nh3_st_e_demand*BT33/1000000</f>
        <v>759.00171168026975</v>
      </c>
      <c r="BX33" s="33">
        <f t="shared" si="19"/>
        <v>0.76626754477640768</v>
      </c>
      <c r="BY33" s="63" t="str">
        <f>IFERROR(BV33*1000000/Storage!$G$12,"")</f>
        <v/>
      </c>
      <c r="BZ33" s="63">
        <f>H2_retrieval!$F$25*h2_demand_kt/1000</f>
        <v>80</v>
      </c>
      <c r="CA33" s="63" t="str">
        <f>IFERROR(BY33*(1+H2_retrieval!$F$34)/Carrier_properties!$E$7+H2_retrieval!$F$38,"")</f>
        <v/>
      </c>
      <c r="CB33" s="149">
        <f>(FA_invest*(M33+1/FA_lifetime)/FA_prod+FA_opex+FA_e_demand*1000*$AU33/100+Carriers!$P$18/Carriers!$P$23*BD33+Carriers!$P$20/Carriers!$P$23*co2_liq_cost)*(CF33+FA_st_ab_losses)/1000000</f>
        <v>68674.474560925519</v>
      </c>
      <c r="CC33" s="86">
        <f>(FA_invest*(M33+1/FA_lifetime)/FA_prod+FA_opex+FA_e_demand*1000*$AU33/100+Carriers!$P$18/Carriers!$P$23*BD33+Carriers!$P$20/Carriers!$P$23*BP33)*(CF33+FA_st_ab_losses)/1000000</f>
        <v>87862.298244807142</v>
      </c>
      <c r="CD33" s="63">
        <f>FA_st_nl_cost*FA_st_nl_demand/1000000+(FA_st_invest*(M33+1/FA_st_lifetime+FA_st_opex)/(Storage!$I$63/1000000)+FA_st_e_demand*1000*$AU33/100)*(CF33+FA_st_ab_losses)/1000000+co2_st_nl_cost*Storage!$I$12*co2_density/FA_density/1000000+(co2_st_opex_lev+co2_st_invest_lev+co2_st_e_demand*1000*$AU33/100)*Storage!$I$12/1000000+co2_st_invest_lev*Storage!$I$12*co2_st_lifetime*M33/1000000+Carriers!$P$18/Carriers!$P$23*((CF33+FA_st_ab_losses)/365.25*short_st_duration_hrs/24)*(h2_short_st_invest*(1/gh2_short_st_lifetime+$M33+h2_short_st_opex)+h2_short_st_e_demand*1000*$AU33/100)/1000000+Carriers!$P$20/Carriers!$P$23*((CF33+FA_st_ab_losses)/365.25*short_st_duration_hrs/24)*(co2_short_st_invest*(1/co2_short_st_lifetime+$M33+co2_short_st_opex)+co2_short_st_e_demand*1000*$AU33/100)/1000000</f>
        <v>9759.2890578852785</v>
      </c>
      <c r="CE33" s="63">
        <f>FA_st_nl_cost*FA_st_nl_demand/1000000+(FA_st_invest*(M33+1/FA_st_lifetime+FA_st_opex)/(Storage!$I$63/1000000)+FA_st_e_demand*1000*$AU33/100)*(CF33+FA_st_ab_losses)/1000000+Carriers!$P$18/Carriers!$P$23*((CF33+FA_st_ab_losses)/365.25*short_st_duration_hrs/24)*(h2_short_st_invest*(1/gh2_short_st_lifetime+$M33+h2_short_st_opex)+h2_short_st_e_demand*1000*$AU33/100)/1000000+Carriers!$P$20/Carriers!$P$23*((CF33+FA_st_ab_losses)/365.25*short_st_duration_hrs/24)*(co2_short_st_invest*(1/co2_short_st_lifetime+$M33+co2_short_st_opex)+co2_short_st_e_demand*1000*$AU33/100)/1000000</f>
        <v>4174.3482091239075</v>
      </c>
      <c r="CF33" s="63">
        <f>Storage!$I$57/((1-Shipping!$J$37)^($F33/24/Shipping!$J$44+0.5*Shipping!$J$59))</f>
        <v>310425396.82539684</v>
      </c>
      <c r="CG33" s="28" t="str">
        <f>IF($E33="","No Port",((F33/24/Shipping!$J$44+F33/24/Shipping!$J$50+Shipping!$J$59+Shipping!$J$64)*(Shipping!$J$22+wacc_nl*Shipping!$J$19/365.25*1000000+Shipping!$J$35)+(F33/24/Shipping!$J$44*Shipping!$J$45+Shipping!$J$64*Shipping!$J$65)*IF(bunker_choice="HFO",$H33,IF(bunker_choice="hydrogen",$BD33*hfo_e_density_lhv/h2_e_density_lhv,(CB33+CD33)*1000000/CF33*hfo_e_density_lhv/FA_e_density_lhv))+(F33/24/Shipping!$J$50*Shipping!$J$51+Shipping!$J$59*Shipping!$J$60)*IF(bunker_choice="HFO",bunker_price_ROT,IF(bunker_choice="hydrogen",$BD33*hfo_e_density_lhv/h2_e_density_lhv,(CB33+CD33)*1000000/CF33*hfo_e_density_lhv/FA_e_density_lhv))+Shipping!$J$73+IF(G33="Panama",Shipping!$J$55,0)+IF(G33="Suez",Shipping!$J$56,0))/Shipping!$J$31*CF33/1000000+IF(inland_transport_to_port="hv dc grid",$BM33/100*1000*CI33,IF(inland_transport_to_port="pipeline",$BN33,0)))</f>
        <v>No Port</v>
      </c>
      <c r="CH33" s="28" t="str">
        <f t="shared" si="36"/>
        <v/>
      </c>
      <c r="CI33" s="29">
        <f>((Carriers!$P$18/Carriers!$P$23*alk_el_e_demand)+FA_e_demand)*(CF33+FA_st_ab_losses)/1000000+FA_st_e_demand*CF33/1000000</f>
        <v>1897.8881241622576</v>
      </c>
      <c r="CJ33" s="29">
        <f t="shared" si="20"/>
        <v>0.46563809523809524</v>
      </c>
      <c r="CK33" s="28" t="str">
        <f>IFERROR(CH33*1000000/Storage!$I$12,"")</f>
        <v/>
      </c>
      <c r="CL33" s="28" t="str">
        <f>IF($E33="","No Port",((F33/24/Shipping!$J$44+F33/24/Shipping!$J$50+Shipping!$J$59+Shipping!$J$64)*Carriers!$P$39*wacc_nl))</f>
        <v>No Port</v>
      </c>
      <c r="CM33" s="29">
        <f>H2_retrieval!$H$25*h2_demand_kt/1000+(co2_liq_e_demand+co2_st_e_demand*2)*Storage!$I$12*co2_density/FA_density/1000000</f>
        <v>94.204253879484654</v>
      </c>
      <c r="CN33" s="28" t="str">
        <f>IFERROR((((CB33+CD33+CG33)*(1+H2_retrieval!$H$34)+CL33)*1000000/H2_retrieval!$H$8)+h2_regen_fa,"")</f>
        <v/>
      </c>
      <c r="CO33" s="149">
        <f>(meoh_invest*(M33+1/meoh_lifetime)/meoh_prod+meoh_opex+meoh_e_demand*1000*$AU33/100+Carriers!$R$18/Carriers!$R$23*BD33+Carriers!$R$20/Carriers!$R$23*co2_liq_cost)*(CS33+meoh_st_ab_losses)/1000000</f>
        <v>40655.911417534757</v>
      </c>
      <c r="CP33" s="86">
        <f>(meoh_invest*(M33+1/meoh_lifetime)/meoh_prod+meoh_opex+meoh_e_demand*1000*$AU33/100+Carriers!$R$18/Carriers!$R$23*BD33+Carriers!$R$20/Carriers!$R$23*BP33)*(CS33+meoh_st_ab_losses)/1000000</f>
        <v>51919.756283327508</v>
      </c>
      <c r="CQ33" s="63">
        <f>meoh_st_nl_cost*meoh_st_nl_demand/1000000+(meoh_st_invest*(M33+1/meoh_st_lifetime+meoh_st_opex)/(Storage!$K$63/1000000)+meoh_st_e_demand*1000*$AU33/100)*(CS33+meoh_st_ab_losses)/1000000+co2_st_nl_cost*Storage!$K$12*co2_density/meoh_density/1000000+(co2_st_opex_lev+co2_st_invest_lev+co2_st_e_demand*1000*IFERROR(MIN(S33,AA33,AI33),S33)/100)*Storage!$K$12/1000000+co2_st_invest_lev*Storage!$K$12*co2_st_lifetime*M33/1000000+Carriers!$R$18/Carriers!$R$23*((CS33+meoh_st_ab_losses)/365.25*short_st_duration_hrs/24)*(h2_short_st_invest*(1/gh2_short_st_lifetime+$M33+h2_short_st_opex)+h2_short_st_e_demand*1000*$AU33/100)/1000000+Carriers!$R$20/Carriers!$R$23*((CF33+meoh_st_ab_losses)/365.25*short_st_duration_hrs/24)*(co2_short_st_invest*(1/co2_short_st_lifetime+$M33+co2_short_st_opex)+co2_short_st_e_demand*1000*$AU33/100)/1000000</f>
        <v>4128.9843718146994</v>
      </c>
      <c r="CR33" s="63">
        <f>meoh_st_nl_cost*meoh_st_nl_demand/1000000+(meoh_st_invest*(M33+1/meoh_st_lifetime+meoh_st_opex)/(Storage!$K$63/1000000)+meoh_st_e_demand*1000*$AU33/100)*(CS33+meoh_st_ab_losses)/1000000+Carriers!$R$18/Carriers!$R$23*((CS33+meoh_st_ab_losses)/365.25*short_st_duration_hrs/24)*(h2_short_st_invest*(1/gh2_short_st_lifetime+$M33+h2_short_st_opex)+h2_short_st_e_demand*1000*$AU33/100)/1000000+Carriers!$R$20/Carriers!$R$23*((CF33+meoh_st_ab_losses)/365.25*short_st_duration_hrs/24)*(co2_short_st_invest*(1/co2_short_st_lifetime+$M33+co2_short_st_opex)+co2_short_st_e_demand*1000*$AU33/100)/1000000</f>
        <v>1586.1323476946843</v>
      </c>
      <c r="CS33" s="63">
        <f>Storage!$K$57/((1-Shipping!$L$37)^($F33/24/Shipping!$L$44+0.5*Shipping!$L$59))</f>
        <v>108044444.44444443</v>
      </c>
      <c r="CT33" s="28" t="str">
        <f>IF($E33="","No Port",IF(AND(ship_choice="VLCC",G33="Panama"),"Ship cannot pass through Panama",IF(ship_choice="VLCC",((F33/24/Shipping!$AD$44+F33/24/Shipping!$AD$50+Shipping!$AD$59+Shipping!$AD$64)*(Shipping!$AD$22+wacc_nl*Shipping!$AD$19/365.25*1000000+Shipping!$AD$35)+(F33/24/Shipping!$AD$44*Shipping!$AD$45+Shipping!$AD$64*Shipping!$AD$65)*IF(bunker_choice="HFO",$H33,IF(bunker_choice="hydrogen",$BD33*hfo_e_density_lhv/h2_e_density_lhv,(CO33+CQ33)*1000000/CS33*hfo_e_density_lhv/meoh_e_density_lhv))+(F33/24/Shipping!$AD$50*Shipping!$AD$51+Shipping!$AD$59*Shipping!$AD$60)*IF(bunker_choice="HFO",bunker_price_ROT,IF(bunker_choice="hydrogen",$BD33*hfo_e_density_lhv/h2_e_density_lhv,(CO33+CQ33)*1000000/CS33*hfo_e_density_lhv/meoh_e_density_lhv))+Shipping!$AD$73+IF(G33="Panama",Shipping!$AD$55,0)+IF(G33="Suez",Shipping!$AD$56,0))/Shipping!$AD$31*CS33/1000000+IF(inland_transport_to_port="hv dc grid",$BM33/100*1000*CV33,IF(inland_transport_to_port="pipeline",$BN33,0)),((F33/24/Shipping!$L$44+F33/24/Shipping!$L$50+Shipping!$L$59+Shipping!$L$64)*(Shipping!$L$22+wacc_nl*Shipping!$L$19/365.25*1000000+Shipping!$L$35)+(F33/24/Shipping!$L$44*Shipping!$L$45+Shipping!$L$64*Shipping!$L$65)*IF(bunker_choice="HFO",$H33,IF(bunker_choice="hydrogen",$BD33*hfo_e_density_lhv/h2_e_density_lhv,(CO33+CQ33)*1000000/CS33*hfo_e_density_lhv/meoh_e_density_lhv))+(F33/24/Shipping!$L$50*Shipping!$L$51+Shipping!$L$59*Shipping!$L$60)*IF(bunker_choice="HFO",bunker_price_ROT,IF(bunker_choice="hydrogen",$BD33*hfo_e_density_lhv/h2_e_density_lhv,(CO33+CQ33)*1000000/CS33*hfo_e_density_lhv/meoh_e_density_lhv))+Shipping!$L$73+IF(G33="Panama",Shipping!$L$55,0)+IF(G33="Suez",Shipping!$L$56,0))/Shipping!$L$31*CS33/1000000+IF(inland_transport_to_port="hv dc grid",$BM33/100*1000*CV33,IF(inland_transport_to_port="pipeline",$BN33,0)))))</f>
        <v>No Port</v>
      </c>
      <c r="CU33" s="28" t="str">
        <f t="shared" si="37"/>
        <v/>
      </c>
      <c r="CV33" s="29">
        <f>((Carriers!$R$18/Carriers!$R$23*alk_el_e_demand)+meoh_e_demand)*(CS33+meoh_st_ab_losses)/1000000+meoh_st_e_demand*CS33/1000000</f>
        <v>1119.9789871111109</v>
      </c>
      <c r="CW33" s="29">
        <f t="shared" si="21"/>
        <v>0.16206666666666666</v>
      </c>
      <c r="CX33" s="28" t="str">
        <f>IFERROR(CU33*1000000/Storage!$K$12,"")</f>
        <v/>
      </c>
      <c r="CY33" s="28" t="str">
        <f>IF($E33="","No Port",((F33/24/Shipping!$L$44+F33/24/Shipping!$L$50+Shipping!$L$59+Shipping!$L$64)*Carriers!$R$39*wacc_nl))</f>
        <v>No Port</v>
      </c>
      <c r="CZ33" s="29">
        <f>H2_retrieval!$J$25*h2_demand_kt/1000+(co2_liq_e_demand+co2_st_e_demand*2)*Storage!$K$12*co2_density/meoh_density/1000000</f>
        <v>251.05079059698966</v>
      </c>
      <c r="DA33" s="28" t="str">
        <f>IFERROR((((CO33+CQ33+CT33)*(1+H2_retrieval!$J$34)+CY33)*1000000/H2_retrieval!$J$8)+h2_regen_meoh,"")</f>
        <v/>
      </c>
      <c r="DB33" s="149">
        <f>(DBT_invest*(M33+1/DBT_lifetime)/DBT_prod+DBT_opex+DBT_e_demand*1000*$AU33/100+Carriers!$T$18/Carriers!$T$23*BD33)*(DD33+DBT_st_ab_losses)/1000000</f>
        <v>27589.390093466711</v>
      </c>
      <c r="DC33" s="28">
        <f>2*(DBT_st_nl_cost*DBT_st_nl_demand/1000000+(DBT_st_invest*(M33+1/DBT_st_lifetime+DBT_st_opex)/(Storage!$M$63/1000000)+DBT_st_e_demand*1000*$AU33/100)*(DD33+DBT_st_ab_losses)/1000000)+Carriers!$T$18/Carriers!$T$23*((DD33+DBT_st_ab_losses)/365.25*short_st_duration_hrs/24)*(h2_short_st_invest*(1/gh2_short_st_lifetime+$M33+h2_short_st_opex)+h2_short_st_e_demand*1000*$AU33/100)/1000000</f>
        <v>3400.0793522735421</v>
      </c>
      <c r="DD33" s="63">
        <f>Storage!$M$57/((1-Shipping!$N$37)^($F33/24/Shipping!$N$44+0.5*Shipping!$N$59))</f>
        <v>219354838.70967743</v>
      </c>
      <c r="DE33" s="28" t="str">
        <f>IF($E33="","No Port",IF(AND(ship_choice="VLCC",G33="Panama"),"Ship cannot pass through Panama",IF(ship_choice="VLCC",((F33/24/Shipping!$AD$44+F33/24/Shipping!$AD$50+Shipping!$AD$59+Shipping!$AD$64)*(Shipping!$AD$22+wacc_nl*Shipping!$AD$19/365.25*1000000+Shipping!$AD$35)+(F33/24/Shipping!$AD$44*Shipping!$AD$45+Shipping!$AD$64*Shipping!$AD$65)*IF(bunker_choice="HFO",$H33,IF(bunker_choice="hydrogen",$BD33*hfo_e_density_lhv/h2_e_density_lhv,(DB33+DC33)*1000000/DD33*hfo_e_density_lhv/DBT_e_density_lhv))+(F33/24/Shipping!$AD$50*Shipping!$AD$51+Shipping!$AD$59*Shipping!$AD$60)*IF(bunker_choice="HFO",bunker_price_ROT,IF(bunker_choice="hydrogen",$BD33*hfo_e_density_lhv/h2_e_density_lhv,(DB33+DC33)*1000000/DD33*hfo_e_density_lhv/DBT_e_density_lhv))+Shipping!$AD$73+IF(G33="Panama",Shipping!$AD$55,0)+IF(G33="Suez",Shipping!$AD$56,0))/Shipping!$AD$31*DD33/1000000+IF(inland_transport_to_port="hv dc grid",$BM33/100*1000*DG33,IF(inland_transport_to_port="pipeline",$BN33,0)),((F33/24/Shipping!$N$44+F33/24/Shipping!$N$50+Shipping!$N$59+Shipping!$N$64)*(Shipping!$N$22+wacc_nl*Shipping!$N$19/365.25*1000000+Shipping!$N$35)+(F33/24/Shipping!$N$44*Shipping!$N$45+Shipping!$N$64*Shipping!$N$65)*IF(bunker_choice="HFO",$H33,IF(bunker_choice="hydrogen",$BD33*hfo_e_density_lhv/h2_e_density_lhv,(DB33+DC33)*1000000/DD33*hfo_e_density_lhv/DBT_e_density_lhv))+(F33/24/Shipping!$N$50*Shipping!$N$51+Shipping!$N$59*Shipping!$N$60)*IF(bunker_choice="HFO",bunker_price_ROT,IF(bunker_choice="hydrogen",$BD33*hfo_e_density_lhv/h2_e_density_lhv,(DB33+DC33)*1000000/DD33*hfo_e_density_lhv/DBT_e_density_lhv))+Shipping!$N$73+IF(G33="Panama",Shipping!$N$55,0)+IF(G33="Suez",Shipping!$N$56,0))/Shipping!$N$31*Shipping!$N$86/1000000+IF(inland_transport_to_port="hv dc grid",$BM33/100*1000*DG33,IF(inland_transport_to_port="pipeline",$BN33,0)))))</f>
        <v>No Port</v>
      </c>
      <c r="DF33" s="28" t="str">
        <f t="shared" si="56"/>
        <v/>
      </c>
      <c r="DG33" s="29">
        <f>((Carriers!$T$18/Carriers!$T$23*alk_el_e_demand)+DBT_e_demand)*(DD33+DBT_st_ab_losses)/1000000+DBT_st_e_demand*DD33/1000000</f>
        <v>703.88335483870969</v>
      </c>
      <c r="DH33" s="29">
        <f t="shared" si="23"/>
        <v>0.21935483870967742</v>
      </c>
      <c r="DI33" s="28" t="str">
        <f>IFERROR(DF33*1000000/Storage!$M$12,"")</f>
        <v/>
      </c>
      <c r="DJ33" s="28" t="str">
        <f>IF($E33="","No Port",((F33/24/Shipping!$N$44+F33/24/Shipping!$N$50+Shipping!$N$59+Shipping!$N$64)*Carriers!$T$39*wacc_nl))</f>
        <v>No Port</v>
      </c>
      <c r="DK33" s="100">
        <f>H2_retrieval!$L$25*h2_demand_kt/1000+(co2_liq_e_demand+co2_st_e_demand*2)*Storage!$M$12*co2_density/DBT_density/1000000</f>
        <v>206.61934861671787</v>
      </c>
      <c r="DL33" s="28" t="str">
        <f>IFERROR(((DF33*(1+H2_retrieval!$L$34)+DJ33)*1000000/H2_retrieval!$L$8)+h2_regen_lohc,"")</f>
        <v/>
      </c>
      <c r="DM33" s="149">
        <f t="shared" si="24"/>
        <v>36362.565736687517</v>
      </c>
      <c r="DN33" s="16">
        <f>2*(nabh4_st_nl_cost*nabh4_st_nl_demand/1000000+(nabh4_st_invest*(M33+1/nabh4_st_lifetime+nabh4_st_opex)/(Storage!$O$63/1000000)+nabh4_st_e_demand*1000*$AU33/100)*(DO33+nabh4_st_ab_losses)/1000000)+(h2_demand_kt*1000/365.25*short_st_duration_hrs/24)*(h2_short_st_invest*(1/gh2_short_st_lifetime+$M33+h2_short_st_opex)+h2_short_st_e_demand*1000*$AU33/100)/1000000</f>
        <v>1122.3925555494889</v>
      </c>
      <c r="DO33" s="63">
        <f>Storage!$O$57/((1-Shipping!$P$37)^($F33/24/Shipping!$P$44+0.5*Shipping!$P$59))</f>
        <v>63920000</v>
      </c>
      <c r="DP33" s="16" t="str">
        <f>IF($E33="","No Port",((F33/24/Shipping!$P$44+F33/24/Shipping!$P$50+Shipping!$P$59+Shipping!$P$64)*(Shipping!$P$22+wacc_nl*Shipping!$P$19/365.25*1000000+Shipping!$P$35)+(F33/24/Shipping!$P$44*Shipping!$P$45+Shipping!$P$64*Shipping!$P$65)*IF(bunker_choice="HFO",$H33,IF(bunker_choice="hydrogen",$BD33*hfo_e_density_lhv/h2_e_density_lhv,(DM33+DN33)*1000000/DO33*hfo_e_density_lhv/nabh4_e_density_lhv))+(F33/24/Shipping!$P$50*Shipping!$P$51+Shipping!$P$59*Shipping!$P$60)*IF(bunker_choice="HFO",bunker_price_ROT,IF(bunker_choice="hydrogen",$BD33*hfo_e_density_lhv/h2_e_density_lhv,(DM33+DN33)*1000000/DO33*hfo_e_density_lhv/nabh4_e_density_lhv))+Shipping!$P$73+IF(G33="Panama",Shipping!$P$55,0)+IF(G33="Suez",Shipping!$P$56,0))/Shipping!$P$31*(DO33+nabh4_st_ab_losses)/1000000+IF(inland_transport_to_port="hv dc grid",$BM33/100*1000*DR33,IF(inland_transport_to_port="pipeline",$BN33,0)))</f>
        <v>No Port</v>
      </c>
      <c r="DQ33" s="28" t="str">
        <f t="shared" si="55"/>
        <v/>
      </c>
      <c r="DR33" s="29">
        <f>((Carriers!$V$18/Carriers!$V$23*alk_el_e_demand)+nabh4_e_demand)*(DO33+nabh4_st_ab_losses)/1000000+nabh4_st_e_demand*DO33/1000000</f>
        <v>980.02139682539689</v>
      </c>
      <c r="DS33" s="28">
        <f t="shared" si="25"/>
        <v>3.1960000000000002</v>
      </c>
      <c r="DT33" s="28" t="str">
        <f>IFERROR(DQ33*1000000/Storage!$O$12,"")</f>
        <v/>
      </c>
      <c r="DU33" s="28" t="str">
        <f>IF($E33="","No Port",((F33/24/Shipping!$P$44+F33/24/Shipping!$P$50+Shipping!$P$59+Shipping!$P$64)*Carriers!$V$39*wacc_nl))</f>
        <v>No Port</v>
      </c>
      <c r="DV33" s="100">
        <f>H2_retrieval!$N$25*h2_demand_kt/1000+(co2_liq_e_demand+co2_st_e_demand*2)*Storage!$O$12*co2_density/nabh4_density/1000000</f>
        <v>18.783638728971958</v>
      </c>
      <c r="DW33" s="28" t="str">
        <f>IFERROR(((DQ33*(1+H2_retrieval!$N$34)+DU33)*1000000/H2_retrieval!$N$8)+h2_regen_nabh4,"")</f>
        <v/>
      </c>
      <c r="DX33" s="149">
        <f>(Dme_invest*(M33+1/Dme_lifetime)/Dme_prod+Dme_opex+Dme_e_demand*1000*$AU33/100+Carriers!$X$21/Carriers!$X$23*(CO33*1000000/CS33))*(EB33+Dme_st_ab_losses)/1000000</f>
        <v>57375.486439452397</v>
      </c>
      <c r="DY33" s="86">
        <f>(Dme_invest*(M33+1/Dme_lifetime)/Dme_prod+Dme_opex+Dme_e_demand*1000*$AU33/100+Carriers!$X$21/Carriers!$X$23*(CP33*1000000/CS33))*(EB33+Dme_st_ab_losses)/1000000</f>
        <v>72656.739405205459</v>
      </c>
      <c r="DZ33" s="63">
        <f>Dme_st_nl_cost*Dme_st_nl_demand/1000000+(Dme_st_invest*(M33+1/Dme_st_lifetime+Dme_st_opex)/(Storage!$Q$63/1000000)+Dme_st_e_demand*1000*$AU33/100)*(EB33+Dme_st_ab_losses)/1000000+co2_st_nl_cost*Storage!$Q$12*co2_density/Dme_density/1000000+(co2_st_opex_lev+co2_st_invest_lev+co2_st_e_demand*1000*$AU33/100)*Storage!$Q$12/1000000+co2_st_invest_lev*Storage!$Q$12*co2_st_lifetime*M33/1000000+(h2_demand_kt*1000/365.25*short_st_duration_hrs/24)*(h2_short_st_invest*(1/gh2_short_st_lifetime+$M33+h2_short_st_opex)+h2_short_st_e_demand*1000*$AU33/100)/1000000</f>
        <v>5023.3707194752642</v>
      </c>
      <c r="EA33" s="63">
        <f>Dme_st_nl_cost*Dme_st_nl_demand/1000000+(Dme_st_invest*(M33+1/Dme_st_lifetime+Dme_st_opex)/(Storage!$Q$63/1000000)+Dme_st_e_demand*1000*$AU33/100)*(EB33+Dme_st_ab_losses)/1000000+(h2_demand_kt*1000/365.25*short_st_duration_hrs/24)*(h2_short_st_invest*(1/gh2_short_st_lifetime+$M33+h2_short_st_opex)+h2_short_st_e_demand*1000*$AU33/100)/1000000</f>
        <v>2459.4643217320249</v>
      </c>
      <c r="EB33" s="63">
        <f>Storage!$Q$57/((1-Shipping!$R$37)^($F33/24/Shipping!$R$44+0.5*Shipping!$R$59))</f>
        <v>103547089.94708996</v>
      </c>
      <c r="EC33" s="153" t="str">
        <f>IF($E33="","No Port",IF(AND(ship_choice="VLCC",G33="Panama"),"Ship cannot pass through Panama",IF(ship_choice="VLCC",((F33/24/Shipping!$AD$44+F33/24/Shipping!$AD$50+Shipping!$AD$59+Shipping!$AD$64)*(Shipping!$AD$22+wacc_nl*Shipping!$AD$19/365.25*1000000+Shipping!$AD$35)+(F33/24/Shipping!$AD$44*Shipping!$AD$45+Shipping!$AD$64*Shipping!$AD$65)*IF(bunker_choice="HFO",$H33,IF(bunker_choice="hydrogen",$BD33*hfo_e_density_lhv/h2_e_density_lhv,(DX33+DZ33)*1000000/EB33*hfo_e_density_lhv/Dme_e_density_lhv))+(F33/24/Shipping!$AD$50*Shipping!$AD$51+Shipping!$AD$59*Shipping!$AD$60)*IF(bunker_choice="HFO",bunker_price_ROT,IF(bunker_choice="hydrogen",$BD33*hfo_e_density_lhv/h2_e_density_lhv,(DX33+DZ33)*1000000/EB33*hfo_e_density_lhv/Dme_e_density_lhv))+Shipping!$AD$73+IF(G33="Panama",Shipping!$AD$55,0)+IF(G33="Suez",Shipping!$AD$56,0))/Shipping!$AD$31*(EB33+Dme_st_ab_losses)/1000000+IF(inland_transport_to_port="hv dc grid",$BM33/100*1000*EE33,IF(inland_transport_to_port="pipeline",$BN33,0)),((F33/24/Shipping!$R$44+F33/24/Shipping!$R$50+Shipping!$R$59+Shipping!$R$64)*(Shipping!$R$22+wacc_nl*Shipping!$R$19/365.25*1000000+Shipping!$R$35)+(F33/24/Shipping!$R$44*Shipping!$R$45+Shipping!$R$64*Shipping!$R$65)*IF(bunker_choice="HFO",$H33,IF(bunker_choice="hydrogen",$BD33*hfo_e_density_lhv/h2_e_density_lhv,(DX33+DZ33)*1000000/EB33*hfo_e_density_lhv/Dme_e_density_lhv))+(F33/24/Shipping!$R$50*Shipping!$R$51+Shipping!$R$59*Shipping!$R$60)*IF(bunker_choice="HFO",bunker_price_ROT,IF(bunker_choice="hydrogen",$BD33*hfo_e_density_lhv/h2_e_density_lhv,(DX33+DZ33)*1000000/EB33*hfo_e_density_lhv/Dme_e_density_lhv))+Shipping!$R$73+IF(G33="Panama",Shipping!$R$55,0)+IF(G33="Suez",Shipping!$R$56,0))/Shipping!$R$31*(EB33+Dme_st_ab_losses)/1000000+IF(inland_transport_to_port="hv dc grid",$BM33/100*1000*EE33,IF(inland_transport_to_port="pipeline",$BN33,0)))))</f>
        <v>No Port</v>
      </c>
      <c r="ED33" s="28" t="str">
        <f t="shared" si="39"/>
        <v/>
      </c>
      <c r="EE33" s="29">
        <f>(Dme_e_demand)*(EB33+Dme_st_ab_losses)/1000000+Dme_st_e_demand*DZ33/1000000+$CV33*(Carriers!$X$21/Carriers!$X$23*EB33)/$CS33</f>
        <v>1550.2168104007631</v>
      </c>
      <c r="EF33" s="29">
        <f t="shared" si="26"/>
        <v>1.0354708994708997</v>
      </c>
      <c r="EG33" s="28" t="str">
        <f>IFERROR(ED33*1000000/Storage!$Q$12,"")</f>
        <v/>
      </c>
      <c r="EH33" s="28" t="str">
        <f>IF($E33="","No Port",((F33/24/Shipping!$R$44+F33/24/Shipping!$R$50+Shipping!$R$59+Shipping!$R$64)*Carriers!$X$39*wacc_nl))</f>
        <v>No Port</v>
      </c>
      <c r="EI33" s="100">
        <f>H2_retrieval!$P$25*h2_demand_kt/1000+(co2_liq_e_demand+co2_st_e_demand*2)*Storage!$Q$12*co2_density/Dme_density/1000000</f>
        <v>252.45335899349112</v>
      </c>
      <c r="EJ33" s="28" t="str">
        <f>IFERROR((((DX33+DZ33+EC33)*(1+H2_retrieval!$P$34)+EH33)*1000000/H2_retrieval!$P$8)+h2_regen_dme,"")</f>
        <v/>
      </c>
      <c r="EK33" s="149">
        <f>(ome_invest*(M33+1/ome_lifetime)/ome_prod+ome_opex+ome_e_demand*1000*$AU33/100+Carriers!$Z$21/Carriers!$Z$23*(CO33*1000000/CS33))*(EO33+ome_st_ab_losses)/1000000</f>
        <v>125142.79416713187</v>
      </c>
      <c r="EL33" s="86">
        <f>(ome_invest*(M33+1/ome_lifetime)/ome_prod+ome_opex+ome_e_demand*1000*$AU33/100+Carriers!$Z$21/Carriers!$Z$23*(CP33*1000000/CS33))*(EO33+ome_st_ab_losses)/1000000</f>
        <v>157221.1188373036</v>
      </c>
      <c r="EM33" s="63">
        <f>ome_st_nl_cost*ome_st_nl_demand/1000000+(ome_st_invest*(M33+1/ome_st_lifetime+ome_st_opex)/(Storage!$S$63/1000000)+ome_st_e_demand*1000*$AU33/100)*(EO33+ome_st_ab_losses)/1000000+co2_st_nl_cost*Storage!$S$12*co2_density/ome_density/1000000+(co2_st_opex_lev+co2_st_invest_lev+co2_st_e_demand*1000*$AU33/100)*Storage!$S$12/1000000+co2_st_invest_lev*Storage!$S$12*co2_st_lifetime*M33/1000000+(h2_demand_kt*1000/365.25*short_st_duration_hrs/24)*(h2_short_st_invest*(1/gh2_short_st_lifetime+$M33+h2_short_st_opex)+h2_short_st_e_demand*1000*$AU33/100)/1000000</f>
        <v>4290.1507819567414</v>
      </c>
      <c r="EN33" s="63">
        <f>ome_st_nl_cost*ome_st_nl_demand/1000000+(ome_st_invest*(M33+1/ome_st_lifetime+ome_st_opex)/(Storage!$S$63/1000000)+ome_st_e_demand*1000*$AU33/100)*(EO33+ome_st_ab_losses)/1000000+(h2_demand_kt*1000/365.25*short_st_duration_hrs/24)*(h2_short_st_invest*(1/gh2_short_st_lifetime+$M33+h2_short_st_opex)+h2_short_st_e_demand*1000*$AU33/100)/1000000</f>
        <v>1452.7432687254218</v>
      </c>
      <c r="EO33" s="63">
        <f>Storage!$S$57/((1-Shipping!$T$37)^($F33/24/Shipping!$T$44+0.5*Shipping!$T$59))</f>
        <v>128282539.68253967</v>
      </c>
      <c r="EP33" s="28" t="str">
        <f>IF($E33="","No Port",IF(AND(ship_choice="VLCC",G33="Panama"),"Ship cannot pass through Panama",IF(ship_choice="VLCC",((F33/24/Shipping!$AD$44+F33/24/Shipping!$AD$50+Shipping!$AD$59+Shipping!$AD$64)*(Shipping!$AD$22+wacc_nl*Shipping!$AD$19/365.25*1000000+Shipping!$AD$35)+(F33/24/Shipping!$AD$44*Shipping!$AD$45+Shipping!$AD$64*Shipping!$AD$65)*IF(bunker_choice="HFO",$H33,IF(bunker_choice="hydrogen",$BD33*hfo_e_density_lhv/h2_e_density_lhv,(EK33+EM33)*1000000/EO33*hfo_e_density_lhv/Dme_e_density_lhv))+(F33/24/Shipping!$AD$50*Shipping!$AD$51+Shipping!$AD$59*Shipping!$AD$60)*IF(bunker_choice="HFO",bunker_price_ROT,IF(bunker_choice="hydrogen",$BD33*hfo_e_density_lhv/h2_e_density_lhv,(EK33+EM33)*1000000/EO33*hfo_e_density_lhv/ome_e_density_lhv))+Shipping!$AD$73+IF(G33="Panama",Shipping!$AD$55,0)+IF(G33="Suez",Shipping!$AD$56,0))/Shipping!$AD$31*(EO33+ome_st_ab_losses)/1000000+IF(inland_transport_to_port="hv dc grid",$BM33/100*1000*ER33,IF(inland_transport_to_port="pipeline",$BN33,0)),((F33/24/Shipping!$T$44+F33/24/Shipping!$T$50+Shipping!$T$59+Shipping!$T$64)*(Shipping!$T$22+wacc_nl*Shipping!$T$19/365.25*1000000+Shipping!$T$35)+(F33/24/Shipping!$T$44*Shipping!$T$45+Shipping!$T$64*Shipping!$T$65)*IF(bunker_choice="HFO",$H33,IF(bunker_choice="hydrogen",$BD33*hfo_e_density_lhv/h2_e_density_lhv,(EK33+EM33)*1000000/EO33*hfo_e_density_lhv/Dme_e_density_lhv))+(F33/24/Shipping!$T$50*Shipping!$T$51+Shipping!$T$59*Shipping!$T$60)*IF(bunker_choice="HFO",bunker_price_ROT,IF(bunker_choice="hydrogen",$BD33*hfo_e_density_lhv/h2_e_density_lhv,(EK33+EM33)*1000000/EO33*hfo_e_density_lhv/ome_e_density_lhv))+Shipping!$T$73+IF(G33="Panama",Shipping!$T$55,0)+IF(G33="Suez",Shipping!$T$56,0))/Shipping!$T$31*(EO33+ome_st_ab_losses)/1000000+IF(inland_transport_to_port="hv dc grid",$BM33/100*1000*ER33,IF(inland_transport_to_port="pipeline",$BN33,0)))))</f>
        <v>No Port</v>
      </c>
      <c r="EQ33" s="28" t="str">
        <f t="shared" si="40"/>
        <v/>
      </c>
      <c r="ER33" s="29">
        <f>(ome_e_demand)*(EO33+ome_st_ab_losses)/1000000+ome_st_e_demand*EM33/1000000+$CV33*(Carriers!$Z$21/Carriers!$Z$23*EO33)/$CS33</f>
        <v>3352.0814565760097</v>
      </c>
      <c r="ES33" s="29">
        <f t="shared" si="27"/>
        <v>0.1924238095238095</v>
      </c>
      <c r="ET33" s="28" t="str">
        <f>IFERROR(EQ33*1000000/Storage!$S$12,"")</f>
        <v/>
      </c>
      <c r="EU33" s="28" t="str">
        <f>IF($E33="","No Port",((F33/24/Shipping!$T$44+F33/24/Shipping!$T$50+Shipping!$T$59+Shipping!$T$64)*Carriers!$Z$39*wacc_nl))</f>
        <v>No Port</v>
      </c>
      <c r="EV33" s="100">
        <f>H2_retrieval!$R$25*h2_demand_kt/1000+(co2_liq_e_demand+co2_st_e_demand*2)*Storage!$S$12*co2_density/ome_density/1000000</f>
        <v>254.51942895252085</v>
      </c>
      <c r="EW33" s="28" t="str">
        <f>IFERROR((((EK33+EM33+EP33)*(1+H2_retrieval!$R$34)+EU33)*1000000/H2_retrieval!$R$8)+h2_regen_ome,"")</f>
        <v/>
      </c>
      <c r="EX33" s="149">
        <f>(sng_invest*(M33+1/sng_lifetime)/sng_prod+lng_invest*(M33+1/lng_lifetime)/lng_prod+sng_opex+lng_opex+(sng_e_demand+lng_e_demand)*1000*$AU33/100+Carriers!$AB$18/Carriers!$AB$23*BD33+Carriers!$AB$20/Carriers!$AB$23*co2_liq_cost)*(FB33+lng_st_ab_losses)/1000000</f>
        <v>44203.106389806169</v>
      </c>
      <c r="EY33" s="86">
        <f>(sng_invest*(M33+1/sng_lifetime)/sng_prod+lng_invest*(M33+1/lng_lifetime)/lng_prod+sng_opex+lng_opex+(sng_e_demand+lng_e_demand)*1000*$AU33/100+Carriers!$AB$18/Carriers!$AB$23*BD33+Carriers!$AB$20/Carriers!$AB$23*BP33)*(FB33+lng_st_ab_losses)/1000000</f>
        <v>52532.085213539729</v>
      </c>
      <c r="EZ33" s="63">
        <f>lng_st_nl_cost*lng_st_nl_demand/1000000+(lng_st_invest*(M33+1/lng_st_lifetime+lng_st_opex)/(Storage!$U$63/1000000)+lng_st_e_demand*1000*$AU33/100)*(FB33+lng_st_ab_losses)/1000000+co2_st_nl_cost*Storage!$U$12*co2_density/lng_density/1000000+(co2_st_opex_lev+co2_st_invest_lev+co2_st_e_demand*1000*$AU33/100)*Storage!$U$12/1000000+co2_st_invest_lev*Storage!$U$12*co2_st_lifetime*M33/1000000+Carriers!$AB$18/Carriers!$AB$23*((FB33+lng_st_ab_losses)/365.25*short_st_duration_hrs/24)*(h2_short_st_invest*(1/gh2_short_st_lifetime+$M33+h2_short_st_opex)+h2_short_st_e_demand*1000*$AU33/100)/1000000+Carriers!$AB$20/Carriers!$AB$23*((FB33+lng_st_ab_losses)/365.25*short_st_duration_hrs/24)*(co2_short_st_invest*(1/co2_short_st_lifetime+$M33+co2_short_st_opex)+co2_short_st_e_demand*1000*$AU33/100)/1000000</f>
        <v>5266.4715345979675</v>
      </c>
      <c r="FA33" s="63">
        <f>lng_st_nl_cost*lng_st_nl_demand/1000000+(lng_st_invest*(M33+1/lng_st_lifetime+lng_st_opex)/(Storage!$U$63/1000000)+lng_st_e_demand*1000*$AU33/100)*(FB33+lng_st_ab_losses)/1000000+Carriers!$AB$18/Carriers!$AB$23*((FB33+lng_st_ab_losses)/365.25*short_st_duration_hrs/24)*(h2_short_st_invest*(1/gh2_short_st_lifetime+$M33+h2_short_st_opex)+h2_short_st_e_demand*1000*$AU33/100)/1000000+Carriers!$AB$20/Carriers!$AB$23*((FB33+lng_st_ab_losses)/365.25*short_st_duration_hrs/24)*(co2_short_st_invest*(1/co2_short_st_lifetime+$M33+co2_short_st_opex)+co2_short_st_e_demand*1000*$AU33/100)/1000000</f>
        <v>3823.888673152614</v>
      </c>
      <c r="FB33" s="63">
        <f>Storage!$U$57/((1-Shipping!$V$37)^($F33/24/Shipping!$V$44+0.5*Shipping!$V$59))</f>
        <v>40707231.50721889</v>
      </c>
      <c r="FC33" s="28" t="str">
        <f>IF($E33="","No Port",IF(G33="Panama","Ship cannot pass through Panama",((F33/24/Shipping!$V$44+F33/24/Shipping!$V$50+Shipping!$V$59+Shipping!$V$64)*(Shipping!$V$22+wacc_nl*Shipping!$V$19/365.25*1000000+Shipping!$V$35)+(F33/24/Shipping!$V$44*Shipping!$V$45+Shipping!$V$64*Shipping!$V$65)*IF(bunker_choice="HFO",$H33,IF(bunker_choice="hydrogen",$BD33*hfo_e_density_lhv/h2_e_density_lhv,(EX33+EZ33)*1000000/FB33*hfo_e_density_lhv/lng_e_density_lhv))+(F33/24/Shipping!$V$50*Shipping!$V$51+Shipping!$V$59*Shipping!$V$60)*IF(bunker_choice="HFO",bunker_price_ROT,IF(bunker_choice="hydrogen",$BD33*hfo_e_density_lhv/h2_e_density_lhv,(EX33+EZ33)*1000000/FB33*hfo_e_density_lhv/lng_e_density_lhv))+Shipping!$V$73+IF(G33="Panama",Shipping!$V$55,0)+IF(G33="Suez",Shipping!$V$56,0))/Shipping!$V$31*(FB33+lng_st_ab_losses)/1000000)+IF(inland_transport_to_port="hv dc grid",$BM33/100*1000*FE33,IF(inland_transport_to_port="pipeline",$BN33,0)))</f>
        <v>No Port</v>
      </c>
      <c r="FD33" s="28" t="str">
        <f t="shared" si="41"/>
        <v/>
      </c>
      <c r="FE33" s="29">
        <f>((Carriers!$AB$18/Carriers!$AB$23*alk_el_e_demand)+sng_e_demand+lng_e_demand)*(FB33+lng_st_ab_losses)/1000000+lng_st_e_demand*EZ33/1000000</f>
        <v>1091.75186435808</v>
      </c>
      <c r="FF33" s="29">
        <f t="shared" si="28"/>
        <v>0.8126185861001558</v>
      </c>
      <c r="FG33" s="28" t="str">
        <f>IFERROR(FD33*1000000/Storage!$U$12,"")</f>
        <v/>
      </c>
      <c r="FH33" s="28" t="str">
        <f>IF($E33="","No Port",((F33/24/Shipping!$V$44+F33/24/Shipping!$V$50+Shipping!$V$59+Shipping!$V$64)*Carriers!$AB$39*wacc_nl))</f>
        <v>No Port</v>
      </c>
      <c r="FI33" s="100">
        <f>H2_retrieval!$T$25*h2_demand_kt/1000+(co2_liq_e_demand+co2_st_e_demand*2)*Storage!$U$12*co2_density/lng_density/1000000</f>
        <v>236.51371749646054</v>
      </c>
      <c r="FJ33" s="28" t="str">
        <f>IFERROR((((EX33+EZ33+FC33)*(1+H2_retrieval!$T$34)+FH33)*1000000/H2_retrieval!$T$8)+h2_regen_lng,"")</f>
        <v/>
      </c>
      <c r="FK33" s="149">
        <f>(lh2_invest*(M33+1/lh2_lifetime)/lh2_prod+lh2_opex+lh2_e_demand*1000*$AU33/100+Carriers!$AD$18/Carriers!$AD$23*BD33)*(FM33+lh2_st_ab_losses)/1000000</f>
        <v>34367.964860214648</v>
      </c>
      <c r="FL33" s="28">
        <f>lh2_st_nl_cost*lh2_st_nl_demand/1000000+(lh2_st_invest*(M33+1/lh2_st_lifetime+lh2_st_opex)/(Storage!$Y$63/1000000)+lh2_st_e_demand*1000*$AU33/100)*(FM33+lh2_st_ab_losses)/1000000+((FM33+lh2_st_ab_losses)/365.25*short_st_duration_hrs/24)*(h2_short_st_invest*(1/gh2_short_st_lifetime+$M33+h2_short_st_opex)+h2_short_st_e_demand*1000*$AU33/100)/1000000</f>
        <v>45273.47934910647</v>
      </c>
      <c r="FM33" s="63">
        <f>Storage!$Y$57/((1-Shipping!$Z$37)^($F33/24/Shipping!$Z$44+0.5*Shipping!$Z$59))</f>
        <v>13659984.090217989</v>
      </c>
      <c r="FN33" s="28" t="str">
        <f>IF($E33="","No Port",IF(G33="Panama","Ship cannot pass through Panama",((F33/24/Shipping!$Z$44+F33/24/Shipping!$Z$50+Shipping!$Z$59+Shipping!$Z$64)*(Shipping!$Z$22+wacc_nl*Shipping!$Z$19/365.25*1000000+Shipping!$Z$35)+(F33/24/Shipping!$Z$44*Shipping!$Z$45+Shipping!$Z$64*Shipping!$Z$65)*IF(bunker_choice="HFO",$H33,IF(bunker_choice="hydrogen",$BD33*hfo_e_density_lhv/h2_e_density_lhv,(FK33+FL33)*1000000/FM33*hfo_e_density_lhv/lh2_e_density_lhv))+(F33/24/Shipping!$Z$50*Shipping!$Z$51+Shipping!$Z$59*Shipping!$Z$60)*IF(bunker_choice="HFO",bunker_price_ROT,IF(bunker_choice="hydrogen",$BD33*hfo_e_density_lhv/h2_e_density_lhv,(FK33+FL33)*1000000/FM33*hfo_e_density_lhv/lh2_e_density_lhv))+Shipping!$Z$73+IF(G33="Panama",Shipping!$Z$55,0)+IF(G33="Suez",Shipping!$Z$56,0))/Shipping!$Z$31*(FM33+lh2_st_ab_losses)/1000000)+IF(inland_transport_to_port="hv dc grid",$BM33/100*1000*FP33,IF(inland_transport_to_port="pipeline",$BN33,0)))</f>
        <v>No Port</v>
      </c>
      <c r="FO33" s="28" t="str">
        <f t="shared" si="42"/>
        <v/>
      </c>
      <c r="FP33" s="29">
        <f>((Carriers!$AD$18/Carriers!$AD$23*alk_el_e_demand)+lh2_e_demand)*(FM33+lh2_st_ab_losses)/1000000+lh2_st_e_demand*FM33/1000000</f>
        <v>791.60233245091877</v>
      </c>
      <c r="FQ33" s="100">
        <f t="shared" si="29"/>
        <v>1.361902463475859</v>
      </c>
      <c r="FR33" s="28" t="str">
        <f>IFERROR(FO33*1000000/Storage!$Y$12,"")</f>
        <v/>
      </c>
      <c r="FS33" s="100">
        <f>H2_retrieval!$V$25*h2_demand_kt/1000</f>
        <v>8.16</v>
      </c>
      <c r="FT33" s="28" t="str">
        <f>IFERROR(FR33*(1+H2_retrieval!$V$34)/Carrier_properties!$U$7+H2_retrieval!$V$38,"")</f>
        <v/>
      </c>
      <c r="FU33" s="12"/>
      <c r="FV33" s="24">
        <f t="shared" si="30"/>
        <v>1.5616135380261003</v>
      </c>
      <c r="FW33" s="24" t="str">
        <f t="shared" ref="FW33:FW64" si="57">AA33</f>
        <v/>
      </c>
      <c r="FX33" s="24" t="str">
        <f t="shared" ref="FX33:FX64" si="58">AI33</f>
        <v/>
      </c>
      <c r="FY33" s="24">
        <f t="shared" si="45"/>
        <v>1.5616135380261003</v>
      </c>
      <c r="FZ33" s="28">
        <f t="shared" ref="FZ33:FZ64" si="59">BD33</f>
        <v>1834.5678419542398</v>
      </c>
      <c r="GA33" s="28">
        <f t="shared" si="47"/>
        <v>430.5066736809315</v>
      </c>
      <c r="GB33" s="28">
        <f t="shared" si="48"/>
        <v>283.0383697446847</v>
      </c>
      <c r="GC33" s="28">
        <f t="shared" si="49"/>
        <v>480.54073071775775</v>
      </c>
      <c r="GD33" s="28">
        <f t="shared" si="50"/>
        <v>701.67823588602334</v>
      </c>
      <c r="GE33" s="28">
        <f t="shared" si="51"/>
        <v>1225.584707212518</v>
      </c>
      <c r="GF33" s="28">
        <f t="shared" si="52"/>
        <v>1290.4853331581603</v>
      </c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</row>
    <row r="34" spans="1:214" x14ac:dyDescent="0.2">
      <c r="A34" s="40" t="s">
        <v>20</v>
      </c>
      <c r="B34" s="12">
        <v>12264</v>
      </c>
      <c r="C34" s="12">
        <v>0.3</v>
      </c>
      <c r="D34" s="12">
        <f t="shared" si="0"/>
        <v>0.7</v>
      </c>
      <c r="E34" s="12" t="s">
        <v>707</v>
      </c>
      <c r="F34" s="12">
        <v>7484</v>
      </c>
      <c r="G34" s="12" t="s">
        <v>113</v>
      </c>
      <c r="H34" s="16">
        <f t="shared" si="1"/>
        <v>382.75862068965517</v>
      </c>
      <c r="I34" s="16">
        <v>743532</v>
      </c>
      <c r="J34" s="16">
        <f t="shared" si="31"/>
        <v>486.4910958013582</v>
      </c>
      <c r="K34" s="27">
        <f t="shared" si="32"/>
        <v>583.78931496162977</v>
      </c>
      <c r="L34" s="103">
        <v>9.4E-2</v>
      </c>
      <c r="M34" s="103">
        <f t="shared" si="2"/>
        <v>0.1079023973039536</v>
      </c>
      <c r="N34" s="122">
        <f t="shared" si="33"/>
        <v>0.75</v>
      </c>
      <c r="O34" s="46">
        <f t="shared" si="3"/>
        <v>40</v>
      </c>
      <c r="P34" s="70">
        <f t="array" ref="P34">SUMPRODUCT(IF(Solar_data!A$4:A$777=A34,Solar_data!C$4:C$777),IF(Solar_data!A$4:A$777=A34,Solar_data!I$4:I$777))/SUMIF(Solar_data!A$4:A$777,A34,Solar_data!I$4:I$777)</f>
        <v>1981.3811544116936</v>
      </c>
      <c r="Q34" s="16">
        <f t="array" ref="Q34">MAX(IF(Solar_data!$A$777:'Solar_data'!$A$4=Country_details!$A34,Solar_data!$C$4:'Solar_data'!$C$777))</f>
        <v>2646.25</v>
      </c>
      <c r="R34" s="16">
        <f t="array" ref="R34">MIN(IF(Solar_data!$A$777:'Solar_data'!$A$4=Country_details!A34,Solar_data!$C$4:'Solar_data'!$C$777))</f>
        <v>821.25</v>
      </c>
      <c r="S34" s="24">
        <f t="shared" si="4"/>
        <v>2.448392436138862</v>
      </c>
      <c r="T34" s="24">
        <f t="shared" si="5"/>
        <v>1.8332351937910922</v>
      </c>
      <c r="U34" s="24">
        <f t="shared" si="6"/>
        <v>5.9070911799935191</v>
      </c>
      <c r="V34" s="16">
        <f t="array" ref="V34">SUM(IF(Solar_data!$A$777:'Solar_data'!$A$4=Country_details!$A34,Solar_data!$I$4:'Solar_data'!$I$777))</f>
        <v>4438.4415871577912</v>
      </c>
      <c r="W34" s="148"/>
      <c r="X34" s="16">
        <f>IFERROR(INDEX(Onshore_wind_data!$J$5:'Onshore_wind_data'!$J$221,MATCH(A34,Onshore_wind_data!$B$5:'Onshore_wind_data'!$B$221,0)),"")</f>
        <v>3201.2543890701645</v>
      </c>
      <c r="Y34" s="16">
        <f>IFERROR(INDEX(Onshore_wind_data!$K$5:'Onshore_wind_data'!$K$221,MATCH(A34,Onshore_wind_data!$B$5:'Onshore_wind_data'!$B$221,0)),"")</f>
        <v>3971</v>
      </c>
      <c r="Z34" s="16">
        <f>IFERROR(INDEX(Onshore_wind_data!$L$5:'Onshore_wind_data'!$L$221,MATCH(A34,Onshore_wind_data!$B$5:'Onshore_wind_data'!$B$221,0)),"")</f>
        <v>2847.5</v>
      </c>
      <c r="AA34" s="24">
        <f t="shared" si="7"/>
        <v>4.0857723755521604</v>
      </c>
      <c r="AB34" s="24">
        <f t="shared" si="8"/>
        <v>3.2937790858670324</v>
      </c>
      <c r="AC34" s="24">
        <f t="shared" si="9"/>
        <v>4.5933614574110573</v>
      </c>
      <c r="AD34" s="16">
        <f>IFERROR(INDEX(Onshore_wind_data!$I$5:'Onshore_wind_data'!$I$221,MATCH(A34,Onshore_wind_data!$B$5:'Onshore_wind_data'!$B$221,0)),"")</f>
        <v>2148.194074775</v>
      </c>
      <c r="AE34" s="148"/>
      <c r="AF34" s="16">
        <f>INDEX(Offshore_wind_data!$AA$7:$AA$192,MATCH(Country_details!A34,Offshore_wind_data!$A$7:$A$192,0))</f>
        <v>4032.7391979059548</v>
      </c>
      <c r="AG34" s="16">
        <f>INDEX(Offshore_wind_data!$Y$7:$Y$192,MATCH(Country_details!A34,Offshore_wind_data!$A$7:$A$192,0))</f>
        <v>4204.8</v>
      </c>
      <c r="AH34" s="16">
        <f>INDEX(Offshore_wind_data!$Z$7:$Z$192,MATCH(Country_details!A34,Offshore_wind_data!$A$7:$A$192,0))</f>
        <v>3153.6</v>
      </c>
      <c r="AI34" s="24">
        <f t="shared" si="10"/>
        <v>6.1760343033059018</v>
      </c>
      <c r="AJ34" s="24">
        <f t="shared" si="11"/>
        <v>5.9233104125174814</v>
      </c>
      <c r="AK34" s="24">
        <f t="shared" si="12"/>
        <v>7.8977472166899751</v>
      </c>
      <c r="AL34" s="16">
        <f>INDEX(Offshore_wind_data!$W$7:$W$191,MATCH(A34,Offshore_wind_data!$A$7:$A$191,0))</f>
        <v>2588.2926719999996</v>
      </c>
      <c r="AM34" s="148"/>
      <c r="AN34" s="12">
        <v>18.100000000000001</v>
      </c>
      <c r="AO34" s="12">
        <v>20.7</v>
      </c>
      <c r="AP34" s="34">
        <f>2.2012*11.63</f>
        <v>25.599956000000002</v>
      </c>
      <c r="AQ34" s="15">
        <f t="shared" si="13"/>
        <v>50</v>
      </c>
      <c r="AR34" s="12">
        <f t="shared" si="34"/>
        <v>1035</v>
      </c>
      <c r="AS34" s="16">
        <f t="shared" si="35"/>
        <v>8139.9283339327903</v>
      </c>
      <c r="AT34" s="12"/>
      <c r="AU34" s="24">
        <f t="shared" si="14"/>
        <v>3.4597831993220174</v>
      </c>
      <c r="AV34" s="16">
        <f t="shared" si="15"/>
        <v>5182.6355434818579</v>
      </c>
      <c r="AW34" s="149">
        <f>HV_DC_Grid!$E$3/(1-AX34)*AU34/100*1000</f>
        <v>4527.4784248068236</v>
      </c>
      <c r="AX34" s="31">
        <f>(1-(1-HV_DC_Grid!$E$25)^(B34*C34*HV_DC_Grid!$E$8/1000))+(1-(1-HV_DC_Grid!$E$26)^(B34*D34*HV_DC_Grid!$E$8/1000))+HV_DC_Grid!$E$35*HV_DC_Grid!$E$28</f>
        <v>0.23582558000381026</v>
      </c>
      <c r="AY34" s="28">
        <f>B34*nl_e_demand/IF(hv_dc_flh="electricity FLH",$AV34,hv_dc_custom)*1000*hv_dc_capacity_multiplier*hv_dc_length_multiplier*1000*(C34*hv_dc_overhead_invest*(hv_dc_overhead_opex+M34+1/hv_dc_lifetime)+D34*hv_dc_sea_invest*(hv_dc_sea_opex+M34+1/hv_dc_lifetime))/1000000+HV_DC_Grid!$E$10*1000*hv_dc_station_invest*hv_dc_station_number*(hv_dc_station_opex+M34+1/hv_dc_lifetime)/1000000</f>
        <v>23384.954736330626</v>
      </c>
      <c r="AZ34" s="24">
        <f>(AW34+AY34)/(HV_DC_Grid!$E$3*1000)*100</f>
        <v>27.91243316113745</v>
      </c>
      <c r="BA34" s="28">
        <f>MIN(((Carriers!$F$26+Carriers!$F$27)*(alk_el_opex+wacc_nl+1/alk_el_lifetime)+IF(hv_dc_flh="electricity FLH",$AV34,hv_dc_custom)*AZ34/100)/(IF(hv_dc_flh="electricity FLH",$AV34,hv_dc_custom)/alk_el_e_demand)*1000,((Carriers!$H$26+Carriers!$H$27)*(pem_el_opex+wacc_nl+1/pem_el_lifetime)+IF(hv_dc_flh="electricity FLH",$AV34,hv_dc_custom)*AZ34/100)/(IF(hv_dc_flh="electricity FLH",$AV34,hv_dc_custom)/pem_el_e_demand)*1000)</f>
        <v>14450.519608652598</v>
      </c>
      <c r="BB34" s="12"/>
      <c r="BC34" s="12"/>
      <c r="BD34" s="149">
        <f>MIN(((Carriers!$F$26+Carriers!$F$27)*(alk_el_opex+M34+1/alk_el_lifetime)+$AV34*$AU34/100)/($AV34/alk_el_e_demand)*1000,((Carriers!$H$26+Carriers!$H$27)*(pem_el_opex+M34+1/pem_el_lifetime)+$AV34*$AU34/100)/($AV34/pem_el_e_demand)*1000)</f>
        <v>2371.3383477159332</v>
      </c>
      <c r="BE34" s="28">
        <f>Storage!$AC$50</f>
        <v>8.1664117557772418</v>
      </c>
      <c r="BF34" s="28">
        <f>((Pipeline!$D$22*Pipeline!$D$24*B34*(pipeline_opex+M34+1/pipeline_lifetime))*(Pipeline!$D$39/Pipeline!$D$3)+(Pipeline!$D$57*(pipeline_comp_opex+M34+1/pipeline_comp_lifetime)+Pipeline!$D$47*1000*Pipeline!$D$45*$AU34/100/1000000))*(Pipeline!$D$75/Pipeline!$D$45)</f>
        <v>25047.085489425306</v>
      </c>
      <c r="BG34" s="28">
        <f>BD34+(BE34+BF34)/Storage!$AC$12*1000000</f>
        <v>4213.6362816263072</v>
      </c>
      <c r="BH34" s="28"/>
      <c r="BI34" s="28"/>
      <c r="BJ34" s="28">
        <f>IF($E34="","No Port",BK34*HV_DC_Grid!$E$3*$AU34/100*1000)</f>
        <v>87.31037824266221</v>
      </c>
      <c r="BK34" s="31">
        <f>IFERROR((1-(1-HV_DC_Grid!$E$25)^(K34*HV_DC_Grid!$E$8/1000))+HV_DC_Grid!$E$35*HV_DC_Grid!$E$28,"")</f>
        <v>2.5235794618510096E-2</v>
      </c>
      <c r="BL34" s="28">
        <f>IFERROR(K34*nl_e_demand/IF(hv_dc_flh="electricity FLH",$AV34,hv_dc_custom)*1000*hv_dc_capacity_multiplier*hv_dc_length_multiplier*1000*(hv_dc_overhead_invest*(hv_dc_overhead_opex+M34+1/hv_dc_lifetime))/1000000+HV_DC_Grid!$E$10*1000*hv_dc_station_invest*hv_dc_station_number*(hv_dc_station_opex+M34+1/hv_dc_lifetime)/1000000,"")</f>
        <v>817.74576196065209</v>
      </c>
      <c r="BM34" s="29">
        <f>IFERROR((BJ34+BL34)/(HV_DC_Grid!$E$3*1000)*100,"")</f>
        <v>0.90505614020331437</v>
      </c>
      <c r="BN34" s="28">
        <f>IFERROR(((Pipeline!$D$22*Pipeline!$D$24*K34*(pipeline_opex+M34+1/pipeline_lifetime))*(Pipeline!$D$39/Pipeline!$D$3)+(Pipeline!$D$57*(pipeline_comp_opex+M34+1/pipeline_comp_lifetime)+Pipeline!$D$47*1000*Pipeline!$D$45*S34/100/1000000))*(Pipeline!$D$75/Pipeline!$D$45),"")</f>
        <v>1267.2300576073146</v>
      </c>
      <c r="BO34" s="28"/>
      <c r="BP34" s="150">
        <f t="shared" si="16"/>
        <v>109.48000624824789</v>
      </c>
      <c r="BQ34" s="34">
        <f t="shared" si="17"/>
        <v>32.061479280247958</v>
      </c>
      <c r="BR34" s="151">
        <f>(nh3_invest*(M34+1/nh3_lifetime)/nh3_prod+nh3_opex+nh3_e_demand*1000*$AU34/100+Carriers!$N$18/Carriers!$N$23*BD34+Carriers!$N$19/Carriers!$N$23*BQ34)*(BT34+nh3_st_ab_losses)/1000000</f>
        <v>45207.207088563038</v>
      </c>
      <c r="BS34" s="63">
        <f>nh3_st_nl_cost*nh3_st_nl_demand/1000000+(nh3_st_invest*(M34+1/nh3_st_lifetime+nh3_st_opex)/(Storage!$G$63/1000000)+nh3_st_e_demand*1000*$AU34/100)*(BT34+nh3_st_ab_losses)/1000000+Carriers!$N$18/Carriers!$N$23*((BT34+nh3_st_ab_losses)/365.25*short_st_duration_hrs/24)*(h2_short_st_invest*(1/gh2_short_st_lifetime+$M34+h2_short_st_opex)+h2_short_st_e_demand*1000*$AU34/100)/1000000+Carriers!$N$19/Carriers!$N$23*((BT34+nh3_st_ab_losses)/365.25*short_st_duration_hrs/24)*(n2_short_st_invest*(1/n2_short_st_lifetime+$M34+n2_short_st_opex)+n2_short_st_e_demand*1000*$AU34/100)/1000000</f>
        <v>3277.3831120392538</v>
      </c>
      <c r="BT34" s="63">
        <f>Storage!$G$57/((1-Shipping!$H$37)^(F34/24/Shipping!$H$44+0.5*Shipping!$H$59))</f>
        <v>80579484.328772217</v>
      </c>
      <c r="BU34" s="63">
        <f>IF($E34="","No Port",((F34/24/Shipping!$H$44+F34/24/Shipping!$H$50+Shipping!$H$59+Shipping!$H$64)*(Shipping!$H$22+wacc_nl*Shipping!$H$19/365.25*1000000+Shipping!$H$35)+(F34/24/Shipping!$H$44*Shipping!$H$45+Shipping!$H$64*Shipping!$H$65)*IF(bunker_choice="HFO",H34,IF(bunker_choice="hydrogen",BD34*hfo_e_density_lhv/h2_e_density_lhv,(BR34+BS34)*1000000/BT34*hfo_e_density_lhv/nh3_e_density_lhv))+(F34/24/Shipping!$H$50*Shipping!$H$51+Shipping!$H$59*Shipping!$H$60)*IF(bunker_choice="HFO",bunker_price_ROT,IF(bunker_choice="hydrogen",BD34*hfo_e_density_lhv/h2_e_density_lhv,(BR34+BS34)*1000000/BT34*hfo_e_density_lhv/nh3_e_density_lhv))+Shipping!$H$73+IF(G34="Panama",Shipping!$H$55,0)+IF(G34="Suez",Shipping!$H$56,0))/Shipping!$H$31*BT34/1000000+IF(inland_transport_to_port="hv dc grid",$BM34/100*1000*BW34,IF(inland_transport_to_port="pipeline",$BN34,0)))</f>
        <v>6319.5308966416806</v>
      </c>
      <c r="BV34" s="63">
        <f t="shared" si="18"/>
        <v>54804.121097243973</v>
      </c>
      <c r="BW34" s="33">
        <f>((Carriers!$N$18/Carriers!$N$23*alk_el_e_demand)+(Carriers!$N$19/Carriers!$N$23*n2_e_demand)+nh3_e_demand)*(BT34+nh3_st_ab_losses)/1000000+nh3_st_e_demand*BT34/1000000</f>
        <v>795.73048900400806</v>
      </c>
      <c r="BX34" s="33">
        <f t="shared" si="19"/>
        <v>0.76626754477640768</v>
      </c>
      <c r="BY34" s="63">
        <f>IFERROR(BV34*1000000/Storage!$G$12,"")</f>
        <v>715.80460024457579</v>
      </c>
      <c r="BZ34" s="63">
        <f>H2_retrieval!$F$25*h2_demand_kt/1000</f>
        <v>80</v>
      </c>
      <c r="CA34" s="63">
        <f>IFERROR(BY34*(1+H2_retrieval!$F$34)/Carrier_properties!$E$7+H2_retrieval!$F$38,"")</f>
        <v>4438.940766205792</v>
      </c>
      <c r="CB34" s="149">
        <f>(FA_invest*(M34+1/FA_lifetime)/FA_prod+FA_opex+FA_e_demand*1000*$AU34/100+Carriers!$P$18/Carriers!$P$23*BD34+Carriers!$P$20/Carriers!$P$23*co2_liq_cost)*(CF34+FA_st_ab_losses)/1000000</f>
        <v>100690.87553341444</v>
      </c>
      <c r="CC34" s="86">
        <f>(FA_invest*(M34+1/FA_lifetime)/FA_prod+FA_opex+FA_e_demand*1000*$AU34/100+Carriers!$P$18/Carriers!$P$23*BD34+Carriers!$P$20/Carriers!$P$23*BP34)*(CF34+FA_st_ab_losses)/1000000</f>
        <v>127032.75532045646</v>
      </c>
      <c r="CD34" s="63">
        <f>FA_st_nl_cost*FA_st_nl_demand/1000000+(FA_st_invest*(M34+1/FA_st_lifetime+FA_st_opex)/(Storage!$I$63/1000000)+FA_st_e_demand*1000*$AU34/100)*(CF34+FA_st_ab_losses)/1000000+co2_st_nl_cost*Storage!$I$12*co2_density/FA_density/1000000+(co2_st_opex_lev+co2_st_invest_lev+co2_st_e_demand*1000*$AU34/100)*Storage!$I$12/1000000+co2_st_invest_lev*Storage!$I$12*co2_st_lifetime*M34/1000000+Carriers!$P$18/Carriers!$P$23*((CF34+FA_st_ab_losses)/365.25*short_st_duration_hrs/24)*(h2_short_st_invest*(1/gh2_short_st_lifetime+$M34+h2_short_st_opex)+h2_short_st_e_demand*1000*$AU34/100)/1000000+Carriers!$P$20/Carriers!$P$23*((CF34+FA_st_ab_losses)/365.25*short_st_duration_hrs/24)*(co2_short_st_invest*(1/co2_short_st_lifetime+$M34+co2_short_st_opex)+co2_short_st_e_demand*1000*$AU34/100)/1000000</f>
        <v>11473.996688139054</v>
      </c>
      <c r="CE34" s="63">
        <f>FA_st_nl_cost*FA_st_nl_demand/1000000+(FA_st_invest*(M34+1/FA_st_lifetime+FA_st_opex)/(Storage!$I$63/1000000)+FA_st_e_demand*1000*$AU34/100)*(CF34+FA_st_ab_losses)/1000000+Carriers!$P$18/Carriers!$P$23*((CF34+FA_st_ab_losses)/365.25*short_st_duration_hrs/24)*(h2_short_st_invest*(1/gh2_short_st_lifetime+$M34+h2_short_st_opex)+h2_short_st_e_demand*1000*$AU34/100)/1000000+Carriers!$P$20/Carriers!$P$23*((CF34+FA_st_ab_losses)/365.25*short_st_duration_hrs/24)*(co2_short_st_invest*(1/co2_short_st_lifetime+$M34+co2_short_st_opex)+co2_short_st_e_demand*1000*$AU34/100)/1000000</f>
        <v>4795.4385546870308</v>
      </c>
      <c r="CF34" s="63">
        <f>Storage!$I$57/((1-Shipping!$J$37)^($F34/24/Shipping!$J$44+0.5*Shipping!$J$59))</f>
        <v>310425396.82539684</v>
      </c>
      <c r="CG34" s="28">
        <f>IF($E34="","No Port",((F34/24/Shipping!$J$44+F34/24/Shipping!$J$50+Shipping!$J$59+Shipping!$J$64)*(Shipping!$J$22+wacc_nl*Shipping!$J$19/365.25*1000000+Shipping!$J$35)+(F34/24/Shipping!$J$44*Shipping!$J$45+Shipping!$J$64*Shipping!$J$65)*IF(bunker_choice="HFO",$H34,IF(bunker_choice="hydrogen",$BD34*hfo_e_density_lhv/h2_e_density_lhv,(CB34+CD34)*1000000/CF34*hfo_e_density_lhv/FA_e_density_lhv))+(F34/24/Shipping!$J$50*Shipping!$J$51+Shipping!$J$59*Shipping!$J$60)*IF(bunker_choice="HFO",bunker_price_ROT,IF(bunker_choice="hydrogen",$BD34*hfo_e_density_lhv/h2_e_density_lhv,(CB34+CD34)*1000000/CF34*hfo_e_density_lhv/FA_e_density_lhv))+Shipping!$J$73+IF(G34="Panama",Shipping!$J$55,0)+IF(G34="Suez",Shipping!$J$56,0))/Shipping!$J$31*CF34/1000000+IF(inland_transport_to_port="hv dc grid",$BM34/100*1000*CI34,IF(inland_transport_to_port="pipeline",$BN34,0)))</f>
        <v>21191.029780738259</v>
      </c>
      <c r="CH34" s="28">
        <f t="shared" si="36"/>
        <v>153019.22365588174</v>
      </c>
      <c r="CI34" s="29">
        <f>((Carriers!$P$18/Carriers!$P$23*alk_el_e_demand)+FA_e_demand)*(CF34+FA_st_ab_losses)/1000000+FA_st_e_demand*CF34/1000000</f>
        <v>1897.8881241622576</v>
      </c>
      <c r="CJ34" s="29">
        <f t="shared" si="20"/>
        <v>0.46563809523809524</v>
      </c>
      <c r="CK34" s="28">
        <f>IFERROR(CH34*1000000/Storage!$I$12,"")</f>
        <v>492.93397132048955</v>
      </c>
      <c r="CL34" s="28">
        <f>IF($E34="","No Port",((F34/24/Shipping!$J$44+F34/24/Shipping!$J$50+Shipping!$J$59+Shipping!$J$64)*Carriers!$P$39*wacc_nl))</f>
        <v>354.91434313887066</v>
      </c>
      <c r="CM34" s="29">
        <f>H2_retrieval!$H$25*h2_demand_kt/1000+(co2_liq_e_demand+co2_st_e_demand*2)*Storage!$I$12*co2_density/FA_density/1000000</f>
        <v>94.204253879484654</v>
      </c>
      <c r="CN34" s="28">
        <f>IFERROR((((CB34+CD34+CG34)*(1+H2_retrieval!$H$34)+CL34)*1000000/H2_retrieval!$H$8)+h2_regen_fa,"")</f>
        <v>9921.3650402250896</v>
      </c>
      <c r="CO34" s="149">
        <f>(meoh_invest*(M34+1/meoh_lifetime)/meoh_prod+meoh_opex+meoh_e_demand*1000*$AU34/100+Carriers!$R$18/Carriers!$R$23*BD34+Carriers!$R$20/Carriers!$R$23*co2_liq_cost)*(CS34+meoh_st_ab_losses)/1000000</f>
        <v>52903.544492320601</v>
      </c>
      <c r="CP34" s="86">
        <f>(meoh_invest*(M34+1/meoh_lifetime)/meoh_prod+meoh_opex+meoh_e_demand*1000*$AU34/100+Carriers!$R$18/Carriers!$R$23*BD34+Carriers!$R$20/Carriers!$R$23*BP34)*(CS34+meoh_st_ab_losses)/1000000</f>
        <v>68367.041149518336</v>
      </c>
      <c r="CQ34" s="63">
        <f>meoh_st_nl_cost*meoh_st_nl_demand/1000000+(meoh_st_invest*(M34+1/meoh_st_lifetime+meoh_st_opex)/(Storage!$K$63/1000000)+meoh_st_e_demand*1000*$AU34/100)*(CS34+meoh_st_ab_losses)/1000000+co2_st_nl_cost*Storage!$K$12*co2_density/meoh_density/1000000+(co2_st_opex_lev+co2_st_invest_lev+co2_st_e_demand*1000*IFERROR(MIN(S34,AA34,AI34),S34)/100)*Storage!$K$12/1000000+co2_st_invest_lev*Storage!$K$12*co2_st_lifetime*M34/1000000+Carriers!$R$18/Carriers!$R$23*((CS34+meoh_st_ab_losses)/365.25*short_st_duration_hrs/24)*(h2_short_st_invest*(1/gh2_short_st_lifetime+$M34+h2_short_st_opex)+h2_short_st_e_demand*1000*$AU34/100)/1000000+Carriers!$R$20/Carriers!$R$23*((CF34+meoh_st_ab_losses)/365.25*short_st_duration_hrs/24)*(co2_short_st_invest*(1/co2_short_st_lifetime+$M34+co2_short_st_opex)+co2_short_st_e_demand*1000*$AU34/100)/1000000</f>
        <v>4684.5508828366401</v>
      </c>
      <c r="CR34" s="63">
        <f>meoh_st_nl_cost*meoh_st_nl_demand/1000000+(meoh_st_invest*(M34+1/meoh_st_lifetime+meoh_st_opex)/(Storage!$K$63/1000000)+meoh_st_e_demand*1000*$AU34/100)*(CS34+meoh_st_ab_losses)/1000000+Carriers!$R$18/Carriers!$R$23*((CS34+meoh_st_ab_losses)/365.25*short_st_duration_hrs/24)*(h2_short_st_invest*(1/gh2_short_st_lifetime+$M34+h2_short_st_opex)+h2_short_st_e_demand*1000*$AU34/100)/1000000+Carriers!$R$20/Carriers!$R$23*((CF34+meoh_st_ab_losses)/365.25*short_st_duration_hrs/24)*(co2_short_st_invest*(1/co2_short_st_lifetime+$M34+co2_short_st_opex)+co2_short_st_e_demand*1000*$AU34/100)/1000000</f>
        <v>1870.3373978022776</v>
      </c>
      <c r="CS34" s="63">
        <f>Storage!$K$57/((1-Shipping!$L$37)^($F34/24/Shipping!$L$44+0.5*Shipping!$L$59))</f>
        <v>108044444.44444443</v>
      </c>
      <c r="CT34" s="28">
        <f>IF($E34="","No Port",IF(AND(ship_choice="VLCC",G34="Panama"),"Ship cannot pass through Panama",IF(ship_choice="VLCC",((F34/24/Shipping!$AD$44+F34/24/Shipping!$AD$50+Shipping!$AD$59+Shipping!$AD$64)*(Shipping!$AD$22+wacc_nl*Shipping!$AD$19/365.25*1000000+Shipping!$AD$35)+(F34/24/Shipping!$AD$44*Shipping!$AD$45+Shipping!$AD$64*Shipping!$AD$65)*IF(bunker_choice="HFO",$H34,IF(bunker_choice="hydrogen",$BD34*hfo_e_density_lhv/h2_e_density_lhv,(CO34+CQ34)*1000000/CS34*hfo_e_density_lhv/meoh_e_density_lhv))+(F34/24/Shipping!$AD$50*Shipping!$AD$51+Shipping!$AD$59*Shipping!$AD$60)*IF(bunker_choice="HFO",bunker_price_ROT,IF(bunker_choice="hydrogen",$BD34*hfo_e_density_lhv/h2_e_density_lhv,(CO34+CQ34)*1000000/CS34*hfo_e_density_lhv/meoh_e_density_lhv))+Shipping!$AD$73+IF(G34="Panama",Shipping!$AD$55,0)+IF(G34="Suez",Shipping!$AD$56,0))/Shipping!$AD$31*CS34/1000000+IF(inland_transport_to_port="hv dc grid",$BM34/100*1000*CV34,IF(inland_transport_to_port="pipeline",$BN34,0)),((F34/24/Shipping!$L$44+F34/24/Shipping!$L$50+Shipping!$L$59+Shipping!$L$64)*(Shipping!$L$22+wacc_nl*Shipping!$L$19/365.25*1000000+Shipping!$L$35)+(F34/24/Shipping!$L$44*Shipping!$L$45+Shipping!$L$64*Shipping!$L$65)*IF(bunker_choice="HFO",$H34,IF(bunker_choice="hydrogen",$BD34*hfo_e_density_lhv/h2_e_density_lhv,(CO34+CQ34)*1000000/CS34*hfo_e_density_lhv/meoh_e_density_lhv))+(F34/24/Shipping!$L$50*Shipping!$L$51+Shipping!$L$59*Shipping!$L$60)*IF(bunker_choice="HFO",bunker_price_ROT,IF(bunker_choice="hydrogen",$BD34*hfo_e_density_lhv/h2_e_density_lhv,(CO34+CQ34)*1000000/CS34*hfo_e_density_lhv/meoh_e_density_lhv))+Shipping!$L$73+IF(G34="Panama",Shipping!$L$55,0)+IF(G34="Suez",Shipping!$L$56,0))/Shipping!$L$31*CS34/1000000+IF(inland_transport_to_port="hv dc grid",$BM34/100*1000*CV34,IF(inland_transport_to_port="pipeline",$BN34,0)))))</f>
        <v>7831.6869730463704</v>
      </c>
      <c r="CU34" s="28">
        <f t="shared" si="37"/>
        <v>78069.065520366974</v>
      </c>
      <c r="CV34" s="29">
        <f>((Carriers!$R$18/Carriers!$R$23*alk_el_e_demand)+meoh_e_demand)*(CS34+meoh_st_ab_losses)/1000000+meoh_st_e_demand*CS34/1000000</f>
        <v>1119.9789871111109</v>
      </c>
      <c r="CW34" s="29">
        <f t="shared" si="21"/>
        <v>0.16206666666666666</v>
      </c>
      <c r="CX34" s="28">
        <f>IFERROR(CU34*1000000/Storage!$K$12,"")</f>
        <v>722.56436619015096</v>
      </c>
      <c r="CY34" s="28">
        <f>IF($E34="","No Port",((F34/24/Shipping!$L$44+F34/24/Shipping!$L$50+Shipping!$L$59+Shipping!$L$64)*Carriers!$R$39*wacc_nl))</f>
        <v>127.25139044845318</v>
      </c>
      <c r="CZ34" s="29">
        <f>H2_retrieval!$J$25*h2_demand_kt/1000+(co2_liq_e_demand+co2_st_e_demand*2)*Storage!$K$12*co2_density/meoh_density/1000000</f>
        <v>251.05079059698966</v>
      </c>
      <c r="DA34" s="28">
        <f>IFERROR((((CO34+CQ34+CT34)*(1+H2_retrieval!$J$34)+CY34)*1000000/H2_retrieval!$J$8)+h2_regen_meoh,"")</f>
        <v>5989.7633769205331</v>
      </c>
      <c r="DB34" s="149">
        <f>(DBT_invest*(M34+1/DBT_lifetime)/DBT_prod+DBT_opex+DBT_e_demand*1000*$AU34/100+Carriers!$T$18/Carriers!$T$23*BD34)*(DD34+DBT_st_ab_losses)/1000000</f>
        <v>35365.543858012781</v>
      </c>
      <c r="DC34" s="28">
        <f>2*(DBT_st_nl_cost*DBT_st_nl_demand/1000000+(DBT_st_invest*(M34+1/DBT_st_lifetime+DBT_st_opex)/(Storage!$M$63/1000000)+DBT_st_e_demand*1000*$AU34/100)*(DD34+DBT_st_ab_losses)/1000000)+Carriers!$T$18/Carriers!$T$23*((DD34+DBT_st_ab_losses)/365.25*short_st_duration_hrs/24)*(h2_short_st_invest*(1/gh2_short_st_lifetime+$M34+h2_short_st_opex)+h2_short_st_e_demand*1000*$AU34/100)/1000000</f>
        <v>3901.478481233979</v>
      </c>
      <c r="DD34" s="63">
        <f>Storage!$M$57/((1-Shipping!$N$37)^($F34/24/Shipping!$N$44+0.5*Shipping!$N$59))</f>
        <v>219354838.70967743</v>
      </c>
      <c r="DE34" s="28">
        <f>IF($E34="","No Port",IF(AND(ship_choice="VLCC",G34="Panama"),"Ship cannot pass through Panama",IF(ship_choice="VLCC",((F34/24/Shipping!$AD$44+F34/24/Shipping!$AD$50+Shipping!$AD$59+Shipping!$AD$64)*(Shipping!$AD$22+wacc_nl*Shipping!$AD$19/365.25*1000000+Shipping!$AD$35)+(F34/24/Shipping!$AD$44*Shipping!$AD$45+Shipping!$AD$64*Shipping!$AD$65)*IF(bunker_choice="HFO",$H34,IF(bunker_choice="hydrogen",$BD34*hfo_e_density_lhv/h2_e_density_lhv,(DB34+DC34)*1000000/DD34*hfo_e_density_lhv/DBT_e_density_lhv))+(F34/24/Shipping!$AD$50*Shipping!$AD$51+Shipping!$AD$59*Shipping!$AD$60)*IF(bunker_choice="HFO",bunker_price_ROT,IF(bunker_choice="hydrogen",$BD34*hfo_e_density_lhv/h2_e_density_lhv,(DB34+DC34)*1000000/DD34*hfo_e_density_lhv/DBT_e_density_lhv))+Shipping!$AD$73+IF(G34="Panama",Shipping!$AD$55,0)+IF(G34="Suez",Shipping!$AD$56,0))/Shipping!$AD$31*DD34/1000000+IF(inland_transport_to_port="hv dc grid",$BM34/100*1000*DG34,IF(inland_transport_to_port="pipeline",$BN34,0)),((F34/24/Shipping!$N$44+F34/24/Shipping!$N$50+Shipping!$N$59+Shipping!$N$64)*(Shipping!$N$22+wacc_nl*Shipping!$N$19/365.25*1000000+Shipping!$N$35)+(F34/24/Shipping!$N$44*Shipping!$N$45+Shipping!$N$64*Shipping!$N$65)*IF(bunker_choice="HFO",$H34,IF(bunker_choice="hydrogen",$BD34*hfo_e_density_lhv/h2_e_density_lhv,(DB34+DC34)*1000000/DD34*hfo_e_density_lhv/DBT_e_density_lhv))+(F34/24/Shipping!$N$50*Shipping!$N$51+Shipping!$N$59*Shipping!$N$60)*IF(bunker_choice="HFO",bunker_price_ROT,IF(bunker_choice="hydrogen",$BD34*hfo_e_density_lhv/h2_e_density_lhv,(DB34+DC34)*1000000/DD34*hfo_e_density_lhv/DBT_e_density_lhv))+Shipping!$N$73+IF(G34="Panama",Shipping!$N$55,0)+IF(G34="Suez",Shipping!$N$56,0))/Shipping!$N$31*Shipping!$N$86/1000000+IF(inland_transport_to_port="hv dc grid",$BM34/100*1000*DG34,IF(inland_transport_to_port="pipeline",$BN34,0)))))</f>
        <v>13591.907442483993</v>
      </c>
      <c r="DF34" s="28">
        <f t="shared" si="56"/>
        <v>52858.929781730752</v>
      </c>
      <c r="DG34" s="29">
        <f>((Carriers!$T$18/Carriers!$T$23*alk_el_e_demand)+DBT_e_demand)*(DD34+DBT_st_ab_losses)/1000000+DBT_st_e_demand*DD34/1000000</f>
        <v>703.88335483870969</v>
      </c>
      <c r="DH34" s="29">
        <f t="shared" si="23"/>
        <v>0.21935483870967742</v>
      </c>
      <c r="DI34" s="28">
        <f>IFERROR(DF34*1000000/Storage!$M$12,"")</f>
        <v>240.9745328284784</v>
      </c>
      <c r="DJ34" s="28">
        <f>IF($E34="","No Port",((F34/24/Shipping!$N$44+F34/24/Shipping!$N$50+Shipping!$N$59+Shipping!$N$64)*Carriers!$T$39*wacc_nl))</f>
        <v>9268.1368661745346</v>
      </c>
      <c r="DK34" s="100">
        <f>H2_retrieval!$L$25*h2_demand_kt/1000+(co2_liq_e_demand+co2_st_e_demand*2)*Storage!$M$12*co2_density/DBT_density/1000000</f>
        <v>206.61934861671787</v>
      </c>
      <c r="DL34" s="28">
        <f>IFERROR(((DF34*(1+H2_retrieval!$L$34)+DJ34)*1000000/H2_retrieval!$L$8)+h2_regen_lohc,"")</f>
        <v>5038.8164459259488</v>
      </c>
      <c r="DM34" s="149">
        <f t="shared" si="24"/>
        <v>57783.498572445038</v>
      </c>
      <c r="DN34" s="16">
        <f>2*(nabh4_st_nl_cost*nabh4_st_nl_demand/1000000+(nabh4_st_invest*(M34+1/nabh4_st_lifetime+nabh4_st_opex)/(Storage!$O$63/1000000)+nabh4_st_e_demand*1000*$AU34/100)*(DO34+nabh4_st_ab_losses)/1000000)+(h2_demand_kt*1000/365.25*short_st_duration_hrs/24)*(h2_short_st_invest*(1/gh2_short_st_lifetime+$M34+h2_short_st_opex)+h2_short_st_e_demand*1000*$AU34/100)/1000000</f>
        <v>1389.3585535743409</v>
      </c>
      <c r="DO34" s="63">
        <f>Storage!$O$57/((1-Shipping!$P$37)^($F34/24/Shipping!$P$44+0.5*Shipping!$P$59))</f>
        <v>63920000</v>
      </c>
      <c r="DP34" s="16">
        <f>IF($E34="","No Port",((F34/24/Shipping!$P$44+F34/24/Shipping!$P$50+Shipping!$P$59+Shipping!$P$64)*(Shipping!$P$22+wacc_nl*Shipping!$P$19/365.25*1000000+Shipping!$P$35)+(F34/24/Shipping!$P$44*Shipping!$P$45+Shipping!$P$64*Shipping!$P$65)*IF(bunker_choice="HFO",$H34,IF(bunker_choice="hydrogen",$BD34*hfo_e_density_lhv/h2_e_density_lhv,(DM34+DN34)*1000000/DO34*hfo_e_density_lhv/nabh4_e_density_lhv))+(F34/24/Shipping!$P$50*Shipping!$P$51+Shipping!$P$59*Shipping!$P$60)*IF(bunker_choice="HFO",bunker_price_ROT,IF(bunker_choice="hydrogen",$BD34*hfo_e_density_lhv/h2_e_density_lhv,(DM34+DN34)*1000000/DO34*hfo_e_density_lhv/nabh4_e_density_lhv))+Shipping!$P$73+IF(G34="Panama",Shipping!$P$55,0)+IF(G34="Suez",Shipping!$P$56,0))/Shipping!$P$31*(DO34+nabh4_st_ab_losses)/1000000+IF(inland_transport_to_port="hv dc grid",$BM34/100*1000*DR34,IF(inland_transport_to_port="pipeline",$BN34,0)))</f>
        <v>5107.280190380412</v>
      </c>
      <c r="DQ34" s="28">
        <f t="shared" si="55"/>
        <v>64280.137316399792</v>
      </c>
      <c r="DR34" s="29">
        <f>((Carriers!$V$18/Carriers!$V$23*alk_el_e_demand)+nabh4_e_demand)*(DO34+nabh4_st_ab_losses)/1000000+nabh4_st_e_demand*DO34/1000000</f>
        <v>980.02139682539689</v>
      </c>
      <c r="DS34" s="28">
        <f t="shared" si="25"/>
        <v>3.1960000000000002</v>
      </c>
      <c r="DT34" s="28">
        <f>IFERROR(DQ34*1000000/Storage!$O$12,"")</f>
        <v>1005.634188304127</v>
      </c>
      <c r="DU34" s="28">
        <f>IF($E34="","No Port",((F34/24/Shipping!$P$44+F34/24/Shipping!$P$50+Shipping!$P$59+Shipping!$P$64)*Carriers!$V$39*wacc_nl))</f>
        <v>852.0902062491773</v>
      </c>
      <c r="DV34" s="100">
        <f>H2_retrieval!$N$25*h2_demand_kt/1000+(co2_liq_e_demand+co2_st_e_demand*2)*Storage!$O$12*co2_density/nabh4_density/1000000</f>
        <v>18.783638728971958</v>
      </c>
      <c r="DW34" s="28">
        <f>IFERROR(((DQ34*(1+H2_retrieval!$N$34)+DU34)*1000000/H2_retrieval!$N$8)+h2_regen_nabh4,"")</f>
        <v>4890.5382008165916</v>
      </c>
      <c r="DX34" s="149">
        <f>(Dme_invest*(M34+1/Dme_lifetime)/Dme_prod+Dme_opex+Dme_e_demand*1000*$AU34/100+Carriers!$X$21/Carriers!$X$23*(CO34*1000000/CS34))*(EB34+Dme_st_ab_losses)/1000000</f>
        <v>74987.596528149326</v>
      </c>
      <c r="DY34" s="86">
        <f>(Dme_invest*(M34+1/Dme_lifetime)/Dme_prod+Dme_opex+Dme_e_demand*1000*$AU34/100+Carriers!$X$21/Carriers!$X$23*(CP34*1000000/CS34))*(EB34+Dme_st_ab_losses)/1000000</f>
        <v>95966.365942076663</v>
      </c>
      <c r="DZ34" s="63">
        <f>Dme_st_nl_cost*Dme_st_nl_demand/1000000+(Dme_st_invest*(M34+1/Dme_st_lifetime+Dme_st_opex)/(Storage!$Q$63/1000000)+Dme_st_e_demand*1000*$AU34/100)*(EB34+Dme_st_ab_losses)/1000000+co2_st_nl_cost*Storage!$Q$12*co2_density/Dme_density/1000000+(co2_st_opex_lev+co2_st_invest_lev+co2_st_e_demand*1000*$AU34/100)*Storage!$Q$12/1000000+co2_st_invest_lev*Storage!$Q$12*co2_st_lifetime*M34/1000000+(h2_demand_kt*1000/365.25*short_st_duration_hrs/24)*(h2_short_st_invest*(1/gh2_short_st_lifetime+$M34+h2_short_st_opex)+h2_short_st_e_demand*1000*$AU34/100)/1000000</f>
        <v>5771.5405726000172</v>
      </c>
      <c r="EA34" s="63">
        <f>Dme_st_nl_cost*Dme_st_nl_demand/1000000+(Dme_st_invest*(M34+1/Dme_st_lifetime+Dme_st_opex)/(Storage!$Q$63/1000000)+Dme_st_e_demand*1000*$AU34/100)*(EB34+Dme_st_ab_losses)/1000000+(h2_demand_kt*1000/365.25*short_st_duration_hrs/24)*(h2_short_st_invest*(1/gh2_short_st_lifetime+$M34+h2_short_st_opex)+h2_short_st_e_demand*1000*$AU34/100)/1000000</f>
        <v>2842.8415757214402</v>
      </c>
      <c r="EB34" s="63">
        <f>Storage!$Q$57/((1-Shipping!$R$37)^($F34/24/Shipping!$R$44+0.5*Shipping!$R$59))</f>
        <v>103547089.94708996</v>
      </c>
      <c r="EC34" s="153">
        <f>IF($E34="","No Port",IF(AND(ship_choice="VLCC",G34="Panama"),"Ship cannot pass through Panama",IF(ship_choice="VLCC",((F34/24/Shipping!$AD$44+F34/24/Shipping!$AD$50+Shipping!$AD$59+Shipping!$AD$64)*(Shipping!$AD$22+wacc_nl*Shipping!$AD$19/365.25*1000000+Shipping!$AD$35)+(F34/24/Shipping!$AD$44*Shipping!$AD$45+Shipping!$AD$64*Shipping!$AD$65)*IF(bunker_choice="HFO",$H34,IF(bunker_choice="hydrogen",$BD34*hfo_e_density_lhv/h2_e_density_lhv,(DX34+DZ34)*1000000/EB34*hfo_e_density_lhv/Dme_e_density_lhv))+(F34/24/Shipping!$AD$50*Shipping!$AD$51+Shipping!$AD$59*Shipping!$AD$60)*IF(bunker_choice="HFO",bunker_price_ROT,IF(bunker_choice="hydrogen",$BD34*hfo_e_density_lhv/h2_e_density_lhv,(DX34+DZ34)*1000000/EB34*hfo_e_density_lhv/Dme_e_density_lhv))+Shipping!$AD$73+IF(G34="Panama",Shipping!$AD$55,0)+IF(G34="Suez",Shipping!$AD$56,0))/Shipping!$AD$31*(EB34+Dme_st_ab_losses)/1000000+IF(inland_transport_to_port="hv dc grid",$BM34/100*1000*EE34,IF(inland_transport_to_port="pipeline",$BN34,0)),((F34/24/Shipping!$R$44+F34/24/Shipping!$R$50+Shipping!$R$59+Shipping!$R$64)*(Shipping!$R$22+wacc_nl*Shipping!$R$19/365.25*1000000+Shipping!$R$35)+(F34/24/Shipping!$R$44*Shipping!$R$45+Shipping!$R$64*Shipping!$R$65)*IF(bunker_choice="HFO",$H34,IF(bunker_choice="hydrogen",$BD34*hfo_e_density_lhv/h2_e_density_lhv,(DX34+DZ34)*1000000/EB34*hfo_e_density_lhv/Dme_e_density_lhv))+(F34/24/Shipping!$R$50*Shipping!$R$51+Shipping!$R$59*Shipping!$R$60)*IF(bunker_choice="HFO",bunker_price_ROT,IF(bunker_choice="hydrogen",$BD34*hfo_e_density_lhv/h2_e_density_lhv,(DX34+DZ34)*1000000/EB34*hfo_e_density_lhv/Dme_e_density_lhv))+Shipping!$R$73+IF(G34="Panama",Shipping!$R$55,0)+IF(G34="Suez",Shipping!$R$56,0))/Shipping!$R$31*(EB34+Dme_st_ab_losses)/1000000+IF(inland_transport_to_port="hv dc grid",$BM34/100*1000*EE34,IF(inland_transport_to_port="pipeline",$BN34,0)))))</f>
        <v>7941.0358340695675</v>
      </c>
      <c r="ED34" s="28">
        <f t="shared" si="39"/>
        <v>106750.24335186767</v>
      </c>
      <c r="EE34" s="29">
        <f>(Dme_e_demand)*(EB34+Dme_st_ab_losses)/1000000+Dme_st_e_demand*DZ34/1000000+$CV34*(Carriers!$X$21/Carriers!$X$23*EB34)/$CS34</f>
        <v>1550.2168178824616</v>
      </c>
      <c r="EF34" s="29">
        <f t="shared" si="26"/>
        <v>1.0354708994708997</v>
      </c>
      <c r="EG34" s="28">
        <f>IFERROR(ED34*1000000/Storage!$Q$12,"")</f>
        <v>1030.9342677463408</v>
      </c>
      <c r="EH34" s="28">
        <f>IF($E34="","No Port",((F34/24/Shipping!$R$44+F34/24/Shipping!$R$50+Shipping!$R$59+Shipping!$R$64)*Carriers!$X$39*wacc_nl))</f>
        <v>132.60151014241072</v>
      </c>
      <c r="EI34" s="100">
        <f>H2_retrieval!$P$25*h2_demand_kt/1000+(co2_liq_e_demand+co2_st_e_demand*2)*Storage!$Q$12*co2_density/Dme_density/1000000</f>
        <v>252.45335899349112</v>
      </c>
      <c r="EJ34" s="28">
        <f>IFERROR((((DX34+DZ34+EC34)*(1+H2_retrieval!$P$34)+EH34)*1000000/H2_retrieval!$P$8)+h2_regen_dme,"")</f>
        <v>7701.9501935609187</v>
      </c>
      <c r="EK34" s="149">
        <f>(ome_invest*(M34+1/ome_lifetime)/ome_prod+ome_opex+ome_e_demand*1000*$AU34/100+Carriers!$Z$21/Carriers!$Z$23*(CO34*1000000/CS34))*(EO34+ome_st_ab_losses)/1000000</f>
        <v>164649.38503238535</v>
      </c>
      <c r="EL34" s="86">
        <f>(ome_invest*(M34+1/ome_lifetime)/ome_prod+ome_opex+ome_e_demand*1000*$AU34/100+Carriers!$Z$21/Carriers!$Z$23*(CP34*1000000/CS34))*(EO34+ome_st_ab_losses)/1000000</f>
        <v>208687.90582310935</v>
      </c>
      <c r="EM34" s="63">
        <f>ome_st_nl_cost*ome_st_nl_demand/1000000+(ome_st_invest*(M34+1/ome_st_lifetime+ome_st_opex)/(Storage!$S$63/1000000)+ome_st_e_demand*1000*$AU34/100)*(EO34+ome_st_ab_losses)/1000000+co2_st_nl_cost*Storage!$S$12*co2_density/ome_density/1000000+(co2_st_opex_lev+co2_st_invest_lev+co2_st_e_demand*1000*$AU34/100)*Storage!$S$12/1000000+co2_st_invest_lev*Storage!$S$12*co2_st_lifetime*M34/1000000+(h2_demand_kt*1000/365.25*short_st_duration_hrs/24)*(h2_short_st_invest*(1/gh2_short_st_lifetime+$M34+h2_short_st_opex)+h2_short_st_e_demand*1000*$AU34/100)/1000000</f>
        <v>4983.0971936196456</v>
      </c>
      <c r="EN34" s="63">
        <f>ome_st_nl_cost*ome_st_nl_demand/1000000+(ome_st_invest*(M34+1/ome_st_lifetime+ome_st_opex)/(Storage!$S$63/1000000)+ome_st_e_demand*1000*$AU34/100)*(EO34+ome_st_ab_losses)/1000000+(h2_demand_kt*1000/365.25*short_st_duration_hrs/24)*(h2_short_st_invest*(1/gh2_short_st_lifetime+$M34+h2_short_st_opex)+h2_short_st_e_demand*1000*$AU34/100)/1000000</f>
        <v>1693.7549992844192</v>
      </c>
      <c r="EO34" s="63">
        <f>Storage!$S$57/((1-Shipping!$T$37)^($F34/24/Shipping!$T$44+0.5*Shipping!$T$59))</f>
        <v>128282539.68253967</v>
      </c>
      <c r="EP34" s="28">
        <f>IF($E34="","No Port",IF(AND(ship_choice="VLCC",G34="Panama"),"Ship cannot pass through Panama",IF(ship_choice="VLCC",((F34/24/Shipping!$AD$44+F34/24/Shipping!$AD$50+Shipping!$AD$59+Shipping!$AD$64)*(Shipping!$AD$22+wacc_nl*Shipping!$AD$19/365.25*1000000+Shipping!$AD$35)+(F34/24/Shipping!$AD$44*Shipping!$AD$45+Shipping!$AD$64*Shipping!$AD$65)*IF(bunker_choice="HFO",$H34,IF(bunker_choice="hydrogen",$BD34*hfo_e_density_lhv/h2_e_density_lhv,(EK34+EM34)*1000000/EO34*hfo_e_density_lhv/Dme_e_density_lhv))+(F34/24/Shipping!$AD$50*Shipping!$AD$51+Shipping!$AD$59*Shipping!$AD$60)*IF(bunker_choice="HFO",bunker_price_ROT,IF(bunker_choice="hydrogen",$BD34*hfo_e_density_lhv/h2_e_density_lhv,(EK34+EM34)*1000000/EO34*hfo_e_density_lhv/ome_e_density_lhv))+Shipping!$AD$73+IF(G34="Panama",Shipping!$AD$55,0)+IF(G34="Suez",Shipping!$AD$56,0))/Shipping!$AD$31*(EO34+ome_st_ab_losses)/1000000+IF(inland_transport_to_port="hv dc grid",$BM34/100*1000*ER34,IF(inland_transport_to_port="pipeline",$BN34,0)),((F34/24/Shipping!$T$44+F34/24/Shipping!$T$50+Shipping!$T$59+Shipping!$T$64)*(Shipping!$T$22+wacc_nl*Shipping!$T$19/365.25*1000000+Shipping!$T$35)+(F34/24/Shipping!$T$44*Shipping!$T$45+Shipping!$T$64*Shipping!$T$65)*IF(bunker_choice="HFO",$H34,IF(bunker_choice="hydrogen",$BD34*hfo_e_density_lhv/h2_e_density_lhv,(EK34+EM34)*1000000/EO34*hfo_e_density_lhv/Dme_e_density_lhv))+(F34/24/Shipping!$T$50*Shipping!$T$51+Shipping!$T$59*Shipping!$T$60)*IF(bunker_choice="HFO",bunker_price_ROT,IF(bunker_choice="hydrogen",$BD34*hfo_e_density_lhv/h2_e_density_lhv,(EK34+EM34)*1000000/EO34*hfo_e_density_lhv/ome_e_density_lhv))+Shipping!$T$73+IF(G34="Panama",Shipping!$T$55,0)+IF(G34="Suez",Shipping!$T$56,0))/Shipping!$T$31*(EO34+ome_st_ab_losses)/1000000+IF(inland_transport_to_port="hv dc grid",$BM34/100*1000*ER34,IF(inland_transport_to_port="pipeline",$BN34,0)))))</f>
        <v>8613.5507635842059</v>
      </c>
      <c r="EQ34" s="28">
        <f t="shared" si="40"/>
        <v>218995.21158597799</v>
      </c>
      <c r="ER34" s="29">
        <f>(ome_e_demand)*(EO34+ome_st_ab_losses)/1000000+ome_st_e_demand*EM34/1000000+$CV34*(Carriers!$Z$21/Carriers!$Z$23*EO34)/$CS34</f>
        <v>3352.0814576154294</v>
      </c>
      <c r="ES34" s="29">
        <f t="shared" si="27"/>
        <v>0.1924238095238095</v>
      </c>
      <c r="ET34" s="28">
        <f>IFERROR(EQ34*1000000/Storage!$S$12,"")</f>
        <v>1707.1318678903976</v>
      </c>
      <c r="EU34" s="28">
        <f>IF($E34="","No Port",((F34/24/Shipping!$T$44+F34/24/Shipping!$T$50+Shipping!$T$59+Shipping!$T$64)*Carriers!$Z$39*wacc_nl))</f>
        <v>151.08719035762897</v>
      </c>
      <c r="EV34" s="100">
        <f>H2_retrieval!$R$25*h2_demand_kt/1000+(co2_liq_e_demand+co2_st_e_demand*2)*Storage!$S$12*co2_density/ome_density/1000000</f>
        <v>254.51942895252085</v>
      </c>
      <c r="EW34" s="28">
        <f>IFERROR((((EK34+EM34+EP34)*(1+H2_retrieval!$R$34)+EU34)*1000000/H2_retrieval!$R$8)+h2_regen_ome,"")</f>
        <v>14287.563850545148</v>
      </c>
      <c r="EX34" s="149">
        <f>(sng_invest*(M34+1/sng_lifetime)/sng_prod+lng_invest*(M34+1/lng_lifetime)/lng_prod+sng_opex+lng_opex+(sng_e_demand+lng_e_demand)*1000*$AU34/100+Carriers!$AB$18/Carriers!$AB$23*BD34+Carriers!$AB$20/Carriers!$AB$23*co2_liq_cost)*(FB34+lng_st_ab_losses)/1000000</f>
        <v>58435.360261783884</v>
      </c>
      <c r="EY34" s="86">
        <f>(sng_invest*(M34+1/sng_lifetime)/sng_prod+lng_invest*(M34+1/lng_lifetime)/lng_prod+sng_opex+lng_opex+(sng_e_demand+lng_e_demand)*1000*$AU34/100+Carriers!$AB$18/Carriers!$AB$23*BD34+Carriers!$AB$20/Carriers!$AB$23*BP34)*(FB34+lng_st_ab_losses)/1000000</f>
        <v>70148.063140536527</v>
      </c>
      <c r="EZ34" s="63">
        <f>lng_st_nl_cost*lng_st_nl_demand/1000000+(lng_st_invest*(M34+1/lng_st_lifetime+lng_st_opex)/(Storage!$U$63/1000000)+lng_st_e_demand*1000*$AU34/100)*(FB34+lng_st_ab_losses)/1000000+co2_st_nl_cost*Storage!$U$12*co2_density/lng_density/1000000+(co2_st_opex_lev+co2_st_invest_lev+co2_st_e_demand*1000*$AU34/100)*Storage!$U$12/1000000+co2_st_invest_lev*Storage!$U$12*co2_st_lifetime*M34/1000000+Carriers!$AB$18/Carriers!$AB$23*((FB34+lng_st_ab_losses)/365.25*short_st_duration_hrs/24)*(h2_short_st_invest*(1/gh2_short_st_lifetime+$M34+h2_short_st_opex)+h2_short_st_e_demand*1000*$AU34/100)/1000000+Carriers!$AB$20/Carriers!$AB$23*((FB34+lng_st_ab_losses)/365.25*short_st_duration_hrs/24)*(co2_short_st_invest*(1/co2_short_st_lifetime+$M34+co2_short_st_opex)+co2_short_st_e_demand*1000*$AU34/100)/1000000</f>
        <v>6059.0705726143515</v>
      </c>
      <c r="FA34" s="63">
        <f>lng_st_nl_cost*lng_st_nl_demand/1000000+(lng_st_invest*(M34+1/lng_st_lifetime+lng_st_opex)/(Storage!$U$63/1000000)+lng_st_e_demand*1000*$AU34/100)*(FB34+lng_st_ab_losses)/1000000+Carriers!$AB$18/Carriers!$AB$23*((FB34+lng_st_ab_losses)/365.25*short_st_duration_hrs/24)*(h2_short_st_invest*(1/gh2_short_st_lifetime+$M34+h2_short_st_opex)+h2_short_st_e_demand*1000*$AU34/100)/1000000+Carriers!$AB$20/Carriers!$AB$23*((FB34+lng_st_ab_losses)/365.25*short_st_duration_hrs/24)*(co2_short_st_invest*(1/co2_short_st_lifetime+$M34+co2_short_st_opex)+co2_short_st_e_demand*1000*$AU34/100)/1000000</f>
        <v>4473.5113206809292</v>
      </c>
      <c r="FB34" s="63">
        <f>Storage!$U$57/((1-Shipping!$V$37)^($F34/24/Shipping!$V$44+0.5*Shipping!$V$59))</f>
        <v>41699203.160857067</v>
      </c>
      <c r="FC34" s="28" t="e">
        <f>IF($E34="","No Port",IF(G34="Panama","Ship cannot pass through Panama",((F34/24/Shipping!$V$44+F34/24/Shipping!$V$50+Shipping!$V$59+Shipping!$V$64)*(Shipping!$V$22+wacc_nl*Shipping!$V$19/365.25*1000000+Shipping!$V$35)+(F34/24/Shipping!$V$44*Shipping!$V$45+Shipping!$V$64*Shipping!$V$65)*IF(bunker_choice="HFO",$H34,IF(bunker_choice="hydrogen",$BD34*hfo_e_density_lhv/h2_e_density_lhv,(EX34+EZ34)*1000000/FB34*hfo_e_density_lhv/lng_e_density_lhv))+(F34/24/Shipping!$V$50*Shipping!$V$51+Shipping!$V$59*Shipping!$V$60)*IF(bunker_choice="HFO",bunker_price_ROT,IF(bunker_choice="hydrogen",$BD34*hfo_e_density_lhv/h2_e_density_lhv,(EX34+EZ34)*1000000/FB34*hfo_e_density_lhv/lng_e_density_lhv))+Shipping!$V$73+IF(G34="Panama",Shipping!$V$55,0)+IF(G34="Suez",Shipping!$V$56,0))/Shipping!$V$31*(FB34+lng_st_ab_losses)/1000000)+IF(inland_transport_to_port="hv dc grid",$BM34/100*1000*FE34,IF(inland_transport_to_port="pipeline",$BN34,0)))</f>
        <v>#VALUE!</v>
      </c>
      <c r="FD34" s="28" t="str">
        <f t="shared" si="41"/>
        <v/>
      </c>
      <c r="FE34" s="29">
        <f>((Carriers!$AB$18/Carriers!$AB$23*alk_el_e_demand)+sng_e_demand+lng_e_demand)*(FB34+lng_st_ab_losses)/1000000+lng_st_e_demand*EZ34/1000000</f>
        <v>1118.3256128210232</v>
      </c>
      <c r="FF34" s="29">
        <f t="shared" si="28"/>
        <v>0.8126185861001558</v>
      </c>
      <c r="FG34" s="28" t="str">
        <f>IFERROR(FD34*1000000/Storage!$U$12,"")</f>
        <v/>
      </c>
      <c r="FH34" s="28">
        <f>IF($E34="","No Port",((F34/24/Shipping!$V$44+F34/24/Shipping!$V$50+Shipping!$V$59+Shipping!$V$64)*Carriers!$AB$39*wacc_nl))</f>
        <v>44.284364878409477</v>
      </c>
      <c r="FI34" s="100">
        <f>H2_retrieval!$T$25*h2_demand_kt/1000+(co2_liq_e_demand+co2_st_e_demand*2)*Storage!$U$12*co2_density/lng_density/1000000</f>
        <v>236.51371749646054</v>
      </c>
      <c r="FJ34" s="28" t="str">
        <f>IFERROR((((EX34+EZ34+FC34)*(1+H2_retrieval!$T$34)+FH34)*1000000/H2_retrieval!$T$8)+h2_regen_lng,"")</f>
        <v/>
      </c>
      <c r="FK34" s="149">
        <f>(lh2_invest*(M34+1/lh2_lifetime)/lh2_prod+lh2_opex+lh2_e_demand*1000*$AU34/100+Carriers!$AD$18/Carriers!$AD$23*BD34)*(FM34+lh2_st_ab_losses)/1000000</f>
        <v>47158.028287159017</v>
      </c>
      <c r="FL34" s="28">
        <f>lh2_st_nl_cost*lh2_st_nl_demand/1000000+(lh2_st_invest*(M34+1/lh2_st_lifetime+lh2_st_opex)/(Storage!$Y$63/1000000)+lh2_st_e_demand*1000*$AU34/100)*(FM34+lh2_st_ab_losses)/1000000+((FM34+lh2_st_ab_losses)/365.25*short_st_duration_hrs/24)*(h2_short_st_invest*(1/gh2_short_st_lifetime+$M34+h2_short_st_opex)+h2_short_st_e_demand*1000*$AU34/100)/1000000</f>
        <v>52374.840118227308</v>
      </c>
      <c r="FM34" s="63">
        <f>Storage!$Y$57/((1-Shipping!$Z$37)^($F34/24/Shipping!$Z$44+0.5*Shipping!$Z$59))</f>
        <v>14196666.466683108</v>
      </c>
      <c r="FN34" s="28" t="e">
        <f>IF($E34="","No Port",IF(G34="Panama","Ship cannot pass through Panama",((F34/24/Shipping!$Z$44+F34/24/Shipping!$Z$50+Shipping!$Z$59+Shipping!$Z$64)*(Shipping!$Z$22+wacc_nl*Shipping!$Z$19/365.25*1000000+Shipping!$Z$35)+(F34/24/Shipping!$Z$44*Shipping!$Z$45+Shipping!$Z$64*Shipping!$Z$65)*IF(bunker_choice="HFO",$H34,IF(bunker_choice="hydrogen",$BD34*hfo_e_density_lhv/h2_e_density_lhv,(FK34+FL34)*1000000/FM34*hfo_e_density_lhv/lh2_e_density_lhv))+(F34/24/Shipping!$Z$50*Shipping!$Z$51+Shipping!$Z$59*Shipping!$Z$60)*IF(bunker_choice="HFO",bunker_price_ROT,IF(bunker_choice="hydrogen",$BD34*hfo_e_density_lhv/h2_e_density_lhv,(FK34+FL34)*1000000/FM34*hfo_e_density_lhv/lh2_e_density_lhv))+Shipping!$Z$73+IF(G34="Panama",Shipping!$Z$55,0)+IF(G34="Suez",Shipping!$Z$56,0))/Shipping!$Z$31*(FM34+lh2_st_ab_losses)/1000000)+IF(inland_transport_to_port="hv dc grid",$BM34/100*1000*FP34,IF(inland_transport_to_port="pipeline",$BN34,0)))</f>
        <v>#VALUE!</v>
      </c>
      <c r="FO34" s="28" t="str">
        <f t="shared" si="42"/>
        <v/>
      </c>
      <c r="FP34" s="29">
        <f>((Carriers!$AD$18/Carriers!$AD$23*alk_el_e_demand)+lh2_e_demand)*(FM34+lh2_st_ab_losses)/1000000+lh2_st_e_demand*FM34/1000000</f>
        <v>822.6601415769552</v>
      </c>
      <c r="FQ34" s="100">
        <f t="shared" si="29"/>
        <v>1.361902463475859</v>
      </c>
      <c r="FR34" s="28" t="str">
        <f>IFERROR(FO34*1000000/Storage!$Y$12,"")</f>
        <v/>
      </c>
      <c r="FS34" s="100">
        <f>H2_retrieval!$V$25*h2_demand_kt/1000</f>
        <v>8.16</v>
      </c>
      <c r="FT34" s="28" t="str">
        <f>IFERROR(FR34*(1+H2_retrieval!$V$34)/Carrier_properties!$U$7+H2_retrieval!$V$38,"")</f>
        <v/>
      </c>
      <c r="FU34" s="12"/>
      <c r="FV34" s="24">
        <f t="shared" si="30"/>
        <v>2.448392436138862</v>
      </c>
      <c r="FW34" s="24">
        <f t="shared" si="57"/>
        <v>4.0857723755521604</v>
      </c>
      <c r="FX34" s="24">
        <f t="shared" si="58"/>
        <v>6.1760343033059018</v>
      </c>
      <c r="FY34" s="24">
        <f t="shared" si="45"/>
        <v>2.448392436138862</v>
      </c>
      <c r="FZ34" s="28">
        <f t="shared" si="59"/>
        <v>2371.3383477159332</v>
      </c>
      <c r="GA34" s="28">
        <f t="shared" si="47"/>
        <v>561.02626450317291</v>
      </c>
      <c r="GB34" s="28">
        <f t="shared" si="48"/>
        <v>409.2215283271679</v>
      </c>
      <c r="GC34" s="28">
        <f t="shared" si="49"/>
        <v>632.76776053647166</v>
      </c>
      <c r="GD34" s="28">
        <f t="shared" si="50"/>
        <v>926.78959873341819</v>
      </c>
      <c r="GE34" s="28">
        <f t="shared" si="51"/>
        <v>1626.7833981112983</v>
      </c>
      <c r="GF34" s="28">
        <f t="shared" si="52"/>
        <v>1682.2398948473033</v>
      </c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</row>
    <row r="35" spans="1:214" x14ac:dyDescent="0.2">
      <c r="A35" s="40" t="s">
        <v>21</v>
      </c>
      <c r="B35" s="12">
        <v>7486</v>
      </c>
      <c r="C35" s="12">
        <v>1</v>
      </c>
      <c r="D35" s="12">
        <f t="shared" si="0"/>
        <v>0</v>
      </c>
      <c r="E35" s="12" t="s">
        <v>708</v>
      </c>
      <c r="F35" s="12">
        <v>10525</v>
      </c>
      <c r="G35" s="12" t="s">
        <v>692</v>
      </c>
      <c r="H35" s="16">
        <f t="shared" si="1"/>
        <v>382.75862068965517</v>
      </c>
      <c r="I35" s="16">
        <v>9388211</v>
      </c>
      <c r="J35" s="16">
        <f t="shared" si="31"/>
        <v>1728.6874717193423</v>
      </c>
      <c r="K35" s="27">
        <f t="shared" si="32"/>
        <v>2074.4249660632108</v>
      </c>
      <c r="L35" s="103">
        <v>8.3000000000000004E-2</v>
      </c>
      <c r="M35" s="103">
        <f t="shared" si="2"/>
        <v>0.10012422271090159</v>
      </c>
      <c r="N35" s="122">
        <f t="shared" si="33"/>
        <v>0.75</v>
      </c>
      <c r="O35" s="46">
        <f t="shared" si="3"/>
        <v>40</v>
      </c>
      <c r="P35" s="70">
        <f t="array" ref="P35">SUMPRODUCT(IF(Solar_data!A$4:A$777=A35,Solar_data!C$4:C$777),IF(Solar_data!A$4:A$777=A35,Solar_data!I$4:I$777))/SUMIF(Solar_data!A$4:A$777,A35,Solar_data!I$4:I$777)</f>
        <v>1994.7991251151998</v>
      </c>
      <c r="Q35" s="16">
        <f t="array" ref="Q35">MAX(IF(Solar_data!$A$777:'Solar_data'!$A$4=Country_details!$A35,Solar_data!$C$4:'Solar_data'!$C$777))</f>
        <v>2646.25</v>
      </c>
      <c r="R35" s="16">
        <f t="array" ref="R35">MIN(IF(Solar_data!$A$777:'Solar_data'!$A$4=Country_details!A35,Solar_data!$C$4:'Solar_data'!$C$777))</f>
        <v>1186.25</v>
      </c>
      <c r="S35" s="24">
        <f t="shared" si="4"/>
        <v>2.304028735049775</v>
      </c>
      <c r="T35" s="24">
        <f t="shared" si="5"/>
        <v>1.7368255096523653</v>
      </c>
      <c r="U35" s="24">
        <f t="shared" si="6"/>
        <v>3.8744569061475844</v>
      </c>
      <c r="V35" s="16">
        <f t="array" ref="V35">SUM(IF(Solar_data!$A$777:'Solar_data'!$A$4=Country_details!$A35,Solar_data!$I$4:'Solar_data'!$I$777))</f>
        <v>61590.614759106888</v>
      </c>
      <c r="W35" s="148"/>
      <c r="X35" s="16">
        <f>IFERROR(INDEX(Onshore_wind_data!$J$5:'Onshore_wind_data'!$J$221,MATCH(A35,Onshore_wind_data!$B$5:'Onshore_wind_data'!$B$221,0)),"")</f>
        <v>3135.9270820210113</v>
      </c>
      <c r="Y35" s="16">
        <f>IFERROR(INDEX(Onshore_wind_data!$K$5:'Onshore_wind_data'!$K$221,MATCH(A35,Onshore_wind_data!$B$5:'Onshore_wind_data'!$B$221,0)),"")</f>
        <v>3971</v>
      </c>
      <c r="Z35" s="16">
        <f>IFERROR(INDEX(Onshore_wind_data!$L$5:'Onshore_wind_data'!$L$221,MATCH(A35,Onshore_wind_data!$B$5:'Onshore_wind_data'!$B$221,0)),"")</f>
        <v>2847.5</v>
      </c>
      <c r="AA35" s="24">
        <f t="shared" si="7"/>
        <v>3.9776680461397462</v>
      </c>
      <c r="AB35" s="24">
        <f t="shared" si="8"/>
        <v>3.1411928857162512</v>
      </c>
      <c r="AC35" s="24">
        <f t="shared" si="9"/>
        <v>4.3805713605546037</v>
      </c>
      <c r="AD35" s="16">
        <f>IFERROR(INDEX(Onshore_wind_data!$I$5:'Onshore_wind_data'!$I$221,MATCH(A35,Onshore_wind_data!$B$5:'Onshore_wind_data'!$B$221,0)),"")</f>
        <v>10205.592455</v>
      </c>
      <c r="AE35" s="148"/>
      <c r="AF35" s="16">
        <f>INDEX(Offshore_wind_data!$AA$7:$AA$192,MATCH(Country_details!A35,Offshore_wind_data!$A$7:$A$192,0))</f>
        <v>3785.9427885664409</v>
      </c>
      <c r="AG35" s="16">
        <f>INDEX(Offshore_wind_data!$Y$7:$Y$192,MATCH(Country_details!A35,Offshore_wind_data!$A$7:$A$192,0))</f>
        <v>4204.8</v>
      </c>
      <c r="AH35" s="16">
        <f>INDEX(Offshore_wind_data!$Z$7:$Z$192,MATCH(Country_details!A35,Offshore_wind_data!$A$7:$A$192,0))</f>
        <v>3153.6</v>
      </c>
      <c r="AI35" s="24">
        <f t="shared" si="10"/>
        <v>6.2910066289049107</v>
      </c>
      <c r="AJ35" s="24">
        <f t="shared" si="11"/>
        <v>5.6643338992404439</v>
      </c>
      <c r="AK35" s="24">
        <f t="shared" si="12"/>
        <v>7.5524451989872592</v>
      </c>
      <c r="AL35" s="16">
        <f>INDEX(Offshore_wind_data!$W$7:$W$191,MATCH(A35,Offshore_wind_data!$A$7:$A$191,0))</f>
        <v>8328.4683839999998</v>
      </c>
      <c r="AM35" s="148"/>
      <c r="AN35" s="12">
        <v>1410</v>
      </c>
      <c r="AO35" s="12">
        <v>1364.5</v>
      </c>
      <c r="AP35" s="34">
        <f>2.2263*11.63</f>
        <v>25.891869000000003</v>
      </c>
      <c r="AQ35" s="15">
        <f t="shared" si="13"/>
        <v>50</v>
      </c>
      <c r="AR35" s="12">
        <f t="shared" si="34"/>
        <v>68225</v>
      </c>
      <c r="AS35" s="16">
        <f t="shared" si="35"/>
        <v>11899.6755981069</v>
      </c>
      <c r="AT35" s="12"/>
      <c r="AU35" s="24">
        <f t="shared" si="14"/>
        <v>3.3269659625093371</v>
      </c>
      <c r="AV35" s="16">
        <f t="shared" si="15"/>
        <v>5130.7262071362111</v>
      </c>
      <c r="AW35" s="149">
        <f>HV_DC_Grid!$E$3/(1-AX35)*AU35/100*1000</f>
        <v>3908.952486825051</v>
      </c>
      <c r="AX35" s="31">
        <f>(1-(1-HV_DC_Grid!$E$25)^(B35*C35*HV_DC_Grid!$E$8/1000))+(1-(1-HV_DC_Grid!$E$26)^(B35*D35*HV_DC_Grid!$E$8/1000))+HV_DC_Grid!$E$35*HV_DC_Grid!$E$28</f>
        <v>0.14888554575100965</v>
      </c>
      <c r="AY35" s="28">
        <f>B35*nl_e_demand/IF(hv_dc_flh="electricity FLH",$AV35,hv_dc_custom)*1000*hv_dc_capacity_multiplier*hv_dc_length_multiplier*1000*(C35*hv_dc_overhead_invest*(hv_dc_overhead_opex+M35+1/hv_dc_lifetime)+D35*hv_dc_sea_invest*(hv_dc_sea_opex+M35+1/hv_dc_lifetime))/1000000+HV_DC_Grid!$E$10*1000*hv_dc_station_invest*hv_dc_station_number*(hv_dc_station_opex+M35+1/hv_dc_lifetime)/1000000</f>
        <v>5697.6587847656929</v>
      </c>
      <c r="AZ35" s="24">
        <f>(AW35+AY35)/(HV_DC_Grid!$E$3*1000)*100</f>
        <v>9.6066112715907437</v>
      </c>
      <c r="BA35" s="28">
        <f>MIN(((Carriers!$F$26+Carriers!$F$27)*(alk_el_opex+wacc_nl+1/alk_el_lifetime)+IF(hv_dc_flh="electricity FLH",$AV35,hv_dc_custom)*AZ35/100)/(IF(hv_dc_flh="electricity FLH",$AV35,hv_dc_custom)/alk_el_e_demand)*1000,((Carriers!$H$26+Carriers!$H$27)*(pem_el_opex+wacc_nl+1/pem_el_lifetime)+IF(hv_dc_flh="electricity FLH",$AV35,hv_dc_custom)*AZ35/100)/(IF(hv_dc_flh="electricity FLH",$AV35,hv_dc_custom)/pem_el_e_demand)*1000)</f>
        <v>5258.9626200833081</v>
      </c>
      <c r="BB35" s="12"/>
      <c r="BC35" s="12"/>
      <c r="BD35" s="149">
        <f>MIN(((Carriers!$F$26+Carriers!$F$27)*(alk_el_opex+M35+1/alk_el_lifetime)+$AV35*$AU35/100)/($AV35/alk_el_e_demand)*1000,((Carriers!$H$26+Carriers!$H$27)*(pem_el_opex+M35+1/pem_el_lifetime)+$AV35*$AU35/100)/($AV35/pem_el_e_demand)*1000)</f>
        <v>2281.8634201495665</v>
      </c>
      <c r="BE35" s="28">
        <f>Storage!$AC$50</f>
        <v>8.1664117557772418</v>
      </c>
      <c r="BF35" s="28">
        <f>((Pipeline!$D$22*Pipeline!$D$24*B35*(pipeline_opex+M35+1/pipeline_lifetime))*(Pipeline!$D$39/Pipeline!$D$3)+(Pipeline!$D$57*(pipeline_comp_opex+M35+1/pipeline_comp_lifetime)+Pipeline!$D$47*1000*Pipeline!$D$45*$AU35/100/1000000))*(Pipeline!$D$75/Pipeline!$D$45)</f>
        <v>14641.930900257143</v>
      </c>
      <c r="BG35" s="28">
        <f>BD35+(BE35+BF35)/Storage!$AC$12*1000000</f>
        <v>3359.0764577975751</v>
      </c>
      <c r="BH35" s="28"/>
      <c r="BI35" s="28"/>
      <c r="BJ35" s="28">
        <f>IF($E35="","No Port",BK35*HV_DC_Grid!$E$3*$AU35/100*1000)</f>
        <v>177.51246124091296</v>
      </c>
      <c r="BK35" s="31">
        <f>IFERROR((1-(1-HV_DC_Grid!$E$25)^(K35*HV_DC_Grid!$E$8/1000))+HV_DC_Grid!$E$35*HV_DC_Grid!$E$28,"")</f>
        <v>5.3355658952105908E-2</v>
      </c>
      <c r="BL35" s="28">
        <f>IFERROR(K35*nl_e_demand/IF(hv_dc_flh="electricity FLH",$AV35,hv_dc_custom)*1000*hv_dc_capacity_multiplier*hv_dc_length_multiplier*1000*(hv_dc_overhead_invest*(hv_dc_overhead_opex+M35+1/hv_dc_lifetime))/1000000+HV_DC_Grid!$E$10*1000*hv_dc_station_invest*hv_dc_station_number*(hv_dc_station_opex+M35+1/hv_dc_lifetime)/1000000,"")</f>
        <v>1836.7386706248649</v>
      </c>
      <c r="BM35" s="29">
        <f>IFERROR((BJ35+BL35)/(HV_DC_Grid!$E$3*1000)*100,"")</f>
        <v>2.0142511318657781</v>
      </c>
      <c r="BN35" s="28">
        <f>IFERROR(((Pipeline!$D$22*Pipeline!$D$24*K35*(pipeline_opex+M35+1/pipeline_lifetime))*(Pipeline!$D$39/Pipeline!$D$3)+(Pipeline!$D$57*(pipeline_comp_opex+M35+1/pipeline_comp_lifetime)+Pipeline!$D$47*1000*Pipeline!$D$45*S35/100/1000000))*(Pipeline!$D$75/Pipeline!$D$45),"")</f>
        <v>4104.1953360863208</v>
      </c>
      <c r="BO35" s="28"/>
      <c r="BP35" s="150">
        <f t="shared" si="16"/>
        <v>104.86042414925215</v>
      </c>
      <c r="BQ35" s="34">
        <f t="shared" si="17"/>
        <v>30.696817792053782</v>
      </c>
      <c r="BR35" s="151">
        <f>(nh3_invest*(M35+1/nh3_lifetime)/nh3_prod+nh3_opex+nh3_e_demand*1000*$AU35/100+Carriers!$N$18/Carriers!$N$23*BD35+Carriers!$N$19/Carriers!$N$23*BQ35)*(BT35+nh3_st_ab_losses)/1000000</f>
        <v>44305.873797270477</v>
      </c>
      <c r="BS35" s="63">
        <f>nh3_st_nl_cost*nh3_st_nl_demand/1000000+(nh3_st_invest*(M35+1/nh3_st_lifetime+nh3_st_opex)/(Storage!$G$63/1000000)+nh3_st_e_demand*1000*$AU35/100)*(BT35+nh3_st_ab_losses)/1000000+Carriers!$N$18/Carriers!$N$23*((BT35+nh3_st_ab_losses)/365.25*short_st_duration_hrs/24)*(h2_short_st_invest*(1/gh2_short_st_lifetime+$M35+h2_short_st_opex)+h2_short_st_e_demand*1000*$AU35/100)/1000000+Carriers!$N$19/Carriers!$N$23*((BT35+nh3_st_ab_losses)/365.25*short_st_duration_hrs/24)*(n2_short_st_invest*(1/n2_short_st_lifetime+$M35+n2_short_st_opex)+n2_short_st_e_demand*1000*$AU35/100)/1000000</f>
        <v>3220.0027532485487</v>
      </c>
      <c r="BT35" s="63">
        <f>Storage!$G$57/((1-Shipping!$H$37)^(F35/24/Shipping!$H$44+0.5*Shipping!$H$59))</f>
        <v>82142992.243188068</v>
      </c>
      <c r="BU35" s="63">
        <f>IF($E35="","No Port",((F35/24/Shipping!$H$44+F35/24/Shipping!$H$50+Shipping!$H$59+Shipping!$H$64)*(Shipping!$H$22+wacc_nl*Shipping!$H$19/365.25*1000000+Shipping!$H$35)+(F35/24/Shipping!$H$44*Shipping!$H$45+Shipping!$H$64*Shipping!$H$65)*IF(bunker_choice="HFO",H35,IF(bunker_choice="hydrogen",BD35*hfo_e_density_lhv/h2_e_density_lhv,(BR35+BS35)*1000000/BT35*hfo_e_density_lhv/nh3_e_density_lhv))+(F35/24/Shipping!$H$50*Shipping!$H$51+Shipping!$H$59*Shipping!$H$60)*IF(bunker_choice="HFO",bunker_price_ROT,IF(bunker_choice="hydrogen",BD35*hfo_e_density_lhv/h2_e_density_lhv,(BR35+BS35)*1000000/BT35*hfo_e_density_lhv/nh3_e_density_lhv))+Shipping!$H$73+IF(G35="Panama",Shipping!$H$55,0)+IF(G35="Suez",Shipping!$H$56,0))/Shipping!$H$31*BT35/1000000+IF(inland_transport_to_port="hv dc grid",$BM35/100*1000*BW35,IF(inland_transport_to_port="pipeline",$BN35,0)))</f>
        <v>10786.483215913571</v>
      </c>
      <c r="BV35" s="63">
        <f t="shared" si="18"/>
        <v>58312.359766432593</v>
      </c>
      <c r="BW35" s="33">
        <f>((Carriers!$N$18/Carriers!$N$23*alk_el_e_demand)+(Carriers!$N$19/Carriers!$N$23*n2_e_demand)+nh3_e_demand)*(BT35+nh3_st_ab_losses)/1000000+nh3_st_e_demand*BT35/1000000</f>
        <v>811.15808543623052</v>
      </c>
      <c r="BX35" s="33">
        <f t="shared" si="19"/>
        <v>0.76626754477640768</v>
      </c>
      <c r="BY35" s="63">
        <f>IFERROR(BV35*1000000/Storage!$G$12,"")</f>
        <v>761.6262159895897</v>
      </c>
      <c r="BZ35" s="63">
        <f>H2_retrieval!$F$25*h2_demand_kt/1000</f>
        <v>80</v>
      </c>
      <c r="CA35" s="63">
        <f>IFERROR(BY35*(1+H2_retrieval!$F$34)/Carrier_properties!$E$7+H2_retrieval!$F$38,"")</f>
        <v>4696.899491881426</v>
      </c>
      <c r="CB35" s="149">
        <f>(FA_invest*(M35+1/FA_lifetime)/FA_prod+FA_opex+FA_e_demand*1000*$AU35/100+Carriers!$P$18/Carriers!$P$23*BD35+Carriers!$P$20/Carriers!$P$23*co2_liq_cost)*(CF35+FA_st_ab_losses)/1000000</f>
        <v>96871.815883944699</v>
      </c>
      <c r="CC35" s="86">
        <f>(FA_invest*(M35+1/FA_lifetime)/FA_prod+FA_opex+FA_e_demand*1000*$AU35/100+Carriers!$P$18/Carriers!$P$23*BD35+Carriers!$P$20/Carriers!$P$23*BP35)*(CF35+FA_st_ab_losses)/1000000</f>
        <v>122023.35238998327</v>
      </c>
      <c r="CD35" s="63">
        <f>FA_st_nl_cost*FA_st_nl_demand/1000000+(FA_st_invest*(M35+1/FA_st_lifetime+FA_st_opex)/(Storage!$I$63/1000000)+FA_st_e_demand*1000*$AU35/100)*(CF35+FA_st_ab_losses)/1000000+co2_st_nl_cost*Storage!$I$12*co2_density/FA_density/1000000+(co2_st_opex_lev+co2_st_invest_lev+co2_st_e_demand*1000*$AU35/100)*Storage!$I$12/1000000+co2_st_invest_lev*Storage!$I$12*co2_st_lifetime*M35/1000000+Carriers!$P$18/Carriers!$P$23*((CF35+FA_st_ab_losses)/365.25*short_st_duration_hrs/24)*(h2_short_st_invest*(1/gh2_short_st_lifetime+$M35+h2_short_st_opex)+h2_short_st_e_demand*1000*$AU35/100)/1000000+Carriers!$P$20/Carriers!$P$23*((CF35+FA_st_ab_losses)/365.25*short_st_duration_hrs/24)*(co2_short_st_invest*(1/co2_short_st_lifetime+$M35+co2_short_st_opex)+co2_short_st_e_demand*1000*$AU35/100)/1000000</f>
        <v>11181.550477055967</v>
      </c>
      <c r="CE35" s="63">
        <f>FA_st_nl_cost*FA_st_nl_demand/1000000+(FA_st_invest*(M35+1/FA_st_lifetime+FA_st_opex)/(Storage!$I$63/1000000)+FA_st_e_demand*1000*$AU35/100)*(CF35+FA_st_ab_losses)/1000000+Carriers!$P$18/Carriers!$P$23*((CF35+FA_st_ab_losses)/365.25*short_st_duration_hrs/24)*(h2_short_st_invest*(1/gh2_short_st_lifetime+$M35+h2_short_st_opex)+h2_short_st_e_demand*1000*$AU35/100)/1000000+Carriers!$P$20/Carriers!$P$23*((CF35+FA_st_ab_losses)/365.25*short_st_duration_hrs/24)*(co2_short_st_invest*(1/co2_short_st_lifetime+$M35+co2_short_st_opex)+co2_short_st_e_demand*1000*$AU35/100)/1000000</f>
        <v>4657.4497249600472</v>
      </c>
      <c r="CF35" s="63">
        <f>Storage!$I$57/((1-Shipping!$J$37)^($F35/24/Shipping!$J$44+0.5*Shipping!$J$59))</f>
        <v>310425396.82539684</v>
      </c>
      <c r="CG35" s="28">
        <f>IF($E35="","No Port",((F35/24/Shipping!$J$44+F35/24/Shipping!$J$50+Shipping!$J$59+Shipping!$J$64)*(Shipping!$J$22+wacc_nl*Shipping!$J$19/365.25*1000000+Shipping!$J$35)+(F35/24/Shipping!$J$44*Shipping!$J$45+Shipping!$J$64*Shipping!$J$65)*IF(bunker_choice="HFO",$H35,IF(bunker_choice="hydrogen",$BD35*hfo_e_density_lhv/h2_e_density_lhv,(CB35+CD35)*1000000/CF35*hfo_e_density_lhv/FA_e_density_lhv))+(F35/24/Shipping!$J$50*Shipping!$J$51+Shipping!$J$59*Shipping!$J$60)*IF(bunker_choice="HFO",bunker_price_ROT,IF(bunker_choice="hydrogen",$BD35*hfo_e_density_lhv/h2_e_density_lhv,(CB35+CD35)*1000000/CF35*hfo_e_density_lhv/FA_e_density_lhv))+Shipping!$J$73+IF(G35="Panama",Shipping!$J$55,0)+IF(G35="Suez",Shipping!$J$56,0))/Shipping!$J$31*CF35/1000000+IF(inland_transport_to_port="hv dc grid",$BM35/100*1000*CI35,IF(inland_transport_to_port="pipeline",$BN35,0)))</f>
        <v>31604.966637320111</v>
      </c>
      <c r="CH35" s="28">
        <f t="shared" si="36"/>
        <v>158285.76875226342</v>
      </c>
      <c r="CI35" s="29">
        <f>((Carriers!$P$18/Carriers!$P$23*alk_el_e_demand)+FA_e_demand)*(CF35+FA_st_ab_losses)/1000000+FA_st_e_demand*CF35/1000000</f>
        <v>1897.8881241622576</v>
      </c>
      <c r="CJ35" s="29">
        <f t="shared" si="20"/>
        <v>0.46563809523809524</v>
      </c>
      <c r="CK35" s="28">
        <f>IFERROR(CH35*1000000/Storage!$I$12,"")</f>
        <v>509.89954549786239</v>
      </c>
      <c r="CL35" s="28">
        <f>IF($E35="","No Port",((F35/24/Shipping!$J$44+F35/24/Shipping!$J$50+Shipping!$J$59+Shipping!$J$64)*Carriers!$P$39*wacc_nl))</f>
        <v>480.9412601735865</v>
      </c>
      <c r="CM35" s="29">
        <f>H2_retrieval!$H$25*h2_demand_kt/1000+(co2_liq_e_demand+co2_st_e_demand*2)*Storage!$I$12*co2_density/FA_density/1000000</f>
        <v>94.204253879484654</v>
      </c>
      <c r="CN35" s="28">
        <f>IFERROR((((CB35+CD35+CG35)*(1+H2_retrieval!$H$34)+CL35)*1000000/H2_retrieval!$H$8)+h2_regen_fa,"")</f>
        <v>10394.045769126837</v>
      </c>
      <c r="CO35" s="149">
        <f>(meoh_invest*(M35+1/meoh_lifetime)/meoh_prod+meoh_opex+meoh_e_demand*1000*$AU35/100+Carriers!$R$18/Carriers!$R$23*BD35+Carriers!$R$20/Carriers!$R$23*co2_liq_cost)*(CS35+meoh_st_ab_losses)/1000000</f>
        <v>50943.621846813781</v>
      </c>
      <c r="CP35" s="86">
        <f>(meoh_invest*(M35+1/meoh_lifetime)/meoh_prod+meoh_opex+meoh_e_demand*1000*$AU35/100+Carriers!$R$18/Carriers!$R$23*BD35+Carriers!$R$20/Carriers!$R$23*BP35)*(CS35+meoh_st_ab_losses)/1000000</f>
        <v>65708.350249979427</v>
      </c>
      <c r="CQ35" s="63">
        <f>meoh_st_nl_cost*meoh_st_nl_demand/1000000+(meoh_st_invest*(M35+1/meoh_st_lifetime+meoh_st_opex)/(Storage!$K$63/1000000)+meoh_st_e_demand*1000*$AU35/100)*(CS35+meoh_st_ab_losses)/1000000+co2_st_nl_cost*Storage!$K$12*co2_density/meoh_density/1000000+(co2_st_opex_lev+co2_st_invest_lev+co2_st_e_demand*1000*IFERROR(MIN(S35,AA35,AI35),S35)/100)*Storage!$K$12/1000000+co2_st_invest_lev*Storage!$K$12*co2_st_lifetime*M35/1000000+Carriers!$R$18/Carriers!$R$23*((CS35+meoh_st_ab_losses)/365.25*short_st_duration_hrs/24)*(h2_short_st_invest*(1/gh2_short_st_lifetime+$M35+h2_short_st_opex)+h2_short_st_e_demand*1000*$AU35/100)/1000000+Carriers!$R$20/Carriers!$R$23*((CF35+meoh_st_ab_losses)/365.25*short_st_duration_hrs/24)*(co2_short_st_invest*(1/co2_short_st_lifetime+$M35+co2_short_st_opex)+co2_short_st_e_demand*1000*$AU35/100)/1000000</f>
        <v>4566.3401424936983</v>
      </c>
      <c r="CR35" s="63">
        <f>meoh_st_nl_cost*meoh_st_nl_demand/1000000+(meoh_st_invest*(M35+1/meoh_st_lifetime+meoh_st_opex)/(Storage!$K$63/1000000)+meoh_st_e_demand*1000*$AU35/100)*(CS35+meoh_st_ab_losses)/1000000+Carriers!$R$18/Carriers!$R$23*((CS35+meoh_st_ab_losses)/365.25*short_st_duration_hrs/24)*(h2_short_st_invest*(1/gh2_short_st_lifetime+$M35+h2_short_st_opex)+h2_short_st_e_demand*1000*$AU35/100)/1000000+Carriers!$R$20/Carriers!$R$23*((CF35+meoh_st_ab_losses)/365.25*short_st_duration_hrs/24)*(co2_short_st_invest*(1/co2_short_st_lifetime+$M35+co2_short_st_opex)+co2_short_st_e_demand*1000*$AU35/100)/1000000</f>
        <v>1807.133520744504</v>
      </c>
      <c r="CS35" s="63">
        <f>Storage!$K$57/((1-Shipping!$L$37)^($F35/24/Shipping!$L$44+0.5*Shipping!$L$59))</f>
        <v>108044444.44444443</v>
      </c>
      <c r="CT35" s="28">
        <f>IF($E35="","No Port",IF(AND(ship_choice="VLCC",G35="Panama"),"Ship cannot pass through Panama",IF(ship_choice="VLCC",((F35/24/Shipping!$AD$44+F35/24/Shipping!$AD$50+Shipping!$AD$59+Shipping!$AD$64)*(Shipping!$AD$22+wacc_nl*Shipping!$AD$19/365.25*1000000+Shipping!$AD$35)+(F35/24/Shipping!$AD$44*Shipping!$AD$45+Shipping!$AD$64*Shipping!$AD$65)*IF(bunker_choice="HFO",$H35,IF(bunker_choice="hydrogen",$BD35*hfo_e_density_lhv/h2_e_density_lhv,(CO35+CQ35)*1000000/CS35*hfo_e_density_lhv/meoh_e_density_lhv))+(F35/24/Shipping!$AD$50*Shipping!$AD$51+Shipping!$AD$59*Shipping!$AD$60)*IF(bunker_choice="HFO",bunker_price_ROT,IF(bunker_choice="hydrogen",$BD35*hfo_e_density_lhv/h2_e_density_lhv,(CO35+CQ35)*1000000/CS35*hfo_e_density_lhv/meoh_e_density_lhv))+Shipping!$AD$73+IF(G35="Panama",Shipping!$AD$55,0)+IF(G35="Suez",Shipping!$AD$56,0))/Shipping!$AD$31*CS35/1000000+IF(inland_transport_to_port="hv dc grid",$BM35/100*1000*CV35,IF(inland_transport_to_port="pipeline",$BN35,0)),((F35/24/Shipping!$L$44+F35/24/Shipping!$L$50+Shipping!$L$59+Shipping!$L$64)*(Shipping!$L$22+wacc_nl*Shipping!$L$19/365.25*1000000+Shipping!$L$35)+(F35/24/Shipping!$L$44*Shipping!$L$45+Shipping!$L$64*Shipping!$L$65)*IF(bunker_choice="HFO",$H35,IF(bunker_choice="hydrogen",$BD35*hfo_e_density_lhv/h2_e_density_lhv,(CO35+CQ35)*1000000/CS35*hfo_e_density_lhv/meoh_e_density_lhv))+(F35/24/Shipping!$L$50*Shipping!$L$51+Shipping!$L$59*Shipping!$L$60)*IF(bunker_choice="HFO",bunker_price_ROT,IF(bunker_choice="hydrogen",$BD35*hfo_e_density_lhv/h2_e_density_lhv,(CO35+CQ35)*1000000/CS35*hfo_e_density_lhv/meoh_e_density_lhv))+Shipping!$L$73+IF(G35="Panama",Shipping!$L$55,0)+IF(G35="Suez",Shipping!$L$56,0))/Shipping!$L$31*CS35/1000000+IF(inland_transport_to_port="hv dc grid",$BM35/100*1000*CV35,IF(inland_transport_to_port="pipeline",$BN35,0)))))</f>
        <v>13192.002797309284</v>
      </c>
      <c r="CU35" s="28">
        <f t="shared" si="37"/>
        <v>80707.486568033215</v>
      </c>
      <c r="CV35" s="29">
        <f>((Carriers!$R$18/Carriers!$R$23*alk_el_e_demand)+meoh_e_demand)*(CS35+meoh_st_ab_losses)/1000000+meoh_st_e_demand*CS35/1000000</f>
        <v>1119.9789871111109</v>
      </c>
      <c r="CW35" s="29">
        <f t="shared" si="21"/>
        <v>0.16206666666666666</v>
      </c>
      <c r="CX35" s="28">
        <f>IFERROR(CU35*1000000/Storage!$K$12,"")</f>
        <v>746.98414141536307</v>
      </c>
      <c r="CY35" s="28">
        <f>IF($E35="","No Port",((F35/24/Shipping!$L$44+F35/24/Shipping!$L$50+Shipping!$L$59+Shipping!$L$64)*Carriers!$R$39*wacc_nl))</f>
        <v>172.62797093083429</v>
      </c>
      <c r="CZ35" s="29">
        <f>H2_retrieval!$J$25*h2_demand_kt/1000+(co2_liq_e_demand+co2_st_e_demand*2)*Storage!$K$12*co2_density/meoh_density/1000000</f>
        <v>251.05079059698966</v>
      </c>
      <c r="DA35" s="28">
        <f>IFERROR((((CO35+CQ35+CT35)*(1+H2_retrieval!$J$34)+CY35)*1000000/H2_retrieval!$J$8)+h2_regen_meoh,"")</f>
        <v>6234.4368341922627</v>
      </c>
      <c r="DB35" s="149">
        <f>(DBT_invest*(M35+1/DBT_lifetime)/DBT_prod+DBT_opex+DBT_e_demand*1000*$AU35/100+Carriers!$T$18/Carriers!$T$23*BD35)*(DD35+DBT_st_ab_losses)/1000000</f>
        <v>34056.56987001629</v>
      </c>
      <c r="DC35" s="28">
        <f>2*(DBT_st_nl_cost*DBT_st_nl_demand/1000000+(DBT_st_invest*(M35+1/DBT_st_lifetime+DBT_st_opex)/(Storage!$M$63/1000000)+DBT_st_e_demand*1000*$AU35/100)*(DD35+DBT_st_ab_losses)/1000000)+Carriers!$T$18/Carriers!$T$23*((DD35+DBT_st_ab_losses)/365.25*short_st_duration_hrs/24)*(h2_short_st_invest*(1/gh2_short_st_lifetime+$M35+h2_short_st_opex)+h2_short_st_e_demand*1000*$AU35/100)/1000000</f>
        <v>3790.2098798275779</v>
      </c>
      <c r="DD35" s="63">
        <f>Storage!$M$57/((1-Shipping!$N$37)^($F35/24/Shipping!$N$44+0.5*Shipping!$N$59))</f>
        <v>219354838.70967743</v>
      </c>
      <c r="DE35" s="28">
        <f>IF($E35="","No Port",IF(AND(ship_choice="VLCC",G35="Panama"),"Ship cannot pass through Panama",IF(ship_choice="VLCC",((F35/24/Shipping!$AD$44+F35/24/Shipping!$AD$50+Shipping!$AD$59+Shipping!$AD$64)*(Shipping!$AD$22+wacc_nl*Shipping!$AD$19/365.25*1000000+Shipping!$AD$35)+(F35/24/Shipping!$AD$44*Shipping!$AD$45+Shipping!$AD$64*Shipping!$AD$65)*IF(bunker_choice="HFO",$H35,IF(bunker_choice="hydrogen",$BD35*hfo_e_density_lhv/h2_e_density_lhv,(DB35+DC35)*1000000/DD35*hfo_e_density_lhv/DBT_e_density_lhv))+(F35/24/Shipping!$AD$50*Shipping!$AD$51+Shipping!$AD$59*Shipping!$AD$60)*IF(bunker_choice="HFO",bunker_price_ROT,IF(bunker_choice="hydrogen",$BD35*hfo_e_density_lhv/h2_e_density_lhv,(DB35+DC35)*1000000/DD35*hfo_e_density_lhv/DBT_e_density_lhv))+Shipping!$AD$73+IF(G35="Panama",Shipping!$AD$55,0)+IF(G35="Suez",Shipping!$AD$56,0))/Shipping!$AD$31*DD35/1000000+IF(inland_transport_to_port="hv dc grid",$BM35/100*1000*DG35,IF(inland_transport_to_port="pipeline",$BN35,0)),((F35/24/Shipping!$N$44+F35/24/Shipping!$N$50+Shipping!$N$59+Shipping!$N$64)*(Shipping!$N$22+wacc_nl*Shipping!$N$19/365.25*1000000+Shipping!$N$35)+(F35/24/Shipping!$N$44*Shipping!$N$45+Shipping!$N$64*Shipping!$N$65)*IF(bunker_choice="HFO",$H35,IF(bunker_choice="hydrogen",$BD35*hfo_e_density_lhv/h2_e_density_lhv,(DB35+DC35)*1000000/DD35*hfo_e_density_lhv/DBT_e_density_lhv))+(F35/24/Shipping!$N$50*Shipping!$N$51+Shipping!$N$59*Shipping!$N$60)*IF(bunker_choice="HFO",bunker_price_ROT,IF(bunker_choice="hydrogen",$BD35*hfo_e_density_lhv/h2_e_density_lhv,(DB35+DC35)*1000000/DD35*hfo_e_density_lhv/DBT_e_density_lhv))+Shipping!$N$73+IF(G35="Panama",Shipping!$N$55,0)+IF(G35="Suez",Shipping!$N$56,0))/Shipping!$N$31*Shipping!$N$86/1000000+IF(inland_transport_to_port="hv dc grid",$BM35/100*1000*DG35,IF(inland_transport_to_port="pipeline",$BN35,0)))))</f>
        <v>21164.50730882166</v>
      </c>
      <c r="DF35" s="28">
        <f t="shared" si="56"/>
        <v>59011.287058665526</v>
      </c>
      <c r="DG35" s="29">
        <f>((Carriers!$T$18/Carriers!$T$23*alk_el_e_demand)+DBT_e_demand)*(DD35+DBT_st_ab_losses)/1000000+DBT_st_e_demand*DD35/1000000</f>
        <v>703.88335483870969</v>
      </c>
      <c r="DH35" s="29">
        <f t="shared" si="23"/>
        <v>0.21935483870967742</v>
      </c>
      <c r="DI35" s="28">
        <f>IFERROR(DF35*1000000/Storage!$M$12,"")</f>
        <v>269.02204394391634</v>
      </c>
      <c r="DJ35" s="28">
        <f>IF($E35="","No Port",((F35/24/Shipping!$N$44+F35/24/Shipping!$N$50+Shipping!$N$59+Shipping!$N$64)*Carriers!$T$39*wacc_nl))</f>
        <v>12573.062312942448</v>
      </c>
      <c r="DK35" s="100">
        <f>H2_retrieval!$L$25*h2_demand_kt/1000+(co2_liq_e_demand+co2_st_e_demand*2)*Storage!$M$12*co2_density/DBT_density/1000000</f>
        <v>206.61934861671787</v>
      </c>
      <c r="DL35" s="28">
        <f>IFERROR(((DF35*(1+H2_retrieval!$L$34)+DJ35)*1000000/H2_retrieval!$L$8)+h2_regen_lohc,"")</f>
        <v>5734.2048814923228</v>
      </c>
      <c r="DM35" s="149">
        <f t="shared" si="24"/>
        <v>55839.770875912793</v>
      </c>
      <c r="DN35" s="16">
        <f>2*(nabh4_st_nl_cost*nabh4_st_nl_demand/1000000+(nabh4_st_invest*(M35+1/nabh4_st_lifetime+nabh4_st_opex)/(Storage!$O$63/1000000)+nabh4_st_e_demand*1000*$AU35/100)*(DO35+nabh4_st_ab_losses)/1000000)+(h2_demand_kt*1000/365.25*short_st_duration_hrs/24)*(h2_short_st_invest*(1/gh2_short_st_lifetime+$M35+h2_short_st_opex)+h2_short_st_e_demand*1000*$AU35/100)/1000000</f>
        <v>1348.1789462286727</v>
      </c>
      <c r="DO35" s="63">
        <f>Storage!$O$57/((1-Shipping!$P$37)^($F35/24/Shipping!$P$44+0.5*Shipping!$P$59))</f>
        <v>63920000</v>
      </c>
      <c r="DP35" s="16">
        <f>IF($E35="","No Port",((F35/24/Shipping!$P$44+F35/24/Shipping!$P$50+Shipping!$P$59+Shipping!$P$64)*(Shipping!$P$22+wacc_nl*Shipping!$P$19/365.25*1000000+Shipping!$P$35)+(F35/24/Shipping!$P$44*Shipping!$P$45+Shipping!$P$64*Shipping!$P$65)*IF(bunker_choice="HFO",$H35,IF(bunker_choice="hydrogen",$BD35*hfo_e_density_lhv/h2_e_density_lhv,(DM35+DN35)*1000000/DO35*hfo_e_density_lhv/nabh4_e_density_lhv))+(F35/24/Shipping!$P$50*Shipping!$P$51+Shipping!$P$59*Shipping!$P$60)*IF(bunker_choice="HFO",bunker_price_ROT,IF(bunker_choice="hydrogen",$BD35*hfo_e_density_lhv/h2_e_density_lhv,(DM35+DN35)*1000000/DO35*hfo_e_density_lhv/nabh4_e_density_lhv))+Shipping!$P$73+IF(G35="Panama",Shipping!$P$55,0)+IF(G35="Suez",Shipping!$P$56,0))/Shipping!$P$31*(DO35+nabh4_st_ab_losses)/1000000+IF(inland_transport_to_port="hv dc grid",$BM35/100*1000*DR35,IF(inland_transport_to_port="pipeline",$BN35,0)))</f>
        <v>8190.7589085565533</v>
      </c>
      <c r="DQ35" s="28">
        <f t="shared" si="55"/>
        <v>65378.708730698025</v>
      </c>
      <c r="DR35" s="29">
        <f>((Carriers!$V$18/Carriers!$V$23*alk_el_e_demand)+nabh4_e_demand)*(DO35+nabh4_st_ab_losses)/1000000+nabh4_st_e_demand*DO35/1000000</f>
        <v>980.02139682539689</v>
      </c>
      <c r="DS35" s="28">
        <f t="shared" si="25"/>
        <v>3.1960000000000002</v>
      </c>
      <c r="DT35" s="28">
        <f>IFERROR(DQ35*1000000/Storage!$O$12,"")</f>
        <v>1022.8208499796311</v>
      </c>
      <c r="DU35" s="28">
        <f>IF($E35="","No Port",((F35/24/Shipping!$P$44+F35/24/Shipping!$P$50+Shipping!$P$59+Shipping!$P$64)*Carriers!$V$39*wacc_nl))</f>
        <v>1147.9440513811362</v>
      </c>
      <c r="DV35" s="100">
        <f>H2_retrieval!$N$25*h2_demand_kt/1000+(co2_liq_e_demand+co2_st_e_demand*2)*Storage!$O$12*co2_density/nabh4_density/1000000</f>
        <v>18.783638728971958</v>
      </c>
      <c r="DW35" s="28">
        <f>IFERROR(((DQ35*(1+H2_retrieval!$N$34)+DU35)*1000000/H2_retrieval!$N$8)+h2_regen_nabh4,"")</f>
        <v>4994.6850160898402</v>
      </c>
      <c r="DX35" s="149">
        <f>(Dme_invest*(M35+1/Dme_lifetime)/Dme_prod+Dme_opex+Dme_e_demand*1000*$AU35/100+Carriers!$X$21/Carriers!$X$23*(CO35*1000000/CS35))*(EB35+Dme_st_ab_losses)/1000000</f>
        <v>72198.873282848072</v>
      </c>
      <c r="DY35" s="86">
        <f>(Dme_invest*(M35+1/Dme_lifetime)/Dme_prod+Dme_opex+Dme_e_demand*1000*$AU35/100+Carriers!$X$21/Carriers!$X$23*(CP35*1000000/CS35))*(EB35+Dme_st_ab_losses)/1000000</f>
        <v>92229.648953828</v>
      </c>
      <c r="DZ35" s="63">
        <f>Dme_st_nl_cost*Dme_st_nl_demand/1000000+(Dme_st_invest*(M35+1/Dme_st_lifetime+Dme_st_opex)/(Storage!$Q$63/1000000)+Dme_st_e_demand*1000*$AU35/100)*(EB35+Dme_st_ab_losses)/1000000+co2_st_nl_cost*Storage!$Q$12*co2_density/Dme_density/1000000+(co2_st_opex_lev+co2_st_invest_lev+co2_st_e_demand*1000*$AU35/100)*Storage!$Q$12/1000000+co2_st_invest_lev*Storage!$Q$12*co2_st_lifetime*M35/1000000+(h2_demand_kt*1000/365.25*short_st_duration_hrs/24)*(h2_short_st_invest*(1/gh2_short_st_lifetime+$M35+h2_short_st_opex)+h2_short_st_e_demand*1000*$AU35/100)/1000000</f>
        <v>5636.9978401592462</v>
      </c>
      <c r="EA35" s="63">
        <f>Dme_st_nl_cost*Dme_st_nl_demand/1000000+(Dme_st_invest*(M35+1/Dme_st_lifetime+Dme_st_opex)/(Storage!$Q$63/1000000)+Dme_st_e_demand*1000*$AU35/100)*(EB35+Dme_st_ab_losses)/1000000+(h2_demand_kt*1000/365.25*short_st_duration_hrs/24)*(h2_short_st_invest*(1/gh2_short_st_lifetime+$M35+h2_short_st_opex)+h2_short_st_e_demand*1000*$AU35/100)/1000000</f>
        <v>2759.8204408169299</v>
      </c>
      <c r="EB35" s="63">
        <f>Storage!$Q$57/((1-Shipping!$R$37)^($F35/24/Shipping!$R$44+0.5*Shipping!$R$59))</f>
        <v>103547089.94708996</v>
      </c>
      <c r="EC35" s="153">
        <f>IF($E35="","No Port",IF(AND(ship_choice="VLCC",G35="Panama"),"Ship cannot pass through Panama",IF(ship_choice="VLCC",((F35/24/Shipping!$AD$44+F35/24/Shipping!$AD$50+Shipping!$AD$59+Shipping!$AD$64)*(Shipping!$AD$22+wacc_nl*Shipping!$AD$19/365.25*1000000+Shipping!$AD$35)+(F35/24/Shipping!$AD$44*Shipping!$AD$45+Shipping!$AD$64*Shipping!$AD$65)*IF(bunker_choice="HFO",$H35,IF(bunker_choice="hydrogen",$BD35*hfo_e_density_lhv/h2_e_density_lhv,(DX35+DZ35)*1000000/EB35*hfo_e_density_lhv/Dme_e_density_lhv))+(F35/24/Shipping!$AD$50*Shipping!$AD$51+Shipping!$AD$59*Shipping!$AD$60)*IF(bunker_choice="HFO",bunker_price_ROT,IF(bunker_choice="hydrogen",$BD35*hfo_e_density_lhv/h2_e_density_lhv,(DX35+DZ35)*1000000/EB35*hfo_e_density_lhv/Dme_e_density_lhv))+Shipping!$AD$73+IF(G35="Panama",Shipping!$AD$55,0)+IF(G35="Suez",Shipping!$AD$56,0))/Shipping!$AD$31*(EB35+Dme_st_ab_losses)/1000000+IF(inland_transport_to_port="hv dc grid",$BM35/100*1000*EE35,IF(inland_transport_to_port="pipeline",$BN35,0)),((F35/24/Shipping!$R$44+F35/24/Shipping!$R$50+Shipping!$R$59+Shipping!$R$64)*(Shipping!$R$22+wacc_nl*Shipping!$R$19/365.25*1000000+Shipping!$R$35)+(F35/24/Shipping!$R$44*Shipping!$R$45+Shipping!$R$64*Shipping!$R$65)*IF(bunker_choice="HFO",$H35,IF(bunker_choice="hydrogen",$BD35*hfo_e_density_lhv/h2_e_density_lhv,(DX35+DZ35)*1000000/EB35*hfo_e_density_lhv/Dme_e_density_lhv))+(F35/24/Shipping!$R$50*Shipping!$R$51+Shipping!$R$59*Shipping!$R$60)*IF(bunker_choice="HFO",bunker_price_ROT,IF(bunker_choice="hydrogen",$BD35*hfo_e_density_lhv/h2_e_density_lhv,(DX35+DZ35)*1000000/EB35*hfo_e_density_lhv/Dme_e_density_lhv))+Shipping!$R$73+IF(G35="Panama",Shipping!$R$55,0)+IF(G35="Suez",Shipping!$R$56,0))/Shipping!$R$31*(EB35+Dme_st_ab_losses)/1000000+IF(inland_transport_to_port="hv dc grid",$BM35/100*1000*EE35,IF(inland_transport_to_port="pipeline",$BN35,0)))))</f>
        <v>13323.492933173509</v>
      </c>
      <c r="ED35" s="28">
        <f t="shared" si="39"/>
        <v>108312.96232781843</v>
      </c>
      <c r="EE35" s="29">
        <f>(Dme_e_demand)*(EB35+Dme_st_ab_losses)/1000000+Dme_st_e_demand*DZ35/1000000+$CV35*(Carriers!$X$21/Carriers!$X$23*EB35)/$CS35</f>
        <v>1550.2168165370342</v>
      </c>
      <c r="EF35" s="29">
        <f t="shared" si="26"/>
        <v>1.0354708994708997</v>
      </c>
      <c r="EG35" s="28">
        <f>IFERROR(ED35*1000000/Storage!$Q$12,"")</f>
        <v>1046.0261353859748</v>
      </c>
      <c r="EH35" s="28">
        <f>IF($E35="","No Port",((F35/24/Shipping!$R$44+F35/24/Shipping!$R$50+Shipping!$R$59+Shipping!$R$64)*Carriers!$X$39*wacc_nl))</f>
        <v>180.41062428723089</v>
      </c>
      <c r="EI35" s="100">
        <f>H2_retrieval!$P$25*h2_demand_kt/1000+(co2_liq_e_demand+co2_st_e_demand*2)*Storage!$Q$12*co2_density/Dme_density/1000000</f>
        <v>252.45335899349112</v>
      </c>
      <c r="EJ35" s="28">
        <f>IFERROR((((DX35+DZ35+EC35)*(1+H2_retrieval!$P$34)+EH35)*1000000/H2_retrieval!$P$8)+h2_regen_dme,"")</f>
        <v>7886.2884461717085</v>
      </c>
      <c r="EK35" s="149">
        <f>(ome_invest*(M35+1/ome_lifetime)/ome_prod+ome_opex+ome_e_demand*1000*$AU35/100+Carriers!$Z$21/Carriers!$Z$23*(CO35*1000000/CS35))*(EO35+ome_st_ab_losses)/1000000</f>
        <v>158505.69881362797</v>
      </c>
      <c r="EL35" s="86">
        <f>(ome_invest*(M35+1/ome_lifetime)/ome_prod+ome_opex+ome_e_demand*1000*$AU35/100+Carriers!$Z$21/Carriers!$Z$23*(CP35*1000000/CS35))*(EO35+ome_st_ab_losses)/1000000</f>
        <v>200554.19619856769</v>
      </c>
      <c r="EM35" s="63">
        <f>ome_st_nl_cost*ome_st_nl_demand/1000000+(ome_st_invest*(M35+1/ome_st_lifetime+ome_st_opex)/(Storage!$S$63/1000000)+ome_st_e_demand*1000*$AU35/100)*(EO35+ome_st_ab_losses)/1000000+co2_st_nl_cost*Storage!$S$12*co2_density/ome_density/1000000+(co2_st_opex_lev+co2_st_invest_lev+co2_st_e_demand*1000*$AU35/100)*Storage!$S$12/1000000+co2_st_invest_lev*Storage!$S$12*co2_st_lifetime*M35/1000000+(h2_demand_kt*1000/365.25*short_st_duration_hrs/24)*(h2_short_st_invest*(1/gh2_short_st_lifetime+$M35+h2_short_st_opex)+h2_short_st_e_demand*1000*$AU35/100)/1000000</f>
        <v>4865.7314066680874</v>
      </c>
      <c r="EN35" s="63">
        <f>ome_st_nl_cost*ome_st_nl_demand/1000000+(ome_st_invest*(M35+1/ome_st_lifetime+ome_st_opex)/(Storage!$S$63/1000000)+ome_st_e_demand*1000*$AU35/100)*(EO35+ome_st_ab_losses)/1000000+(h2_demand_kt*1000/365.25*short_st_duration_hrs/24)*(h2_short_st_invest*(1/gh2_short_st_lifetime+$M35+h2_short_st_opex)+h2_short_st_e_demand*1000*$AU35/100)/1000000</f>
        <v>1640.2183492388835</v>
      </c>
      <c r="EO35" s="63">
        <f>Storage!$S$57/((1-Shipping!$T$37)^($F35/24/Shipping!$T$44+0.5*Shipping!$T$59))</f>
        <v>128282539.68253967</v>
      </c>
      <c r="EP35" s="28">
        <f>IF($E35="","No Port",IF(AND(ship_choice="VLCC",G35="Panama"),"Ship cannot pass through Panama",IF(ship_choice="VLCC",((F35/24/Shipping!$AD$44+F35/24/Shipping!$AD$50+Shipping!$AD$59+Shipping!$AD$64)*(Shipping!$AD$22+wacc_nl*Shipping!$AD$19/365.25*1000000+Shipping!$AD$35)+(F35/24/Shipping!$AD$44*Shipping!$AD$45+Shipping!$AD$64*Shipping!$AD$65)*IF(bunker_choice="HFO",$H35,IF(bunker_choice="hydrogen",$BD35*hfo_e_density_lhv/h2_e_density_lhv,(EK35+EM35)*1000000/EO35*hfo_e_density_lhv/Dme_e_density_lhv))+(F35/24/Shipping!$AD$50*Shipping!$AD$51+Shipping!$AD$59*Shipping!$AD$60)*IF(bunker_choice="HFO",bunker_price_ROT,IF(bunker_choice="hydrogen",$BD35*hfo_e_density_lhv/h2_e_density_lhv,(EK35+EM35)*1000000/EO35*hfo_e_density_lhv/ome_e_density_lhv))+Shipping!$AD$73+IF(G35="Panama",Shipping!$AD$55,0)+IF(G35="Suez",Shipping!$AD$56,0))/Shipping!$AD$31*(EO35+ome_st_ab_losses)/1000000+IF(inland_transport_to_port="hv dc grid",$BM35/100*1000*ER35,IF(inland_transport_to_port="pipeline",$BN35,0)),((F35/24/Shipping!$T$44+F35/24/Shipping!$T$50+Shipping!$T$59+Shipping!$T$64)*(Shipping!$T$22+wacc_nl*Shipping!$T$19/365.25*1000000+Shipping!$T$35)+(F35/24/Shipping!$T$44*Shipping!$T$45+Shipping!$T$64*Shipping!$T$65)*IF(bunker_choice="HFO",$H35,IF(bunker_choice="hydrogen",$BD35*hfo_e_density_lhv/h2_e_density_lhv,(EK35+EM35)*1000000/EO35*hfo_e_density_lhv/Dme_e_density_lhv))+(F35/24/Shipping!$T$50*Shipping!$T$51+Shipping!$T$59*Shipping!$T$60)*IF(bunker_choice="HFO",bunker_price_ROT,IF(bunker_choice="hydrogen",$BD35*hfo_e_density_lhv/h2_e_density_lhv,(EK35+EM35)*1000000/EO35*hfo_e_density_lhv/ome_e_density_lhv))+Shipping!$T$73+IF(G35="Panama",Shipping!$T$55,0)+IF(G35="Suez",Shipping!$T$56,0))/Shipping!$T$31*(EO35+ome_st_ab_losses)/1000000+IF(inland_transport_to_port="hv dc grid",$BM35/100*1000*ER35,IF(inland_transport_to_port="pipeline",$BN35,0)))))</f>
        <v>14269.433404248182</v>
      </c>
      <c r="EQ35" s="28">
        <f t="shared" si="40"/>
        <v>216463.84795205476</v>
      </c>
      <c r="ER35" s="29">
        <f>(ome_e_demand)*(EO35+ome_st_ab_losses)/1000000+ome_st_e_demand*EM35/1000000+$CV35*(Carriers!$Z$21/Carriers!$Z$23*EO35)/$CS35</f>
        <v>3352.0814574393808</v>
      </c>
      <c r="ES35" s="29">
        <f t="shared" si="27"/>
        <v>0.1924238095238095</v>
      </c>
      <c r="ET35" s="28">
        <f>IFERROR(EQ35*1000000/Storage!$S$12,"")</f>
        <v>1687.3991463509924</v>
      </c>
      <c r="EU35" s="28">
        <f>IF($E35="","No Port",((F35/24/Shipping!$T$44+F35/24/Shipping!$T$50+Shipping!$T$59+Shipping!$T$64)*Carriers!$Z$39*wacc_nl))</f>
        <v>204.96338007122534</v>
      </c>
      <c r="EV35" s="100">
        <f>H2_retrieval!$R$25*h2_demand_kt/1000+(co2_liq_e_demand+co2_st_e_demand*2)*Storage!$S$12*co2_density/ome_density/1000000</f>
        <v>254.51942895252085</v>
      </c>
      <c r="EW35" s="28">
        <f>IFERROR((((EK35+EM35+EP35)*(1+H2_retrieval!$R$34)+EU35)*1000000/H2_retrieval!$R$8)+h2_regen_ome,"")</f>
        <v>14247.027587653134</v>
      </c>
      <c r="EX35" s="149">
        <f>(sng_invest*(M35+1/sng_lifetime)/sng_prod+lng_invest*(M35+1/lng_lifetime)/lng_prod+sng_opex+lng_opex+(sng_e_demand+lng_e_demand)*1000*$AU35/100+Carriers!$AB$18/Carriers!$AB$23*BD35+Carriers!$AB$20/Carriers!$AB$23*co2_liq_cost)*(FB35+lng_st_ab_losses)/1000000</f>
        <v>56802.042786333805</v>
      </c>
      <c r="EY35" s="86">
        <f>(sng_invest*(M35+1/sng_lifetime)/sng_prod+lng_invest*(M35+1/lng_lifetime)/lng_prod+sng_opex+lng_opex+(sng_e_demand+lng_e_demand)*1000*$AU35/100+Carriers!$AB$18/Carriers!$AB$23*BD35+Carriers!$AB$20/Carriers!$AB$23*BP35)*(FB35+lng_st_ab_losses)/1000000</f>
        <v>68095.290233191045</v>
      </c>
      <c r="EZ35" s="63">
        <f>lng_st_nl_cost*lng_st_nl_demand/1000000+(lng_st_invest*(M35+1/lng_st_lifetime+lng_st_opex)/(Storage!$U$63/1000000)+lng_st_e_demand*1000*$AU35/100)*(FB35+lng_st_ab_losses)/1000000+co2_st_nl_cost*Storage!$U$12*co2_density/lng_density/1000000+(co2_st_opex_lev+co2_st_invest_lev+co2_st_e_demand*1000*$AU35/100)*Storage!$U$12/1000000+co2_st_invest_lev*Storage!$U$12*co2_st_lifetime*M35/1000000+Carriers!$AB$18/Carriers!$AB$23*((FB35+lng_st_ab_losses)/365.25*short_st_duration_hrs/24)*(h2_short_st_invest*(1/gh2_short_st_lifetime+$M35+h2_short_st_opex)+h2_short_st_e_demand*1000*$AU35/100)/1000000+Carriers!$AB$20/Carriers!$AB$23*((FB35+lng_st_ab_losses)/365.25*short_st_duration_hrs/24)*(co2_short_st_invest*(1/co2_short_st_lifetime+$M35+co2_short_st_opex)+co2_short_st_e_demand*1000*$AU35/100)/1000000</f>
        <v>5934.1306456941766</v>
      </c>
      <c r="FA35" s="63">
        <f>lng_st_nl_cost*lng_st_nl_demand/1000000+(lng_st_invest*(M35+1/lng_st_lifetime+lng_st_opex)/(Storage!$U$63/1000000)+lng_st_e_demand*1000*$AU35/100)*(FB35+lng_st_ab_losses)/1000000+Carriers!$AB$18/Carriers!$AB$23*((FB35+lng_st_ab_losses)/365.25*short_st_duration_hrs/24)*(h2_short_st_invest*(1/gh2_short_st_lifetime+$M35+h2_short_st_opex)+h2_short_st_e_demand*1000*$AU35/100)/1000000+Carriers!$AB$20/Carriers!$AB$23*((FB35+lng_st_ab_losses)/365.25*short_st_duration_hrs/24)*(co2_short_st_invest*(1/co2_short_st_lifetime+$M35+co2_short_st_opex)+co2_short_st_e_demand*1000*$AU35/100)/1000000</f>
        <v>4368.7647092648886</v>
      </c>
      <c r="FB35" s="63">
        <f>Storage!$U$57/((1-Shipping!$V$37)^($F35/24/Shipping!$V$44+0.5*Shipping!$V$59))</f>
        <v>42109148.157568157</v>
      </c>
      <c r="FC35" s="28">
        <f>IF($E35="","No Port",IF(G35="Panama","Ship cannot pass through Panama",((F35/24/Shipping!$V$44+F35/24/Shipping!$V$50+Shipping!$V$59+Shipping!$V$64)*(Shipping!$V$22+wacc_nl*Shipping!$V$19/365.25*1000000+Shipping!$V$35)+(F35/24/Shipping!$V$44*Shipping!$V$45+Shipping!$V$64*Shipping!$V$65)*IF(bunker_choice="HFO",$H35,IF(bunker_choice="hydrogen",$BD35*hfo_e_density_lhv/h2_e_density_lhv,(EX35+EZ35)*1000000/FB35*hfo_e_density_lhv/lng_e_density_lhv))+(F35/24/Shipping!$V$50*Shipping!$V$51+Shipping!$V$59*Shipping!$V$60)*IF(bunker_choice="HFO",bunker_price_ROT,IF(bunker_choice="hydrogen",$BD35*hfo_e_density_lhv/h2_e_density_lhv,(EX35+EZ35)*1000000/FB35*hfo_e_density_lhv/lng_e_density_lhv))+Shipping!$V$73+IF(G35="Panama",Shipping!$V$55,0)+IF(G35="Suez",Shipping!$V$56,0))/Shipping!$V$31*(FB35+lng_st_ab_losses)/1000000)+IF(inland_transport_to_port="hv dc grid",$BM35/100*1000*FE35,IF(inland_transport_to_port="pipeline",$BN35,0)))</f>
        <v>7469.4942213958529</v>
      </c>
      <c r="FD35" s="28">
        <f t="shared" si="41"/>
        <v>79933.549163851785</v>
      </c>
      <c r="FE35" s="29">
        <f>((Carriers!$AB$18/Carriers!$AB$23*alk_el_e_demand)+sng_e_demand+lng_e_demand)*(FB35+lng_st_ab_losses)/1000000+lng_st_e_demand*EZ35/1000000</f>
        <v>1129.3075458320227</v>
      </c>
      <c r="FF35" s="29">
        <f t="shared" si="28"/>
        <v>0.8126185861001558</v>
      </c>
      <c r="FG35" s="28">
        <f>IFERROR(FD35*1000000/Storage!$U$12,"")</f>
        <v>1969.5766572757598</v>
      </c>
      <c r="FH35" s="28">
        <f>IF($E35="","No Port",((F35/24/Shipping!$V$44+F35/24/Shipping!$V$50+Shipping!$V$59+Shipping!$V$64)*Carriers!$AB$39*wacc_nl))</f>
        <v>59.85228700862811</v>
      </c>
      <c r="FI35" s="100">
        <f>H2_retrieval!$T$25*h2_demand_kt/1000+(co2_liq_e_demand+co2_st_e_demand*2)*Storage!$U$12*co2_density/lng_density/1000000</f>
        <v>236.51371749646054</v>
      </c>
      <c r="FJ35" s="28">
        <f>IFERROR((((EX35+EZ35+FC35)*(1+H2_retrieval!$T$34)+FH35)*1000000/H2_retrieval!$T$8)+h2_regen_lng,"")</f>
        <v>6336.7108917573269</v>
      </c>
      <c r="FK35" s="149">
        <f>(lh2_invest*(M35+1/lh2_lifetime)/lh2_prod+lh2_opex+lh2_e_demand*1000*$AU35/100+Carriers!$AD$18/Carriers!$AD$23*BD35)*(FM35+lh2_st_ab_losses)/1000000</f>
        <v>46011.295891870934</v>
      </c>
      <c r="FL35" s="28">
        <f>lh2_st_nl_cost*lh2_st_nl_demand/1000000+(lh2_st_invest*(M35+1/lh2_st_lifetime+lh2_st_opex)/(Storage!$Y$63/1000000)+lh2_st_e_demand*1000*$AU35/100)*(FM35+lh2_st_ab_losses)/1000000+((FM35+lh2_st_ab_losses)/365.25*short_st_duration_hrs/24)*(h2_short_st_invest*(1/gh2_short_st_lifetime+$M35+h2_short_st_opex)+h2_short_st_e_demand*1000*$AU35/100)/1000000</f>
        <v>51431.220840135677</v>
      </c>
      <c r="FM35" s="63">
        <f>Storage!$Y$57/((1-Shipping!$Z$37)^($F35/24/Shipping!$Z$44+0.5*Shipping!$Z$59))</f>
        <v>14420716.941743305</v>
      </c>
      <c r="FN35" s="28">
        <f>IF($E35="","No Port",IF(G35="Panama","Ship cannot pass through Panama",((F35/24/Shipping!$Z$44+F35/24/Shipping!$Z$50+Shipping!$Z$59+Shipping!$Z$64)*(Shipping!$Z$22+wacc_nl*Shipping!$Z$19/365.25*1000000+Shipping!$Z$35)+(F35/24/Shipping!$Z$44*Shipping!$Z$45+Shipping!$Z$64*Shipping!$Z$65)*IF(bunker_choice="HFO",$H35,IF(bunker_choice="hydrogen",$BD35*hfo_e_density_lhv/h2_e_density_lhv,(FK35+FL35)*1000000/FM35*hfo_e_density_lhv/lh2_e_density_lhv))+(F35/24/Shipping!$Z$50*Shipping!$Z$51+Shipping!$Z$59*Shipping!$Z$60)*IF(bunker_choice="HFO",bunker_price_ROT,IF(bunker_choice="hydrogen",$BD35*hfo_e_density_lhv/h2_e_density_lhv,(FK35+FL35)*1000000/FM35*hfo_e_density_lhv/lh2_e_density_lhv))+Shipping!$Z$73+IF(G35="Panama",Shipping!$Z$55,0)+IF(G35="Suez",Shipping!$Z$56,0))/Shipping!$Z$31*(FM35+lh2_st_ab_losses)/1000000)+IF(inland_transport_to_port="hv dc grid",$BM35/100*1000*FP35,IF(inland_transport_to_port="pipeline",$BN35,0)))</f>
        <v>10513.48690207881</v>
      </c>
      <c r="FO35" s="28">
        <f t="shared" si="42"/>
        <v>107956.00363408541</v>
      </c>
      <c r="FP35" s="29">
        <f>((Carriers!$AD$18/Carriers!$AD$23*alk_el_e_demand)+lh2_e_demand)*(FM35+lh2_st_ab_losses)/1000000+lh2_st_e_demand*FM35/1000000</f>
        <v>835.62594256868874</v>
      </c>
      <c r="FQ35" s="100">
        <f t="shared" si="29"/>
        <v>1.361902463475859</v>
      </c>
      <c r="FR35" s="28">
        <f>IFERROR(FO35*1000000/Storage!$Y$12,"")</f>
        <v>7937.941443682751</v>
      </c>
      <c r="FS35" s="100">
        <f>H2_retrieval!$V$25*h2_demand_kt/1000</f>
        <v>8.16</v>
      </c>
      <c r="FT35" s="28">
        <f>IFERROR(FR35*(1+H2_retrieval!$V$34)/Carrier_properties!$U$7+H2_retrieval!$V$38,"")</f>
        <v>7969.9101695512181</v>
      </c>
      <c r="FU35" s="12"/>
      <c r="FV35" s="24">
        <f t="shared" si="30"/>
        <v>2.304028735049775</v>
      </c>
      <c r="FW35" s="24">
        <f t="shared" si="57"/>
        <v>3.9776680461397462</v>
      </c>
      <c r="FX35" s="24">
        <f t="shared" si="58"/>
        <v>6.2910066289049107</v>
      </c>
      <c r="FY35" s="24">
        <f t="shared" si="45"/>
        <v>2.304028735049775</v>
      </c>
      <c r="FZ35" s="28">
        <f t="shared" si="59"/>
        <v>2281.8634201495665</v>
      </c>
      <c r="GA35" s="28">
        <f t="shared" si="47"/>
        <v>539.37496781345533</v>
      </c>
      <c r="GB35" s="28">
        <f t="shared" si="48"/>
        <v>393.08430830038378</v>
      </c>
      <c r="GC35" s="28">
        <f t="shared" si="49"/>
        <v>608.16037870198977</v>
      </c>
      <c r="GD35" s="28">
        <f t="shared" si="50"/>
        <v>890.70247170591767</v>
      </c>
      <c r="GE35" s="28">
        <f t="shared" si="51"/>
        <v>1563.3787473718435</v>
      </c>
      <c r="GF35" s="28">
        <f t="shared" si="52"/>
        <v>1617.1139339695353</v>
      </c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</row>
    <row r="36" spans="1:214" x14ac:dyDescent="0.2">
      <c r="A36" s="40" t="s">
        <v>22</v>
      </c>
      <c r="B36" s="12">
        <v>8897</v>
      </c>
      <c r="C36" s="12">
        <v>0</v>
      </c>
      <c r="D36" s="12">
        <f t="shared" si="0"/>
        <v>1</v>
      </c>
      <c r="E36" s="12" t="s">
        <v>709</v>
      </c>
      <c r="F36" s="12">
        <v>4586</v>
      </c>
      <c r="G36" s="12"/>
      <c r="H36" s="16">
        <f t="shared" si="1"/>
        <v>382.75862068965517</v>
      </c>
      <c r="I36" s="16">
        <v>1109500</v>
      </c>
      <c r="J36" s="16">
        <f t="shared" si="31"/>
        <v>594.27671897939581</v>
      </c>
      <c r="K36" s="27">
        <f t="shared" si="32"/>
        <v>713.1320627752749</v>
      </c>
      <c r="L36" s="103">
        <v>0.126</v>
      </c>
      <c r="M36" s="103">
        <f t="shared" si="2"/>
        <v>0.13052981430192312</v>
      </c>
      <c r="N36" s="122">
        <f t="shared" si="33"/>
        <v>0.8</v>
      </c>
      <c r="O36" s="46">
        <f t="shared" si="3"/>
        <v>40</v>
      </c>
      <c r="P36" s="70">
        <f t="array" ref="P36">SUMPRODUCT(IF(Solar_data!A$4:A$777=A36,Solar_data!C$4:C$777),IF(Solar_data!A$4:A$777=A36,Solar_data!I$4:I$777))/SUMIF(Solar_data!A$4:A$777,A36,Solar_data!I$4:I$777)</f>
        <v>1692.5370012017847</v>
      </c>
      <c r="Q36" s="16">
        <f t="array" ref="Q36">MAX(IF(Solar_data!$A$777:'Solar_data'!$A$4=Country_details!$A36,Solar_data!$C$4:'Solar_data'!$C$777))</f>
        <v>2463.75</v>
      </c>
      <c r="R36" s="16">
        <f t="array" ref="R36">MIN(IF(Solar_data!$A$777:'Solar_data'!$A$4=Country_details!A36,Solar_data!$C$4:'Solar_data'!$C$777))</f>
        <v>1368.75</v>
      </c>
      <c r="S36" s="24">
        <f t="shared" si="4"/>
        <v>3.0981844332270341</v>
      </c>
      <c r="T36" s="24">
        <f t="shared" si="5"/>
        <v>2.1283781998109124</v>
      </c>
      <c r="U36" s="24">
        <f t="shared" si="6"/>
        <v>3.8310807596596428</v>
      </c>
      <c r="V36" s="16">
        <f t="array" ref="V36">SUM(IF(Solar_data!$A$777:'Solar_data'!$A$4=Country_details!$A36,Solar_data!$I$4:'Solar_data'!$I$777))</f>
        <v>6933.4552502118577</v>
      </c>
      <c r="W36" s="148"/>
      <c r="X36" s="16">
        <f>IFERROR(INDEX(Onshore_wind_data!$J$5:'Onshore_wind_data'!$J$221,MATCH(A36,Onshore_wind_data!$B$5:'Onshore_wind_data'!$B$221,0)),"")</f>
        <v>3383.6103460119848</v>
      </c>
      <c r="Y36" s="16">
        <f>IFERROR(INDEX(Onshore_wind_data!$K$5:'Onshore_wind_data'!$K$221,MATCH(A36,Onshore_wind_data!$B$5:'Onshore_wind_data'!$B$221,0)),"")</f>
        <v>3971</v>
      </c>
      <c r="Z36" s="16">
        <f>IFERROR(INDEX(Onshore_wind_data!$L$5:'Onshore_wind_data'!$L$221,MATCH(A36,Onshore_wind_data!$B$5:'Onshore_wind_data'!$B$221,0)),"")</f>
        <v>2847.5</v>
      </c>
      <c r="AA36" s="24">
        <f t="shared" si="7"/>
        <v>4.3865194323020429</v>
      </c>
      <c r="AB36" s="24">
        <f t="shared" si="8"/>
        <v>3.7376662135783967</v>
      </c>
      <c r="AC36" s="24">
        <f t="shared" si="9"/>
        <v>5.2123871937207422</v>
      </c>
      <c r="AD36" s="16">
        <f>IFERROR(INDEX(Onshore_wind_data!$I$5:'Onshore_wind_data'!$I$221,MATCH(A36,Onshore_wind_data!$B$5:'Onshore_wind_data'!$B$221,0)),"")</f>
        <v>981.169008125</v>
      </c>
      <c r="AE36" s="148"/>
      <c r="AF36" s="16">
        <f>INDEX(Offshore_wind_data!$AA$7:$AA$192,MATCH(Country_details!A36,Offshore_wind_data!$A$7:$A$192,0))</f>
        <v>4093.6057956015525</v>
      </c>
      <c r="AG36" s="16">
        <f>INDEX(Offshore_wind_data!$Y$7:$Y$192,MATCH(Country_details!A36,Offshore_wind_data!$A$7:$A$192,0))</f>
        <v>4204.8</v>
      </c>
      <c r="AH36" s="16">
        <f>INDEX(Offshore_wind_data!$Z$7:$Z$192,MATCH(Country_details!A36,Offshore_wind_data!$A$7:$A$192,0))</f>
        <v>3153.6</v>
      </c>
      <c r="AI36" s="24">
        <f t="shared" si="10"/>
        <v>6.8580550751696796</v>
      </c>
      <c r="AJ36" s="24">
        <f t="shared" si="11"/>
        <v>6.6766966329597697</v>
      </c>
      <c r="AK36" s="24">
        <f t="shared" si="12"/>
        <v>8.9022621772796935</v>
      </c>
      <c r="AL36" s="16">
        <f>INDEX(Offshore_wind_data!$W$7:$W$191,MATCH(A36,Offshore_wind_data!$A$7:$A$191,0))</f>
        <v>632.87145599999997</v>
      </c>
      <c r="AM36" s="148"/>
      <c r="AN36" s="12">
        <v>49.1</v>
      </c>
      <c r="AO36" s="12">
        <v>54.7</v>
      </c>
      <c r="AP36" s="34">
        <f>0.6685*11.63</f>
        <v>7.7746550000000001</v>
      </c>
      <c r="AQ36" s="15">
        <f t="shared" si="13"/>
        <v>50</v>
      </c>
      <c r="AR36" s="12">
        <f t="shared" si="34"/>
        <v>2735</v>
      </c>
      <c r="AS36" s="16">
        <f t="shared" si="35"/>
        <v>5812.4957143368574</v>
      </c>
      <c r="AT36" s="12"/>
      <c r="AU36" s="24">
        <f t="shared" si="14"/>
        <v>3.9569506064336215</v>
      </c>
      <c r="AV36" s="16">
        <f t="shared" si="15"/>
        <v>5076.1473472137695</v>
      </c>
      <c r="AW36" s="149">
        <f>HV_DC_Grid!$E$3/(1-AX36)*AU36/100*1000</f>
        <v>4780.0362792796341</v>
      </c>
      <c r="AX36" s="31">
        <f>(1-(1-HV_DC_Grid!$E$25)^(B36*C36*HV_DC_Grid!$E$8/1000))+(1-(1-HV_DC_Grid!$E$26)^(B36*D36*HV_DC_Grid!$E$8/1000))+HV_DC_Grid!$E$35*HV_DC_Grid!$E$28</f>
        <v>0.17219234850034526</v>
      </c>
      <c r="AY36" s="28">
        <f>B36*nl_e_demand/IF(hv_dc_flh="electricity FLH",$AV36,hv_dc_custom)*1000*hv_dc_capacity_multiplier*hv_dc_length_multiplier*1000*(C36*hv_dc_overhead_invest*(hv_dc_overhead_opex+M36+1/hv_dc_lifetime)+D36*hv_dc_sea_invest*(hv_dc_sea_opex+M36+1/hv_dc_lifetime))/1000000+HV_DC_Grid!$E$10*1000*hv_dc_station_invest*hv_dc_station_number*(hv_dc_station_opex+M36+1/hv_dc_lifetime)/1000000</f>
        <v>24947.564047815176</v>
      </c>
      <c r="AZ36" s="24">
        <f>(AW36+AY36)/(HV_DC_Grid!$E$3*1000)*100</f>
        <v>29.727600327094812</v>
      </c>
      <c r="BA36" s="28">
        <f>MIN(((Carriers!$F$26+Carriers!$F$27)*(alk_el_opex+wacc_nl+1/alk_el_lifetime)+IF(hv_dc_flh="electricity FLH",$AV36,hv_dc_custom)*AZ36/100)/(IF(hv_dc_flh="electricity FLH",$AV36,hv_dc_custom)/alk_el_e_demand)*1000,((Carriers!$H$26+Carriers!$H$27)*(pem_el_opex+wacc_nl+1/pem_el_lifetime)+IF(hv_dc_flh="electricity FLH",$AV36,hv_dc_custom)*AZ36/100)/(IF(hv_dc_flh="electricity FLH",$AV36,hv_dc_custom)/pem_el_e_demand)*1000)</f>
        <v>15355.198924165748</v>
      </c>
      <c r="BB36" s="12"/>
      <c r="BC36" s="12"/>
      <c r="BD36" s="149">
        <f>MIN(((Carriers!$F$26+Carriers!$F$27)*(alk_el_opex+M36+1/alk_el_lifetime)+$AV36*$AU36/100)/($AV36/alk_el_e_demand)*1000,((Carriers!$H$26+Carriers!$H$27)*(pem_el_opex+M36+1/pem_el_lifetime)+$AV36*$AU36/100)/($AV36/pem_el_e_demand)*1000)</f>
        <v>2719.3406262476324</v>
      </c>
      <c r="BE36" s="28">
        <f>Storage!$AC$50</f>
        <v>8.1664117557772418</v>
      </c>
      <c r="BF36" s="28">
        <f>((Pipeline!$D$22*Pipeline!$D$24*B36*(pipeline_opex+M36+1/pipeline_lifetime))*(Pipeline!$D$39/Pipeline!$D$3)+(Pipeline!$D$57*(pipeline_comp_opex+M36+1/pipeline_comp_lifetime)+Pipeline!$D$47*1000*Pipeline!$D$45*$AU36/100/1000000))*(Pipeline!$D$75/Pipeline!$D$45)</f>
        <v>20583.152698194826</v>
      </c>
      <c r="BG36" s="28">
        <f>BD36+(BE36+BF36)/Storage!$AC$12*1000000</f>
        <v>4233.4082078616475</v>
      </c>
      <c r="BH36" s="28"/>
      <c r="BI36" s="28"/>
      <c r="BJ36" s="28">
        <f>IF($E36="","No Port",BK36*HV_DC_Grid!$E$3*$AU36/100*1000)</f>
        <v>109.63931662516816</v>
      </c>
      <c r="BK36" s="31">
        <f>IFERROR((1-(1-HV_DC_Grid!$E$25)^(K36*HV_DC_Grid!$E$8/1000))+HV_DC_Grid!$E$35*HV_DC_Grid!$E$28,"")</f>
        <v>2.7708032656992274E-2</v>
      </c>
      <c r="BL36" s="28">
        <f>IFERROR(K36*nl_e_demand/IF(hv_dc_flh="electricity FLH",$AV36,hv_dc_custom)*1000*hv_dc_capacity_multiplier*hv_dc_length_multiplier*1000*(hv_dc_overhead_invest*(hv_dc_overhead_opex+M36+1/hv_dc_lifetime))/1000000+HV_DC_Grid!$E$10*1000*hv_dc_station_invest*hv_dc_station_number*(hv_dc_station_opex+M36+1/hv_dc_lifetime)/1000000,"")</f>
        <v>1060.2742923954731</v>
      </c>
      <c r="BM36" s="29">
        <f>IFERROR((BJ36+BL36)/(HV_DC_Grid!$E$3*1000)*100,"")</f>
        <v>1.1699136090206415</v>
      </c>
      <c r="BN36" s="28">
        <f>IFERROR(((Pipeline!$D$22*Pipeline!$D$24*K36*(pipeline_opex+M36+1/pipeline_lifetime))*(Pipeline!$D$39/Pipeline!$D$3)+(Pipeline!$D$57*(pipeline_comp_opex+M36+1/pipeline_comp_lifetime)+Pipeline!$D$47*1000*Pipeline!$D$45*S36/100/1000000))*(Pipeline!$D$75/Pipeline!$D$45),"")</f>
        <v>1739.4762464333241</v>
      </c>
      <c r="BO36" s="28"/>
      <c r="BP36" s="150">
        <f t="shared" si="16"/>
        <v>123.52813548634649</v>
      </c>
      <c r="BQ36" s="34">
        <f t="shared" si="17"/>
        <v>36.151256194782114</v>
      </c>
      <c r="BR36" s="151">
        <f>(nh3_invest*(M36+1/nh3_lifetime)/nh3_prod+nh3_opex+nh3_e_demand*1000*$AU36/100+Carriers!$N$18/Carriers!$N$23*BD36+Carriers!$N$19/Carriers!$N$23*BQ36)*(BT36+nh3_st_ab_losses)/1000000</f>
        <v>50666.922815565325</v>
      </c>
      <c r="BS36" s="63">
        <f>nh3_st_nl_cost*nh3_st_nl_demand/1000000+(nh3_st_invest*(M36+1/nh3_st_lifetime+nh3_st_opex)/(Storage!$G$63/1000000)+nh3_st_e_demand*1000*$AU36/100)*(BT36+nh3_st_ab_losses)/1000000+Carriers!$N$18/Carriers!$N$23*((BT36+nh3_st_ab_losses)/365.25*short_st_duration_hrs/24)*(h2_short_st_invest*(1/gh2_short_st_lifetime+$M36+h2_short_st_opex)+h2_short_st_e_demand*1000*$AU36/100)/1000000+Carriers!$N$19/Carriers!$N$23*((BT36+nh3_st_ab_losses)/365.25*short_st_duration_hrs/24)*(n2_short_st_invest*(1/n2_short_st_lifetime+$M36+n2_short_st_opex)+n2_short_st_e_demand*1000*$AU36/100)/1000000</f>
        <v>3513.9413317797134</v>
      </c>
      <c r="BT36" s="63">
        <f>Storage!$G$57/((1-Shipping!$H$37)^(F36/24/Shipping!$H$44+0.5*Shipping!$H$59))</f>
        <v>79117200.66553244</v>
      </c>
      <c r="BU36" s="63">
        <f>IF($E36="","No Port",((F36/24/Shipping!$H$44+F36/24/Shipping!$H$50+Shipping!$H$59+Shipping!$H$64)*(Shipping!$H$22+wacc_nl*Shipping!$H$19/365.25*1000000+Shipping!$H$35)+(F36/24/Shipping!$H$44*Shipping!$H$45+Shipping!$H$64*Shipping!$H$65)*IF(bunker_choice="HFO",H36,IF(bunker_choice="hydrogen",BD36*hfo_e_density_lhv/h2_e_density_lhv,(BR36+BS36)*1000000/BT36*hfo_e_density_lhv/nh3_e_density_lhv))+(F36/24/Shipping!$H$50*Shipping!$H$51+Shipping!$H$59*Shipping!$H$60)*IF(bunker_choice="HFO",bunker_price_ROT,IF(bunker_choice="hydrogen",BD36*hfo_e_density_lhv/h2_e_density_lhv,(BR36+BS36)*1000000/BT36*hfo_e_density_lhv/nh3_e_density_lhv))+Shipping!$H$73+IF(G36="Panama",Shipping!$H$55,0)+IF(G36="Suez",Shipping!$H$56,0))/Shipping!$H$31*BT36/1000000+IF(inland_transport_to_port="hv dc grid",$BM36/100*1000*BW36,IF(inland_transport_to_port="pipeline",$BN36,0)))</f>
        <v>4745.4815826338181</v>
      </c>
      <c r="BV36" s="63">
        <f t="shared" si="18"/>
        <v>58926.345729978857</v>
      </c>
      <c r="BW36" s="33">
        <f>((Carriers!$N$18/Carriers!$N$23*alk_el_e_demand)+(Carriers!$N$19/Carriers!$N$23*n2_e_demand)+nh3_e_demand)*(BT36+nh3_st_ab_losses)/1000000+nh3_st_e_demand*BT36/1000000</f>
        <v>781.30170228800102</v>
      </c>
      <c r="BX36" s="33">
        <f t="shared" si="19"/>
        <v>0.76626754477640768</v>
      </c>
      <c r="BY36" s="63">
        <f>IFERROR(BV36*1000000/Storage!$G$12,"")</f>
        <v>769.64557600107833</v>
      </c>
      <c r="BZ36" s="63">
        <f>H2_retrieval!$F$25*h2_demand_kt/1000</f>
        <v>80</v>
      </c>
      <c r="CA36" s="63">
        <f>IFERROR(BY36*(1+H2_retrieval!$F$34)/Carrier_properties!$E$7+H2_retrieval!$F$38,"")</f>
        <v>4742.0455186127692</v>
      </c>
      <c r="CB36" s="149">
        <f>(FA_invest*(M36+1/FA_lifetime)/FA_prod+FA_opex+FA_e_demand*1000*$AU36/100+Carriers!$P$18/Carriers!$P$23*BD36+Carriers!$P$20/Carriers!$P$23*co2_liq_cost)*(CF36+FA_st_ab_losses)/1000000</f>
        <v>114468.54102692017</v>
      </c>
      <c r="CC36" s="86">
        <f>(FA_invest*(M36+1/FA_lifetime)/FA_prod+FA_opex+FA_e_demand*1000*$AU36/100+Carriers!$P$18/Carriers!$P$23*BD36+Carriers!$P$20/Carriers!$P$23*BP36)*(CF36+FA_st_ab_losses)/1000000</f>
        <v>144430.24959736536</v>
      </c>
      <c r="CD36" s="63">
        <f>FA_st_nl_cost*FA_st_nl_demand/1000000+(FA_st_invest*(M36+1/FA_st_lifetime+FA_st_opex)/(Storage!$I$63/1000000)+FA_st_e_demand*1000*$AU36/100)*(CF36+FA_st_ab_losses)/1000000+co2_st_nl_cost*Storage!$I$12*co2_density/FA_density/1000000+(co2_st_opex_lev+co2_st_invest_lev+co2_st_e_demand*1000*$AU36/100)*Storage!$I$12/1000000+co2_st_invest_lev*Storage!$I$12*co2_st_lifetime*M36/1000000+Carriers!$P$18/Carriers!$P$23*((CF36+FA_st_ab_losses)/365.25*short_st_duration_hrs/24)*(h2_short_st_invest*(1/gh2_short_st_lifetime+$M36+h2_short_st_opex)+h2_short_st_e_demand*1000*$AU36/100)/1000000+Carriers!$P$20/Carriers!$P$23*((CF36+FA_st_ab_losses)/365.25*short_st_duration_hrs/24)*(co2_short_st_invest*(1/co2_short_st_lifetime+$M36+co2_short_st_opex)+co2_short_st_e_demand*1000*$AU36/100)/1000000</f>
        <v>12359.685119087771</v>
      </c>
      <c r="CE36" s="63">
        <f>FA_st_nl_cost*FA_st_nl_demand/1000000+(FA_st_invest*(M36+1/FA_st_lifetime+FA_st_opex)/(Storage!$I$63/1000000)+FA_st_e_demand*1000*$AU36/100)*(CF36+FA_st_ab_losses)/1000000+Carriers!$P$18/Carriers!$P$23*((CF36+FA_st_ab_losses)/365.25*short_st_duration_hrs/24)*(h2_short_st_invest*(1/gh2_short_st_lifetime+$M36+h2_short_st_opex)+h2_short_st_e_demand*1000*$AU36/100)/1000000+Carriers!$P$20/Carriers!$P$23*((CF36+FA_st_ab_losses)/365.25*short_st_duration_hrs/24)*(co2_short_st_invest*(1/co2_short_st_lifetime+$M36+co2_short_st_opex)+co2_short_st_e_demand*1000*$AU36/100)/1000000</f>
        <v>5197.4043947922328</v>
      </c>
      <c r="CF36" s="63">
        <f>Storage!$I$57/((1-Shipping!$J$37)^($F36/24/Shipping!$J$44+0.5*Shipping!$J$59))</f>
        <v>310425396.82539684</v>
      </c>
      <c r="CG36" s="28">
        <f>IF($E36="","No Port",((F36/24/Shipping!$J$44+F36/24/Shipping!$J$50+Shipping!$J$59+Shipping!$J$64)*(Shipping!$J$22+wacc_nl*Shipping!$J$19/365.25*1000000+Shipping!$J$35)+(F36/24/Shipping!$J$44*Shipping!$J$45+Shipping!$J$64*Shipping!$J$65)*IF(bunker_choice="HFO",$H36,IF(bunker_choice="hydrogen",$BD36*hfo_e_density_lhv/h2_e_density_lhv,(CB36+CD36)*1000000/CF36*hfo_e_density_lhv/FA_e_density_lhv))+(F36/24/Shipping!$J$50*Shipping!$J$51+Shipping!$J$59*Shipping!$J$60)*IF(bunker_choice="HFO",bunker_price_ROT,IF(bunker_choice="hydrogen",$BD36*hfo_e_density_lhv/h2_e_density_lhv,(CB36+CD36)*1000000/CF36*hfo_e_density_lhv/FA_e_density_lhv))+Shipping!$J$73+IF(G36="Panama",Shipping!$J$55,0)+IF(G36="Suez",Shipping!$J$56,0))/Shipping!$J$31*CF36/1000000+IF(inland_transport_to_port="hv dc grid",$BM36/100*1000*CI36,IF(inland_transport_to_port="pipeline",$BN36,0)))</f>
        <v>14690.745477158987</v>
      </c>
      <c r="CH36" s="28">
        <f t="shared" si="36"/>
        <v>164318.39946931659</v>
      </c>
      <c r="CI36" s="29">
        <f>((Carriers!$P$18/Carriers!$P$23*alk_el_e_demand)+FA_e_demand)*(CF36+FA_st_ab_losses)/1000000+FA_st_e_demand*CF36/1000000</f>
        <v>1897.8881241622576</v>
      </c>
      <c r="CJ36" s="29">
        <f t="shared" si="20"/>
        <v>0.46563809523809524</v>
      </c>
      <c r="CK36" s="28">
        <f>IFERROR(CH36*1000000/Storage!$I$12,"")</f>
        <v>529.33297710090324</v>
      </c>
      <c r="CL36" s="28">
        <f>IF($E36="","No Port",((F36/24/Shipping!$J$44+F36/24/Shipping!$J$50+Shipping!$J$59+Shipping!$J$64)*Carriers!$P$39*wacc_nl))</f>
        <v>234.81371651387684</v>
      </c>
      <c r="CM36" s="29">
        <f>H2_retrieval!$H$25*h2_demand_kt/1000+(co2_liq_e_demand+co2_st_e_demand*2)*Storage!$I$12*co2_density/FA_density/1000000</f>
        <v>94.204253879484654</v>
      </c>
      <c r="CN36" s="28">
        <f>IFERROR((((CB36+CD36+CG36)*(1+H2_retrieval!$H$34)+CL36)*1000000/H2_retrieval!$H$8)+h2_regen_fa,"")</f>
        <v>10512.759819214074</v>
      </c>
      <c r="CO36" s="149">
        <f>(meoh_invest*(M36+1/meoh_lifetime)/meoh_prod+meoh_opex+meoh_e_demand*1000*$AU36/100+Carriers!$R$18/Carriers!$R$23*BD36+Carriers!$R$20/Carriers!$R$23*co2_liq_cost)*(CS36+meoh_st_ab_losses)/1000000</f>
        <v>60488.016283707475</v>
      </c>
      <c r="CP36" s="86">
        <f>(meoh_invest*(M36+1/meoh_lifetime)/meoh_prod+meoh_opex+meoh_e_demand*1000*$AU36/100+Carriers!$R$18/Carriers!$R$23*BD36+Carriers!$R$20/Carriers!$R$23*BP36)*(CS36+meoh_st_ab_losses)/1000000</f>
        <v>78076.464187524965</v>
      </c>
      <c r="CQ36" s="63">
        <f>meoh_st_nl_cost*meoh_st_nl_demand/1000000+(meoh_st_invest*(M36+1/meoh_st_lifetime+meoh_st_opex)/(Storage!$K$63/1000000)+meoh_st_e_demand*1000*$AU36/100)*(CS36+meoh_st_ab_losses)/1000000+co2_st_nl_cost*Storage!$K$12*co2_density/meoh_density/1000000+(co2_st_opex_lev+co2_st_invest_lev+co2_st_e_demand*1000*IFERROR(MIN(S36,AA36,AI36),S36)/100)*Storage!$K$12/1000000+co2_st_invest_lev*Storage!$K$12*co2_st_lifetime*M36/1000000+Carriers!$R$18/Carriers!$R$23*((CS36+meoh_st_ab_losses)/365.25*short_st_duration_hrs/24)*(h2_short_st_invest*(1/gh2_short_st_lifetime+$M36+h2_short_st_opex)+h2_short_st_e_demand*1000*$AU36/100)/1000000+Carriers!$R$20/Carriers!$R$23*((CF36+meoh_st_ab_losses)/365.25*short_st_duration_hrs/24)*(co2_short_st_invest*(1/co2_short_st_lifetime+$M36+co2_short_st_opex)+co2_short_st_e_demand*1000*$AU36/100)/1000000</f>
        <v>5053.4935764308329</v>
      </c>
      <c r="CR36" s="63">
        <f>meoh_st_nl_cost*meoh_st_nl_demand/1000000+(meoh_st_invest*(M36+1/meoh_st_lifetime+meoh_st_opex)/(Storage!$K$63/1000000)+meoh_st_e_demand*1000*$AU36/100)*(CS36+meoh_st_ab_losses)/1000000+Carriers!$R$18/Carriers!$R$23*((CS36+meoh_st_ab_losses)/365.25*short_st_duration_hrs/24)*(h2_short_st_invest*(1/gh2_short_st_lifetime+$M36+h2_short_st_opex)+h2_short_st_e_demand*1000*$AU36/100)/1000000+Carriers!$R$20/Carriers!$R$23*((CF36+meoh_st_ab_losses)/365.25*short_st_duration_hrs/24)*(co2_short_st_invest*(1/co2_short_st_lifetime+$M36+co2_short_st_opex)+co2_short_st_e_demand*1000*$AU36/100)/1000000</f>
        <v>2054.4288254395651</v>
      </c>
      <c r="CS36" s="63">
        <f>Storage!$K$57/((1-Shipping!$L$37)^($F36/24/Shipping!$L$44+0.5*Shipping!$L$59))</f>
        <v>108044444.44444443</v>
      </c>
      <c r="CT36" s="28">
        <f>IF($E36="","No Port",IF(AND(ship_choice="VLCC",G36="Panama"),"Ship cannot pass through Panama",IF(ship_choice="VLCC",((F36/24/Shipping!$AD$44+F36/24/Shipping!$AD$50+Shipping!$AD$59+Shipping!$AD$64)*(Shipping!$AD$22+wacc_nl*Shipping!$AD$19/365.25*1000000+Shipping!$AD$35)+(F36/24/Shipping!$AD$44*Shipping!$AD$45+Shipping!$AD$64*Shipping!$AD$65)*IF(bunker_choice="HFO",$H36,IF(bunker_choice="hydrogen",$BD36*hfo_e_density_lhv/h2_e_density_lhv,(CO36+CQ36)*1000000/CS36*hfo_e_density_lhv/meoh_e_density_lhv))+(F36/24/Shipping!$AD$50*Shipping!$AD$51+Shipping!$AD$59*Shipping!$AD$60)*IF(bunker_choice="HFO",bunker_price_ROT,IF(bunker_choice="hydrogen",$BD36*hfo_e_density_lhv/h2_e_density_lhv,(CO36+CQ36)*1000000/CS36*hfo_e_density_lhv/meoh_e_density_lhv))+Shipping!$AD$73+IF(G36="Panama",Shipping!$AD$55,0)+IF(G36="Suez",Shipping!$AD$56,0))/Shipping!$AD$31*CS36/1000000+IF(inland_transport_to_port="hv dc grid",$BM36/100*1000*CV36,IF(inland_transport_to_port="pipeline",$BN36,0)),((F36/24/Shipping!$L$44+F36/24/Shipping!$L$50+Shipping!$L$59+Shipping!$L$64)*(Shipping!$L$22+wacc_nl*Shipping!$L$19/365.25*1000000+Shipping!$L$35)+(F36/24/Shipping!$L$44*Shipping!$L$45+Shipping!$L$64*Shipping!$L$65)*IF(bunker_choice="HFO",$H36,IF(bunker_choice="hydrogen",$BD36*hfo_e_density_lhv/h2_e_density_lhv,(CO36+CQ36)*1000000/CS36*hfo_e_density_lhv/meoh_e_density_lhv))+(F36/24/Shipping!$L$50*Shipping!$L$51+Shipping!$L$59*Shipping!$L$60)*IF(bunker_choice="HFO",bunker_price_ROT,IF(bunker_choice="hydrogen",$BD36*hfo_e_density_lhv/h2_e_density_lhv,(CO36+CQ36)*1000000/CS36*hfo_e_density_lhv/meoh_e_density_lhv))+Shipping!$L$73+IF(G36="Panama",Shipping!$L$55,0)+IF(G36="Suez",Shipping!$L$56,0))/Shipping!$L$31*CS36/1000000+IF(inland_transport_to_port="hv dc grid",$BM36/100*1000*CV36,IF(inland_transport_to_port="pipeline",$BN36,0)))))</f>
        <v>5977.9803747699725</v>
      </c>
      <c r="CU36" s="28">
        <f t="shared" si="37"/>
        <v>86108.873387734508</v>
      </c>
      <c r="CV36" s="29">
        <f>((Carriers!$R$18/Carriers!$R$23*alk_el_e_demand)+meoh_e_demand)*(CS36+meoh_st_ab_losses)/1000000+meoh_st_e_demand*CS36/1000000</f>
        <v>1119.9789871111109</v>
      </c>
      <c r="CW36" s="29">
        <f t="shared" si="21"/>
        <v>0.16206666666666666</v>
      </c>
      <c r="CX36" s="28">
        <f>IFERROR(CU36*1000000/Storage!$K$12,"")</f>
        <v>796.97640938873997</v>
      </c>
      <c r="CY36" s="28">
        <f>IF($E36="","No Port",((F36/24/Shipping!$L$44+F36/24/Shipping!$L$50+Shipping!$L$59+Shipping!$L$64)*Carriers!$R$39*wacc_nl))</f>
        <v>84.008598525421149</v>
      </c>
      <c r="CZ36" s="29">
        <f>H2_retrieval!$J$25*h2_demand_kt/1000+(co2_liq_e_demand+co2_st_e_demand*2)*Storage!$K$12*co2_density/meoh_density/1000000</f>
        <v>251.05079059698966</v>
      </c>
      <c r="DA36" s="28">
        <f>IFERROR((((CO36+CQ36+CT36)*(1+H2_retrieval!$J$34)+CY36)*1000000/H2_retrieval!$J$8)+h2_regen_meoh,"")</f>
        <v>6435.0916927133012</v>
      </c>
      <c r="DB36" s="149">
        <f>(DBT_invest*(M36+1/DBT_lifetime)/DBT_prod+DBT_opex+DBT_e_demand*1000*$AU36/100+Carriers!$T$18/Carriers!$T$23*BD36)*(DD36+DBT_st_ab_losses)/1000000</f>
        <v>40371.920629206077</v>
      </c>
      <c r="DC36" s="28">
        <f>2*(DBT_st_nl_cost*DBT_st_nl_demand/1000000+(DBT_st_invest*(M36+1/DBT_st_lifetime+DBT_st_opex)/(Storage!$M$63/1000000)+DBT_st_e_demand*1000*$AU36/100)*(DD36+DBT_st_ab_losses)/1000000)+Carriers!$T$18/Carriers!$T$23*((DD36+DBT_st_ab_losses)/365.25*short_st_duration_hrs/24)*(h2_short_st_invest*(1/gh2_short_st_lifetime+$M36+h2_short_st_opex)+h2_short_st_e_demand*1000*$AU36/100)/1000000</f>
        <v>4225.656379544389</v>
      </c>
      <c r="DD36" s="63">
        <f>Storage!$M$57/((1-Shipping!$N$37)^($F36/24/Shipping!$N$44+0.5*Shipping!$N$59))</f>
        <v>219354838.70967743</v>
      </c>
      <c r="DE36" s="28">
        <f>IF($E36="","No Port",IF(AND(ship_choice="VLCC",G36="Panama"),"Ship cannot pass through Panama",IF(ship_choice="VLCC",((F36/24/Shipping!$AD$44+F36/24/Shipping!$AD$50+Shipping!$AD$59+Shipping!$AD$64)*(Shipping!$AD$22+wacc_nl*Shipping!$AD$19/365.25*1000000+Shipping!$AD$35)+(F36/24/Shipping!$AD$44*Shipping!$AD$45+Shipping!$AD$64*Shipping!$AD$65)*IF(bunker_choice="HFO",$H36,IF(bunker_choice="hydrogen",$BD36*hfo_e_density_lhv/h2_e_density_lhv,(DB36+DC36)*1000000/DD36*hfo_e_density_lhv/DBT_e_density_lhv))+(F36/24/Shipping!$AD$50*Shipping!$AD$51+Shipping!$AD$59*Shipping!$AD$60)*IF(bunker_choice="HFO",bunker_price_ROT,IF(bunker_choice="hydrogen",$BD36*hfo_e_density_lhv/h2_e_density_lhv,(DB36+DC36)*1000000/DD36*hfo_e_density_lhv/DBT_e_density_lhv))+Shipping!$AD$73+IF(G36="Panama",Shipping!$AD$55,0)+IF(G36="Suez",Shipping!$AD$56,0))/Shipping!$AD$31*DD36/1000000+IF(inland_transport_to_port="hv dc grid",$BM36/100*1000*DG36,IF(inland_transport_to_port="pipeline",$BN36,0)),((F36/24/Shipping!$N$44+F36/24/Shipping!$N$50+Shipping!$N$59+Shipping!$N$64)*(Shipping!$N$22+wacc_nl*Shipping!$N$19/365.25*1000000+Shipping!$N$35)+(F36/24/Shipping!$N$44*Shipping!$N$45+Shipping!$N$64*Shipping!$N$65)*IF(bunker_choice="HFO",$H36,IF(bunker_choice="hydrogen",$BD36*hfo_e_density_lhv/h2_e_density_lhv,(DB36+DC36)*1000000/DD36*hfo_e_density_lhv/DBT_e_density_lhv))+(F36/24/Shipping!$N$50*Shipping!$N$51+Shipping!$N$59*Shipping!$N$60)*IF(bunker_choice="HFO",bunker_price_ROT,IF(bunker_choice="hydrogen",$BD36*hfo_e_density_lhv/h2_e_density_lhv,(DB36+DC36)*1000000/DD36*hfo_e_density_lhv/DBT_e_density_lhv))+Shipping!$N$73+IF(G36="Panama",Shipping!$N$55,0)+IF(G36="Suez",Shipping!$N$56,0))/Shipping!$N$31*Shipping!$N$86/1000000+IF(inland_transport_to_port="hv dc grid",$BM36/100*1000*DG36,IF(inland_transport_to_port="pipeline",$BN36,0)))))</f>
        <v>9708.493935839484</v>
      </c>
      <c r="DF36" s="28">
        <f t="shared" si="56"/>
        <v>54306.070944589948</v>
      </c>
      <c r="DG36" s="29">
        <f>((Carriers!$T$18/Carriers!$T$23*alk_el_e_demand)+DBT_e_demand)*(DD36+DBT_st_ab_losses)/1000000+DBT_st_e_demand*DD36/1000000</f>
        <v>703.88335483870969</v>
      </c>
      <c r="DH36" s="29">
        <f t="shared" si="23"/>
        <v>0.21935483870967742</v>
      </c>
      <c r="DI36" s="28">
        <f>IFERROR(DF36*1000000/Storage!$M$12,"")</f>
        <v>247.57179401210124</v>
      </c>
      <c r="DJ36" s="28">
        <f>IF($E36="","No Port",((F36/24/Shipping!$N$44+F36/24/Shipping!$N$50+Shipping!$N$59+Shipping!$N$64)*Carriers!$T$39*wacc_nl))</f>
        <v>6118.6222510040616</v>
      </c>
      <c r="DK36" s="100">
        <f>H2_retrieval!$L$25*h2_demand_kt/1000+(co2_liq_e_demand+co2_st_e_demand*2)*Storage!$M$12*co2_density/DBT_density/1000000</f>
        <v>206.61934861671787</v>
      </c>
      <c r="DL36" s="28">
        <f>IFERROR(((DF36*(1+H2_retrieval!$L$34)+DJ36)*1000000/H2_retrieval!$L$8)+h2_regen_lohc,"")</f>
        <v>4913.6419273736492</v>
      </c>
      <c r="DM36" s="149">
        <f t="shared" si="24"/>
        <v>64520.203912712772</v>
      </c>
      <c r="DN36" s="16">
        <f>2*(nabh4_st_nl_cost*nabh4_st_nl_demand/1000000+(nabh4_st_invest*(M36+1/nabh4_st_lifetime+nabh4_st_opex)/(Storage!$O$63/1000000)+nabh4_st_e_demand*1000*$AU36/100)*(DO36+nabh4_st_ab_losses)/1000000)+(h2_demand_kt*1000/365.25*short_st_duration_hrs/24)*(h2_short_st_invest*(1/gh2_short_st_lifetime+$M36+h2_short_st_opex)+h2_short_st_e_demand*1000*$AU36/100)/1000000</f>
        <v>1516.2368462437257</v>
      </c>
      <c r="DO36" s="63">
        <f>Storage!$O$57/((1-Shipping!$P$37)^($F36/24/Shipping!$P$44+0.5*Shipping!$P$59))</f>
        <v>63920000</v>
      </c>
      <c r="DP36" s="16">
        <f>IF($E36="","No Port",((F36/24/Shipping!$P$44+F36/24/Shipping!$P$50+Shipping!$P$59+Shipping!$P$64)*(Shipping!$P$22+wacc_nl*Shipping!$P$19/365.25*1000000+Shipping!$P$35)+(F36/24/Shipping!$P$44*Shipping!$P$45+Shipping!$P$64*Shipping!$P$65)*IF(bunker_choice="HFO",$H36,IF(bunker_choice="hydrogen",$BD36*hfo_e_density_lhv/h2_e_density_lhv,(DM36+DN36)*1000000/DO36*hfo_e_density_lhv/nabh4_e_density_lhv))+(F36/24/Shipping!$P$50*Shipping!$P$51+Shipping!$P$59*Shipping!$P$60)*IF(bunker_choice="HFO",bunker_price_ROT,IF(bunker_choice="hydrogen",$BD36*hfo_e_density_lhv/h2_e_density_lhv,(DM36+DN36)*1000000/DO36*hfo_e_density_lhv/nabh4_e_density_lhv))+Shipping!$P$73+IF(G36="Panama",Shipping!$P$55,0)+IF(G36="Suez",Shipping!$P$56,0))/Shipping!$P$31*(DO36+nabh4_st_ab_losses)/1000000+IF(inland_transport_to_port="hv dc grid",$BM36/100*1000*DR36,IF(inland_transport_to_port="pipeline",$BN36,0)))</f>
        <v>3753.2555834051682</v>
      </c>
      <c r="DQ36" s="28">
        <f t="shared" si="55"/>
        <v>69789.696342361669</v>
      </c>
      <c r="DR36" s="29">
        <f>((Carriers!$V$18/Carriers!$V$23*alk_el_e_demand)+nabh4_e_demand)*(DO36+nabh4_st_ab_losses)/1000000+nabh4_st_e_demand*DO36/1000000</f>
        <v>980.02139682539689</v>
      </c>
      <c r="DS36" s="28">
        <f t="shared" si="25"/>
        <v>3.1960000000000002</v>
      </c>
      <c r="DT36" s="28">
        <f>IFERROR(DQ36*1000000/Storage!$O$12,"")</f>
        <v>1091.8287913385743</v>
      </c>
      <c r="DU36" s="28">
        <f>IF($E36="","No Port",((F36/24/Shipping!$P$44+F36/24/Shipping!$P$50+Shipping!$P$59+Shipping!$P$64)*Carriers!$V$39*wacc_nl))</f>
        <v>570.14859388731725</v>
      </c>
      <c r="DV36" s="100">
        <f>H2_retrieval!$N$25*h2_demand_kt/1000+(co2_liq_e_demand+co2_st_e_demand*2)*Storage!$O$12*co2_density/nabh4_density/1000000</f>
        <v>18.783638728971958</v>
      </c>
      <c r="DW36" s="28">
        <f>IFERROR(((DQ36*(1+H2_retrieval!$N$34)+DU36)*1000000/H2_retrieval!$N$8)+h2_regen_nabh4,"")</f>
        <v>5283.0241268547743</v>
      </c>
      <c r="DX36" s="149">
        <f>(Dme_invest*(M36+1/Dme_lifetime)/Dme_prod+Dme_opex+Dme_e_demand*1000*$AU36/100+Carriers!$X$21/Carriers!$X$23*(CO36*1000000/CS36))*(EB36+Dme_st_ab_losses)/1000000</f>
        <v>85690.136351555469</v>
      </c>
      <c r="DY36" s="86">
        <f>(Dme_invest*(M36+1/Dme_lifetime)/Dme_prod+Dme_opex+Dme_e_demand*1000*$AU36/100+Carriers!$X$21/Carriers!$X$23*(CP36*1000000/CS36))*(EB36+Dme_st_ab_losses)/1000000</f>
        <v>109551.75064894733</v>
      </c>
      <c r="DZ36" s="63">
        <f>Dme_st_nl_cost*Dme_st_nl_demand/1000000+(Dme_st_invest*(M36+1/Dme_st_lifetime+Dme_st_opex)/(Storage!$Q$63/1000000)+Dme_st_e_demand*1000*$AU36/100)*(EB36+Dme_st_ab_losses)/1000000+co2_st_nl_cost*Storage!$Q$12*co2_density/Dme_density/1000000+(co2_st_opex_lev+co2_st_invest_lev+co2_st_e_demand*1000*$AU36/100)*Storage!$Q$12/1000000+co2_st_invest_lev*Storage!$Q$12*co2_st_lifetime*M36/1000000+(h2_demand_kt*1000/365.25*short_st_duration_hrs/24)*(h2_short_st_invest*(1/gh2_short_st_lifetime+$M36+h2_short_st_opex)+h2_short_st_e_demand*1000*$AU36/100)/1000000</f>
        <v>6175.5590901070527</v>
      </c>
      <c r="EA36" s="63">
        <f>Dme_st_nl_cost*Dme_st_nl_demand/1000000+(Dme_st_invest*(M36+1/Dme_st_lifetime+Dme_st_opex)/(Storage!$Q$63/1000000)+Dme_st_e_demand*1000*$AU36/100)*(EB36+Dme_st_ab_losses)/1000000+(h2_demand_kt*1000/365.25*short_st_duration_hrs/24)*(h2_short_st_invest*(1/gh2_short_st_lifetime+$M36+h2_short_st_opex)+h2_short_st_e_demand*1000*$AU36/100)/1000000</f>
        <v>3085.5071010579077</v>
      </c>
      <c r="EB36" s="63">
        <f>Storage!$Q$57/((1-Shipping!$R$37)^($F36/24/Shipping!$R$44+0.5*Shipping!$R$59))</f>
        <v>103547089.94708996</v>
      </c>
      <c r="EC36" s="153">
        <f>IF($E36="","No Port",IF(AND(ship_choice="VLCC",G36="Panama"),"Ship cannot pass through Panama",IF(ship_choice="VLCC",((F36/24/Shipping!$AD$44+F36/24/Shipping!$AD$50+Shipping!$AD$59+Shipping!$AD$64)*(Shipping!$AD$22+wacc_nl*Shipping!$AD$19/365.25*1000000+Shipping!$AD$35)+(F36/24/Shipping!$AD$44*Shipping!$AD$45+Shipping!$AD$64*Shipping!$AD$65)*IF(bunker_choice="HFO",$H36,IF(bunker_choice="hydrogen",$BD36*hfo_e_density_lhv/h2_e_density_lhv,(DX36+DZ36)*1000000/EB36*hfo_e_density_lhv/Dme_e_density_lhv))+(F36/24/Shipping!$AD$50*Shipping!$AD$51+Shipping!$AD$59*Shipping!$AD$60)*IF(bunker_choice="HFO",bunker_price_ROT,IF(bunker_choice="hydrogen",$BD36*hfo_e_density_lhv/h2_e_density_lhv,(DX36+DZ36)*1000000/EB36*hfo_e_density_lhv/Dme_e_density_lhv))+Shipping!$AD$73+IF(G36="Panama",Shipping!$AD$55,0)+IF(G36="Suez",Shipping!$AD$56,0))/Shipping!$AD$31*(EB36+Dme_st_ab_losses)/1000000+IF(inland_transport_to_port="hv dc grid",$BM36/100*1000*EE36,IF(inland_transport_to_port="pipeline",$BN36,0)),((F36/24/Shipping!$R$44+F36/24/Shipping!$R$50+Shipping!$R$59+Shipping!$R$64)*(Shipping!$R$22+wacc_nl*Shipping!$R$19/365.25*1000000+Shipping!$R$35)+(F36/24/Shipping!$R$44*Shipping!$R$45+Shipping!$R$64*Shipping!$R$65)*IF(bunker_choice="HFO",$H36,IF(bunker_choice="hydrogen",$BD36*hfo_e_density_lhv/h2_e_density_lhv,(DX36+DZ36)*1000000/EB36*hfo_e_density_lhv/Dme_e_density_lhv))+(F36/24/Shipping!$R$50*Shipping!$R$51+Shipping!$R$59*Shipping!$R$60)*IF(bunker_choice="HFO",bunker_price_ROT,IF(bunker_choice="hydrogen",$BD36*hfo_e_density_lhv/h2_e_density_lhv,(DX36+DZ36)*1000000/EB36*hfo_e_density_lhv/Dme_e_density_lhv))+Shipping!$R$73+IF(G36="Panama",Shipping!$R$55,0)+IF(G36="Suez",Shipping!$R$56,0))/Shipping!$R$31*(EB36+Dme_st_ab_losses)/1000000+IF(inland_transport_to_port="hv dc grid",$BM36/100*1000*EE36,IF(inland_transport_to_port="pipeline",$BN36,0)))))</f>
        <v>6050.1316591818222</v>
      </c>
      <c r="ED36" s="28">
        <f t="shared" si="39"/>
        <v>118687.38940918706</v>
      </c>
      <c r="EE36" s="29">
        <f>(Dme_e_demand)*(EB36+Dme_st_ab_losses)/1000000+Dme_st_e_demand*DZ36/1000000+$CV36*(Carriers!$X$21/Carriers!$X$23*EB36)/$CS36</f>
        <v>1550.2168219226467</v>
      </c>
      <c r="EF36" s="29">
        <f t="shared" si="26"/>
        <v>1.0354708994708997</v>
      </c>
      <c r="EG36" s="28">
        <f>IFERROR(ED36*1000000/Storage!$Q$12,"")</f>
        <v>1146.2165616613024</v>
      </c>
      <c r="EH36" s="28">
        <f>IF($E36="","No Port",((F36/24/Shipping!$R$44+F36/24/Shipping!$R$50+Shipping!$R$59+Shipping!$R$64)*Carriers!$X$39*wacc_nl))</f>
        <v>87.040572032680799</v>
      </c>
      <c r="EI36" s="100">
        <f>H2_retrieval!$P$25*h2_demand_kt/1000+(co2_liq_e_demand+co2_st_e_demand*2)*Storage!$Q$12*co2_density/Dme_density/1000000</f>
        <v>252.45335899349112</v>
      </c>
      <c r="EJ36" s="28">
        <f>IFERROR((((DX36+DZ36+EC36)*(1+H2_retrieval!$P$34)+EH36)*1000000/H2_retrieval!$P$8)+h2_regen_dme,"")</f>
        <v>8376.2217544370742</v>
      </c>
      <c r="EK36" s="149">
        <f>(ome_invest*(M36+1/ome_lifetime)/ome_prod+ome_opex+ome_e_demand*1000*$AU36/100+Carriers!$Z$21/Carriers!$Z$23*(CO36*1000000/CS36))*(EO36+ome_st_ab_losses)/1000000</f>
        <v>188064.20433518026</v>
      </c>
      <c r="EL36" s="86">
        <f>(ome_invest*(M36+1/ome_lifetime)/ome_prod+ome_opex+ome_e_demand*1000*$AU36/100+Carriers!$Z$21/Carriers!$Z$23*(CP36*1000000/CS36))*(EO36+ome_st_ab_losses)/1000000</f>
        <v>238154.37771962603</v>
      </c>
      <c r="EM36" s="63">
        <f>ome_st_nl_cost*ome_st_nl_demand/1000000+(ome_st_invest*(M36+1/ome_st_lifetime+ome_st_opex)/(Storage!$S$63/1000000)+ome_st_e_demand*1000*$AU36/100)*(EO36+ome_st_ab_losses)/1000000+co2_st_nl_cost*Storage!$S$12*co2_density/ome_density/1000000+(co2_st_opex_lev+co2_st_invest_lev+co2_st_e_demand*1000*$AU36/100)*Storage!$S$12/1000000+co2_st_invest_lev*Storage!$S$12*co2_st_lifetime*M36/1000000+(h2_demand_kt*1000/365.25*short_st_duration_hrs/24)*(h2_short_st_invest*(1/gh2_short_st_lifetime+$M36+h2_short_st_opex)+h2_short_st_e_demand*1000*$AU36/100)/1000000</f>
        <v>5338.9519202876281</v>
      </c>
      <c r="EN36" s="63">
        <f>ome_st_nl_cost*ome_st_nl_demand/1000000+(ome_st_invest*(M36+1/ome_st_lifetime+ome_st_opex)/(Storage!$S$63/1000000)+ome_st_e_demand*1000*$AU36/100)*(EO36+ome_st_ab_losses)/1000000+(h2_demand_kt*1000/365.25*short_st_duration_hrs/24)*(h2_short_st_invest*(1/gh2_short_st_lifetime+$M36+h2_short_st_opex)+h2_short_st_e_demand*1000*$AU36/100)/1000000</f>
        <v>1849.7125426361556</v>
      </c>
      <c r="EO36" s="63">
        <f>Storage!$S$57/((1-Shipping!$T$37)^($F36/24/Shipping!$T$44+0.5*Shipping!$T$59))</f>
        <v>128282539.68253967</v>
      </c>
      <c r="EP36" s="28">
        <f>IF($E36="","No Port",IF(AND(ship_choice="VLCC",G36="Panama"),"Ship cannot pass through Panama",IF(ship_choice="VLCC",((F36/24/Shipping!$AD$44+F36/24/Shipping!$AD$50+Shipping!$AD$59+Shipping!$AD$64)*(Shipping!$AD$22+wacc_nl*Shipping!$AD$19/365.25*1000000+Shipping!$AD$35)+(F36/24/Shipping!$AD$44*Shipping!$AD$45+Shipping!$AD$64*Shipping!$AD$65)*IF(bunker_choice="HFO",$H36,IF(bunker_choice="hydrogen",$BD36*hfo_e_density_lhv/h2_e_density_lhv,(EK36+EM36)*1000000/EO36*hfo_e_density_lhv/Dme_e_density_lhv))+(F36/24/Shipping!$AD$50*Shipping!$AD$51+Shipping!$AD$59*Shipping!$AD$60)*IF(bunker_choice="HFO",bunker_price_ROT,IF(bunker_choice="hydrogen",$BD36*hfo_e_density_lhv/h2_e_density_lhv,(EK36+EM36)*1000000/EO36*hfo_e_density_lhv/ome_e_density_lhv))+Shipping!$AD$73+IF(G36="Panama",Shipping!$AD$55,0)+IF(G36="Suez",Shipping!$AD$56,0))/Shipping!$AD$31*(EO36+ome_st_ab_losses)/1000000+IF(inland_transport_to_port="hv dc grid",$BM36/100*1000*ER36,IF(inland_transport_to_port="pipeline",$BN36,0)),((F36/24/Shipping!$T$44+F36/24/Shipping!$T$50+Shipping!$T$59+Shipping!$T$64)*(Shipping!$T$22+wacc_nl*Shipping!$T$19/365.25*1000000+Shipping!$T$35)+(F36/24/Shipping!$T$44*Shipping!$T$45+Shipping!$T$64*Shipping!$T$65)*IF(bunker_choice="HFO",$H36,IF(bunker_choice="hydrogen",$BD36*hfo_e_density_lhv/h2_e_density_lhv,(EK36+EM36)*1000000/EO36*hfo_e_density_lhv/Dme_e_density_lhv))+(F36/24/Shipping!$T$50*Shipping!$T$51+Shipping!$T$59*Shipping!$T$60)*IF(bunker_choice="HFO",bunker_price_ROT,IF(bunker_choice="hydrogen",$BD36*hfo_e_density_lhv/h2_e_density_lhv,(EK36+EM36)*1000000/EO36*hfo_e_density_lhv/ome_e_density_lhv))+Shipping!$T$73+IF(G36="Panama",Shipping!$T$55,0)+IF(G36="Suez",Shipping!$T$56,0))/Shipping!$T$31*(EO36+ome_st_ab_losses)/1000000+IF(inland_transport_to_port="hv dc grid",$BM36/100*1000*ER36,IF(inland_transport_to_port="pipeline",$BN36,0)))))</f>
        <v>6491.4202002573747</v>
      </c>
      <c r="EQ36" s="28">
        <f t="shared" si="40"/>
        <v>246495.51046251957</v>
      </c>
      <c r="ER36" s="29">
        <f>(ome_e_demand)*(EO36+ome_st_ab_losses)/1000000+ome_st_e_demand*EM36/1000000+$CV36*(Carriers!$Z$21/Carriers!$Z$23*EO36)/$CS36</f>
        <v>3352.0814581492114</v>
      </c>
      <c r="ES36" s="29">
        <f t="shared" si="27"/>
        <v>0.1924238095238095</v>
      </c>
      <c r="ET36" s="28">
        <f>IFERROR(EQ36*1000000/Storage!$S$12,"")</f>
        <v>1921.5047587342838</v>
      </c>
      <c r="EU36" s="28">
        <f>IF($E36="","No Port",((F36/24/Shipping!$T$44+F36/24/Shipping!$T$50+Shipping!$T$59+Shipping!$T$64)*Carriers!$Z$39*wacc_nl))</f>
        <v>99.74447487259043</v>
      </c>
      <c r="EV36" s="100">
        <f>H2_retrieval!$R$25*h2_demand_kt/1000+(co2_liq_e_demand+co2_st_e_demand*2)*Storage!$S$12*co2_density/ome_density/1000000</f>
        <v>254.51942895252085</v>
      </c>
      <c r="EW36" s="28">
        <f>IFERROR((((EK36+EM36+EP36)*(1+H2_retrieval!$R$34)+EU36)*1000000/H2_retrieval!$R$8)+h2_regen_ome,"")</f>
        <v>15875.593317504781</v>
      </c>
      <c r="EX36" s="149">
        <f>(sng_invest*(M36+1/sng_lifetime)/sng_prod+lng_invest*(M36+1/lng_lifetime)/lng_prod+sng_opex+lng_opex+(sng_e_demand+lng_e_demand)*1000*$AU36/100+Carriers!$AB$18/Carriers!$AB$23*BD36+Carriers!$AB$20/Carriers!$AB$23*co2_liq_cost)*(FB36+lng_st_ab_losses)/1000000</f>
        <v>66061.363799957995</v>
      </c>
      <c r="EY36" s="86">
        <f>(sng_invest*(M36+1/sng_lifetime)/sng_prod+lng_invest*(M36+1/lng_lifetime)/lng_prod+sng_opex+lng_opex+(sng_e_demand+lng_e_demand)*1000*$AU36/100+Carriers!$AB$18/Carriers!$AB$23*BD36+Carriers!$AB$20/Carriers!$AB$23*BP36)*(FB36+lng_st_ab_losses)/1000000</f>
        <v>79260.107326149038</v>
      </c>
      <c r="EZ36" s="63">
        <f>lng_st_nl_cost*lng_st_nl_demand/1000000+(lng_st_invest*(M36+1/lng_st_lifetime+lng_st_opex)/(Storage!$U$63/1000000)+lng_st_e_demand*1000*$AU36/100)*(FB36+lng_st_ab_losses)/1000000+co2_st_nl_cost*Storage!$U$12*co2_density/lng_density/1000000+(co2_st_opex_lev+co2_st_invest_lev+co2_st_e_demand*1000*$AU36/100)*Storage!$U$12/1000000+co2_st_invest_lev*Storage!$U$12*co2_st_lifetime*M36/1000000+Carriers!$AB$18/Carriers!$AB$23*((FB36+lng_st_ab_losses)/365.25*short_st_duration_hrs/24)*(h2_short_st_invest*(1/gh2_short_st_lifetime+$M36+h2_short_st_opex)+h2_short_st_e_demand*1000*$AU36/100)/1000000+Carriers!$AB$20/Carriers!$AB$23*((FB36+lng_st_ab_losses)/365.25*short_st_duration_hrs/24)*(co2_short_st_invest*(1/co2_short_st_lifetime+$M36+co2_short_st_opex)+co2_short_st_e_demand*1000*$AU36/100)/1000000</f>
        <v>6475.5133083420078</v>
      </c>
      <c r="FA36" s="63">
        <f>lng_st_nl_cost*lng_st_nl_demand/1000000+(lng_st_invest*(M36+1/lng_st_lifetime+lng_st_opex)/(Storage!$U$63/1000000)+lng_st_e_demand*1000*$AU36/100)*(FB36+lng_st_ab_losses)/1000000+Carriers!$AB$18/Carriers!$AB$23*((FB36+lng_st_ab_losses)/365.25*short_st_duration_hrs/24)*(h2_short_st_invest*(1/gh2_short_st_lifetime+$M36+h2_short_st_opex)+h2_short_st_e_demand*1000*$AU36/100)/1000000+Carriers!$AB$20/Carriers!$AB$23*((FB36+lng_st_ab_losses)/365.25*short_st_duration_hrs/24)*(co2_short_st_invest*(1/co2_short_st_lifetime+$M36+co2_short_st_opex)+co2_short_st_e_demand*1000*$AU36/100)/1000000</f>
        <v>4826.7135507906569</v>
      </c>
      <c r="FB36" s="63">
        <f>Storage!$U$57/((1-Shipping!$V$37)^($F36/24/Shipping!$V$44+0.5*Shipping!$V$59))</f>
        <v>41312249.831469931</v>
      </c>
      <c r="FC36" s="28">
        <f>IF($E36="","No Port",IF(G36="Panama","Ship cannot pass through Panama",((F36/24/Shipping!$V$44+F36/24/Shipping!$V$50+Shipping!$V$59+Shipping!$V$64)*(Shipping!$V$22+wacc_nl*Shipping!$V$19/365.25*1000000+Shipping!$V$35)+(F36/24/Shipping!$V$44*Shipping!$V$45+Shipping!$V$64*Shipping!$V$65)*IF(bunker_choice="HFO",$H36,IF(bunker_choice="hydrogen",$BD36*hfo_e_density_lhv/h2_e_density_lhv,(EX36+EZ36)*1000000/FB36*hfo_e_density_lhv/lng_e_density_lhv))+(F36/24/Shipping!$V$50*Shipping!$V$51+Shipping!$V$59*Shipping!$V$60)*IF(bunker_choice="HFO",bunker_price_ROT,IF(bunker_choice="hydrogen",$BD36*hfo_e_density_lhv/h2_e_density_lhv,(EX36+EZ36)*1000000/FB36*hfo_e_density_lhv/lng_e_density_lhv))+Shipping!$V$73+IF(G36="Panama",Shipping!$V$55,0)+IF(G36="Suez",Shipping!$V$56,0))/Shipping!$V$31*(FB36+lng_st_ab_losses)/1000000)+IF(inland_transport_to_port="hv dc grid",$BM36/100*1000*FE36,IF(inland_transport_to_port="pipeline",$BN36,0)))</f>
        <v>3328.114250209585</v>
      </c>
      <c r="FD36" s="28">
        <f t="shared" si="41"/>
        <v>87414.935127149278</v>
      </c>
      <c r="FE36" s="29">
        <f>((Carriers!$AB$18/Carriers!$AB$23*alk_el_e_demand)+sng_e_demand+lng_e_demand)*(FB36+lng_st_ab_losses)/1000000+lng_st_e_demand*EZ36/1000000</f>
        <v>1107.9596048727572</v>
      </c>
      <c r="FF36" s="29">
        <f t="shared" si="28"/>
        <v>0.8126185861001558</v>
      </c>
      <c r="FG36" s="28">
        <f>IFERROR(FD36*1000000/Storage!$U$12,"")</f>
        <v>2153.9193182925551</v>
      </c>
      <c r="FH36" s="28">
        <f>IF($E36="","No Port",((F36/24/Shipping!$V$44+F36/24/Shipping!$V$50+Shipping!$V$59+Shipping!$V$64)*Carriers!$AB$39*wacc_nl))</f>
        <v>29.448508800351739</v>
      </c>
      <c r="FI36" s="100">
        <f>H2_retrieval!$T$25*h2_demand_kt/1000+(co2_liq_e_demand+co2_st_e_demand*2)*Storage!$U$12*co2_density/lng_density/1000000</f>
        <v>236.51371749646054</v>
      </c>
      <c r="FJ36" s="28">
        <f>IFERROR((((EX36+EZ36+FC36)*(1+H2_retrieval!$T$34)+FH36)*1000000/H2_retrieval!$T$8)+h2_regen_lng,"")</f>
        <v>6750.6020628512597</v>
      </c>
      <c r="FK36" s="149">
        <f>(lh2_invest*(M36+1/lh2_lifetime)/lh2_prod+lh2_opex+lh2_e_demand*1000*$AU36/100+Carriers!$AD$18/Carriers!$AD$23*BD36)*(FM36+lh2_st_ab_losses)/1000000</f>
        <v>53120.971724010909</v>
      </c>
      <c r="FL36" s="28">
        <f>lh2_st_nl_cost*lh2_st_nl_demand/1000000+(lh2_st_invest*(M36+1/lh2_st_lifetime+lh2_st_opex)/(Storage!$Y$63/1000000)+lh2_st_e_demand*1000*$AU36/100)*(FM36+lh2_st_ab_losses)/1000000+((FM36+lh2_st_ab_losses)/365.25*short_st_duration_hrs/24)*(h2_short_st_invest*(1/gh2_short_st_lifetime+$M36+h2_short_st_opex)+h2_short_st_e_demand*1000*$AU36/100)/1000000</f>
        <v>55921.77295072197</v>
      </c>
      <c r="FM36" s="63">
        <f>Storage!$Y$57/((1-Shipping!$Z$37)^($F36/24/Shipping!$Z$44+0.5*Shipping!$Z$59))</f>
        <v>13986391.853733256</v>
      </c>
      <c r="FN36" s="28">
        <f>IF($E36="","No Port",IF(G36="Panama","Ship cannot pass through Panama",((F36/24/Shipping!$Z$44+F36/24/Shipping!$Z$50+Shipping!$Z$59+Shipping!$Z$64)*(Shipping!$Z$22+wacc_nl*Shipping!$Z$19/365.25*1000000+Shipping!$Z$35)+(F36/24/Shipping!$Z$44*Shipping!$Z$45+Shipping!$Z$64*Shipping!$Z$65)*IF(bunker_choice="HFO",$H36,IF(bunker_choice="hydrogen",$BD36*hfo_e_density_lhv/h2_e_density_lhv,(FK36+FL36)*1000000/FM36*hfo_e_density_lhv/lh2_e_density_lhv))+(F36/24/Shipping!$Z$50*Shipping!$Z$51+Shipping!$Z$59*Shipping!$Z$60)*IF(bunker_choice="HFO",bunker_price_ROT,IF(bunker_choice="hydrogen",$BD36*hfo_e_density_lhv/h2_e_density_lhv,(FK36+FL36)*1000000/FM36*hfo_e_density_lhv/lh2_e_density_lhv))+Shipping!$Z$73+IF(G36="Panama",Shipping!$Z$55,0)+IF(G36="Suez",Shipping!$Z$56,0))/Shipping!$Z$31*(FM36+lh2_st_ab_losses)/1000000)+IF(inland_transport_to_port="hv dc grid",$BM36/100*1000*FP36,IF(inland_transport_to_port="pipeline",$BN36,0)))</f>
        <v>4640.0299748157222</v>
      </c>
      <c r="FO36" s="28">
        <f t="shared" si="42"/>
        <v>113682.77464954861</v>
      </c>
      <c r="FP36" s="29">
        <f>((Carriers!$AD$18/Carriers!$AD$23*alk_el_e_demand)+lh2_e_demand)*(FM36+lh2_st_ab_losses)/1000000+lh2_st_e_demand*FM36/1000000</f>
        <v>810.4915497255472</v>
      </c>
      <c r="FQ36" s="100">
        <f t="shared" si="29"/>
        <v>1.361902463475859</v>
      </c>
      <c r="FR36" s="28">
        <f>IFERROR(FO36*1000000/Storage!$Y$12,"")</f>
        <v>8359.0275477609266</v>
      </c>
      <c r="FS36" s="100">
        <f>H2_retrieval!$V$25*h2_demand_kt/1000</f>
        <v>8.16</v>
      </c>
      <c r="FT36" s="28">
        <f>IFERROR(FR36*(1+H2_retrieval!$V$34)/Carrier_properties!$U$7+H2_retrieval!$V$38,"")</f>
        <v>8390.9962736293946</v>
      </c>
      <c r="FU36" s="12"/>
      <c r="FV36" s="24">
        <f t="shared" si="30"/>
        <v>3.0981844332270341</v>
      </c>
      <c r="FW36" s="24">
        <f t="shared" si="57"/>
        <v>4.3865194323020429</v>
      </c>
      <c r="FX36" s="24">
        <f t="shared" si="58"/>
        <v>6.8580550751696796</v>
      </c>
      <c r="FY36" s="24">
        <f t="shared" si="45"/>
        <v>3.0981844332270341</v>
      </c>
      <c r="FZ36" s="28">
        <f t="shared" si="59"/>
        <v>2719.3406262476324</v>
      </c>
      <c r="GA36" s="28">
        <f t="shared" si="47"/>
        <v>640.4033811782532</v>
      </c>
      <c r="GB36" s="28">
        <f t="shared" si="48"/>
        <v>465.26557129152098</v>
      </c>
      <c r="GC36" s="28">
        <f t="shared" si="49"/>
        <v>722.63284418729404</v>
      </c>
      <c r="GD36" s="28">
        <f t="shared" si="50"/>
        <v>1057.9896615629239</v>
      </c>
      <c r="GE36" s="28">
        <f t="shared" si="51"/>
        <v>1856.4831839858005</v>
      </c>
      <c r="GF36" s="28">
        <f t="shared" si="52"/>
        <v>1918.5618708611707</v>
      </c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</row>
    <row r="37" spans="1:214" x14ac:dyDescent="0.2">
      <c r="A37" s="40" t="s">
        <v>198</v>
      </c>
      <c r="B37" s="12">
        <v>5905</v>
      </c>
      <c r="C37" s="12">
        <v>0.9</v>
      </c>
      <c r="D37" s="12">
        <f t="shared" si="0"/>
        <v>9.9999999999999978E-2</v>
      </c>
      <c r="E37" s="12" t="s">
        <v>710</v>
      </c>
      <c r="F37" s="12">
        <v>4924</v>
      </c>
      <c r="G37" s="12"/>
      <c r="H37" s="16">
        <f t="shared" si="1"/>
        <v>382.75862068965517</v>
      </c>
      <c r="I37" s="16">
        <v>2267050</v>
      </c>
      <c r="J37" s="16">
        <f t="shared" si="31"/>
        <v>849.48480120185945</v>
      </c>
      <c r="K37" s="27">
        <f t="shared" si="32"/>
        <v>1019.3817614422313</v>
      </c>
      <c r="L37" s="103">
        <v>0.32400000000000001</v>
      </c>
      <c r="M37" s="103">
        <f t="shared" si="2"/>
        <v>0.27053695697685953</v>
      </c>
      <c r="N37" s="122">
        <f t="shared" si="33"/>
        <v>0.9</v>
      </c>
      <c r="O37" s="46">
        <f t="shared" si="3"/>
        <v>40</v>
      </c>
      <c r="P37" s="70">
        <f t="array" ref="P37">SUMPRODUCT(IF(Solar_data!A$4:A$777=A37,Solar_data!C$4:C$777),IF(Solar_data!A$4:A$777=A37,Solar_data!I$4:I$777))/SUMIF(Solar_data!A$4:A$777,A37,Solar_data!I$4:I$777)</f>
        <v>1810.8971146682131</v>
      </c>
      <c r="Q37" s="16">
        <f t="array" ref="Q37">MAX(IF(Solar_data!$A$777:'Solar_data'!$A$4=Country_details!$A37,Solar_data!$C$4:'Solar_data'!$C$777))</f>
        <v>2098.75</v>
      </c>
      <c r="R37" s="16">
        <f t="array" ref="R37">MIN(IF(Solar_data!$A$777:'Solar_data'!$A$4=Country_details!A37,Solar_data!$C$4:'Solar_data'!$C$777))</f>
        <v>1368.75</v>
      </c>
      <c r="S37" s="24">
        <f t="shared" si="4"/>
        <v>4.687185201530701</v>
      </c>
      <c r="T37" s="24">
        <f t="shared" si="5"/>
        <v>4.0443169302525286</v>
      </c>
      <c r="U37" s="24">
        <f t="shared" si="6"/>
        <v>6.2012859597205443</v>
      </c>
      <c r="V37" s="16"/>
      <c r="W37" s="148"/>
      <c r="X37" s="16" t="str">
        <f>IFERROR(INDEX(Onshore_wind_data!$J$5:'Onshore_wind_data'!$J$221,MATCH(A37,Onshore_wind_data!$B$5:'Onshore_wind_data'!$B$221,0)),"")</f>
        <v/>
      </c>
      <c r="Y37" s="16" t="str">
        <f>IFERROR(INDEX(Onshore_wind_data!$K$5:'Onshore_wind_data'!$K$221,MATCH(A37,Onshore_wind_data!$B$5:'Onshore_wind_data'!$B$221,0)),"")</f>
        <v/>
      </c>
      <c r="Z37" s="16" t="str">
        <f>IFERROR(INDEX(Onshore_wind_data!$L$5:'Onshore_wind_data'!$L$221,MATCH(A37,Onshore_wind_data!$B$5:'Onshore_wind_data'!$B$221,0)),"")</f>
        <v/>
      </c>
      <c r="AA37" s="24" t="str">
        <f t="shared" si="7"/>
        <v/>
      </c>
      <c r="AB37" s="24" t="str">
        <f t="shared" si="8"/>
        <v/>
      </c>
      <c r="AC37" s="24" t="str">
        <f t="shared" si="9"/>
        <v/>
      </c>
      <c r="AD37" s="16">
        <f>IFERROR(INDEX(Onshore_wind_data!$I$5:'Onshore_wind_data'!$I$221,MATCH(A37,Onshore_wind_data!$B$5:'Onshore_wind_data'!$B$221,0)),"")</f>
        <v>0</v>
      </c>
      <c r="AE37" s="148"/>
      <c r="AF37" s="16" t="str">
        <f>INDEX(Offshore_wind_data!$AA$7:$AA$192,MATCH(Country_details!A37,Offshore_wind_data!$A$7:$A$192,0))</f>
        <v/>
      </c>
      <c r="AG37" s="16" t="str">
        <f>INDEX(Offshore_wind_data!$Y$7:$Y$192,MATCH(Country_details!A37,Offshore_wind_data!$A$7:$A$192,0))</f>
        <v/>
      </c>
      <c r="AH37" s="16" t="str">
        <f>INDEX(Offshore_wind_data!$Z$7:$Z$192,MATCH(Country_details!A37,Offshore_wind_data!$A$7:$A$192,0))</f>
        <v/>
      </c>
      <c r="AI37" s="24" t="str">
        <f t="shared" si="10"/>
        <v/>
      </c>
      <c r="AJ37" s="24" t="str">
        <f t="shared" si="11"/>
        <v/>
      </c>
      <c r="AK37" s="24" t="str">
        <f t="shared" si="12"/>
        <v/>
      </c>
      <c r="AL37" s="16">
        <f>INDEX(Offshore_wind_data!$W$7:$W$191,MATCH(A37,Offshore_wind_data!$A$7:$A$191,0))</f>
        <v>0</v>
      </c>
      <c r="AM37" s="148"/>
      <c r="AN37" s="12">
        <v>5.3</v>
      </c>
      <c r="AO37" s="12">
        <v>11.5</v>
      </c>
      <c r="AP37" s="34">
        <f>0.2923*11.63</f>
        <v>3.3994490000000002</v>
      </c>
      <c r="AQ37" s="15">
        <f t="shared" si="13"/>
        <v>50</v>
      </c>
      <c r="AR37" s="12">
        <f t="shared" si="34"/>
        <v>575</v>
      </c>
      <c r="AS37" s="16">
        <f t="shared" si="35"/>
        <v>-575</v>
      </c>
      <c r="AT37" s="12"/>
      <c r="AU37" s="24">
        <f t="shared" si="14"/>
        <v>4.687185201530701</v>
      </c>
      <c r="AV37" s="16">
        <f t="shared" si="15"/>
        <v>1810.8971146682131</v>
      </c>
      <c r="AW37" s="149">
        <f>HV_DC_Grid!$E$3/(1-AX37)*AU37/100*1000</f>
        <v>5345.2624283964824</v>
      </c>
      <c r="AX37" s="31">
        <f>(1-(1-HV_DC_Grid!$E$25)^(B37*C37*HV_DC_Grid!$E$8/1000))+(1-(1-HV_DC_Grid!$E$26)^(B37*D37*HV_DC_Grid!$E$8/1000))+HV_DC_Grid!$E$35*HV_DC_Grid!$E$28</f>
        <v>0.12311411005187965</v>
      </c>
      <c r="AY37" s="28">
        <f>B37*nl_e_demand/IF(hv_dc_flh="electricity FLH",$AV37,hv_dc_custom)*1000*hv_dc_capacity_multiplier*hv_dc_length_multiplier*1000*(C37*hv_dc_overhead_invest*(hv_dc_overhead_opex+M37+1/hv_dc_lifetime)+D37*hv_dc_sea_invest*(hv_dc_sea_opex+M37+1/hv_dc_lifetime))/1000000+HV_DC_Grid!$E$10*1000*hv_dc_station_invest*hv_dc_station_number*(hv_dc_station_opex+M37+1/hv_dc_lifetime)/1000000</f>
        <v>12462.0049663546</v>
      </c>
      <c r="AZ37" s="24">
        <f>(AW37+AY37)/(HV_DC_Grid!$E$3*1000)*100</f>
        <v>17.807267394751079</v>
      </c>
      <c r="BA37" s="28">
        <f>MIN(((Carriers!$F$26+Carriers!$F$27)*(alk_el_opex+wacc_nl+1/alk_el_lifetime)+IF(hv_dc_flh="electricity FLH",$AV37,hv_dc_custom)*AZ37/100)/(IF(hv_dc_flh="electricity FLH",$AV37,hv_dc_custom)/alk_el_e_demand)*1000,((Carriers!$H$26+Carriers!$H$27)*(pem_el_opex+wacc_nl+1/pem_el_lifetime)+IF(hv_dc_flh="electricity FLH",$AV37,hv_dc_custom)*AZ37/100)/(IF(hv_dc_flh="electricity FLH",$AV37,hv_dc_custom)/pem_el_e_demand)*1000)</f>
        <v>9414.1049906856315</v>
      </c>
      <c r="BB37" s="12"/>
      <c r="BC37" s="12"/>
      <c r="BD37" s="149">
        <f>MIN(((Carriers!$F$26+Carriers!$F$27)*(alk_el_opex+M37+1/alk_el_lifetime)+$AV37*$AU37/100)/($AV37/alk_el_e_demand)*1000,((Carriers!$H$26+Carriers!$H$27)*(pem_el_opex+M37+1/pem_el_lifetime)+$AV37*$AU37/100)/($AV37/pem_el_e_demand)*1000)</f>
        <v>5722.6396897597851</v>
      </c>
      <c r="BE37" s="28">
        <f>Storage!$AC$50</f>
        <v>8.1664117557772418</v>
      </c>
      <c r="BF37" s="28">
        <f>((Pipeline!$D$22*Pipeline!$D$24*B37*(pipeline_opex+M37+1/pipeline_lifetime))*(Pipeline!$D$39/Pipeline!$D$3)+(Pipeline!$D$57*(pipeline_comp_opex+M37+1/pipeline_comp_lifetime)+Pipeline!$D$47*1000*Pipeline!$D$45*$AU37/100/1000000))*(Pipeline!$D$75/Pipeline!$D$45)</f>
        <v>23455.466968490917</v>
      </c>
      <c r="BG37" s="28">
        <f>BD37+(BE37+BF37)/Storage!$AC$12*1000000</f>
        <v>7447.9068500720423</v>
      </c>
      <c r="BH37" s="28"/>
      <c r="BI37" s="28"/>
      <c r="BJ37" s="28">
        <f>IF($E37="","No Port",BK37*HV_DC_Grid!$E$3*$AU37/100*1000)</f>
        <v>157.19425606202</v>
      </c>
      <c r="BK37" s="31">
        <f>IFERROR((1-(1-HV_DC_Grid!$E$25)^(K37*HV_DC_Grid!$E$8/1000))+HV_DC_Grid!$E$35*HV_DC_Grid!$E$28,"")</f>
        <v>3.3537026872905482E-2</v>
      </c>
      <c r="BL37" s="28">
        <f>IFERROR(K37*nl_e_demand/IF(hv_dc_flh="electricity FLH",$AV37,hv_dc_custom)*1000*hv_dc_capacity_multiplier*hv_dc_length_multiplier*1000*(hv_dc_overhead_invest*(hv_dc_overhead_opex+M37+1/hv_dc_lifetime))/1000000+HV_DC_Grid!$E$10*1000*hv_dc_station_invest*hv_dc_station_number*(hv_dc_station_opex+M37+1/hv_dc_lifetime)/1000000,"")</f>
        <v>2451.1200377516166</v>
      </c>
      <c r="BM37" s="29">
        <f>IFERROR((BJ37+BL37)/(HV_DC_Grid!$E$3*1000)*100,"")</f>
        <v>2.6083142938136366</v>
      </c>
      <c r="BN37" s="28">
        <f>IFERROR(((Pipeline!$D$22*Pipeline!$D$24*K37*(pipeline_opex+M37+1/pipeline_lifetime))*(Pipeline!$D$39/Pipeline!$D$3)+(Pipeline!$D$57*(pipeline_comp_opex+M37+1/pipeline_comp_lifetime)+Pipeline!$D$47*1000*Pipeline!$D$45*S37/100/1000000))*(Pipeline!$D$75/Pipeline!$D$45),"")</f>
        <v>4175.4641167273667</v>
      </c>
      <c r="BO37" s="28"/>
      <c r="BP37" s="150">
        <f t="shared" si="16"/>
        <v>197.54799709684863</v>
      </c>
      <c r="BQ37" s="34">
        <f t="shared" si="17"/>
        <v>58.918860808987034</v>
      </c>
      <c r="BR37" s="151">
        <f>(nh3_invest*(M37+1/nh3_lifetime)/nh3_prod+nh3_opex+nh3_e_demand*1000*$AU37/100+Carriers!$N$18/Carriers!$N$23*BD37+Carriers!$N$19/Carriers!$N$23*BQ37)*(BT37+nh3_st_ab_losses)/1000000</f>
        <v>100335.98106377505</v>
      </c>
      <c r="BS37" s="63">
        <f>nh3_st_nl_cost*nh3_st_nl_demand/1000000+(nh3_st_invest*(M37+1/nh3_st_lifetime+nh3_st_opex)/(Storage!$G$63/1000000)+nh3_st_e_demand*1000*$AU37/100)*(BT37+nh3_st_ab_losses)/1000000+Carriers!$N$18/Carriers!$N$23*((BT37+nh3_st_ab_losses)/365.25*short_st_duration_hrs/24)*(h2_short_st_invest*(1/gh2_short_st_lifetime+$M37+h2_short_st_opex)+h2_short_st_e_demand*1000*$AU37/100)/1000000+Carriers!$N$19/Carriers!$N$23*((BT37+nh3_st_ab_losses)/365.25*short_st_duration_hrs/24)*(n2_short_st_invest*(1/n2_short_st_lifetime+$M37+n2_short_st_opex)+n2_short_st_e_demand*1000*$AU37/100)/1000000</f>
        <v>5199.5743359400512</v>
      </c>
      <c r="BT37" s="63">
        <f>Storage!$G$57/((1-Shipping!$H$37)^(F37/24/Shipping!$H$44+0.5*Shipping!$H$59))</f>
        <v>79286373.644203156</v>
      </c>
      <c r="BU37" s="63">
        <f>IF($E37="","No Port",((F37/24/Shipping!$H$44+F37/24/Shipping!$H$50+Shipping!$H$59+Shipping!$H$64)*(Shipping!$H$22+wacc_nl*Shipping!$H$19/365.25*1000000+Shipping!$H$35)+(F37/24/Shipping!$H$44*Shipping!$H$45+Shipping!$H$64*Shipping!$H$65)*IF(bunker_choice="HFO",H37,IF(bunker_choice="hydrogen",BD37*hfo_e_density_lhv/h2_e_density_lhv,(BR37+BS37)*1000000/BT37*hfo_e_density_lhv/nh3_e_density_lhv))+(F37/24/Shipping!$H$50*Shipping!$H$51+Shipping!$H$59*Shipping!$H$60)*IF(bunker_choice="HFO",bunker_price_ROT,IF(bunker_choice="hydrogen",BD37*hfo_e_density_lhv/h2_e_density_lhv,(BR37+BS37)*1000000/BT37*hfo_e_density_lhv/nh3_e_density_lhv))+Shipping!$H$73+IF(G37="Panama",Shipping!$H$55,0)+IF(G37="Suez",Shipping!$H$56,0))/Shipping!$H$31*BT37/1000000+IF(inland_transport_to_port="hv dc grid",$BM37/100*1000*BW37,IF(inland_transport_to_port="pipeline",$BN37,0)))</f>
        <v>8673.3137971208926</v>
      </c>
      <c r="BV37" s="63">
        <f t="shared" si="18"/>
        <v>114208.86919683599</v>
      </c>
      <c r="BW37" s="33">
        <f>((Carriers!$N$18/Carriers!$N$23*alk_el_e_demand)+(Carriers!$N$19/Carriers!$N$23*n2_e_demand)+nh3_e_demand)*(BT37+nh3_st_ab_losses)/1000000+nh3_st_e_demand*BT37/1000000</f>
        <v>782.97098225652871</v>
      </c>
      <c r="BX37" s="33">
        <f t="shared" si="19"/>
        <v>0.76626754477640768</v>
      </c>
      <c r="BY37" s="63">
        <f>IFERROR(BV37*1000000/Storage!$G$12,"")</f>
        <v>1491.6986592079004</v>
      </c>
      <c r="BZ37" s="63">
        <f>H2_retrieval!$F$25*h2_demand_kt/1000</f>
        <v>80</v>
      </c>
      <c r="CA37" s="63">
        <f>IFERROR(BY37*(1+H2_retrieval!$F$34)/Carrier_properties!$E$7+H2_retrieval!$F$38,"")</f>
        <v>8806.9369499993227</v>
      </c>
      <c r="CB37" s="149">
        <f>(FA_invest*(M37+1/FA_lifetime)/FA_prod+FA_opex+FA_e_demand*1000*$AU37/100+Carriers!$P$18/Carriers!$P$23*BD37+Carriers!$P$20/Carriers!$P$23*co2_liq_cost)*(CF37+FA_st_ab_losses)/1000000</f>
        <v>192941.06289841147</v>
      </c>
      <c r="CC37" s="86">
        <f>(FA_invest*(M37+1/FA_lifetime)/FA_prod+FA_opex+FA_e_demand*1000*$AU37/100+Carriers!$P$18/Carriers!$P$23*BD37+Carriers!$P$20/Carriers!$P$23*BP37)*(CF37+FA_st_ab_losses)/1000000</f>
        <v>241975.71855383663</v>
      </c>
      <c r="CD37" s="63">
        <f>FA_st_nl_cost*FA_st_nl_demand/1000000+(FA_st_invest*(M37+1/FA_st_lifetime+FA_st_opex)/(Storage!$I$63/1000000)+FA_st_e_demand*1000*$AU37/100)*(CF37+FA_st_ab_losses)/1000000+co2_st_nl_cost*Storage!$I$12*co2_density/FA_density/1000000+(co2_st_opex_lev+co2_st_invest_lev+co2_st_e_demand*1000*$AU37/100)*Storage!$I$12/1000000+co2_st_invest_lev*Storage!$I$12*co2_st_lifetime*M37/1000000+Carriers!$P$18/Carriers!$P$23*((CF37+FA_st_ab_losses)/365.25*short_st_duration_hrs/24)*(h2_short_st_invest*(1/gh2_short_st_lifetime+$M37+h2_short_st_opex)+h2_short_st_e_demand*1000*$AU37/100)/1000000+Carriers!$P$20/Carriers!$P$23*((CF37+FA_st_ab_losses)/365.25*short_st_duration_hrs/24)*(co2_short_st_invest*(1/co2_short_st_lifetime+$M37+co2_short_st_opex)+co2_short_st_e_demand*1000*$AU37/100)/1000000</f>
        <v>17100.112995677729</v>
      </c>
      <c r="CE37" s="63">
        <f>FA_st_nl_cost*FA_st_nl_demand/1000000+(FA_st_invest*(M37+1/FA_st_lifetime+FA_st_opex)/(Storage!$I$63/1000000)+FA_st_e_demand*1000*$AU37/100)*(CF37+FA_st_ab_losses)/1000000+Carriers!$P$18/Carriers!$P$23*((CF37+FA_st_ab_losses)/365.25*short_st_duration_hrs/24)*(h2_short_st_invest*(1/gh2_short_st_lifetime+$M37+h2_short_st_opex)+h2_short_st_e_demand*1000*$AU37/100)/1000000+Carriers!$P$20/Carriers!$P$23*((CF37+FA_st_ab_losses)/365.25*short_st_duration_hrs/24)*(co2_short_st_invest*(1/co2_short_st_lifetime+$M37+co2_short_st_opex)+co2_short_st_e_demand*1000*$AU37/100)/1000000</f>
        <v>7673.0532249846592</v>
      </c>
      <c r="CF37" s="63">
        <f>Storage!$I$57/((1-Shipping!$J$37)^($F37/24/Shipping!$J$44+0.5*Shipping!$J$59))</f>
        <v>310425396.82539684</v>
      </c>
      <c r="CG37" s="28">
        <f>IF($E37="","No Port",((F37/24/Shipping!$J$44+F37/24/Shipping!$J$50+Shipping!$J$59+Shipping!$J$64)*(Shipping!$J$22+wacc_nl*Shipping!$J$19/365.25*1000000+Shipping!$J$35)+(F37/24/Shipping!$J$44*Shipping!$J$45+Shipping!$J$64*Shipping!$J$65)*IF(bunker_choice="HFO",$H37,IF(bunker_choice="hydrogen",$BD37*hfo_e_density_lhv/h2_e_density_lhv,(CB37+CD37)*1000000/CF37*hfo_e_density_lhv/FA_e_density_lhv))+(F37/24/Shipping!$J$50*Shipping!$J$51+Shipping!$J$59*Shipping!$J$60)*IF(bunker_choice="HFO",bunker_price_ROT,IF(bunker_choice="hydrogen",$BD37*hfo_e_density_lhv/h2_e_density_lhv,(CB37+CD37)*1000000/CF37*hfo_e_density_lhv/FA_e_density_lhv))+Shipping!$J$73+IF(G37="Panama",Shipping!$J$55,0)+IF(G37="Suez",Shipping!$J$56,0))/Shipping!$J$31*CF37/1000000+IF(inland_transport_to_port="hv dc grid",$BM37/100*1000*CI37,IF(inland_transport_to_port="pipeline",$BN37,0)))</f>
        <v>25679.609849248445</v>
      </c>
      <c r="CH37" s="28">
        <f t="shared" si="36"/>
        <v>275328.38162806974</v>
      </c>
      <c r="CI37" s="29">
        <f>((Carriers!$P$18/Carriers!$P$23*alk_el_e_demand)+FA_e_demand)*(CF37+FA_st_ab_losses)/1000000+FA_st_e_demand*CF37/1000000</f>
        <v>1897.8881241622576</v>
      </c>
      <c r="CJ37" s="29">
        <f t="shared" si="20"/>
        <v>0.46563809523809524</v>
      </c>
      <c r="CK37" s="28">
        <f>IFERROR(CH37*1000000/Storage!$I$12,"")</f>
        <v>886.93896969690309</v>
      </c>
      <c r="CL37" s="28">
        <f>IF($E37="","No Port",((F37/24/Shipping!$J$44+F37/24/Shipping!$J$50+Shipping!$J$59+Shipping!$J$64)*Carriers!$P$39*wacc_nl))</f>
        <v>248.821312027765</v>
      </c>
      <c r="CM37" s="29">
        <f>H2_retrieval!$H$25*h2_demand_kt/1000+(co2_liq_e_demand+co2_st_e_demand*2)*Storage!$I$12*co2_density/FA_density/1000000</f>
        <v>94.204253879484654</v>
      </c>
      <c r="CN37" s="28">
        <f>IFERROR((((CB37+CD37+CG37)*(1+H2_retrieval!$H$34)+CL37)*1000000/H2_retrieval!$H$8)+h2_regen_fa,"")</f>
        <v>17440.393768896764</v>
      </c>
      <c r="CO37" s="149">
        <f>(meoh_invest*(M37+1/meoh_lifetime)/meoh_prod+meoh_opex+meoh_e_demand*1000*$AU37/100+Carriers!$R$18/Carriers!$R$23*BD37+Carriers!$R$20/Carriers!$R$23*co2_liq_cost)*(CS37+meoh_st_ab_losses)/1000000</f>
        <v>124001.73599279446</v>
      </c>
      <c r="CP37" s="86">
        <f>(meoh_invest*(M37+1/meoh_lifetime)/meoh_prod+meoh_opex+meoh_e_demand*1000*$AU37/100+Carriers!$R$18/Carriers!$R$23*BD37+Carriers!$R$20/Carriers!$R$23*BP37)*(CS37+meoh_st_ab_losses)/1000000</f>
        <v>152786.59265239787</v>
      </c>
      <c r="CQ37" s="63">
        <f>meoh_st_nl_cost*meoh_st_nl_demand/1000000+(meoh_st_invest*(M37+1/meoh_st_lifetime+meoh_st_opex)/(Storage!$K$63/1000000)+meoh_st_e_demand*1000*$AU37/100)*(CS37+meoh_st_ab_losses)/1000000+co2_st_nl_cost*Storage!$K$12*co2_density/meoh_density/1000000+(co2_st_opex_lev+co2_st_invest_lev+co2_st_e_demand*1000*IFERROR(MIN(S37,AA37,AI37),S37)/100)*Storage!$K$12/1000000+co2_st_invest_lev*Storage!$K$12*co2_st_lifetime*M37/1000000+Carriers!$R$18/Carriers!$R$23*((CS37+meoh_st_ab_losses)/365.25*short_st_duration_hrs/24)*(h2_short_st_invest*(1/gh2_short_st_lifetime+$M37+h2_short_st_opex)+h2_short_st_e_demand*1000*$AU37/100)/1000000+Carriers!$R$20/Carriers!$R$23*((CF37+meoh_st_ab_losses)/365.25*short_st_duration_hrs/24)*(co2_short_st_invest*(1/co2_short_st_lifetime+$M37+co2_short_st_opex)+co2_short_st_e_demand*1000*$AU37/100)/1000000</f>
        <v>7068.829828219209</v>
      </c>
      <c r="CR37" s="63">
        <f>meoh_st_nl_cost*meoh_st_nl_demand/1000000+(meoh_st_invest*(M37+1/meoh_st_lifetime+meoh_st_opex)/(Storage!$K$63/1000000)+meoh_st_e_demand*1000*$AU37/100)*(CS37+meoh_st_ab_losses)/1000000+Carriers!$R$18/Carriers!$R$23*((CS37+meoh_st_ab_losses)/365.25*short_st_duration_hrs/24)*(h2_short_st_invest*(1/gh2_short_st_lifetime+$M37+h2_short_st_opex)+h2_short_st_e_demand*1000*$AU37/100)/1000000+Carriers!$R$20/Carriers!$R$23*((CF37+meoh_st_ab_losses)/365.25*short_st_duration_hrs/24)*(co2_short_st_invest*(1/co2_short_st_lifetime+$M37+co2_short_st_opex)+co2_short_st_e_demand*1000*$AU37/100)/1000000</f>
        <v>3188.7173587397938</v>
      </c>
      <c r="CS37" s="63">
        <f>Storage!$K$57/((1-Shipping!$L$37)^($F37/24/Shipping!$L$44+0.5*Shipping!$L$59))</f>
        <v>108044444.44444443</v>
      </c>
      <c r="CT37" s="28">
        <f>IF($E37="","No Port",IF(AND(ship_choice="VLCC",G37="Panama"),"Ship cannot pass through Panama",IF(ship_choice="VLCC",((F37/24/Shipping!$AD$44+F37/24/Shipping!$AD$50+Shipping!$AD$59+Shipping!$AD$64)*(Shipping!$AD$22+wacc_nl*Shipping!$AD$19/365.25*1000000+Shipping!$AD$35)+(F37/24/Shipping!$AD$44*Shipping!$AD$45+Shipping!$AD$64*Shipping!$AD$65)*IF(bunker_choice="HFO",$H37,IF(bunker_choice="hydrogen",$BD37*hfo_e_density_lhv/h2_e_density_lhv,(CO37+CQ37)*1000000/CS37*hfo_e_density_lhv/meoh_e_density_lhv))+(F37/24/Shipping!$AD$50*Shipping!$AD$51+Shipping!$AD$59*Shipping!$AD$60)*IF(bunker_choice="HFO",bunker_price_ROT,IF(bunker_choice="hydrogen",$BD37*hfo_e_density_lhv/h2_e_density_lhv,(CO37+CQ37)*1000000/CS37*hfo_e_density_lhv/meoh_e_density_lhv))+Shipping!$AD$73+IF(G37="Panama",Shipping!$AD$55,0)+IF(G37="Suez",Shipping!$AD$56,0))/Shipping!$AD$31*CS37/1000000+IF(inland_transport_to_port="hv dc grid",$BM37/100*1000*CV37,IF(inland_transport_to_port="pipeline",$BN37,0)),((F37/24/Shipping!$L$44+F37/24/Shipping!$L$50+Shipping!$L$59+Shipping!$L$64)*(Shipping!$L$22+wacc_nl*Shipping!$L$19/365.25*1000000+Shipping!$L$35)+(F37/24/Shipping!$L$44*Shipping!$L$45+Shipping!$L$64*Shipping!$L$65)*IF(bunker_choice="HFO",$H37,IF(bunker_choice="hydrogen",$BD37*hfo_e_density_lhv/h2_e_density_lhv,(CO37+CQ37)*1000000/CS37*hfo_e_density_lhv/meoh_e_density_lhv))+(F37/24/Shipping!$L$50*Shipping!$L$51+Shipping!$L$59*Shipping!$L$60)*IF(bunker_choice="HFO",bunker_price_ROT,IF(bunker_choice="hydrogen",$BD37*hfo_e_density_lhv/h2_e_density_lhv,(CO37+CQ37)*1000000/CS37*hfo_e_density_lhv/meoh_e_density_lhv))+Shipping!$L$73+IF(G37="Panama",Shipping!$L$55,0)+IF(G37="Suez",Shipping!$L$56,0))/Shipping!$L$31*CS37/1000000+IF(inland_transport_to_port="hv dc grid",$BM37/100*1000*CV37,IF(inland_transport_to_port="pipeline",$BN37,0)))))</f>
        <v>11269.987206555343</v>
      </c>
      <c r="CU37" s="28">
        <f t="shared" si="37"/>
        <v>167245.29721769301</v>
      </c>
      <c r="CV37" s="29">
        <f>((Carriers!$R$18/Carriers!$R$23*alk_el_e_demand)+meoh_e_demand)*(CS37+meoh_st_ab_losses)/1000000+meoh_st_e_demand*CS37/1000000</f>
        <v>1119.9789871111109</v>
      </c>
      <c r="CW37" s="29">
        <f t="shared" si="21"/>
        <v>0.16206666666666666</v>
      </c>
      <c r="CX37" s="28">
        <f>IFERROR(CU37*1000000/Storage!$K$12,"")</f>
        <v>1547.9305583702562</v>
      </c>
      <c r="CY37" s="28">
        <f>IF($E37="","No Port",((F37/24/Shipping!$L$44+F37/24/Shipping!$L$50+Shipping!$L$59+Shipping!$L$64)*Carriers!$R$39*wacc_nl))</f>
        <v>89.052098756609837</v>
      </c>
      <c r="CZ37" s="29">
        <f>H2_retrieval!$J$25*h2_demand_kt/1000+(co2_liq_e_demand+co2_st_e_demand*2)*Storage!$K$12*co2_density/meoh_density/1000000</f>
        <v>251.05079059698966</v>
      </c>
      <c r="DA37" s="28">
        <f>IFERROR((((CO37+CQ37+CT37)*(1+H2_retrieval!$J$34)+CY37)*1000000/H2_retrieval!$J$8)+h2_regen_meoh,"")</f>
        <v>11642.893626014176</v>
      </c>
      <c r="DB37" s="149">
        <f>(DBT_invest*(M37+1/DBT_lifetime)/DBT_prod+DBT_opex+DBT_e_demand*1000*$AU37/100+Carriers!$T$18/Carriers!$T$23*BD37)*(DD37+DBT_st_ab_losses)/1000000</f>
        <v>82791.302273071415</v>
      </c>
      <c r="DC37" s="28">
        <f>2*(DBT_st_nl_cost*DBT_st_nl_demand/1000000+(DBT_st_invest*(M37+1/DBT_st_lifetime+DBT_st_opex)/(Storage!$M$63/1000000)+DBT_st_e_demand*1000*$AU37/100)*(DD37+DBT_st_ab_losses)/1000000)+Carriers!$T$18/Carriers!$T$23*((DD37+DBT_st_ab_losses)/365.25*short_st_duration_hrs/24)*(h2_short_st_invest*(1/gh2_short_st_lifetime+$M37+h2_short_st_opex)+h2_short_st_e_demand*1000*$AU37/100)/1000000</f>
        <v>6221.1859282713758</v>
      </c>
      <c r="DD37" s="63">
        <f>Storage!$M$57/((1-Shipping!$N$37)^($F37/24/Shipping!$N$44+0.5*Shipping!$N$59))</f>
        <v>219354838.70967743</v>
      </c>
      <c r="DE37" s="28">
        <f>IF($E37="","No Port",IF(AND(ship_choice="VLCC",G37="Panama"),"Ship cannot pass through Panama",IF(ship_choice="VLCC",((F37/24/Shipping!$AD$44+F37/24/Shipping!$AD$50+Shipping!$AD$59+Shipping!$AD$64)*(Shipping!$AD$22+wacc_nl*Shipping!$AD$19/365.25*1000000+Shipping!$AD$35)+(F37/24/Shipping!$AD$44*Shipping!$AD$45+Shipping!$AD$64*Shipping!$AD$65)*IF(bunker_choice="HFO",$H37,IF(bunker_choice="hydrogen",$BD37*hfo_e_density_lhv/h2_e_density_lhv,(DB37+DC37)*1000000/DD37*hfo_e_density_lhv/DBT_e_density_lhv))+(F37/24/Shipping!$AD$50*Shipping!$AD$51+Shipping!$AD$59*Shipping!$AD$60)*IF(bunker_choice="HFO",bunker_price_ROT,IF(bunker_choice="hydrogen",$BD37*hfo_e_density_lhv/h2_e_density_lhv,(DB37+DC37)*1000000/DD37*hfo_e_density_lhv/DBT_e_density_lhv))+Shipping!$AD$73+IF(G37="Panama",Shipping!$AD$55,0)+IF(G37="Suez",Shipping!$AD$56,0))/Shipping!$AD$31*DD37/1000000+IF(inland_transport_to_port="hv dc grid",$BM37/100*1000*DG37,IF(inland_transport_to_port="pipeline",$BN37,0)),((F37/24/Shipping!$N$44+F37/24/Shipping!$N$50+Shipping!$N$59+Shipping!$N$64)*(Shipping!$N$22+wacc_nl*Shipping!$N$19/365.25*1000000+Shipping!$N$35)+(F37/24/Shipping!$N$44*Shipping!$N$45+Shipping!$N$64*Shipping!$N$65)*IF(bunker_choice="HFO",$H37,IF(bunker_choice="hydrogen",$BD37*hfo_e_density_lhv/h2_e_density_lhv,(DB37+DC37)*1000000/DD37*hfo_e_density_lhv/DBT_e_density_lhv))+(F37/24/Shipping!$N$50*Shipping!$N$51+Shipping!$N$59*Shipping!$N$60)*IF(bunker_choice="HFO",bunker_price_ROT,IF(bunker_choice="hydrogen",$BD37*hfo_e_density_lhv/h2_e_density_lhv,(DB37+DC37)*1000000/DD37*hfo_e_density_lhv/DBT_e_density_lhv))+Shipping!$N$73+IF(G37="Panama",Shipping!$N$55,0)+IF(G37="Suez",Shipping!$N$56,0))/Shipping!$N$31*Shipping!$N$86/1000000+IF(inland_transport_to_port="hv dc grid",$BM37/100*1000*DG37,IF(inland_transport_to_port="pipeline",$BN37,0)))))</f>
        <v>17706.518826009571</v>
      </c>
      <c r="DF37" s="28">
        <f t="shared" si="56"/>
        <v>106719.00702735236</v>
      </c>
      <c r="DG37" s="29">
        <f>((Carriers!$T$18/Carriers!$T$23*alk_el_e_demand)+DBT_e_demand)*(DD37+DBT_st_ab_losses)/1000000+DBT_st_e_demand*DD37/1000000</f>
        <v>703.88335483870969</v>
      </c>
      <c r="DH37" s="29">
        <f t="shared" si="23"/>
        <v>0.21935483870967742</v>
      </c>
      <c r="DI37" s="28">
        <f>IFERROR(DF37*1000000/Storage!$M$12,"")</f>
        <v>486.51312027175339</v>
      </c>
      <c r="DJ37" s="28">
        <f>IF($E37="","No Port",((F37/24/Shipping!$N$44+F37/24/Shipping!$N$50+Shipping!$N$59+Shipping!$N$64)*Carriers!$T$39*wacc_nl))</f>
        <v>6485.956943870734</v>
      </c>
      <c r="DK37" s="100">
        <f>H2_retrieval!$L$25*h2_demand_kt/1000+(co2_liq_e_demand+co2_st_e_demand*2)*Storage!$M$12*co2_density/DBT_density/1000000</f>
        <v>206.61934861671787</v>
      </c>
      <c r="DL37" s="28">
        <f>IFERROR(((DF37*(1+H2_retrieval!$L$34)+DJ37)*1000000/H2_retrieval!$L$8)+h2_regen_lohc,"")</f>
        <v>8794.5441902875518</v>
      </c>
      <c r="DM37" s="149">
        <f t="shared" si="24"/>
        <v>83287.354421742653</v>
      </c>
      <c r="DN37" s="16">
        <f>2*(nabh4_st_nl_cost*nabh4_st_nl_demand/1000000+(nabh4_st_invest*(M37+1/nabh4_st_lifetime+nabh4_st_opex)/(Storage!$O$63/1000000)+nabh4_st_e_demand*1000*$AU37/100)*(DO37+nabh4_st_ab_losses)/1000000)+(h2_demand_kt*1000/365.25*short_st_duration_hrs/24)*(h2_short_st_invest*(1/gh2_short_st_lifetime+$M37+h2_short_st_opex)+h2_short_st_e_demand*1000*$AU37/100)/1000000</f>
        <v>2151.3115646535803</v>
      </c>
      <c r="DO37" s="63">
        <f>Storage!$O$57/((1-Shipping!$P$37)^($F37/24/Shipping!$P$44+0.5*Shipping!$P$59))</f>
        <v>63920000</v>
      </c>
      <c r="DP37" s="16">
        <f>IF($E37="","No Port",((F37/24/Shipping!$P$44+F37/24/Shipping!$P$50+Shipping!$P$59+Shipping!$P$64)*(Shipping!$P$22+wacc_nl*Shipping!$P$19/365.25*1000000+Shipping!$P$35)+(F37/24/Shipping!$P$44*Shipping!$P$45+Shipping!$P$64*Shipping!$P$65)*IF(bunker_choice="HFO",$H37,IF(bunker_choice="hydrogen",$BD37*hfo_e_density_lhv/h2_e_density_lhv,(DM37+DN37)*1000000/DO37*hfo_e_density_lhv/nabh4_e_density_lhv))+(F37/24/Shipping!$P$50*Shipping!$P$51+Shipping!$P$59*Shipping!$P$60)*IF(bunker_choice="HFO",bunker_price_ROT,IF(bunker_choice="hydrogen",$BD37*hfo_e_density_lhv/h2_e_density_lhv,(DM37+DN37)*1000000/DO37*hfo_e_density_lhv/nabh4_e_density_lhv))+Shipping!$P$73+IF(G37="Panama",Shipping!$P$55,0)+IF(G37="Suez",Shipping!$P$56,0))/Shipping!$P$31*(DO37+nabh4_st_ab_losses)/1000000+IF(inland_transport_to_port="hv dc grid",$BM37/100*1000*DR37,IF(inland_transport_to_port="pipeline",$BN37,0)))</f>
        <v>7851.6287258939046</v>
      </c>
      <c r="DQ37" s="28">
        <f t="shared" si="55"/>
        <v>93290.294712290139</v>
      </c>
      <c r="DR37" s="29">
        <f>((Carriers!$V$18/Carriers!$V$23*alk_el_e_demand)+nabh4_e_demand)*(DO37+nabh4_st_ab_losses)/1000000+nabh4_st_e_demand*DO37/1000000</f>
        <v>980.02139682539689</v>
      </c>
      <c r="DS37" s="28">
        <f t="shared" si="25"/>
        <v>3.1960000000000002</v>
      </c>
      <c r="DT37" s="28">
        <f>IFERROR(DQ37*1000000/Storage!$O$12,"")</f>
        <v>1459.4852113937757</v>
      </c>
      <c r="DU37" s="28">
        <f>IF($E37="","No Port",((F37/24/Shipping!$P$44+F37/24/Shipping!$P$50+Shipping!$P$59+Shipping!$P$64)*Carriers!$V$39*wacc_nl))</f>
        <v>603.03205316209596</v>
      </c>
      <c r="DV37" s="100">
        <f>H2_retrieval!$N$25*h2_demand_kt/1000+(co2_liq_e_demand+co2_st_e_demand*2)*Storage!$O$12*co2_density/nabh4_density/1000000</f>
        <v>18.783638728971958</v>
      </c>
      <c r="DW37" s="28">
        <f>IFERROR(((DQ37*(1+H2_retrieval!$N$34)+DU37)*1000000/H2_retrieval!$N$8)+h2_regen_nabh4,"")</f>
        <v>7047.9869060166702</v>
      </c>
      <c r="DX37" s="149">
        <f>(Dme_invest*(M37+1/Dme_lifetime)/Dme_prod+Dme_opex+Dme_e_demand*1000*$AU37/100+Carriers!$X$21/Carriers!$X$23*(CO37*1000000/CS37))*(EB37+Dme_st_ab_losses)/1000000</f>
        <v>173661.30462981967</v>
      </c>
      <c r="DY37" s="86">
        <f>(Dme_invest*(M37+1/Dme_lifetime)/Dme_prod+Dme_opex+Dme_e_demand*1000*$AU37/100+Carriers!$X$21/Carriers!$X$23*(CP37*1000000/CS37))*(EB37+Dme_st_ab_losses)/1000000</f>
        <v>212712.68374941155</v>
      </c>
      <c r="DZ37" s="63">
        <f>Dme_st_nl_cost*Dme_st_nl_demand/1000000+(Dme_st_invest*(M37+1/Dme_st_lifetime+Dme_st_opex)/(Storage!$Q$63/1000000)+Dme_st_e_demand*1000*$AU37/100)*(EB37+Dme_st_ab_losses)/1000000+co2_st_nl_cost*Storage!$Q$12*co2_density/Dme_density/1000000+(co2_st_opex_lev+co2_st_invest_lev+co2_st_e_demand*1000*$AU37/100)*Storage!$Q$12/1000000+co2_st_invest_lev*Storage!$Q$12*co2_st_lifetime*M37/1000000+(h2_demand_kt*1000/365.25*short_st_duration_hrs/24)*(h2_short_st_invest*(1/gh2_short_st_lifetime+$M37+h2_short_st_opex)+h2_short_st_e_demand*1000*$AU37/100)/1000000</f>
        <v>8408.162660802398</v>
      </c>
      <c r="EA37" s="63">
        <f>Dme_st_nl_cost*Dme_st_nl_demand/1000000+(Dme_st_invest*(M37+1/Dme_st_lifetime+Dme_st_opex)/(Storage!$Q$63/1000000)+Dme_st_e_demand*1000*$AU37/100)*(EB37+Dme_st_ab_losses)/1000000+(h2_demand_kt*1000/365.25*short_st_duration_hrs/24)*(h2_short_st_invest*(1/gh2_short_st_lifetime+$M37+h2_short_st_opex)+h2_short_st_e_demand*1000*$AU37/100)/1000000</f>
        <v>4562.6593394013635</v>
      </c>
      <c r="EB37" s="63">
        <f>Storage!$Q$57/((1-Shipping!$R$37)^($F37/24/Shipping!$R$44+0.5*Shipping!$R$59))</f>
        <v>103547089.94708996</v>
      </c>
      <c r="EC37" s="153">
        <f>IF($E37="","No Port",IF(AND(ship_choice="VLCC",G37="Panama"),"Ship cannot pass through Panama",IF(ship_choice="VLCC",((F37/24/Shipping!$AD$44+F37/24/Shipping!$AD$50+Shipping!$AD$59+Shipping!$AD$64)*(Shipping!$AD$22+wacc_nl*Shipping!$AD$19/365.25*1000000+Shipping!$AD$35)+(F37/24/Shipping!$AD$44*Shipping!$AD$45+Shipping!$AD$64*Shipping!$AD$65)*IF(bunker_choice="HFO",$H37,IF(bunker_choice="hydrogen",$BD37*hfo_e_density_lhv/h2_e_density_lhv,(DX37+DZ37)*1000000/EB37*hfo_e_density_lhv/Dme_e_density_lhv))+(F37/24/Shipping!$AD$50*Shipping!$AD$51+Shipping!$AD$59*Shipping!$AD$60)*IF(bunker_choice="HFO",bunker_price_ROT,IF(bunker_choice="hydrogen",$BD37*hfo_e_density_lhv/h2_e_density_lhv,(DX37+DZ37)*1000000/EB37*hfo_e_density_lhv/Dme_e_density_lhv))+Shipping!$AD$73+IF(G37="Panama",Shipping!$AD$55,0)+IF(G37="Suez",Shipping!$AD$56,0))/Shipping!$AD$31*(EB37+Dme_st_ab_losses)/1000000+IF(inland_transport_to_port="hv dc grid",$BM37/100*1000*EE37,IF(inland_transport_to_port="pipeline",$BN37,0)),((F37/24/Shipping!$R$44+F37/24/Shipping!$R$50+Shipping!$R$59+Shipping!$R$64)*(Shipping!$R$22+wacc_nl*Shipping!$R$19/365.25*1000000+Shipping!$R$35)+(F37/24/Shipping!$R$44*Shipping!$R$45+Shipping!$R$64*Shipping!$R$65)*IF(bunker_choice="HFO",$H37,IF(bunker_choice="hydrogen",$BD37*hfo_e_density_lhv/h2_e_density_lhv,(DX37+DZ37)*1000000/EB37*hfo_e_density_lhv/Dme_e_density_lhv))+(F37/24/Shipping!$R$50*Shipping!$R$51+Shipping!$R$59*Shipping!$R$60)*IF(bunker_choice="HFO",bunker_price_ROT,IF(bunker_choice="hydrogen",$BD37*hfo_e_density_lhv/h2_e_density_lhv,(DX37+DZ37)*1000000/EB37*hfo_e_density_lhv/Dme_e_density_lhv))+Shipping!$R$73+IF(G37="Panama",Shipping!$R$55,0)+IF(G37="Suez",Shipping!$R$56,0))/Shipping!$R$31*(EB37+Dme_st_ab_losses)/1000000+IF(inland_transport_to_port="hv dc grid",$BM37/100*1000*EE37,IF(inland_transport_to_port="pipeline",$BN37,0)))))</f>
        <v>10896.605173428361</v>
      </c>
      <c r="ED37" s="28">
        <f t="shared" si="39"/>
        <v>228171.94826224129</v>
      </c>
      <c r="EE37" s="29">
        <f>(Dme_e_demand)*(EB37+Dme_st_ab_losses)/1000000+Dme_st_e_demand*DZ37/1000000+$CV37*(Carriers!$X$21/Carriers!$X$23*EB37)/$CS37</f>
        <v>1550.2168442486825</v>
      </c>
      <c r="EF37" s="29">
        <f t="shared" si="26"/>
        <v>1.0354708994708997</v>
      </c>
      <c r="EG37" s="28">
        <f>IFERROR(ED37*1000000/Storage!$Q$12,"")</f>
        <v>2203.5573223625274</v>
      </c>
      <c r="EH37" s="28">
        <f>IF($E37="","No Port",((F37/24/Shipping!$R$44+F37/24/Shipping!$R$50+Shipping!$R$59+Shipping!$R$64)*Carriers!$X$39*wacc_nl))</f>
        <v>92.354442661075794</v>
      </c>
      <c r="EI37" s="100">
        <f>H2_retrieval!$P$25*h2_demand_kt/1000+(co2_liq_e_demand+co2_st_e_demand*2)*Storage!$Q$12*co2_density/Dme_density/1000000</f>
        <v>252.45335899349112</v>
      </c>
      <c r="EJ37" s="28">
        <f>IFERROR((((DX37+DZ37+EC37)*(1+H2_retrieval!$P$34)+EH37)*1000000/H2_retrieval!$P$8)+h2_regen_dme,"")</f>
        <v>15365.60110986608</v>
      </c>
      <c r="EK37" s="149">
        <f>(ome_invest*(M37+1/ome_lifetime)/ome_prod+ome_opex+ome_e_demand*1000*$AU37/100+Carriers!$Z$21/Carriers!$Z$23*(CO37*1000000/CS37))*(EO37+ome_st_ab_losses)/1000000</f>
        <v>376363.25720694056</v>
      </c>
      <c r="EL37" s="86">
        <f>(ome_invest*(M37+1/ome_lifetime)/ome_prod+ome_opex+ome_e_demand*1000*$AU37/100+Carriers!$Z$21/Carriers!$Z$23*(CP37*1000000/CS37))*(EO37+ome_st_ab_losses)/1000000</f>
        <v>458339.7038388807</v>
      </c>
      <c r="EM37" s="63">
        <f>ome_st_nl_cost*ome_st_nl_demand/1000000+(ome_st_invest*(M37+1/ome_st_lifetime+ome_st_opex)/(Storage!$S$63/1000000)+ome_st_e_demand*1000*$AU37/100)*(EO37+ome_st_ab_losses)/1000000+co2_st_nl_cost*Storage!$S$12*co2_density/ome_density/1000000+(co2_st_opex_lev+co2_st_invest_lev+co2_st_e_demand*1000*$AU37/100)*Storage!$S$12/1000000+co2_st_invest_lev*Storage!$S$12*co2_st_lifetime*M37/1000000+(h2_demand_kt*1000/365.25*short_st_duration_hrs/24)*(h2_short_st_invest*(1/gh2_short_st_lifetime+$M37+h2_short_st_opex)+h2_short_st_e_demand*1000*$AU37/100)/1000000</f>
        <v>7235.3102900244894</v>
      </c>
      <c r="EN37" s="63">
        <f>ome_st_nl_cost*ome_st_nl_demand/1000000+(ome_st_invest*(M37+1/ome_st_lifetime+ome_st_opex)/(Storage!$S$63/1000000)+ome_st_e_demand*1000*$AU37/100)*(EO37+ome_st_ab_losses)/1000000+(h2_demand_kt*1000/365.25*short_st_duration_hrs/24)*(h2_short_st_invest*(1/gh2_short_st_lifetime+$M37+h2_short_st_opex)+h2_short_st_e_demand*1000*$AU37/100)/1000000</f>
        <v>2810.1564837765391</v>
      </c>
      <c r="EO37" s="63">
        <f>Storage!$S$57/((1-Shipping!$T$37)^($F37/24/Shipping!$T$44+0.5*Shipping!$T$59))</f>
        <v>128282539.68253967</v>
      </c>
      <c r="EP37" s="28">
        <f>IF($E37="","No Port",IF(AND(ship_choice="VLCC",G37="Panama"),"Ship cannot pass through Panama",IF(ship_choice="VLCC",((F37/24/Shipping!$AD$44+F37/24/Shipping!$AD$50+Shipping!$AD$59+Shipping!$AD$64)*(Shipping!$AD$22+wacc_nl*Shipping!$AD$19/365.25*1000000+Shipping!$AD$35)+(F37/24/Shipping!$AD$44*Shipping!$AD$45+Shipping!$AD$64*Shipping!$AD$65)*IF(bunker_choice="HFO",$H37,IF(bunker_choice="hydrogen",$BD37*hfo_e_density_lhv/h2_e_density_lhv,(EK37+EM37)*1000000/EO37*hfo_e_density_lhv/Dme_e_density_lhv))+(F37/24/Shipping!$AD$50*Shipping!$AD$51+Shipping!$AD$59*Shipping!$AD$60)*IF(bunker_choice="HFO",bunker_price_ROT,IF(bunker_choice="hydrogen",$BD37*hfo_e_density_lhv/h2_e_density_lhv,(EK37+EM37)*1000000/EO37*hfo_e_density_lhv/ome_e_density_lhv))+Shipping!$AD$73+IF(G37="Panama",Shipping!$AD$55,0)+IF(G37="Suez",Shipping!$AD$56,0))/Shipping!$AD$31*(EO37+ome_st_ab_losses)/1000000+IF(inland_transport_to_port="hv dc grid",$BM37/100*1000*ER37,IF(inland_transport_to_port="pipeline",$BN37,0)),((F37/24/Shipping!$T$44+F37/24/Shipping!$T$50+Shipping!$T$59+Shipping!$T$64)*(Shipping!$T$22+wacc_nl*Shipping!$T$19/365.25*1000000+Shipping!$T$35)+(F37/24/Shipping!$T$44*Shipping!$T$45+Shipping!$T$64*Shipping!$T$65)*IF(bunker_choice="HFO",$H37,IF(bunker_choice="hydrogen",$BD37*hfo_e_density_lhv/h2_e_density_lhv,(EK37+EM37)*1000000/EO37*hfo_e_density_lhv/Dme_e_density_lhv))+(F37/24/Shipping!$T$50*Shipping!$T$51+Shipping!$T$59*Shipping!$T$60)*IF(bunker_choice="HFO",bunker_price_ROT,IF(bunker_choice="hydrogen",$BD37*hfo_e_density_lhv/h2_e_density_lhv,(EK37+EM37)*1000000/EO37*hfo_e_density_lhv/ome_e_density_lhv))+Shipping!$T$73+IF(G37="Panama",Shipping!$T$55,0)+IF(G37="Suez",Shipping!$T$56,0))/Shipping!$T$31*(EO37+ome_st_ab_losses)/1000000+IF(inland_transport_to_port="hv dc grid",$BM37/100*1000*ER37,IF(inland_transport_to_port="pipeline",$BN37,0)))))</f>
        <v>12185.679082026461</v>
      </c>
      <c r="EQ37" s="28">
        <f t="shared" si="40"/>
        <v>473335.53940468369</v>
      </c>
      <c r="ER37" s="29">
        <f>(ome_e_demand)*(EO37+ome_st_ab_losses)/1000000+ome_st_e_demand*EM37/1000000+$CV37*(Carriers!$Z$21/Carriers!$Z$23*EO37)/$CS37</f>
        <v>3352.0814609937488</v>
      </c>
      <c r="ES37" s="29">
        <f t="shared" si="27"/>
        <v>0.1924238095238095</v>
      </c>
      <c r="ET37" s="28">
        <f>IFERROR(EQ37*1000000/Storage!$S$12,"")</f>
        <v>3689.7892774499587</v>
      </c>
      <c r="EU37" s="28">
        <f>IF($E37="","No Port",((F37/24/Shipping!$T$44+F37/24/Shipping!$T$50+Shipping!$T$59+Shipping!$T$64)*Carriers!$Z$39*wacc_nl))</f>
        <v>105.73268668554523</v>
      </c>
      <c r="EV37" s="100">
        <f>H2_retrieval!$R$25*h2_demand_kt/1000+(co2_liq_e_demand+co2_st_e_demand*2)*Storage!$S$12*co2_density/ome_density/1000000</f>
        <v>254.51942895252085</v>
      </c>
      <c r="EW37" s="28">
        <f>IFERROR((((EK37+EM37+EP37)*(1+H2_retrieval!$R$34)+EU37)*1000000/H2_retrieval!$R$8)+h2_regen_ome,"")</f>
        <v>30279.685842142961</v>
      </c>
      <c r="EX37" s="149">
        <f>(sng_invest*(M37+1/sng_lifetime)/sng_prod+lng_invest*(M37+1/lng_lifetime)/lng_prod+sng_opex+lng_opex+(sng_e_demand+lng_e_demand)*1000*$AU37/100+Carriers!$AB$18/Carriers!$AB$23*BD37+Carriers!$AB$20/Carriers!$AB$23*co2_liq_cost)*(FB37+lng_st_ab_losses)/1000000</f>
        <v>133505.46502677471</v>
      </c>
      <c r="EY37" s="86">
        <f>(sng_invest*(M37+1/sng_lifetime)/sng_prod+lng_invest*(M37+1/lng_lifetime)/lng_prod+sng_opex+lng_opex+(sng_e_demand+lng_e_demand)*1000*$AU37/100+Carriers!$AB$18/Carriers!$AB$23*BD37+Carriers!$AB$20/Carriers!$AB$23*BP37)*(FB37+lng_st_ab_losses)/1000000</f>
        <v>155129.70454769229</v>
      </c>
      <c r="EZ37" s="63">
        <f>lng_st_nl_cost*lng_st_nl_demand/1000000+(lng_st_invest*(M37+1/lng_st_lifetime+lng_st_opex)/(Storage!$U$63/1000000)+lng_st_e_demand*1000*$AU37/100)*(FB37+lng_st_ab_losses)/1000000+co2_st_nl_cost*Storage!$U$12*co2_density/lng_density/1000000+(co2_st_opex_lev+co2_st_invest_lev+co2_st_e_demand*1000*$AU37/100)*Storage!$U$12/1000000+co2_st_invest_lev*Storage!$U$12*co2_st_lifetime*M37/1000000+Carriers!$AB$18/Carriers!$AB$23*((FB37+lng_st_ab_losses)/365.25*short_st_duration_hrs/24)*(h2_short_st_invest*(1/gh2_short_st_lifetime+$M37+h2_short_st_opex)+h2_short_st_e_demand*1000*$AU37/100)/1000000+Carriers!$AB$20/Carriers!$AB$23*((FB37+lng_st_ab_losses)/365.25*short_st_duration_hrs/24)*(co2_short_st_invest*(1/co2_short_st_lifetime+$M37+co2_short_st_opex)+co2_short_st_e_demand*1000*$AU37/100)/1000000</f>
        <v>9106.3662292022891</v>
      </c>
      <c r="FA37" s="63">
        <f>lng_st_nl_cost*lng_st_nl_demand/1000000+(lng_st_invest*(M37+1/lng_st_lifetime+lng_st_opex)/(Storage!$U$63/1000000)+lng_st_e_demand*1000*$AU37/100)*(FB37+lng_st_ab_losses)/1000000+Carriers!$AB$18/Carriers!$AB$23*((FB37+lng_st_ab_losses)/365.25*short_st_duration_hrs/24)*(h2_short_st_invest*(1/gh2_short_st_lifetime+$M37+h2_short_st_opex)+h2_short_st_e_demand*1000*$AU37/100)/1000000+Carriers!$AB$20/Carriers!$AB$23*((FB37+lng_st_ab_losses)/365.25*short_st_duration_hrs/24)*(co2_short_st_invest*(1/co2_short_st_lifetime+$M37+co2_short_st_opex)+co2_short_st_e_demand*1000*$AU37/100)/1000000</f>
        <v>7161.475747921635</v>
      </c>
      <c r="FB37" s="63">
        <f>Storage!$U$57/((1-Shipping!$V$37)^($F37/24/Shipping!$V$44+0.5*Shipping!$V$59))</f>
        <v>41357195.41439414</v>
      </c>
      <c r="FC37" s="28">
        <f>IF($E37="","No Port",IF(G37="Panama","Ship cannot pass through Panama",((F37/24/Shipping!$V$44+F37/24/Shipping!$V$50+Shipping!$V$59+Shipping!$V$64)*(Shipping!$V$22+wacc_nl*Shipping!$V$19/365.25*1000000+Shipping!$V$35)+(F37/24/Shipping!$V$44*Shipping!$V$45+Shipping!$V$64*Shipping!$V$65)*IF(bunker_choice="HFO",$H37,IF(bunker_choice="hydrogen",$BD37*hfo_e_density_lhv/h2_e_density_lhv,(EX37+EZ37)*1000000/FB37*hfo_e_density_lhv/lng_e_density_lhv))+(F37/24/Shipping!$V$50*Shipping!$V$51+Shipping!$V$59*Shipping!$V$60)*IF(bunker_choice="HFO",bunker_price_ROT,IF(bunker_choice="hydrogen",$BD37*hfo_e_density_lhv/h2_e_density_lhv,(EX37+EZ37)*1000000/FB37*hfo_e_density_lhv/lng_e_density_lhv))+Shipping!$V$73+IF(G37="Panama",Shipping!$V$55,0)+IF(G37="Suez",Shipping!$V$56,0))/Shipping!$V$31*(FB37+lng_st_ab_losses)/1000000)+IF(inland_transport_to_port="hv dc grid",$BM37/100*1000*FE37,IF(inland_transport_to_port="pipeline",$BN37,0)))</f>
        <v>6807.629276238451</v>
      </c>
      <c r="FD37" s="28">
        <f t="shared" si="41"/>
        <v>169098.80957185238</v>
      </c>
      <c r="FE37" s="29">
        <f>((Carriers!$AB$18/Carriers!$AB$23*alk_el_e_demand)+sng_e_demand+lng_e_demand)*(FB37+lng_st_ab_losses)/1000000+lng_st_e_demand*EZ37/1000000</f>
        <v>1109.1636958293097</v>
      </c>
      <c r="FF37" s="29">
        <f t="shared" si="28"/>
        <v>0.8126185861001558</v>
      </c>
      <c r="FG37" s="28">
        <f>IFERROR(FD37*1000000/Storage!$U$12,"")</f>
        <v>4166.6242971787779</v>
      </c>
      <c r="FH37" s="28">
        <f>IF($E37="","No Port",((F37/24/Shipping!$V$44+F37/24/Shipping!$V$50+Shipping!$V$59+Shipping!$V$64)*Carriers!$AB$39*wacc_nl))</f>
        <v>31.17884674182293</v>
      </c>
      <c r="FI37" s="100">
        <f>H2_retrieval!$T$25*h2_demand_kt/1000+(co2_liq_e_demand+co2_st_e_demand*2)*Storage!$U$12*co2_density/lng_density/1000000</f>
        <v>236.51371749646054</v>
      </c>
      <c r="FJ37" s="28">
        <f>IFERROR((((EX37+EZ37+FC37)*(1+H2_retrieval!$T$34)+FH37)*1000000/H2_retrieval!$T$8)+h2_regen_lng,"")</f>
        <v>12159.14614459003</v>
      </c>
      <c r="FK37" s="149">
        <f>(lh2_invest*(M37+1/lh2_lifetime)/lh2_prod+lh2_opex+lh2_e_demand*1000*$AU37/100+Carriers!$AD$18/Carriers!$AD$23*BD37)*(FM37+lh2_st_ab_losses)/1000000</f>
        <v>104316.19161521037</v>
      </c>
      <c r="FL37" s="28">
        <f>lh2_st_nl_cost*lh2_st_nl_demand/1000000+(lh2_st_invest*(M37+1/lh2_st_lifetime+lh2_st_opex)/(Storage!$Y$63/1000000)+lh2_st_e_demand*1000*$AU37/100)*(FM37+lh2_st_ab_losses)/1000000+((FM37+lh2_st_ab_losses)/365.25*short_st_duration_hrs/24)*(h2_short_st_invest*(1/gh2_short_st_lifetime+$M37+h2_short_st_opex)+h2_short_st_e_demand*1000*$AU37/100)/1000000</f>
        <v>80658.926591426556</v>
      </c>
      <c r="FM37" s="63">
        <f>Storage!$Y$57/((1-Shipping!$Z$37)^($F37/24/Shipping!$Z$44+0.5*Shipping!$Z$59))</f>
        <v>14010755.302858578</v>
      </c>
      <c r="FN37" s="28">
        <f>IF($E37="","No Port",IF(G37="Panama","Ship cannot pass through Panama",((F37/24/Shipping!$Z$44+F37/24/Shipping!$Z$50+Shipping!$Z$59+Shipping!$Z$64)*(Shipping!$Z$22+wacc_nl*Shipping!$Z$19/365.25*1000000+Shipping!$Z$35)+(F37/24/Shipping!$Z$44*Shipping!$Z$45+Shipping!$Z$64*Shipping!$Z$65)*IF(bunker_choice="HFO",$H37,IF(bunker_choice="hydrogen",$BD37*hfo_e_density_lhv/h2_e_density_lhv,(FK37+FL37)*1000000/FM37*hfo_e_density_lhv/lh2_e_density_lhv))+(F37/24/Shipping!$Z$50*Shipping!$Z$51+Shipping!$Z$59*Shipping!$Z$60)*IF(bunker_choice="HFO",bunker_price_ROT,IF(bunker_choice="hydrogen",$BD37*hfo_e_density_lhv/h2_e_density_lhv,(FK37+FL37)*1000000/FM37*hfo_e_density_lhv/lh2_e_density_lhv))+Shipping!$Z$73+IF(G37="Panama",Shipping!$Z$55,0)+IF(G37="Suez",Shipping!$Z$56,0))/Shipping!$Z$31*(FM37+lh2_st_ab_losses)/1000000)+IF(inland_transport_to_port="hv dc grid",$BM37/100*1000*FP37,IF(inland_transport_to_port="pipeline",$BN37,0)))</f>
        <v>8387.9689637165102</v>
      </c>
      <c r="FO37" s="28">
        <f t="shared" si="42"/>
        <v>193363.08717035342</v>
      </c>
      <c r="FP37" s="29">
        <f>((Carriers!$AD$18/Carriers!$AD$23*alk_el_e_demand)+lh2_e_demand)*(FM37+lh2_st_ab_losses)/1000000+lh2_st_e_demand*FM37/1000000</f>
        <v>811.90146252642955</v>
      </c>
      <c r="FQ37" s="100">
        <f t="shared" si="29"/>
        <v>1.361902463475859</v>
      </c>
      <c r="FR37" s="28">
        <f>IFERROR(FO37*1000000/Storage!$Y$12,"")</f>
        <v>14217.874056643634</v>
      </c>
      <c r="FS37" s="100">
        <f>H2_retrieval!$V$25*h2_demand_kt/1000</f>
        <v>8.16</v>
      </c>
      <c r="FT37" s="28">
        <f>IFERROR(FR37*(1+H2_retrieval!$V$34)/Carrier_properties!$U$7+H2_retrieval!$V$38,"")</f>
        <v>14249.842782512102</v>
      </c>
      <c r="FU37" s="12"/>
      <c r="FV37" s="24">
        <f t="shared" si="30"/>
        <v>4.687185201530701</v>
      </c>
      <c r="FW37" s="24" t="str">
        <f t="shared" si="57"/>
        <v/>
      </c>
      <c r="FX37" s="24" t="str">
        <f t="shared" si="58"/>
        <v/>
      </c>
      <c r="FY37" s="24">
        <f t="shared" si="45"/>
        <v>4.687185201530701</v>
      </c>
      <c r="FZ37" s="28">
        <f t="shared" si="59"/>
        <v>5722.6396897597851</v>
      </c>
      <c r="GA37" s="28">
        <f t="shared" si="47"/>
        <v>1265.488336167723</v>
      </c>
      <c r="GB37" s="28">
        <f t="shared" si="48"/>
        <v>779.49717074836929</v>
      </c>
      <c r="GC37" s="28">
        <f t="shared" si="49"/>
        <v>1414.1087349563768</v>
      </c>
      <c r="GD37" s="28">
        <f t="shared" si="50"/>
        <v>2054.2603742712863</v>
      </c>
      <c r="GE37" s="28">
        <f t="shared" si="51"/>
        <v>3572.8923435187066</v>
      </c>
      <c r="GF37" s="28">
        <f t="shared" si="52"/>
        <v>3750.9725452442131</v>
      </c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</row>
    <row r="38" spans="1:214" x14ac:dyDescent="0.2">
      <c r="A38" s="40" t="s">
        <v>198</v>
      </c>
      <c r="B38" s="12">
        <v>5905</v>
      </c>
      <c r="C38" s="12">
        <v>0.9</v>
      </c>
      <c r="D38" s="12">
        <f t="shared" si="0"/>
        <v>9.9999999999999978E-2</v>
      </c>
      <c r="E38" s="12" t="s">
        <v>710</v>
      </c>
      <c r="F38" s="12">
        <v>4924</v>
      </c>
      <c r="G38" s="12"/>
      <c r="H38" s="16">
        <f t="shared" si="1"/>
        <v>382.75862068965517</v>
      </c>
      <c r="I38" s="16">
        <v>341500</v>
      </c>
      <c r="J38" s="16">
        <f t="shared" si="31"/>
        <v>329.70111636414657</v>
      </c>
      <c r="K38" s="27">
        <f t="shared" si="32"/>
        <v>395.64133963697589</v>
      </c>
      <c r="L38" s="103">
        <v>0.14099999999999999</v>
      </c>
      <c r="M38" s="103">
        <f t="shared" si="2"/>
        <v>0.14113641601972132</v>
      </c>
      <c r="N38" s="122">
        <f t="shared" si="33"/>
        <v>0.9</v>
      </c>
      <c r="O38" s="46">
        <f t="shared" si="3"/>
        <v>40</v>
      </c>
      <c r="P38" s="70">
        <f t="array" ref="P38">SUMPRODUCT(IF(Solar_data!A$4:A$777=A38,Solar_data!C$4:C$777),IF(Solar_data!A$4:A$777=A38,Solar_data!I$4:I$777))/SUMIF(Solar_data!A$4:A$777,A38,Solar_data!I$4:I$777)</f>
        <v>1810.8971146682131</v>
      </c>
      <c r="Q38" s="16">
        <f t="array" ref="Q38">MAX(IF(Solar_data!$A$777:'Solar_data'!$A$4=Country_details!$A38,Solar_data!$C$4:'Solar_data'!$C$777))</f>
        <v>2098.75</v>
      </c>
      <c r="R38" s="16">
        <f t="array" ref="R38">MIN(IF(Solar_data!$A$777:'Solar_data'!$A$4=Country_details!A38,Solar_data!$C$4:'Solar_data'!$C$777))</f>
        <v>1368.75</v>
      </c>
      <c r="S38" s="24">
        <f t="shared" si="4"/>
        <v>2.7340382828869325</v>
      </c>
      <c r="T38" s="24">
        <f t="shared" si="5"/>
        <v>2.3590527875508669</v>
      </c>
      <c r="U38" s="24">
        <f t="shared" si="6"/>
        <v>3.6172142742446631</v>
      </c>
      <c r="V38" s="16">
        <f t="array" ref="V38">SUM(IF(Solar_data!$A$777:'Solar_data'!$A$4=Country_details!$A38,Solar_data!$I$4:'Solar_data'!$I$777))</f>
        <v>19562.688320495428</v>
      </c>
      <c r="W38" s="148"/>
      <c r="X38" s="16" t="str">
        <f>IFERROR(INDEX(Onshore_wind_data!$J$5:'Onshore_wind_data'!$J$221,MATCH(A38,Onshore_wind_data!$B$5:'Onshore_wind_data'!$B$221,0)),"")</f>
        <v/>
      </c>
      <c r="Y38" s="16" t="str">
        <f>IFERROR(INDEX(Onshore_wind_data!$K$5:'Onshore_wind_data'!$K$221,MATCH(A38,Onshore_wind_data!$B$5:'Onshore_wind_data'!$B$221,0)),"")</f>
        <v/>
      </c>
      <c r="Z38" s="16" t="str">
        <f>IFERROR(INDEX(Onshore_wind_data!$L$5:'Onshore_wind_data'!$L$221,MATCH(A38,Onshore_wind_data!$B$5:'Onshore_wind_data'!$B$221,0)),"")</f>
        <v/>
      </c>
      <c r="AA38" s="24" t="str">
        <f t="shared" si="7"/>
        <v/>
      </c>
      <c r="AB38" s="24" t="str">
        <f t="shared" si="8"/>
        <v/>
      </c>
      <c r="AC38" s="24" t="str">
        <f t="shared" si="9"/>
        <v/>
      </c>
      <c r="AD38" s="16">
        <f>IFERROR(INDEX(Onshore_wind_data!$I$5:'Onshore_wind_data'!$I$221,MATCH(A38,Onshore_wind_data!$B$5:'Onshore_wind_data'!$B$221,0)),"")</f>
        <v>0</v>
      </c>
      <c r="AE38" s="148"/>
      <c r="AF38" s="16" t="str">
        <f>INDEX(Offshore_wind_data!$AA$7:$AA$192,MATCH(Country_details!A38,Offshore_wind_data!$A$7:$A$192,0))</f>
        <v/>
      </c>
      <c r="AG38" s="16" t="str">
        <f>INDEX(Offshore_wind_data!$Y$7:$Y$192,MATCH(Country_details!A38,Offshore_wind_data!$A$7:$A$192,0))</f>
        <v/>
      </c>
      <c r="AH38" s="16" t="str">
        <f>INDEX(Offshore_wind_data!$Z$7:$Z$192,MATCH(Country_details!A38,Offshore_wind_data!$A$7:$A$192,0))</f>
        <v/>
      </c>
      <c r="AI38" s="24" t="str">
        <f t="shared" si="10"/>
        <v/>
      </c>
      <c r="AJ38" s="24" t="str">
        <f t="shared" si="11"/>
        <v/>
      </c>
      <c r="AK38" s="24" t="str">
        <f t="shared" si="12"/>
        <v/>
      </c>
      <c r="AL38" s="16">
        <f>INDEX(Offshore_wind_data!$W$7:$W$191,MATCH(A38,Offshore_wind_data!$A$7:$A$191,0))</f>
        <v>0</v>
      </c>
      <c r="AM38" s="148"/>
      <c r="AN38" s="12">
        <v>84</v>
      </c>
      <c r="AO38" s="12">
        <v>197.4</v>
      </c>
      <c r="AP38" s="34">
        <f>0.5558*11.63</f>
        <v>6.4639540000000002</v>
      </c>
      <c r="AQ38" s="15">
        <f t="shared" si="13"/>
        <v>50</v>
      </c>
      <c r="AR38" s="12">
        <f t="shared" si="34"/>
        <v>9870</v>
      </c>
      <c r="AS38" s="16">
        <f t="shared" si="35"/>
        <v>9692.6883204954283</v>
      </c>
      <c r="AT38" s="12"/>
      <c r="AU38" s="24">
        <f t="shared" si="14"/>
        <v>2.7340382828869325</v>
      </c>
      <c r="AV38" s="16">
        <f t="shared" si="15"/>
        <v>1810.8971146682131</v>
      </c>
      <c r="AW38" s="149">
        <f>HV_DC_Grid!$E$3/(1-AX38)*AU38/100*1000</f>
        <v>3117.8951722540401</v>
      </c>
      <c r="AX38" s="31">
        <f>(1-(1-HV_DC_Grid!$E$25)^(B38*C38*HV_DC_Grid!$E$8/1000))+(1-(1-HV_DC_Grid!$E$26)^(B38*D38*HV_DC_Grid!$E$8/1000))+HV_DC_Grid!$E$35*HV_DC_Grid!$E$28</f>
        <v>0.12311411005187965</v>
      </c>
      <c r="AY38" s="28">
        <f>B38*nl_e_demand/IF(hv_dc_flh="electricity FLH",$AV38,hv_dc_custom)*1000*hv_dc_capacity_multiplier*hv_dc_length_multiplier*1000*(C38*hv_dc_overhead_invest*(hv_dc_overhead_opex+M38+1/hv_dc_lifetime)+D38*hv_dc_sea_invest*(hv_dc_sea_opex+M38+1/hv_dc_lifetime))/1000000+HV_DC_Grid!$E$10*1000*hv_dc_station_invest*hv_dc_station_number*(hv_dc_station_opex+M38+1/hv_dc_lifetime)/1000000</f>
        <v>7144.5019526081742</v>
      </c>
      <c r="AZ38" s="24">
        <f>(AW38+AY38)/(HV_DC_Grid!$E$3*1000)*100</f>
        <v>10.262397124862215</v>
      </c>
      <c r="BA38" s="28">
        <f>MIN(((Carriers!$F$26+Carriers!$F$27)*(alk_el_opex+wacc_nl+1/alk_el_lifetime)+IF(hv_dc_flh="electricity FLH",$AV38,hv_dc_custom)*AZ38/100)/(IF(hv_dc_flh="electricity FLH",$AV38,hv_dc_custom)/alk_el_e_demand)*1000,((Carriers!$H$26+Carriers!$H$27)*(pem_el_opex+wacc_nl+1/pem_el_lifetime)+IF(hv_dc_flh="electricity FLH",$AV38,hv_dc_custom)*AZ38/100)/(IF(hv_dc_flh="electricity FLH",$AV38,hv_dc_custom)/pem_el_e_demand)*1000)</f>
        <v>5595.8398129088637</v>
      </c>
      <c r="BB38" s="12"/>
      <c r="BC38" s="12"/>
      <c r="BD38" s="149">
        <f>MIN(((Carriers!$F$26+Carriers!$F$27)*(alk_el_opex+M38+1/alk_el_lifetime)+$AV38*$AU38/100)/($AV38/alk_el_e_demand)*1000,((Carriers!$H$26+Carriers!$H$27)*(pem_el_opex+M38+1/pem_el_lifetime)+$AV38*$AU38/100)/($AV38/pem_el_e_demand)*1000)</f>
        <v>3434.5542753199584</v>
      </c>
      <c r="BE38" s="28">
        <f>Storage!$AC$50</f>
        <v>8.1664117557772418</v>
      </c>
      <c r="BF38" s="28">
        <f>((Pipeline!$D$22*Pipeline!$D$24*B38*(pipeline_opex+M38+1/pipeline_lifetime))*(Pipeline!$D$39/Pipeline!$D$3)+(Pipeline!$D$57*(pipeline_comp_opex+M38+1/pipeline_comp_lifetime)+Pipeline!$D$47*1000*Pipeline!$D$45*$AU38/100/1000000))*(Pipeline!$D$75/Pipeline!$D$45)</f>
        <v>14406.182336635311</v>
      </c>
      <c r="BG38" s="28">
        <f>BD38+(BE38+BF38)/Storage!$AC$12*1000000</f>
        <v>4494.4328597604799</v>
      </c>
      <c r="BH38" s="28"/>
      <c r="BI38" s="28"/>
      <c r="BJ38" s="28">
        <f>IF($E38="","No Port",BK38*HV_DC_Grid!$E$3*$AU38/100*1000)</f>
        <v>59.133132061208833</v>
      </c>
      <c r="BK38" s="31">
        <f>IFERROR((1-(1-HV_DC_Grid!$E$25)^(K38*HV_DC_Grid!$E$8/1000))+HV_DC_Grid!$E$35*HV_DC_Grid!$E$28,"")</f>
        <v>2.1628494535478424E-2</v>
      </c>
      <c r="BL38" s="28">
        <f>IFERROR(K38*nl_e_demand/IF(hv_dc_flh="electricity FLH",$AV38,hv_dc_custom)*1000*hv_dc_capacity_multiplier*hv_dc_length_multiplier*1000*(hv_dc_overhead_invest*(hv_dc_overhead_opex+M38+1/hv_dc_lifetime))/1000000+HV_DC_Grid!$E$10*1000*hv_dc_station_invest*hv_dc_station_number*(hv_dc_station_opex+M38+1/hv_dc_lifetime)/1000000,"")</f>
        <v>832.94669358256704</v>
      </c>
      <c r="BM38" s="29">
        <f>IFERROR((BJ38+BL38)/(HV_DC_Grid!$E$3*1000)*100,"")</f>
        <v>0.89207982564377586</v>
      </c>
      <c r="BN38" s="28">
        <f>IFERROR(((Pipeline!$D$22*Pipeline!$D$24*K38*(pipeline_opex+M38+1/pipeline_lifetime))*(Pipeline!$D$39/Pipeline!$D$3)+(Pipeline!$D$57*(pipeline_comp_opex+M38+1/pipeline_comp_lifetime)+Pipeline!$D$47*1000*Pipeline!$D$45*S38/100/1000000))*(Pipeline!$D$75/Pipeline!$D$45),"")</f>
        <v>1049.365487776043</v>
      </c>
      <c r="BO38" s="28"/>
      <c r="BP38" s="150">
        <f t="shared" si="16"/>
        <v>122.1054185657388</v>
      </c>
      <c r="BQ38" s="34">
        <f t="shared" si="17"/>
        <v>36.49328244111166</v>
      </c>
      <c r="BR38" s="151">
        <f>(nh3_invest*(M38+1/nh3_lifetime)/nh3_prod+nh3_opex+nh3_e_demand*1000*$AU38/100+Carriers!$N$18/Carriers!$N$23*BD38+Carriers!$N$19/Carriers!$N$23*BQ38)*(BT38+nh3_st_ab_losses)/1000000</f>
        <v>60664.197345068744</v>
      </c>
      <c r="BS38" s="63">
        <f>nh3_st_nl_cost*nh3_st_nl_demand/1000000+(nh3_st_invest*(M38+1/nh3_st_lifetime+nh3_st_opex)/(Storage!$G$63/1000000)+nh3_st_e_demand*1000*$AU38/100)*(BT38+nh3_st_ab_losses)/1000000+Carriers!$N$18/Carriers!$N$23*((BT38+nh3_st_ab_losses)/365.25*short_st_duration_hrs/24)*(h2_short_st_invest*(1/gh2_short_st_lifetime+$M38+h2_short_st_opex)+h2_short_st_e_demand*1000*$AU38/100)/1000000+Carriers!$N$19/Carriers!$N$23*((BT38+nh3_st_ab_losses)/365.25*short_st_duration_hrs/24)*(n2_short_st_invest*(1/n2_short_st_lifetime+$M38+n2_short_st_opex)+n2_short_st_e_demand*1000*$AU38/100)/1000000</f>
        <v>3635.9587021717343</v>
      </c>
      <c r="BT38" s="63">
        <f>Storage!$G$57/((1-Shipping!$H$37)^(F38/24/Shipping!$H$44+0.5*Shipping!$H$59))</f>
        <v>79286373.644203156</v>
      </c>
      <c r="BU38" s="63">
        <f>IF($E38="","No Port",((F38/24/Shipping!$H$44+F38/24/Shipping!$H$50+Shipping!$H$59+Shipping!$H$64)*(Shipping!$H$22+wacc_nl*Shipping!$H$19/365.25*1000000+Shipping!$H$35)+(F38/24/Shipping!$H$44*Shipping!$H$45+Shipping!$H$64*Shipping!$H$65)*IF(bunker_choice="HFO",H38,IF(bunker_choice="hydrogen",BD38*hfo_e_density_lhv/h2_e_density_lhv,(BR38+BS38)*1000000/BT38*hfo_e_density_lhv/nh3_e_density_lhv))+(F38/24/Shipping!$H$50*Shipping!$H$51+Shipping!$H$59*Shipping!$H$60)*IF(bunker_choice="HFO",bunker_price_ROT,IF(bunker_choice="hydrogen",BD38*hfo_e_density_lhv/h2_e_density_lhv,(BR38+BS38)*1000000/BT38*hfo_e_density_lhv/nh3_e_density_lhv))+Shipping!$H$73+IF(G38="Panama",Shipping!$H$55,0)+IF(G38="Suez",Shipping!$H$56,0))/Shipping!$H$31*BT38/1000000+IF(inland_transport_to_port="hv dc grid",$BM38/100*1000*BW38,IF(inland_transport_to_port="pipeline",$BN38,0)))</f>
        <v>4559.0142617803913</v>
      </c>
      <c r="BV38" s="63">
        <f t="shared" si="18"/>
        <v>68859.170309020876</v>
      </c>
      <c r="BW38" s="33">
        <f>((Carriers!$N$18/Carriers!$N$23*alk_el_e_demand)+(Carriers!$N$19/Carriers!$N$23*n2_e_demand)+nh3_e_demand)*(BT38+nh3_st_ab_losses)/1000000+nh3_st_e_demand*BT38/1000000</f>
        <v>782.97098225652871</v>
      </c>
      <c r="BX38" s="33">
        <f t="shared" si="19"/>
        <v>0.76626754477640768</v>
      </c>
      <c r="BY38" s="63">
        <f>IFERROR(BV38*1000000/Storage!$G$12,"")</f>
        <v>899.37964316155353</v>
      </c>
      <c r="BZ38" s="63">
        <f>H2_retrieval!$F$25*h2_demand_kt/1000</f>
        <v>80</v>
      </c>
      <c r="CA38" s="63">
        <f>IFERROR(BY38*(1+H2_retrieval!$F$34)/Carrier_properties!$E$7+H2_retrieval!$F$38,"")</f>
        <v>5472.4002670717409</v>
      </c>
      <c r="CB38" s="149">
        <f>(FA_invest*(M38+1/FA_lifetime)/FA_prod+FA_opex+FA_e_demand*1000*$AU38/100+Carriers!$P$18/Carriers!$P$23*BD38+Carriers!$P$20/Carriers!$P$23*co2_liq_cost)*(CF38+FA_st_ab_losses)/1000000</f>
        <v>117171.66774649512</v>
      </c>
      <c r="CC38" s="86">
        <f>(FA_invest*(M38+1/FA_lifetime)/FA_prod+FA_opex+FA_e_demand*1000*$AU38/100+Carriers!$P$18/Carriers!$P$23*BD38+Carriers!$P$20/Carriers!$P$23*BP38)*(CF38+FA_st_ab_losses)/1000000</f>
        <v>146766.78005543357</v>
      </c>
      <c r="CD38" s="63">
        <f>FA_st_nl_cost*FA_st_nl_demand/1000000+(FA_st_invest*(M38+1/FA_st_lifetime+FA_st_opex)/(Storage!$I$63/1000000)+FA_st_e_demand*1000*$AU38/100)*(CF38+FA_st_ab_losses)/1000000+co2_st_nl_cost*Storage!$I$12*co2_density/FA_density/1000000+(co2_st_opex_lev+co2_st_invest_lev+co2_st_e_demand*1000*$AU38/100)*Storage!$I$12/1000000+co2_st_invest_lev*Storage!$I$12*co2_st_lifetime*M38/1000000+Carriers!$P$18/Carriers!$P$23*((CF38+FA_st_ab_losses)/365.25*short_st_duration_hrs/24)*(h2_short_st_invest*(1/gh2_short_st_lifetime+$M38+h2_short_st_opex)+h2_short_st_e_demand*1000*$AU38/100)/1000000+Carriers!$P$20/Carriers!$P$23*((CF38+FA_st_ab_losses)/365.25*short_st_duration_hrs/24)*(co2_short_st_invest*(1/co2_short_st_lifetime+$M38+co2_short_st_opex)+co2_short_st_e_demand*1000*$AU38/100)/1000000</f>
        <v>12315.738472004954</v>
      </c>
      <c r="CE38" s="63">
        <f>FA_st_nl_cost*FA_st_nl_demand/1000000+(FA_st_invest*(M38+1/FA_st_lifetime+FA_st_opex)/(Storage!$I$63/1000000)+FA_st_e_demand*1000*$AU38/100)*(CF38+FA_st_ab_losses)/1000000+Carriers!$P$18/Carriers!$P$23*((CF38+FA_st_ab_losses)/365.25*short_st_duration_hrs/24)*(h2_short_st_invest*(1/gh2_short_st_lifetime+$M38+h2_short_st_opex)+h2_short_st_e_demand*1000*$AU38/100)/1000000+Carriers!$P$20/Carriers!$P$23*((CF38+FA_st_ab_losses)/365.25*short_st_duration_hrs/24)*(co2_short_st_invest*(1/co2_short_st_lifetime+$M38+co2_short_st_opex)+co2_short_st_e_demand*1000*$AU38/100)/1000000</f>
        <v>5378.6796029655106</v>
      </c>
      <c r="CF38" s="63">
        <f>Storage!$I$57/((1-Shipping!$J$37)^($F38/24/Shipping!$J$44+0.5*Shipping!$J$59))</f>
        <v>310425396.82539684</v>
      </c>
      <c r="CG38" s="28">
        <f>IF($E38="","No Port",((F38/24/Shipping!$J$44+F38/24/Shipping!$J$50+Shipping!$J$59+Shipping!$J$64)*(Shipping!$J$22+wacc_nl*Shipping!$J$19/365.25*1000000+Shipping!$J$35)+(F38/24/Shipping!$J$44*Shipping!$J$45+Shipping!$J$64*Shipping!$J$65)*IF(bunker_choice="HFO",$H38,IF(bunker_choice="hydrogen",$BD38*hfo_e_density_lhv/h2_e_density_lhv,(CB38+CD38)*1000000/CF38*hfo_e_density_lhv/FA_e_density_lhv))+(F38/24/Shipping!$J$50*Shipping!$J$51+Shipping!$J$59*Shipping!$J$60)*IF(bunker_choice="HFO",bunker_price_ROT,IF(bunker_choice="hydrogen",$BD38*hfo_e_density_lhv/h2_e_density_lhv,(CB38+CD38)*1000000/CF38*hfo_e_density_lhv/FA_e_density_lhv))+Shipping!$J$73+IF(G38="Panama",Shipping!$J$55,0)+IF(G38="Suez",Shipping!$J$56,0))/Shipping!$J$31*CF38/1000000+IF(inland_transport_to_port="hv dc grid",$BM38/100*1000*CI38,IF(inland_transport_to_port="pipeline",$BN38,0)))</f>
        <v>16668.400039699645</v>
      </c>
      <c r="CH38" s="28">
        <f t="shared" si="36"/>
        <v>168813.85969809873</v>
      </c>
      <c r="CI38" s="29">
        <f>((Carriers!$P$18/Carriers!$P$23*alk_el_e_demand)+FA_e_demand)*(CF38+FA_st_ab_losses)/1000000+FA_st_e_demand*CF38/1000000</f>
        <v>1897.8881241622576</v>
      </c>
      <c r="CJ38" s="29">
        <f t="shared" si="20"/>
        <v>0.46563809523809524</v>
      </c>
      <c r="CK38" s="28">
        <f>IFERROR(CH38*1000000/Storage!$I$12,"")</f>
        <v>543.81458934898444</v>
      </c>
      <c r="CL38" s="28">
        <f>IF($E38="","No Port",((F38/24/Shipping!$J$44+F38/24/Shipping!$J$50+Shipping!$J$59+Shipping!$J$64)*Carriers!$P$39*wacc_nl))</f>
        <v>248.821312027765</v>
      </c>
      <c r="CM38" s="29">
        <f>H2_retrieval!$H$25*h2_demand_kt/1000+(co2_liq_e_demand+co2_st_e_demand*2)*Storage!$I$12*co2_density/FA_density/1000000</f>
        <v>94.204253879484654</v>
      </c>
      <c r="CN38" s="28">
        <f>IFERROR((((CB38+CD38+CG38)*(1+H2_retrieval!$H$34)+CL38)*1000000/H2_retrieval!$H$8)+h2_regen_fa,"")</f>
        <v>10854.733512636623</v>
      </c>
      <c r="CO38" s="149">
        <f>(meoh_invest*(M38+1/meoh_lifetime)/meoh_prod+meoh_opex+meoh_e_demand*1000*$AU38/100+Carriers!$R$18/Carriers!$R$23*BD38+Carriers!$R$20/Carriers!$R$23*co2_liq_cost)*(CS38+meoh_st_ab_losses)/1000000</f>
        <v>74847.799128003186</v>
      </c>
      <c r="CP38" s="86">
        <f>(meoh_invest*(M38+1/meoh_lifetime)/meoh_prod+meoh_opex+meoh_e_demand*1000*$AU38/100+Carriers!$R$18/Carriers!$R$23*BD38+Carriers!$R$20/Carriers!$R$23*BP38)*(CS38+meoh_st_ab_losses)/1000000</f>
        <v>92221.043708816404</v>
      </c>
      <c r="CQ38" s="63">
        <f>meoh_st_nl_cost*meoh_st_nl_demand/1000000+(meoh_st_invest*(M38+1/meoh_st_lifetime+meoh_st_opex)/(Storage!$K$63/1000000)+meoh_st_e_demand*1000*$AU38/100)*(CS38+meoh_st_ab_losses)/1000000+co2_st_nl_cost*Storage!$K$12*co2_density/meoh_density/1000000+(co2_st_opex_lev+co2_st_invest_lev+co2_st_e_demand*1000*IFERROR(MIN(S38,AA38,AI38),S38)/100)*Storage!$K$12/1000000+co2_st_invest_lev*Storage!$K$12*co2_st_lifetime*M38/1000000+Carriers!$R$18/Carriers!$R$23*((CS38+meoh_st_ab_losses)/365.25*short_st_duration_hrs/24)*(h2_short_st_invest*(1/gh2_short_st_lifetime+$M38+h2_short_st_opex)+h2_short_st_e_demand*1000*$AU38/100)/1000000+Carriers!$R$20/Carriers!$R$23*((CF38+meoh_st_ab_losses)/365.25*short_st_duration_hrs/24)*(co2_short_st_invest*(1/co2_short_st_lifetime+$M38+co2_short_st_opex)+co2_short_st_e_demand*1000*$AU38/100)/1000000</f>
        <v>5151.2174441390043</v>
      </c>
      <c r="CR38" s="63">
        <f>meoh_st_nl_cost*meoh_st_nl_demand/1000000+(meoh_st_invest*(M38+1/meoh_st_lifetime+meoh_st_opex)/(Storage!$K$63/1000000)+meoh_st_e_demand*1000*$AU38/100)*(CS38+meoh_st_ab_losses)/1000000+Carriers!$R$18/Carriers!$R$23*((CS38+meoh_st_ab_losses)/365.25*short_st_duration_hrs/24)*(h2_short_st_invest*(1/gh2_short_st_lifetime+$M38+h2_short_st_opex)+h2_short_st_e_demand*1000*$AU38/100)/1000000+Carriers!$R$20/Carriers!$R$23*((CF38+meoh_st_ab_losses)/365.25*short_st_duration_hrs/24)*(co2_short_st_invest*(1/co2_short_st_lifetime+$M38+co2_short_st_opex)+co2_short_st_e_demand*1000*$AU38/100)/1000000</f>
        <v>2137.7568879263772</v>
      </c>
      <c r="CS38" s="63">
        <f>Storage!$K$57/((1-Shipping!$L$37)^($F38/24/Shipping!$L$44+0.5*Shipping!$L$59))</f>
        <v>108044444.44444443</v>
      </c>
      <c r="CT38" s="28">
        <f>IF($E38="","No Port",IF(AND(ship_choice="VLCC",G38="Panama"),"Ship cannot pass through Panama",IF(ship_choice="VLCC",((F38/24/Shipping!$AD$44+F38/24/Shipping!$AD$50+Shipping!$AD$59+Shipping!$AD$64)*(Shipping!$AD$22+wacc_nl*Shipping!$AD$19/365.25*1000000+Shipping!$AD$35)+(F38/24/Shipping!$AD$44*Shipping!$AD$45+Shipping!$AD$64*Shipping!$AD$65)*IF(bunker_choice="HFO",$H38,IF(bunker_choice="hydrogen",$BD38*hfo_e_density_lhv/h2_e_density_lhv,(CO38+CQ38)*1000000/CS38*hfo_e_density_lhv/meoh_e_density_lhv))+(F38/24/Shipping!$AD$50*Shipping!$AD$51+Shipping!$AD$59*Shipping!$AD$60)*IF(bunker_choice="HFO",bunker_price_ROT,IF(bunker_choice="hydrogen",$BD38*hfo_e_density_lhv/h2_e_density_lhv,(CO38+CQ38)*1000000/CS38*hfo_e_density_lhv/meoh_e_density_lhv))+Shipping!$AD$73+IF(G38="Panama",Shipping!$AD$55,0)+IF(G38="Suez",Shipping!$AD$56,0))/Shipping!$AD$31*CS38/1000000+IF(inland_transport_to_port="hv dc grid",$BM38/100*1000*CV38,IF(inland_transport_to_port="pipeline",$BN38,0)),((F38/24/Shipping!$L$44+F38/24/Shipping!$L$50+Shipping!$L$59+Shipping!$L$64)*(Shipping!$L$22+wacc_nl*Shipping!$L$19/365.25*1000000+Shipping!$L$35)+(F38/24/Shipping!$L$44*Shipping!$L$45+Shipping!$L$64*Shipping!$L$65)*IF(bunker_choice="HFO",$H38,IF(bunker_choice="hydrogen",$BD38*hfo_e_density_lhv/h2_e_density_lhv,(CO38+CQ38)*1000000/CS38*hfo_e_density_lhv/meoh_e_density_lhv))+(F38/24/Shipping!$L$50*Shipping!$L$51+Shipping!$L$59*Shipping!$L$60)*IF(bunker_choice="HFO",bunker_price_ROT,IF(bunker_choice="hydrogen",$BD38*hfo_e_density_lhv/h2_e_density_lhv,(CO38+CQ38)*1000000/CS38*hfo_e_density_lhv/meoh_e_density_lhv))+Shipping!$L$73+IF(G38="Panama",Shipping!$L$55,0)+IF(G38="Suez",Shipping!$L$56,0))/Shipping!$L$31*CS38/1000000+IF(inland_transport_to_port="hv dc grid",$BM38/100*1000*CV38,IF(inland_transport_to_port="pipeline",$BN38,0)))))</f>
        <v>6174.8043043926846</v>
      </c>
      <c r="CU38" s="28">
        <f t="shared" si="37"/>
        <v>100533.60490113546</v>
      </c>
      <c r="CV38" s="29">
        <f>((Carriers!$R$18/Carriers!$R$23*alk_el_e_demand)+meoh_e_demand)*(CS38+meoh_st_ab_losses)/1000000+meoh_st_e_demand*CS38/1000000</f>
        <v>1119.9789871111109</v>
      </c>
      <c r="CW38" s="29">
        <f t="shared" si="21"/>
        <v>0.16206666666666666</v>
      </c>
      <c r="CX38" s="28">
        <f>IFERROR(CU38*1000000/Storage!$K$12,"")</f>
        <v>930.48379690479157</v>
      </c>
      <c r="CY38" s="28">
        <f>IF($E38="","No Port",((F38/24/Shipping!$L$44+F38/24/Shipping!$L$50+Shipping!$L$59+Shipping!$L$64)*Carriers!$R$39*wacc_nl))</f>
        <v>89.052098756609837</v>
      </c>
      <c r="CZ38" s="29">
        <f>H2_retrieval!$J$25*h2_demand_kt/1000+(co2_liq_e_demand+co2_st_e_demand*2)*Storage!$K$12*co2_density/meoh_density/1000000</f>
        <v>251.05079059698966</v>
      </c>
      <c r="DA38" s="28">
        <f>IFERROR((((CO38+CQ38+CT38)*(1+H2_retrieval!$J$34)+CY38)*1000000/H2_retrieval!$J$8)+h2_regen_meoh,"")</f>
        <v>7512.986850202843</v>
      </c>
      <c r="DB38" s="149">
        <f>(DBT_invest*(M38+1/DBT_lifetime)/DBT_prod+DBT_opex+DBT_e_demand*1000*$AU38/100+Carriers!$T$18/Carriers!$T$23*BD38)*(DD38+DBT_st_ab_losses)/1000000</f>
        <v>50153.786958110861</v>
      </c>
      <c r="DC38" s="28">
        <f>2*(DBT_st_nl_cost*DBT_st_nl_demand/1000000+(DBT_st_invest*(M38+1/DBT_st_lifetime+DBT_st_opex)/(Storage!$M$63/1000000)+DBT_st_e_demand*1000*$AU38/100)*(DD38+DBT_st_ab_losses)/1000000)+Carriers!$T$18/Carriers!$T$23*((DD38+DBT_st_ab_losses)/365.25*short_st_duration_hrs/24)*(h2_short_st_invest*(1/gh2_short_st_lifetime+$M38+h2_short_st_opex)+h2_short_st_e_demand*1000*$AU38/100)/1000000</f>
        <v>4371.2092631781234</v>
      </c>
      <c r="DD38" s="63">
        <f>Storage!$M$57/((1-Shipping!$N$37)^($F38/24/Shipping!$N$44+0.5*Shipping!$N$59))</f>
        <v>219354838.70967743</v>
      </c>
      <c r="DE38" s="28">
        <f>IF($E38="","No Port",IF(AND(ship_choice="VLCC",G38="Panama"),"Ship cannot pass through Panama",IF(ship_choice="VLCC",((F38/24/Shipping!$AD$44+F38/24/Shipping!$AD$50+Shipping!$AD$59+Shipping!$AD$64)*(Shipping!$AD$22+wacc_nl*Shipping!$AD$19/365.25*1000000+Shipping!$AD$35)+(F38/24/Shipping!$AD$44*Shipping!$AD$45+Shipping!$AD$64*Shipping!$AD$65)*IF(bunker_choice="HFO",$H38,IF(bunker_choice="hydrogen",$BD38*hfo_e_density_lhv/h2_e_density_lhv,(DB38+DC38)*1000000/DD38*hfo_e_density_lhv/DBT_e_density_lhv))+(F38/24/Shipping!$AD$50*Shipping!$AD$51+Shipping!$AD$59*Shipping!$AD$60)*IF(bunker_choice="HFO",bunker_price_ROT,IF(bunker_choice="hydrogen",$BD38*hfo_e_density_lhv/h2_e_density_lhv,(DB38+DC38)*1000000/DD38*hfo_e_density_lhv/DBT_e_density_lhv))+Shipping!$AD$73+IF(G38="Panama",Shipping!$AD$55,0)+IF(G38="Suez",Shipping!$AD$56,0))/Shipping!$AD$31*DD38/1000000+IF(inland_transport_to_port="hv dc grid",$BM38/100*1000*DG38,IF(inland_transport_to_port="pipeline",$BN38,0)),((F38/24/Shipping!$N$44+F38/24/Shipping!$N$50+Shipping!$N$59+Shipping!$N$64)*(Shipping!$N$22+wacc_nl*Shipping!$N$19/365.25*1000000+Shipping!$N$35)+(F38/24/Shipping!$N$44*Shipping!$N$45+Shipping!$N$64*Shipping!$N$65)*IF(bunker_choice="HFO",$H38,IF(bunker_choice="hydrogen",$BD38*hfo_e_density_lhv/h2_e_density_lhv,(DB38+DC38)*1000000/DD38*hfo_e_density_lhv/DBT_e_density_lhv))+(F38/24/Shipping!$N$50*Shipping!$N$51+Shipping!$N$59*Shipping!$N$60)*IF(bunker_choice="HFO",bunker_price_ROT,IF(bunker_choice="hydrogen",$BD38*hfo_e_density_lhv/h2_e_density_lhv,(DB38+DC38)*1000000/DD38*hfo_e_density_lhv/DBT_e_density_lhv))+Shipping!$N$73+IF(G38="Panama",Shipping!$N$55,0)+IF(G38="Suez",Shipping!$N$56,0))/Shipping!$N$31*Shipping!$N$86/1000000+IF(inland_transport_to_port="hv dc grid",$BM38/100*1000*DG38,IF(inland_transport_to_port="pipeline",$BN38,0)))))</f>
        <v>10733.233959630421</v>
      </c>
      <c r="DF38" s="28">
        <f>IFERROR(DB38+DC38+DE38,"")</f>
        <v>65258.230180919403</v>
      </c>
      <c r="DG38" s="29">
        <f>((Carriers!$T$18/Carriers!$T$23*alk_el_e_demand)+DBT_e_demand)*(DD38+DBT_st_ab_losses)/1000000+DBT_st_e_demand*DD38/1000000</f>
        <v>703.88335483870969</v>
      </c>
      <c r="DH38" s="29">
        <f t="shared" si="23"/>
        <v>0.21935483870967742</v>
      </c>
      <c r="DI38" s="28">
        <f>IFERROR(DF38*1000000/Storage!$M$12,"")</f>
        <v>297.50075523654431</v>
      </c>
      <c r="DJ38" s="28">
        <f>IF($E38="","No Port",((F38/24/Shipping!$N$44+F38/24/Shipping!$N$50+Shipping!$N$59+Shipping!$N$64)*Carriers!$T$39*wacc_nl))</f>
        <v>6485.956943870734</v>
      </c>
      <c r="DK38" s="100">
        <f>H2_retrieval!$L$25*h2_demand_kt/1000+(co2_liq_e_demand+co2_st_e_demand*2)*Storage!$M$12*co2_density/DBT_density/1000000</f>
        <v>206.61934861671787</v>
      </c>
      <c r="DL38" s="28">
        <f>IFERROR(((DF38*(1+H2_retrieval!$L$34)+DJ38)*1000000/H2_retrieval!$L$8)+h2_regen_lohc,"")</f>
        <v>5745.9576574616003</v>
      </c>
      <c r="DM38" s="149">
        <f t="shared" si="24"/>
        <v>53455.851931743309</v>
      </c>
      <c r="DN38" s="16">
        <f>2*(nabh4_st_nl_cost*nabh4_st_nl_demand/1000000+(nabh4_st_invest*(M38+1/nabh4_st_lifetime+nabh4_st_opex)/(Storage!$O$63/1000000)+nabh4_st_e_demand*1000*$AU38/100)*(DO38+nabh4_st_ab_losses)/1000000)+(h2_demand_kt*1000/365.25*short_st_duration_hrs/24)*(h2_short_st_invest*(1/gh2_short_st_lifetime+$M38+h2_short_st_opex)+h2_short_st_e_demand*1000*$AU38/100)/1000000</f>
        <v>1482.6280410025345</v>
      </c>
      <c r="DO38" s="63">
        <f>Storage!$O$57/((1-Shipping!$P$37)^($F38/24/Shipping!$P$44+0.5*Shipping!$P$59))</f>
        <v>63920000</v>
      </c>
      <c r="DP38" s="16">
        <f>IF($E38="","No Port",((F38/24/Shipping!$P$44+F38/24/Shipping!$P$50+Shipping!$P$59+Shipping!$P$64)*(Shipping!$P$22+wacc_nl*Shipping!$P$19/365.25*1000000+Shipping!$P$35)+(F38/24/Shipping!$P$44*Shipping!$P$45+Shipping!$P$64*Shipping!$P$65)*IF(bunker_choice="HFO",$H38,IF(bunker_choice="hydrogen",$BD38*hfo_e_density_lhv/h2_e_density_lhv,(DM38+DN38)*1000000/DO38*hfo_e_density_lhv/nabh4_e_density_lhv))+(F38/24/Shipping!$P$50*Shipping!$P$51+Shipping!$P$59*Shipping!$P$60)*IF(bunker_choice="HFO",bunker_price_ROT,IF(bunker_choice="hydrogen",$BD38*hfo_e_density_lhv/h2_e_density_lhv,(DM38+DN38)*1000000/DO38*hfo_e_density_lhv/nabh4_e_density_lhv))+Shipping!$P$73+IF(G38="Panama",Shipping!$P$55,0)+IF(G38="Suez",Shipping!$P$56,0))/Shipping!$P$31*(DO38+nabh4_st_ab_losses)/1000000+IF(inland_transport_to_port="hv dc grid",$BM38/100*1000*DR38,IF(inland_transport_to_port="pipeline",$BN38,0)))</f>
        <v>3557.1345568209681</v>
      </c>
      <c r="DQ38" s="28">
        <f t="shared" si="55"/>
        <v>58495.61452956681</v>
      </c>
      <c r="DR38" s="29">
        <f>((Carriers!$V$18/Carriers!$V$23*alk_el_e_demand)+nabh4_e_demand)*(DO38+nabh4_st_ab_losses)/1000000+nabh4_st_e_demand*DO38/1000000</f>
        <v>980.02139682539689</v>
      </c>
      <c r="DS38" s="28">
        <f t="shared" si="25"/>
        <v>3.1960000000000002</v>
      </c>
      <c r="DT38" s="28">
        <f>IFERROR(DQ38*1000000/Storage!$O$12,"")</f>
        <v>915.13789939872981</v>
      </c>
      <c r="DU38" s="28">
        <f>IF($E38="","No Port",((F38/24/Shipping!$P$44+F38/24/Shipping!$P$50+Shipping!$P$59+Shipping!$P$64)*Carriers!$V$39*wacc_nl))</f>
        <v>603.03205316209596</v>
      </c>
      <c r="DV38" s="100">
        <f>H2_retrieval!$N$25*h2_demand_kt/1000+(co2_liq_e_demand+co2_st_e_demand*2)*Storage!$O$12*co2_density/nabh4_density/1000000</f>
        <v>18.783638728971958</v>
      </c>
      <c r="DW38" s="28">
        <f>IFERROR(((DQ38*(1+H2_retrieval!$N$34)+DU38)*1000000/H2_retrieval!$N$8)+h2_regen_nabh4,"")</f>
        <v>4438.3858923124217</v>
      </c>
      <c r="DX38" s="149">
        <f>(Dme_invest*(M38+1/Dme_lifetime)/Dme_prod+Dme_opex+Dme_e_demand*1000*$AU38/100+Carriers!$X$21/Carriers!$X$23*(CO38*1000000/CS38))*(EB38+Dme_st_ab_losses)/1000000</f>
        <v>104899.15367135451</v>
      </c>
      <c r="DY38" s="86">
        <f>(Dme_invest*(M38+1/Dme_lifetime)/Dme_prod+Dme_opex+Dme_e_demand*1000*$AU38/100+Carriers!$X$21/Carriers!$X$23*(CP38*1000000/CS38))*(EB38+Dme_st_ab_losses)/1000000</f>
        <v>128468.80936517169</v>
      </c>
      <c r="DZ38" s="63">
        <f>Dme_st_nl_cost*Dme_st_nl_demand/1000000+(Dme_st_invest*(M38+1/Dme_st_lifetime+Dme_st_opex)/(Storage!$Q$63/1000000)+Dme_st_e_demand*1000*$AU38/100)*(EB38+Dme_st_ab_losses)/1000000+co2_st_nl_cost*Storage!$Q$12*co2_density/Dme_density/1000000+(co2_st_opex_lev+co2_st_invest_lev+co2_st_e_demand*1000*$AU38/100)*Storage!$Q$12/1000000+co2_st_invest_lev*Storage!$Q$12*co2_st_lifetime*M38/1000000+(h2_demand_kt*1000/365.25*short_st_duration_hrs/24)*(h2_short_st_invest*(1/gh2_short_st_lifetime+$M38+h2_short_st_opex)+h2_short_st_e_demand*1000*$AU38/100)/1000000</f>
        <v>6199.0761539620871</v>
      </c>
      <c r="EA38" s="63">
        <f>Dme_st_nl_cost*Dme_st_nl_demand/1000000+(Dme_st_invest*(M38+1/Dme_st_lifetime+Dme_st_opex)/(Storage!$Q$63/1000000)+Dme_st_e_demand*1000*$AU38/100)*(EB38+Dme_st_ab_losses)/1000000+(h2_demand_kt*1000/365.25*short_st_duration_hrs/24)*(h2_short_st_invest*(1/gh2_short_st_lifetime+$M38+h2_short_st_opex)+h2_short_st_e_demand*1000*$AU38/100)/1000000</f>
        <v>3184.1503238636906</v>
      </c>
      <c r="EB38" s="63">
        <f>Storage!$Q$57/((1-Shipping!$R$37)^($F38/24/Shipping!$R$44+0.5*Shipping!$R$59))</f>
        <v>103547089.94708996</v>
      </c>
      <c r="EC38" s="153">
        <f>IF($E38="","No Port",IF(AND(ship_choice="VLCC",G38="Panama"),"Ship cannot pass through Panama",IF(ship_choice="VLCC",((F38/24/Shipping!$AD$44+F38/24/Shipping!$AD$50+Shipping!$AD$59+Shipping!$AD$64)*(Shipping!$AD$22+wacc_nl*Shipping!$AD$19/365.25*1000000+Shipping!$AD$35)+(F38/24/Shipping!$AD$44*Shipping!$AD$45+Shipping!$AD$64*Shipping!$AD$65)*IF(bunker_choice="HFO",$H38,IF(bunker_choice="hydrogen",$BD38*hfo_e_density_lhv/h2_e_density_lhv,(DX38+DZ38)*1000000/EB38*hfo_e_density_lhv/Dme_e_density_lhv))+(F38/24/Shipping!$AD$50*Shipping!$AD$51+Shipping!$AD$59*Shipping!$AD$60)*IF(bunker_choice="HFO",bunker_price_ROT,IF(bunker_choice="hydrogen",$BD38*hfo_e_density_lhv/h2_e_density_lhv,(DX38+DZ38)*1000000/EB38*hfo_e_density_lhv/Dme_e_density_lhv))+Shipping!$AD$73+IF(G38="Panama",Shipping!$AD$55,0)+IF(G38="Suez",Shipping!$AD$56,0))/Shipping!$AD$31*(EB38+Dme_st_ab_losses)/1000000+IF(inland_transport_to_port="hv dc grid",$BM38/100*1000*EE38,IF(inland_transport_to_port="pipeline",$BN38,0)),((F38/24/Shipping!$R$44+F38/24/Shipping!$R$50+Shipping!$R$59+Shipping!$R$64)*(Shipping!$R$22+wacc_nl*Shipping!$R$19/365.25*1000000+Shipping!$R$35)+(F38/24/Shipping!$R$44*Shipping!$R$45+Shipping!$R$64*Shipping!$R$65)*IF(bunker_choice="HFO",$H38,IF(bunker_choice="hydrogen",$BD38*hfo_e_density_lhv/h2_e_density_lhv,(DX38+DZ38)*1000000/EB38*hfo_e_density_lhv/Dme_e_density_lhv))+(F38/24/Shipping!$R$50*Shipping!$R$51+Shipping!$R$59*Shipping!$R$60)*IF(bunker_choice="HFO",bunker_price_ROT,IF(bunker_choice="hydrogen",$BD38*hfo_e_density_lhv/h2_e_density_lhv,(DX38+DZ38)*1000000/EB38*hfo_e_density_lhv/Dme_e_density_lhv))+Shipping!$R$73+IF(G38="Panama",Shipping!$R$55,0)+IF(G38="Suez",Shipping!$R$56,0))/Shipping!$R$31*(EB38+Dme_st_ab_losses)/1000000+IF(inland_transport_to_port="hv dc grid",$BM38/100*1000*EE38,IF(inland_transport_to_port="pipeline",$BN38,0)))))</f>
        <v>6142.1223005403872</v>
      </c>
      <c r="ED38" s="28">
        <f t="shared" si="39"/>
        <v>137795.08198957576</v>
      </c>
      <c r="EE38" s="29">
        <f>(Dme_e_demand)*(EB38+Dme_st_ab_losses)/1000000+Dme_st_e_demand*DZ38/1000000+$CV38*(Carriers!$X$21/Carriers!$X$23*EB38)/$CS38</f>
        <v>1550.2168221578174</v>
      </c>
      <c r="EF38" s="29">
        <f t="shared" si="26"/>
        <v>1.0354708994708997</v>
      </c>
      <c r="EG38" s="28">
        <f>IFERROR(ED38*1000000/Storage!$Q$12,"")</f>
        <v>1330.747991662399</v>
      </c>
      <c r="EH38" s="28">
        <f>IF($E38="","No Port",((F38/24/Shipping!$R$44+F38/24/Shipping!$R$50+Shipping!$R$59+Shipping!$R$64)*Carriers!$X$39*wacc_nl))</f>
        <v>92.354442661075794</v>
      </c>
      <c r="EI38" s="100">
        <f>H2_retrieval!$P$25*h2_demand_kt/1000+(co2_liq_e_demand+co2_st_e_demand*2)*Storage!$Q$12*co2_density/Dme_density/1000000</f>
        <v>252.45335899349112</v>
      </c>
      <c r="EJ38" s="28">
        <f>IFERROR((((DX38+DZ38+EC38)*(1+H2_retrieval!$P$34)+EH38)*1000000/H2_retrieval!$P$8)+h2_regen_dme,"")</f>
        <v>9797.5334379400902</v>
      </c>
      <c r="EK38" s="149">
        <f>(ome_invest*(M38+1/ome_lifetime)/ome_prod+ome_opex+ome_e_demand*1000*$AU38/100+Carriers!$Z$21/Carriers!$Z$23*(CO38*1000000/CS38))*(EO38+ome_st_ab_losses)/1000000</f>
        <v>227444.425768154</v>
      </c>
      <c r="EL38" s="86">
        <f>(ome_invest*(M38+1/ome_lifetime)/ome_prod+ome_opex+ome_e_demand*1000*$AU38/100+Carriers!$Z$21/Carriers!$Z$23*(CP38*1000000/CS38))*(EO38+ome_st_ab_losses)/1000000</f>
        <v>276921.72121014912</v>
      </c>
      <c r="EM38" s="63">
        <f>ome_st_nl_cost*ome_st_nl_demand/1000000+(ome_st_invest*(M38+1/ome_st_lifetime+ome_st_opex)/(Storage!$S$63/1000000)+ome_st_e_demand*1000*$AU38/100)*(EO38+ome_st_ab_losses)/1000000+co2_st_nl_cost*Storage!$S$12*co2_density/ome_density/1000000+(co2_st_opex_lev+co2_st_invest_lev+co2_st_e_demand*1000*$AU38/100)*Storage!$S$12/1000000+co2_st_invest_lev*Storage!$S$12*co2_st_lifetime*M38/1000000+(h2_demand_kt*1000/365.25*short_st_duration_hrs/24)*(h2_short_st_invest*(1/gh2_short_st_lifetime+$M38+h2_short_st_opex)+h2_short_st_e_demand*1000*$AU38/100)/1000000</f>
        <v>5316.1649516286525</v>
      </c>
      <c r="EN38" s="63">
        <f>ome_st_nl_cost*ome_st_nl_demand/1000000+(ome_st_invest*(M38+1/ome_st_lifetime+ome_st_opex)/(Storage!$S$63/1000000)+ome_st_e_demand*1000*$AU38/100)*(EO38+ome_st_ab_losses)/1000000+(h2_demand_kt*1000/365.25*short_st_duration_hrs/24)*(h2_short_st_invest*(1/gh2_short_st_lifetime+$M38+h2_short_st_opex)+h2_short_st_e_demand*1000*$AU38/100)/1000000</f>
        <v>1919.997957486175</v>
      </c>
      <c r="EO38" s="63">
        <f>Storage!$S$57/((1-Shipping!$T$37)^($F38/24/Shipping!$T$44+0.5*Shipping!$T$59))</f>
        <v>128282539.68253967</v>
      </c>
      <c r="EP38" s="28">
        <f>IF($E38="","No Port",IF(AND(ship_choice="VLCC",G38="Panama"),"Ship cannot pass through Panama",IF(ship_choice="VLCC",((F38/24/Shipping!$AD$44+F38/24/Shipping!$AD$50+Shipping!$AD$59+Shipping!$AD$64)*(Shipping!$AD$22+wacc_nl*Shipping!$AD$19/365.25*1000000+Shipping!$AD$35)+(F38/24/Shipping!$AD$44*Shipping!$AD$45+Shipping!$AD$64*Shipping!$AD$65)*IF(bunker_choice="HFO",$H38,IF(bunker_choice="hydrogen",$BD38*hfo_e_density_lhv/h2_e_density_lhv,(EK38+EM38)*1000000/EO38*hfo_e_density_lhv/Dme_e_density_lhv))+(F38/24/Shipping!$AD$50*Shipping!$AD$51+Shipping!$AD$59*Shipping!$AD$60)*IF(bunker_choice="HFO",bunker_price_ROT,IF(bunker_choice="hydrogen",$BD38*hfo_e_density_lhv/h2_e_density_lhv,(EK38+EM38)*1000000/EO38*hfo_e_density_lhv/ome_e_density_lhv))+Shipping!$AD$73+IF(G38="Panama",Shipping!$AD$55,0)+IF(G38="Suez",Shipping!$AD$56,0))/Shipping!$AD$31*(EO38+ome_st_ab_losses)/1000000+IF(inland_transport_to_port="hv dc grid",$BM38/100*1000*ER38,IF(inland_transport_to_port="pipeline",$BN38,0)),((F38/24/Shipping!$T$44+F38/24/Shipping!$T$50+Shipping!$T$59+Shipping!$T$64)*(Shipping!$T$22+wacc_nl*Shipping!$T$19/365.25*1000000+Shipping!$T$35)+(F38/24/Shipping!$T$44*Shipping!$T$45+Shipping!$T$64*Shipping!$T$65)*IF(bunker_choice="HFO",$H38,IF(bunker_choice="hydrogen",$BD38*hfo_e_density_lhv/h2_e_density_lhv,(EK38+EM38)*1000000/EO38*hfo_e_density_lhv/Dme_e_density_lhv))+(F38/24/Shipping!$T$50*Shipping!$T$51+Shipping!$T$59*Shipping!$T$60)*IF(bunker_choice="HFO",bunker_price_ROT,IF(bunker_choice="hydrogen",$BD38*hfo_e_density_lhv/h2_e_density_lhv,(EK38+EM38)*1000000/EO38*hfo_e_density_lhv/ome_e_density_lhv))+Shipping!$T$73+IF(G38="Panama",Shipping!$T$55,0)+IF(G38="Suez",Shipping!$T$56,0))/Shipping!$T$31*(EO38+ome_st_ab_losses)/1000000+IF(inland_transport_to_port="hv dc grid",$BM38/100*1000*ER38,IF(inland_transport_to_port="pipeline",$BN38,0)))))</f>
        <v>6809.6787683343091</v>
      </c>
      <c r="EQ38" s="28">
        <f t="shared" si="40"/>
        <v>285651.39793596964</v>
      </c>
      <c r="ER38" s="29">
        <f>(ome_e_demand)*(EO38+ome_st_ab_losses)/1000000+ome_st_e_demand*EM38/1000000+$CV38*(Carriers!$Z$21/Carriers!$Z$23*EO38)/$CS38</f>
        <v>3352.0814581150307</v>
      </c>
      <c r="ES38" s="29">
        <f t="shared" si="27"/>
        <v>0.1924238095238095</v>
      </c>
      <c r="ET38" s="28">
        <f>IFERROR(EQ38*1000000/Storage!$S$12,"")</f>
        <v>2226.7363792677484</v>
      </c>
      <c r="EU38" s="28">
        <f>IF($E38="","No Port",((F38/24/Shipping!$T$44+F38/24/Shipping!$T$50+Shipping!$T$59+Shipping!$T$64)*Carriers!$Z$39*wacc_nl))</f>
        <v>105.73268668554523</v>
      </c>
      <c r="EV38" s="100">
        <f>H2_retrieval!$R$25*h2_demand_kt/1000+(co2_liq_e_demand+co2_st_e_demand*2)*Storage!$S$12*co2_density/ome_density/1000000</f>
        <v>254.51942895252085</v>
      </c>
      <c r="EW38" s="28">
        <f>IFERROR((((EK38+EM38+EP38)*(1+H2_retrieval!$R$34)+EU38)*1000000/H2_retrieval!$R$8)+h2_regen_ome,"")</f>
        <v>18793.363997225712</v>
      </c>
      <c r="EX38" s="149">
        <f>(sng_invest*(M38+1/sng_lifetime)/sng_prod+lng_invest*(M38+1/lng_lifetime)/lng_prod+sng_opex+lng_opex+(sng_e_demand+lng_e_demand)*1000*$AU38/100+Carriers!$AB$18/Carriers!$AB$23*BD38+Carriers!$AB$20/Carriers!$AB$23*co2_liq_cost)*(FB38+lng_st_ab_losses)/1000000</f>
        <v>80890.973678699636</v>
      </c>
      <c r="EY38" s="86">
        <f>(sng_invest*(M38+1/sng_lifetime)/sng_prod+lng_invest*(M38+1/lng_lifetime)/lng_prod+sng_opex+lng_opex+(sng_e_demand+lng_e_demand)*1000*$AU38/100+Carriers!$AB$18/Carriers!$AB$23*BD38+Carriers!$AB$20/Carriers!$AB$23*BP38)*(FB38+lng_st_ab_losses)/1000000</f>
        <v>93942.391877985676</v>
      </c>
      <c r="EZ38" s="63">
        <f>lng_st_nl_cost*lng_st_nl_demand/1000000+(lng_st_invest*(M38+1/lng_st_lifetime+lng_st_opex)/(Storage!$U$63/1000000)+lng_st_e_demand*1000*$AU38/100)*(FB38+lng_st_ab_losses)/1000000+co2_st_nl_cost*Storage!$U$12*co2_density/lng_density/1000000+(co2_st_opex_lev+co2_st_invest_lev+co2_st_e_demand*1000*$AU38/100)*Storage!$U$12/1000000+co2_st_invest_lev*Storage!$U$12*co2_st_lifetime*M38/1000000+Carriers!$AB$18/Carriers!$AB$23*((FB38+lng_st_ab_losses)/365.25*short_st_duration_hrs/24)*(h2_short_st_invest*(1/gh2_short_st_lifetime+$M38+h2_short_st_opex)+h2_short_st_e_demand*1000*$AU38/100)/1000000+Carriers!$AB$20/Carriers!$AB$23*((FB38+lng_st_ab_losses)/365.25*short_st_duration_hrs/24)*(co2_short_st_invest*(1/co2_short_st_lifetime+$M38+co2_short_st_opex)+co2_short_st_e_demand*1000*$AU38/100)/1000000</f>
        <v>6615.4122196351927</v>
      </c>
      <c r="FA38" s="63">
        <f>lng_st_nl_cost*lng_st_nl_demand/1000000+(lng_st_invest*(M38+1/lng_st_lifetime+lng_st_opex)/(Storage!$U$63/1000000)+lng_st_e_demand*1000*$AU38/100)*(FB38+lng_st_ab_losses)/1000000+Carriers!$AB$18/Carriers!$AB$23*((FB38+lng_st_ab_losses)/365.25*short_st_duration_hrs/24)*(h2_short_st_invest*(1/gh2_short_st_lifetime+$M38+h2_short_st_opex)+h2_short_st_e_demand*1000*$AU38/100)/1000000+Carriers!$AB$20/Carriers!$AB$23*((FB38+lng_st_ab_losses)/365.25*short_st_duration_hrs/24)*(co2_short_st_invest*(1/co2_short_st_lifetime+$M38+co2_short_st_opex)+co2_short_st_e_demand*1000*$AU38/100)/1000000</f>
        <v>4996.0573221590475</v>
      </c>
      <c r="FB38" s="63">
        <f>Storage!$U$57/((1-Shipping!$V$37)^($F38/24/Shipping!$V$44+0.5*Shipping!$V$59))</f>
        <v>41357195.41439414</v>
      </c>
      <c r="FC38" s="28">
        <f>IF($E38="","No Port",IF(G38="Panama","Ship cannot pass through Panama",((F38/24/Shipping!$V$44+F38/24/Shipping!$V$50+Shipping!$V$59+Shipping!$V$64)*(Shipping!$V$22+wacc_nl*Shipping!$V$19/365.25*1000000+Shipping!$V$35)+(F38/24/Shipping!$V$44*Shipping!$V$45+Shipping!$V$64*Shipping!$V$65)*IF(bunker_choice="HFO",$H38,IF(bunker_choice="hydrogen",$BD38*hfo_e_density_lhv/h2_e_density_lhv,(EX38+EZ38)*1000000/FB38*hfo_e_density_lhv/lng_e_density_lhv))+(F38/24/Shipping!$V$50*Shipping!$V$51+Shipping!$V$59*Shipping!$V$60)*IF(bunker_choice="HFO",bunker_price_ROT,IF(bunker_choice="hydrogen",$BD38*hfo_e_density_lhv/h2_e_density_lhv,(EX38+EZ38)*1000000/FB38*hfo_e_density_lhv/lng_e_density_lhv))+Shipping!$V$73+IF(G38="Panama",Shipping!$V$55,0)+IF(G38="Suez",Shipping!$V$56,0))/Shipping!$V$31*(FB38+lng_st_ab_losses)/1000000)+IF(inland_transport_to_port="hv dc grid",$BM38/100*1000*FE38,IF(inland_transport_to_port="pipeline",$BN38,0)))</f>
        <v>2963.446539585113</v>
      </c>
      <c r="FD38" s="28">
        <f t="shared" si="41"/>
        <v>101901.89573972984</v>
      </c>
      <c r="FE38" s="29">
        <f>((Carriers!$AB$18/Carriers!$AB$23*alk_el_e_demand)+sng_e_demand+lng_e_demand)*(FB38+lng_st_ab_losses)/1000000+lng_st_e_demand*EZ38/1000000</f>
        <v>1109.1636460102297</v>
      </c>
      <c r="FF38" s="29">
        <f t="shared" si="28"/>
        <v>0.8126185861001558</v>
      </c>
      <c r="FG38" s="28">
        <f>IFERROR(FD38*1000000/Storage!$U$12,"")</f>
        <v>2510.880566177636</v>
      </c>
      <c r="FH38" s="28">
        <f>IF($E38="","No Port",((F38/24/Shipping!$V$44+F38/24/Shipping!$V$50+Shipping!$V$59+Shipping!$V$64)*Carriers!$AB$39*wacc_nl))</f>
        <v>31.17884674182293</v>
      </c>
      <c r="FI38" s="100">
        <f>H2_retrieval!$T$25*h2_demand_kt/1000+(co2_liq_e_demand+co2_st_e_demand*2)*Storage!$U$12*co2_density/lng_density/1000000</f>
        <v>236.51371749646054</v>
      </c>
      <c r="FJ38" s="28">
        <f>IFERROR((((EX38+EZ38+FC38)*(1+H2_retrieval!$T$34)+FH38)*1000000/H2_retrieval!$T$8)+h2_regen_lng,"")</f>
        <v>7824.6146670683056</v>
      </c>
      <c r="FK38" s="149">
        <f>(lh2_invest*(M38+1/lh2_lifetime)/lh2_prod+lh2_opex+lh2_e_demand*1000*$AU38/100+Carriers!$AD$18/Carriers!$AD$23*BD38)*(FM38+lh2_st_ab_losses)/1000000</f>
        <v>62779.268926330682</v>
      </c>
      <c r="FL38" s="28">
        <f>lh2_st_nl_cost*lh2_st_nl_demand/1000000+(lh2_st_invest*(M38+1/lh2_st_lifetime+lh2_st_opex)/(Storage!$Y$63/1000000)+lh2_st_e_demand*1000*$AU38/100)*(FM38+lh2_st_ab_losses)/1000000+((FM38+lh2_st_ab_losses)/365.25*short_st_duration_hrs/24)*(h2_short_st_invest*(1/gh2_short_st_lifetime+$M38+h2_short_st_opex)+h2_short_st_e_demand*1000*$AU38/100)/1000000</f>
        <v>57831.380658413131</v>
      </c>
      <c r="FM38" s="63">
        <f>Storage!$Y$57/((1-Shipping!$Z$37)^($F38/24/Shipping!$Z$44+0.5*Shipping!$Z$59))</f>
        <v>14010755.302858578</v>
      </c>
      <c r="FN38" s="28">
        <f>IF($E38="","No Port",IF(G38="Panama","Ship cannot pass through Panama",((F38/24/Shipping!$Z$44+F38/24/Shipping!$Z$50+Shipping!$Z$59+Shipping!$Z$64)*(Shipping!$Z$22+wacc_nl*Shipping!$Z$19/365.25*1000000+Shipping!$Z$35)+(F38/24/Shipping!$Z$44*Shipping!$Z$45+Shipping!$Z$64*Shipping!$Z$65)*IF(bunker_choice="HFO",$H38,IF(bunker_choice="hydrogen",$BD38*hfo_e_density_lhv/h2_e_density_lhv,(FK38+FL38)*1000000/FM38*hfo_e_density_lhv/lh2_e_density_lhv))+(F38/24/Shipping!$Z$50*Shipping!$Z$51+Shipping!$Z$59*Shipping!$Z$60)*IF(bunker_choice="HFO",bunker_price_ROT,IF(bunker_choice="hydrogen",$BD38*hfo_e_density_lhv/h2_e_density_lhv,(FK38+FL38)*1000000/FM38*hfo_e_density_lhv/lh2_e_density_lhv))+Shipping!$Z$73+IF(G38="Panama",Shipping!$Z$55,0)+IF(G38="Suez",Shipping!$Z$56,0))/Shipping!$Z$31*(FM38+lh2_st_ab_losses)/1000000)+IF(inland_transport_to_port="hv dc grid",$BM38/100*1000*FP38,IF(inland_transport_to_port="pipeline",$BN38,0)))</f>
        <v>4401.7414903503086</v>
      </c>
      <c r="FO38" s="28">
        <f t="shared" si="42"/>
        <v>125012.39107509411</v>
      </c>
      <c r="FP38" s="29">
        <f>((Carriers!$AD$18/Carriers!$AD$23*alk_el_e_demand)+lh2_e_demand)*(FM38+lh2_st_ab_losses)/1000000+lh2_st_e_demand*FM38/1000000</f>
        <v>811.90146252642955</v>
      </c>
      <c r="FQ38" s="100">
        <f t="shared" si="29"/>
        <v>1.361902463475859</v>
      </c>
      <c r="FR38" s="28">
        <f>IFERROR(FO38*1000000/Storage!$Y$12,"")</f>
        <v>9192.0875790510381</v>
      </c>
      <c r="FS38" s="100">
        <f>H2_retrieval!$V$25*h2_demand_kt/1000</f>
        <v>8.16</v>
      </c>
      <c r="FT38" s="28">
        <f>IFERROR(FR38*(1+H2_retrieval!$V$34)/Carrier_properties!$U$7+H2_retrieval!$V$38,"")</f>
        <v>9224.0563049195061</v>
      </c>
      <c r="FU38" s="12"/>
      <c r="FV38" s="24">
        <f t="shared" si="30"/>
        <v>2.7340382828869325</v>
      </c>
      <c r="FW38" s="24" t="str">
        <f t="shared" si="57"/>
        <v/>
      </c>
      <c r="FX38" s="24" t="str">
        <f t="shared" si="58"/>
        <v/>
      </c>
      <c r="FY38" s="24">
        <f t="shared" si="45"/>
        <v>2.7340382828869325</v>
      </c>
      <c r="FZ38" s="28">
        <f t="shared" si="59"/>
        <v>3434.5542753199584</v>
      </c>
      <c r="GA38" s="28">
        <f t="shared" si="47"/>
        <v>765.12765758841169</v>
      </c>
      <c r="GB38" s="28">
        <f t="shared" si="48"/>
        <v>472.7924375916466</v>
      </c>
      <c r="GC38" s="28">
        <f t="shared" si="49"/>
        <v>853.54729882697222</v>
      </c>
      <c r="GD38" s="28">
        <f t="shared" si="50"/>
        <v>1240.68005610603</v>
      </c>
      <c r="GE38" s="28">
        <f t="shared" si="51"/>
        <v>2158.6859902793185</v>
      </c>
      <c r="GF38" s="28">
        <f t="shared" si="52"/>
        <v>2271.4884541056076</v>
      </c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</row>
    <row r="39" spans="1:214" x14ac:dyDescent="0.2">
      <c r="A39" s="40" t="s">
        <v>23</v>
      </c>
      <c r="B39" s="12">
        <v>9088</v>
      </c>
      <c r="C39" s="12">
        <v>0</v>
      </c>
      <c r="D39" s="12">
        <f t="shared" si="0"/>
        <v>1</v>
      </c>
      <c r="E39" s="12" t="s">
        <v>711</v>
      </c>
      <c r="F39" s="12">
        <v>4885</v>
      </c>
      <c r="G39" s="12"/>
      <c r="H39" s="16">
        <f t="shared" si="1"/>
        <v>382.75862068965517</v>
      </c>
      <c r="I39" s="16">
        <v>51060</v>
      </c>
      <c r="J39" s="16">
        <f t="shared" si="31"/>
        <v>127.48687300480921</v>
      </c>
      <c r="K39" s="27">
        <f t="shared" si="32"/>
        <v>152.98424760577106</v>
      </c>
      <c r="L39" s="103">
        <v>0.14599999999999999</v>
      </c>
      <c r="M39" s="103">
        <f t="shared" si="2"/>
        <v>0.14467194992565408</v>
      </c>
      <c r="N39" s="122">
        <f t="shared" si="33"/>
        <v>0.85</v>
      </c>
      <c r="O39" s="46">
        <f t="shared" si="3"/>
        <v>40</v>
      </c>
      <c r="P39" s="70">
        <f t="array" ref="P39">SUMPRODUCT(IF(Solar_data!A$4:A$777=A39,Solar_data!C$4:C$777),IF(Solar_data!A$4:A$777=A39,Solar_data!I$4:I$777))/SUMIF(Solar_data!A$4:A$777,A39,Solar_data!I$4:I$777)</f>
        <v>1885.1030479851863</v>
      </c>
      <c r="Q39" s="16">
        <f t="array" ref="Q39">MAX(IF(Solar_data!$A$777:'Solar_data'!$A$4=Country_details!$A39,Solar_data!$C$4:'Solar_data'!$C$777))</f>
        <v>2281.25</v>
      </c>
      <c r="R39" s="16">
        <f t="array" ref="R39">MIN(IF(Solar_data!$A$777:'Solar_data'!$A$4=Country_details!A39,Solar_data!$C$4:'Solar_data'!$C$777))</f>
        <v>1551.25</v>
      </c>
      <c r="S39" s="24">
        <f t="shared" si="4"/>
        <v>2.8351890352510791</v>
      </c>
      <c r="T39" s="24">
        <f t="shared" si="5"/>
        <v>2.3428486540124882</v>
      </c>
      <c r="U39" s="24">
        <f t="shared" si="6"/>
        <v>3.4453656676654241</v>
      </c>
      <c r="V39" s="16">
        <f t="array" ref="V39">SUM(IF(Solar_data!$A$777:'Solar_data'!$A$4=Country_details!$A39,Solar_data!$I$4:'Solar_data'!$I$777))</f>
        <v>367.53751849094937</v>
      </c>
      <c r="W39" s="148"/>
      <c r="X39" s="16">
        <f>IFERROR(INDEX(Onshore_wind_data!$J$5:'Onshore_wind_data'!$J$221,MATCH(A39,Onshore_wind_data!$B$5:'Onshore_wind_data'!$B$221,0)),"")</f>
        <v>3472.6302367941712</v>
      </c>
      <c r="Y39" s="16">
        <f>IFERROR(INDEX(Onshore_wind_data!$K$5:'Onshore_wind_data'!$K$221,MATCH(A39,Onshore_wind_data!$B$5:'Onshore_wind_data'!$B$221,0)),"")</f>
        <v>3971</v>
      </c>
      <c r="Z39" s="16">
        <f>IFERROR(INDEX(Onshore_wind_data!$L$5:'Onshore_wind_data'!$L$221,MATCH(A39,Onshore_wind_data!$B$5:'Onshore_wind_data'!$B$221,0)),"")</f>
        <v>2847.5</v>
      </c>
      <c r="AA39" s="24">
        <f t="shared" si="7"/>
        <v>4.5913166136361898</v>
      </c>
      <c r="AB39" s="24">
        <f t="shared" si="8"/>
        <v>4.0150956683979988</v>
      </c>
      <c r="AC39" s="24">
        <f t="shared" si="9"/>
        <v>5.5992782789142952</v>
      </c>
      <c r="AD39" s="16">
        <f>IFERROR(INDEX(Onshore_wind_data!$I$5:'Onshore_wind_data'!$I$221,MATCH(A39,Onshore_wind_data!$B$5:'Onshore_wind_data'!$B$221,0)),"")</f>
        <v>28.597110000000001</v>
      </c>
      <c r="AE39" s="148"/>
      <c r="AF39" s="16">
        <f>INDEX(Offshore_wind_data!$AA$7:$AA$192,MATCH(Country_details!A39,Offshore_wind_data!$A$7:$A$192,0))</f>
        <v>3551.0724137931034</v>
      </c>
      <c r="AG39" s="16">
        <f>INDEX(Offshore_wind_data!$Y$7:$Y$192,MATCH(Country_details!A39,Offshore_wind_data!$A$7:$A$192,0))</f>
        <v>3854.4</v>
      </c>
      <c r="AH39" s="16">
        <f>INDEX(Offshore_wind_data!$Z$7:$Z$192,MATCH(Country_details!A39,Offshore_wind_data!$A$7:$A$192,0))</f>
        <v>3153.6</v>
      </c>
      <c r="AI39" s="24">
        <f t="shared" si="10"/>
        <v>8.4633793647393123</v>
      </c>
      <c r="AJ39" s="24">
        <f t="shared" si="11"/>
        <v>7.7973414771667624</v>
      </c>
      <c r="AK39" s="24">
        <f t="shared" si="12"/>
        <v>9.5300840276482663</v>
      </c>
      <c r="AL39" s="16">
        <f>INDEX(Offshore_wind_data!$W$7:$W$191,MATCH(A39,Offshore_wind_data!$A$7:$A$191,0))</f>
        <v>98.861856000000003</v>
      </c>
      <c r="AM39" s="148"/>
      <c r="AN39" s="12">
        <v>4.9000000000000004</v>
      </c>
      <c r="AO39" s="12">
        <v>5.8</v>
      </c>
      <c r="AP39" s="34">
        <f>1.029*11.63</f>
        <v>11.967269999999999</v>
      </c>
      <c r="AQ39" s="15">
        <f t="shared" si="13"/>
        <v>50</v>
      </c>
      <c r="AR39" s="12">
        <f t="shared" si="34"/>
        <v>290</v>
      </c>
      <c r="AS39" s="16">
        <f t="shared" si="35"/>
        <v>204.99648449094934</v>
      </c>
      <c r="AT39" s="12"/>
      <c r="AU39" s="24">
        <f t="shared" si="14"/>
        <v>3.9734281756153429</v>
      </c>
      <c r="AV39" s="16">
        <f t="shared" si="15"/>
        <v>5357.7332847793577</v>
      </c>
      <c r="AW39" s="149">
        <f>HV_DC_Grid!$E$3/(1-AX39)*AU39/100*1000</f>
        <v>4818.0206618539241</v>
      </c>
      <c r="AX39" s="31">
        <f>(1-(1-HV_DC_Grid!$E$25)^(B39*C39*HV_DC_Grid!$E$8/1000))+(1-(1-HV_DC_Grid!$E$26)^(B39*D39*HV_DC_Grid!$E$8/1000))+HV_DC_Grid!$E$35*HV_DC_Grid!$E$28</f>
        <v>0.17529864347107038</v>
      </c>
      <c r="AY39" s="28">
        <f>B39*nl_e_demand/IF(hv_dc_flh="electricity FLH",$AV39,hv_dc_custom)*1000*hv_dc_capacity_multiplier*hv_dc_length_multiplier*1000*(C39*hv_dc_overhead_invest*(hv_dc_overhead_opex+M39+1/hv_dc_lifetime)+D39*hv_dc_sea_invest*(hv_dc_sea_opex+M39+1/hv_dc_lifetime))/1000000+HV_DC_Grid!$E$10*1000*hv_dc_station_invest*hv_dc_station_number*(hv_dc_station_opex+M39+1/hv_dc_lifetime)/1000000</f>
        <v>27773.10753207219</v>
      </c>
      <c r="AZ39" s="24">
        <f>(AW39+AY39)/(HV_DC_Grid!$E$3*1000)*100</f>
        <v>32.59112819392611</v>
      </c>
      <c r="BA39" s="28">
        <f>MIN(((Carriers!$F$26+Carriers!$F$27)*(alk_el_opex+wacc_nl+1/alk_el_lifetime)+IF(hv_dc_flh="electricity FLH",$AV39,hv_dc_custom)*AZ39/100)/(IF(hv_dc_flh="electricity FLH",$AV39,hv_dc_custom)/alk_el_e_demand)*1000,((Carriers!$H$26+Carriers!$H$27)*(pem_el_opex+wacc_nl+1/pem_el_lifetime)+IF(hv_dc_flh="electricity FLH",$AV39,hv_dc_custom)*AZ39/100)/(IF(hv_dc_flh="electricity FLH",$AV39,hv_dc_custom)/pem_el_e_demand)*1000)</f>
        <v>16782.381212994467</v>
      </c>
      <c r="BB39" s="12"/>
      <c r="BC39" s="12"/>
      <c r="BD39" s="149">
        <f>MIN(((Carriers!$F$26+Carriers!$F$27)*(alk_el_opex+M39+1/alk_el_lifetime)+$AV39*$AU39/100)/($AV39/alk_el_e_demand)*1000,((Carriers!$H$26+Carriers!$H$27)*(pem_el_opex+M39+1/pem_el_lifetime)+$AV39*$AU39/100)/($AV39/pem_el_e_demand)*1000)</f>
        <v>2739.1749071558438</v>
      </c>
      <c r="BE39" s="28">
        <f>Storage!$AC$50</f>
        <v>8.1664117557772418</v>
      </c>
      <c r="BF39" s="28">
        <f>((Pipeline!$D$22*Pipeline!$D$24*B39*(pipeline_opex+M39+1/pipeline_lifetime))*(Pipeline!$D$39/Pipeline!$D$3)+(Pipeline!$D$57*(pipeline_comp_opex+M39+1/pipeline_comp_lifetime)+Pipeline!$D$47*1000*Pipeline!$D$45*$AU39/100/1000000))*(Pipeline!$D$75/Pipeline!$D$45)</f>
        <v>22535.356374157887</v>
      </c>
      <c r="BG39" s="28">
        <f>BD39+(BE39+BF39)/Storage!$AC$12*1000000</f>
        <v>4396.7868767083191</v>
      </c>
      <c r="BH39" s="28"/>
      <c r="BI39" s="28"/>
      <c r="BJ39" s="28">
        <f>IF($E39="","No Port",BK39*HV_DC_Grid!$E$3*$AU39/100*1000)</f>
        <v>67.376110529353099</v>
      </c>
      <c r="BK39" s="31">
        <f>IFERROR((1-(1-HV_DC_Grid!$E$25)^(K39*HV_DC_Grid!$E$8/1000))+HV_DC_Grid!$E$35*HV_DC_Grid!$E$28,"")</f>
        <v>1.6956670046997621E-2</v>
      </c>
      <c r="BL39" s="28">
        <f>IFERROR(K39*nl_e_demand/IF(hv_dc_flh="electricity FLH",$AV39,hv_dc_custom)*1000*hv_dc_capacity_multiplier*hv_dc_length_multiplier*1000*(hv_dc_overhead_invest*(hv_dc_overhead_opex+M39+1/hv_dc_lifetime))/1000000+HV_DC_Grid!$E$10*1000*hv_dc_station_invest*hv_dc_station_number*(hv_dc_station_opex+M39+1/hv_dc_lifetime)/1000000,"")</f>
        <v>619.4651920409832</v>
      </c>
      <c r="BM39" s="29">
        <f>IFERROR((BJ39+BL39)/(HV_DC_Grid!$E$3*1000)*100,"")</f>
        <v>0.68684130257033638</v>
      </c>
      <c r="BN39" s="28">
        <f>IFERROR(((Pipeline!$D$22*Pipeline!$D$24*K39*(pipeline_opex+M39+1/pipeline_lifetime))*(Pipeline!$D$39/Pipeline!$D$3)+(Pipeline!$D$57*(pipeline_comp_opex+M39+1/pipeline_comp_lifetime)+Pipeline!$D$47*1000*Pipeline!$D$45*S39/100/1000000))*(Pipeline!$D$75/Pipeline!$D$45),"")</f>
        <v>470.45989674702446</v>
      </c>
      <c r="BO39" s="28"/>
      <c r="BP39" s="150">
        <f t="shared" si="16"/>
        <v>130.68982992871142</v>
      </c>
      <c r="BQ39" s="34">
        <f t="shared" si="17"/>
        <v>38.389044959138573</v>
      </c>
      <c r="BR39" s="151">
        <f>(nh3_invest*(M39+1/nh3_lifetime)/nh3_prod+nh3_opex+nh3_e_demand*1000*$AU39/100+Carriers!$N$18/Carriers!$N$23*BD39+Carriers!$N$19/Carriers!$N$23*BQ39)*(BT39+nh3_st_ab_losses)/1000000</f>
        <v>51738.205326490657</v>
      </c>
      <c r="BS39" s="63">
        <f>nh3_st_nl_cost*nh3_st_nl_demand/1000000+(nh3_st_invest*(M39+1/nh3_st_lifetime+nh3_st_opex)/(Storage!$G$63/1000000)+nh3_st_e_demand*1000*$AU39/100)*(BT39+nh3_st_ab_losses)/1000000+Carriers!$N$18/Carriers!$N$23*((BT39+nh3_st_ab_losses)/365.25*short_st_duration_hrs/24)*(h2_short_st_invest*(1/gh2_short_st_lifetime+$M39+h2_short_st_opex)+h2_short_st_e_demand*1000*$AU39/100)/1000000+Carriers!$N$19/Carriers!$N$23*((BT39+nh3_st_ab_losses)/365.25*short_st_duration_hrs/24)*(n2_short_st_invest*(1/n2_short_st_lifetime+$M39+n2_short_st_opex)+n2_short_st_e_demand*1000*$AU39/100)/1000000</f>
        <v>3687.5667912083618</v>
      </c>
      <c r="BT39" s="63">
        <f>Storage!$G$57/((1-Shipping!$H$37)^(F39/24/Shipping!$H$44+0.5*Shipping!$H$59))</f>
        <v>79266835.238434866</v>
      </c>
      <c r="BU39" s="63">
        <f>IF($E39="","No Port",((F39/24/Shipping!$H$44+F39/24/Shipping!$H$50+Shipping!$H$59+Shipping!$H$64)*(Shipping!$H$22+wacc_nl*Shipping!$H$19/365.25*1000000+Shipping!$H$35)+(F39/24/Shipping!$H$44*Shipping!$H$45+Shipping!$H$64*Shipping!$H$65)*IF(bunker_choice="HFO",H39,IF(bunker_choice="hydrogen",BD39*hfo_e_density_lhv/h2_e_density_lhv,(BR39+BS39)*1000000/BT39*hfo_e_density_lhv/nh3_e_density_lhv))+(F39/24/Shipping!$H$50*Shipping!$H$51+Shipping!$H$59*Shipping!$H$60)*IF(bunker_choice="HFO",bunker_price_ROT,IF(bunker_choice="hydrogen",BD39*hfo_e_density_lhv/h2_e_density_lhv,(BR39+BS39)*1000000/BT39*hfo_e_density_lhv/nh3_e_density_lhv))+Shipping!$H$73+IF(G39="Panama",Shipping!$H$55,0)+IF(G39="Suez",Shipping!$H$56,0))/Shipping!$H$31*BT39/1000000+IF(inland_transport_to_port="hv dc grid",$BM39/100*1000*BW39,IF(inland_transport_to_port="pipeline",$BN39,0)))</f>
        <v>3657.1998124823795</v>
      </c>
      <c r="BV39" s="63">
        <f t="shared" si="18"/>
        <v>59082.971930181397</v>
      </c>
      <c r="BW39" s="33">
        <f>((Carriers!$N$18/Carriers!$N$23*alk_el_e_demand)+(Carriers!$N$19/Carriers!$N$23*n2_e_demand)+nh3_e_demand)*(BT39+nh3_st_ab_losses)/1000000+nh3_st_e_demand*BT39/1000000</f>
        <v>782.77819101041928</v>
      </c>
      <c r="BX39" s="33">
        <f t="shared" si="19"/>
        <v>0.76626754477640768</v>
      </c>
      <c r="BY39" s="63">
        <f>IFERROR(BV39*1000000/Storage!$G$12,"")</f>
        <v>771.6912935927329</v>
      </c>
      <c r="BZ39" s="63">
        <f>H2_retrieval!$F$25*h2_demand_kt/1000</f>
        <v>80</v>
      </c>
      <c r="CA39" s="63">
        <f>IFERROR(BY39*(1+H2_retrieval!$F$34)/Carrier_properties!$E$7+H2_retrieval!$F$38,"")</f>
        <v>4753.5621509806024</v>
      </c>
      <c r="CB39" s="149">
        <f>(FA_invest*(M39+1/FA_lifetime)/FA_prod+FA_opex+FA_e_demand*1000*$AU39/100+Carriers!$P$18/Carriers!$P$23*BD39+Carriers!$P$20/Carriers!$P$23*co2_liq_cost)*(CF39+FA_st_ab_losses)/1000000</f>
        <v>116642.37414900379</v>
      </c>
      <c r="CC39" s="86">
        <f>(FA_invest*(M39+1/FA_lifetime)/FA_prod+FA_opex+FA_e_demand*1000*$AU39/100+Carriers!$P$18/Carriers!$P$23*BD39+Carriers!$P$20/Carriers!$P$23*BP39)*(CF39+FA_st_ab_losses)/1000000</f>
        <v>148449.46065134503</v>
      </c>
      <c r="CD39" s="63">
        <f>FA_st_nl_cost*FA_st_nl_demand/1000000+(FA_st_invest*(M39+1/FA_st_lifetime+FA_st_opex)/(Storage!$I$63/1000000)+FA_st_e_demand*1000*$AU39/100)*(CF39+FA_st_ab_losses)/1000000+co2_st_nl_cost*Storage!$I$12*co2_density/FA_density/1000000+(co2_st_opex_lev+co2_st_invest_lev+co2_st_e_demand*1000*$AU39/100)*Storage!$I$12/1000000+co2_st_invest_lev*Storage!$I$12*co2_st_lifetime*M39/1000000+Carriers!$P$18/Carriers!$P$23*((CF39+FA_st_ab_losses)/365.25*short_st_duration_hrs/24)*(h2_short_st_invest*(1/gh2_short_st_lifetime+$M39+h2_short_st_opex)+h2_short_st_e_demand*1000*$AU39/100)/1000000+Carriers!$P$20/Carriers!$P$23*((CF39+FA_st_ab_losses)/365.25*short_st_duration_hrs/24)*(co2_short_st_invest*(1/co2_short_st_lifetime+$M39+co2_short_st_opex)+co2_short_st_e_demand*1000*$AU39/100)/1000000</f>
        <v>12820.45279985627</v>
      </c>
      <c r="CE39" s="63">
        <f>FA_st_nl_cost*FA_st_nl_demand/1000000+(FA_st_invest*(M39+1/FA_st_lifetime+FA_st_opex)/(Storage!$I$63/1000000)+FA_st_e_demand*1000*$AU39/100)*(CF39+FA_st_ab_losses)/1000000+Carriers!$P$18/Carriers!$P$23*((CF39+FA_st_ab_losses)/365.25*short_st_duration_hrs/24)*(h2_short_st_invest*(1/gh2_short_st_lifetime+$M39+h2_short_st_opex)+h2_short_st_e_demand*1000*$AU39/100)/1000000+Carriers!$P$20/Carriers!$P$23*((CF39+FA_st_ab_losses)/365.25*short_st_duration_hrs/24)*(co2_short_st_invest*(1/co2_short_st_lifetime+$M39+co2_short_st_opex)+co2_short_st_e_demand*1000*$AU39/100)/1000000</f>
        <v>5447.1887688573734</v>
      </c>
      <c r="CF39" s="63">
        <f>Storage!$I$57/((1-Shipping!$J$37)^($F39/24/Shipping!$J$44+0.5*Shipping!$J$59))</f>
        <v>310425396.82539684</v>
      </c>
      <c r="CG39" s="28">
        <f>IF($E39="","No Port",((F39/24/Shipping!$J$44+F39/24/Shipping!$J$50+Shipping!$J$59+Shipping!$J$64)*(Shipping!$J$22+wacc_nl*Shipping!$J$19/365.25*1000000+Shipping!$J$35)+(F39/24/Shipping!$J$44*Shipping!$J$45+Shipping!$J$64*Shipping!$J$65)*IF(bunker_choice="HFO",$H39,IF(bunker_choice="hydrogen",$BD39*hfo_e_density_lhv/h2_e_density_lhv,(CB39+CD39)*1000000/CF39*hfo_e_density_lhv/FA_e_density_lhv))+(F39/24/Shipping!$J$50*Shipping!$J$51+Shipping!$J$59*Shipping!$J$60)*IF(bunker_choice="HFO",bunker_price_ROT,IF(bunker_choice="hydrogen",$BD39*hfo_e_density_lhv/h2_e_density_lhv,(CB39+CD39)*1000000/CF39*hfo_e_density_lhv/FA_e_density_lhv))+Shipping!$J$73+IF(G39="Panama",Shipping!$J$55,0)+IF(G39="Suez",Shipping!$J$56,0))/Shipping!$J$31*CF39/1000000+IF(inland_transport_to_port="hv dc grid",$BM39/100*1000*CI39,IF(inland_transport_to_port="pipeline",$BN39,0)))</f>
        <v>14204.976006621464</v>
      </c>
      <c r="CH39" s="28">
        <f t="shared" si="36"/>
        <v>168101.62542682386</v>
      </c>
      <c r="CI39" s="29">
        <f>((Carriers!$P$18/Carriers!$P$23*alk_el_e_demand)+FA_e_demand)*(CF39+FA_st_ab_losses)/1000000+FA_st_e_demand*CF39/1000000</f>
        <v>1897.8881241622576</v>
      </c>
      <c r="CJ39" s="29">
        <f t="shared" si="20"/>
        <v>0.46563809523809524</v>
      </c>
      <c r="CK39" s="28">
        <f>IFERROR(CH39*1000000/Storage!$I$12,"")</f>
        <v>541.5202079015944</v>
      </c>
      <c r="CL39" s="28">
        <f>IF($E39="","No Port",((F39/24/Shipping!$J$44+F39/24/Shipping!$J$50+Shipping!$J$59+Shipping!$J$64)*Carriers!$P$39*wacc_nl))</f>
        <v>247.20505100693174</v>
      </c>
      <c r="CM39" s="29">
        <f>H2_retrieval!$H$25*h2_demand_kt/1000+(co2_liq_e_demand+co2_st_e_demand*2)*Storage!$I$12*co2_density/FA_density/1000000</f>
        <v>94.204253879484654</v>
      </c>
      <c r="CN39" s="28">
        <f>IFERROR((((CB39+CD39+CG39)*(1+H2_retrieval!$H$34)+CL39)*1000000/H2_retrieval!$H$8)+h2_regen_fa,"")</f>
        <v>10671.673250596987</v>
      </c>
      <c r="CO39" s="149">
        <f>(meoh_invest*(M39+1/meoh_lifetime)/meoh_prod+meoh_opex+meoh_e_demand*1000*$AU39/100+Carriers!$R$18/Carriers!$R$23*BD39+Carriers!$R$20/Carriers!$R$23*co2_liq_cost)*(CS39+meoh_st_ab_losses)/1000000</f>
        <v>60963.376324475321</v>
      </c>
      <c r="CP39" s="86">
        <f>(meoh_invest*(M39+1/meoh_lifetime)/meoh_prod+meoh_opex+meoh_e_demand*1000*$AU39/100+Carriers!$R$18/Carriers!$R$23*BD39+Carriers!$R$20/Carriers!$R$23*BP39)*(CS39+meoh_st_ab_losses)/1000000</f>
        <v>79635.11804452147</v>
      </c>
      <c r="CQ39" s="63">
        <f>meoh_st_nl_cost*meoh_st_nl_demand/1000000+(meoh_st_invest*(M39+1/meoh_st_lifetime+meoh_st_opex)/(Storage!$K$63/1000000)+meoh_st_e_demand*1000*$AU39/100)*(CS39+meoh_st_ab_losses)/1000000+co2_st_nl_cost*Storage!$K$12*co2_density/meoh_density/1000000+(co2_st_opex_lev+co2_st_invest_lev+co2_st_e_demand*1000*IFERROR(MIN(S39,AA39,AI39),S39)/100)*Storage!$K$12/1000000+co2_st_invest_lev*Storage!$K$12*co2_st_lifetime*M39/1000000+Carriers!$R$18/Carriers!$R$23*((CS39+meoh_st_ab_losses)/365.25*short_st_duration_hrs/24)*(h2_short_st_invest*(1/gh2_short_st_lifetime+$M39+h2_short_st_opex)+h2_short_st_e_demand*1000*$AU39/100)/1000000+Carriers!$R$20/Carriers!$R$23*((CF39+meoh_st_ab_losses)/365.25*short_st_duration_hrs/24)*(co2_short_st_invest*(1/co2_short_st_lifetime+$M39+co2_short_st_opex)+co2_short_st_e_demand*1000*$AU39/100)/1000000</f>
        <v>5211.189368400891</v>
      </c>
      <c r="CR39" s="63">
        <f>meoh_st_nl_cost*meoh_st_nl_demand/1000000+(meoh_st_invest*(M39+1/meoh_st_lifetime+meoh_st_opex)/(Storage!$K$63/1000000)+meoh_st_e_demand*1000*$AU39/100)*(CS39+meoh_st_ab_losses)/1000000+Carriers!$R$18/Carriers!$R$23*((CS39+meoh_st_ab_losses)/365.25*short_st_duration_hrs/24)*(h2_short_st_invest*(1/gh2_short_st_lifetime+$M39+h2_short_st_opex)+h2_short_st_e_demand*1000*$AU39/100)/1000000+Carriers!$R$20/Carriers!$R$23*((CF39+meoh_st_ab_losses)/365.25*short_st_duration_hrs/24)*(co2_short_st_invest*(1/co2_short_st_lifetime+$M39+co2_short_st_opex)+co2_short_st_e_demand*1000*$AU39/100)/1000000</f>
        <v>2168.8867774334631</v>
      </c>
      <c r="CS39" s="63">
        <f>Storage!$K$57/((1-Shipping!$L$37)^($F39/24/Shipping!$L$44+0.5*Shipping!$L$59))</f>
        <v>108044444.44444443</v>
      </c>
      <c r="CT39" s="28">
        <f>IF($E39="","No Port",IF(AND(ship_choice="VLCC",G39="Panama"),"Ship cannot pass through Panama",IF(ship_choice="VLCC",((F39/24/Shipping!$AD$44+F39/24/Shipping!$AD$50+Shipping!$AD$59+Shipping!$AD$64)*(Shipping!$AD$22+wacc_nl*Shipping!$AD$19/365.25*1000000+Shipping!$AD$35)+(F39/24/Shipping!$AD$44*Shipping!$AD$45+Shipping!$AD$64*Shipping!$AD$65)*IF(bunker_choice="HFO",$H39,IF(bunker_choice="hydrogen",$BD39*hfo_e_density_lhv/h2_e_density_lhv,(CO39+CQ39)*1000000/CS39*hfo_e_density_lhv/meoh_e_density_lhv))+(F39/24/Shipping!$AD$50*Shipping!$AD$51+Shipping!$AD$59*Shipping!$AD$60)*IF(bunker_choice="HFO",bunker_price_ROT,IF(bunker_choice="hydrogen",$BD39*hfo_e_density_lhv/h2_e_density_lhv,(CO39+CQ39)*1000000/CS39*hfo_e_density_lhv/meoh_e_density_lhv))+Shipping!$AD$73+IF(G39="Panama",Shipping!$AD$55,0)+IF(G39="Suez",Shipping!$AD$56,0))/Shipping!$AD$31*CS39/1000000+IF(inland_transport_to_port="hv dc grid",$BM39/100*1000*CV39,IF(inland_transport_to_port="pipeline",$BN39,0)),((F39/24/Shipping!$L$44+F39/24/Shipping!$L$50+Shipping!$L$59+Shipping!$L$64)*(Shipping!$L$22+wacc_nl*Shipping!$L$19/365.25*1000000+Shipping!$L$35)+(F39/24/Shipping!$L$44*Shipping!$L$45+Shipping!$L$64*Shipping!$L$65)*IF(bunker_choice="HFO",$H39,IF(bunker_choice="hydrogen",$BD39*hfo_e_density_lhv/h2_e_density_lhv,(CO39+CQ39)*1000000/CS39*hfo_e_density_lhv/meoh_e_density_lhv))+(F39/24/Shipping!$L$50*Shipping!$L$51+Shipping!$L$59*Shipping!$L$60)*IF(bunker_choice="HFO",bunker_price_ROT,IF(bunker_choice="hydrogen",$BD39*hfo_e_density_lhv/h2_e_density_lhv,(CO39+CQ39)*1000000/CS39*hfo_e_density_lhv/meoh_e_density_lhv))+Shipping!$L$73+IF(G39="Panama",Shipping!$L$55,0)+IF(G39="Suez",Shipping!$L$56,0))/Shipping!$L$31*CS39/1000000+IF(inland_transport_to_port="hv dc grid",$BM39/100*1000*CV39,IF(inland_transport_to_port="pipeline",$BN39,0)))))</f>
        <v>4966.0161989763637</v>
      </c>
      <c r="CU39" s="28">
        <f t="shared" si="37"/>
        <v>86770.021020931294</v>
      </c>
      <c r="CV39" s="29">
        <f>((Carriers!$R$18/Carriers!$R$23*alk_el_e_demand)+meoh_e_demand)*(CS39+meoh_st_ab_losses)/1000000+meoh_st_e_demand*CS39/1000000</f>
        <v>1119.9789871111109</v>
      </c>
      <c r="CW39" s="29">
        <f t="shared" si="21"/>
        <v>0.16206666666666666</v>
      </c>
      <c r="CX39" s="28">
        <f>IFERROR(CU39*1000000/Storage!$K$12,"")</f>
        <v>803.09562853597458</v>
      </c>
      <c r="CY39" s="28">
        <f>IF($E39="","No Port",((F39/24/Shipping!$L$44+F39/24/Shipping!$L$50+Shipping!$L$59+Shipping!$L$64)*Carriers!$R$39*wacc_nl))</f>
        <v>88.470156422241899</v>
      </c>
      <c r="CZ39" s="29">
        <f>H2_retrieval!$J$25*h2_demand_kt/1000+(co2_liq_e_demand+co2_st_e_demand*2)*Storage!$K$12*co2_density/meoh_density/1000000</f>
        <v>251.05079059698966</v>
      </c>
      <c r="DA39" s="28">
        <f>IFERROR((((CO39+CQ39+CT39)*(1+H2_retrieval!$J$34)+CY39)*1000000/H2_retrieval!$J$8)+h2_regen_meoh,"")</f>
        <v>6407.558840863383</v>
      </c>
      <c r="DB39" s="149">
        <f>(DBT_invest*(M39+1/DBT_lifetime)/DBT_prod+DBT_opex+DBT_e_demand*1000*$AU39/100+Carriers!$T$18/Carriers!$T$23*BD39)*(DD39+DBT_st_ab_losses)/1000000</f>
        <v>40797.826200361676</v>
      </c>
      <c r="DC39" s="28">
        <f>2*(DBT_st_nl_cost*DBT_st_nl_demand/1000000+(DBT_st_invest*(M39+1/DBT_st_lifetime+DBT_st_opex)/(Storage!$M$63/1000000)+DBT_st_e_demand*1000*$AU39/100)*(DD39+DBT_st_ab_losses)/1000000)+Carriers!$T$18/Carriers!$T$23*((DD39+DBT_st_ab_losses)/365.25*short_st_duration_hrs/24)*(h2_short_st_invest*(1/gh2_short_st_lifetime+$M39+h2_short_st_opex)+h2_short_st_e_demand*1000*$AU39/100)/1000000</f>
        <v>4426.9730015880177</v>
      </c>
      <c r="DD39" s="63">
        <f>Storage!$M$57/((1-Shipping!$N$37)^($F39/24/Shipping!$N$44+0.5*Shipping!$N$59))</f>
        <v>219354838.70967743</v>
      </c>
      <c r="DE39" s="28">
        <f>IF($E39="","No Port",IF(AND(ship_choice="VLCC",G39="Panama"),"Ship cannot pass through Panama",IF(ship_choice="VLCC",((F39/24/Shipping!$AD$44+F39/24/Shipping!$AD$50+Shipping!$AD$59+Shipping!$AD$64)*(Shipping!$AD$22+wacc_nl*Shipping!$AD$19/365.25*1000000+Shipping!$AD$35)+(F39/24/Shipping!$AD$44*Shipping!$AD$45+Shipping!$AD$64*Shipping!$AD$65)*IF(bunker_choice="HFO",$H39,IF(bunker_choice="hydrogen",$BD39*hfo_e_density_lhv/h2_e_density_lhv,(DB39+DC39)*1000000/DD39*hfo_e_density_lhv/DBT_e_density_lhv))+(F39/24/Shipping!$AD$50*Shipping!$AD$51+Shipping!$AD$59*Shipping!$AD$60)*IF(bunker_choice="HFO",bunker_price_ROT,IF(bunker_choice="hydrogen",$BD39*hfo_e_density_lhv/h2_e_density_lhv,(DB39+DC39)*1000000/DD39*hfo_e_density_lhv/DBT_e_density_lhv))+Shipping!$AD$73+IF(G39="Panama",Shipping!$AD$55,0)+IF(G39="Suez",Shipping!$AD$56,0))/Shipping!$AD$31*DD39/1000000+IF(inland_transport_to_port="hv dc grid",$BM39/100*1000*DG39,IF(inland_transport_to_port="pipeline",$BN39,0)),((F39/24/Shipping!$N$44+F39/24/Shipping!$N$50+Shipping!$N$59+Shipping!$N$64)*(Shipping!$N$22+wacc_nl*Shipping!$N$19/365.25*1000000+Shipping!$N$35)+(F39/24/Shipping!$N$44*Shipping!$N$45+Shipping!$N$64*Shipping!$N$65)*IF(bunker_choice="HFO",$H39,IF(bunker_choice="hydrogen",$BD39*hfo_e_density_lhv/h2_e_density_lhv,(DB39+DC39)*1000000/DD39*hfo_e_density_lhv/DBT_e_density_lhv))+(F39/24/Shipping!$N$50*Shipping!$N$51+Shipping!$N$59*Shipping!$N$60)*IF(bunker_choice="HFO",bunker_price_ROT,IF(bunker_choice="hydrogen",$BD39*hfo_e_density_lhv/h2_e_density_lhv,(DB39+DC39)*1000000/DD39*hfo_e_density_lhv/DBT_e_density_lhv))+Shipping!$N$73+IF(G39="Panama",Shipping!$N$55,0)+IF(G39="Suez",Shipping!$N$56,0))/Shipping!$N$31*Shipping!$N$86/1000000+IF(inland_transport_to_port="hv dc grid",$BM39/100*1000*DG39,IF(inland_transport_to_port="pipeline",$BN39,0)))))</f>
        <v>8925.7485496808567</v>
      </c>
      <c r="DF39" s="28">
        <f>IFERROR(DB39+DC39+DE39,"")</f>
        <v>54150.547751630555</v>
      </c>
      <c r="DG39" s="29">
        <f>((Carriers!$T$18/Carriers!$T$23*alk_el_e_demand)+DBT_e_demand)*(DD39+DBT_st_ab_losses)/1000000+DBT_st_e_demand*DD39/1000000</f>
        <v>703.88335483870969</v>
      </c>
      <c r="DH39" s="29">
        <f t="shared" si="23"/>
        <v>0.21935483870967742</v>
      </c>
      <c r="DI39" s="28">
        <f>IFERROR(DF39*1000000/Storage!$M$12,"")</f>
        <v>246.8627912206687</v>
      </c>
      <c r="DJ39" s="28">
        <f>IF($E39="","No Port",((F39/24/Shipping!$N$44+F39/24/Shipping!$N$50+Shipping!$N$59+Shipping!$N$64)*Carriers!$T$39*wacc_nl))</f>
        <v>6443.5721716168873</v>
      </c>
      <c r="DK39" s="100">
        <f>H2_retrieval!$L$25*h2_demand_kt/1000+(co2_liq_e_demand+co2_st_e_demand*2)*Storage!$M$12*co2_density/DBT_density/1000000</f>
        <v>206.61934861671787</v>
      </c>
      <c r="DL39" s="28">
        <f>IFERROR(((DF39*(1+H2_retrieval!$L$34)+DJ39)*1000000/H2_retrieval!$L$8)+h2_regen_lohc,"")</f>
        <v>4926.0997749952239</v>
      </c>
      <c r="DM39" s="149">
        <f t="shared" si="24"/>
        <v>65856.315895048858</v>
      </c>
      <c r="DN39" s="16">
        <f>2*(nabh4_st_nl_cost*nabh4_st_nl_demand/1000000+(nabh4_st_invest*(M39+1/nabh4_st_lifetime+nabh4_st_opex)/(Storage!$O$63/1000000)+nabh4_st_e_demand*1000*$AU39/100)*(DO39+nabh4_st_ab_losses)/1000000)+(h2_demand_kt*1000/365.25*short_st_duration_hrs/24)*(h2_short_st_invest*(1/gh2_short_st_lifetime+$M39+h2_short_st_opex)+h2_short_st_e_demand*1000*$AU39/100)/1000000</f>
        <v>1576.7235353340802</v>
      </c>
      <c r="DO39" s="63">
        <f>Storage!$O$57/((1-Shipping!$P$37)^($F39/24/Shipping!$P$44+0.5*Shipping!$P$59))</f>
        <v>63920000</v>
      </c>
      <c r="DP39" s="16">
        <f>IF($E39="","No Port",((F39/24/Shipping!$P$44+F39/24/Shipping!$P$50+Shipping!$P$59+Shipping!$P$64)*(Shipping!$P$22+wacc_nl*Shipping!$P$19/365.25*1000000+Shipping!$P$35)+(F39/24/Shipping!$P$44*Shipping!$P$45+Shipping!$P$64*Shipping!$P$65)*IF(bunker_choice="HFO",$H39,IF(bunker_choice="hydrogen",$BD39*hfo_e_density_lhv/h2_e_density_lhv,(DM39+DN39)*1000000/DO39*hfo_e_density_lhv/nabh4_e_density_lhv))+(F39/24/Shipping!$P$50*Shipping!$P$51+Shipping!$P$59*Shipping!$P$60)*IF(bunker_choice="HFO",bunker_price_ROT,IF(bunker_choice="hydrogen",$BD39*hfo_e_density_lhv/h2_e_density_lhv,(DM39+DN39)*1000000/DO39*hfo_e_density_lhv/nabh4_e_density_lhv))+Shipping!$P$73+IF(G39="Panama",Shipping!$P$55,0)+IF(G39="Suez",Shipping!$P$56,0))/Shipping!$P$31*(DO39+nabh4_st_ab_losses)/1000000+IF(inland_transport_to_port="hv dc grid",$BM39/100*1000*DR39,IF(inland_transport_to_port="pipeline",$BN39,0)))</f>
        <v>2608.2017856527355</v>
      </c>
      <c r="DQ39" s="28">
        <f t="shared" ref="DQ39:DQ101" si="60">IFERROR(DM39+DN39+DP39,"")</f>
        <v>70041.241216035676</v>
      </c>
      <c r="DR39" s="29">
        <f>((Carriers!$V$18/Carriers!$V$23*alk_el_e_demand)+nabh4_e_demand)*(DO39+nabh4_st_ab_losses)/1000000+nabh4_st_e_demand*DO39/1000000</f>
        <v>980.02139682539689</v>
      </c>
      <c r="DS39" s="28">
        <f t="shared" si="25"/>
        <v>3.1960000000000002</v>
      </c>
      <c r="DT39" s="28">
        <f>IFERROR(DQ39*1000000/Storage!$O$12,"")</f>
        <v>1095.764099124463</v>
      </c>
      <c r="DU39" s="28">
        <f>IF($E39="","No Port",((F39/24/Shipping!$P$44+F39/24/Shipping!$P$50+Shipping!$P$59+Shipping!$P$64)*Carriers!$V$39*wacc_nl))</f>
        <v>599.23780786115992</v>
      </c>
      <c r="DV39" s="100">
        <f>H2_retrieval!$N$25*h2_demand_kt/1000+(co2_liq_e_demand+co2_st_e_demand*2)*Storage!$O$12*co2_density/nabh4_density/1000000</f>
        <v>18.783638728971958</v>
      </c>
      <c r="DW39" s="28">
        <f>IFERROR(((DQ39*(1+H2_retrieval!$N$34)+DU39)*1000000/H2_retrieval!$N$8)+h2_regen_nabh4,"")</f>
        <v>5304.0289051725185</v>
      </c>
      <c r="DX39" s="149">
        <f>(Dme_invest*(M39+1/Dme_lifetime)/Dme_prod+Dme_opex+Dme_e_demand*1000*$AU39/100+Carriers!$X$21/Carriers!$X$23*(CO39*1000000/CS39))*(EB39+Dme_st_ab_losses)/1000000</f>
        <v>86498.969142561866</v>
      </c>
      <c r="DY39" s="86">
        <f>(Dme_invest*(M39+1/Dme_lifetime)/Dme_prod+Dme_opex+Dme_e_demand*1000*$AU39/100+Carriers!$X$21/Carriers!$X$23*(CP39*1000000/CS39))*(EB39+Dme_st_ab_losses)/1000000</f>
        <v>111830.24917481303</v>
      </c>
      <c r="DZ39" s="63">
        <f>Dme_st_nl_cost*Dme_st_nl_demand/1000000+(Dme_st_invest*(M39+1/Dme_st_lifetime+Dme_st_opex)/(Storage!$Q$63/1000000)+Dme_st_e_demand*1000*$AU39/100)*(EB39+Dme_st_ab_losses)/1000000+co2_st_nl_cost*Storage!$Q$12*co2_density/Dme_density/1000000+(co2_st_opex_lev+co2_st_invest_lev+co2_st_e_demand*1000*$AU39/100)*Storage!$Q$12/1000000+co2_st_invest_lev*Storage!$Q$12*co2_st_lifetime*M39/1000000+(h2_demand_kt*1000/365.25*short_st_duration_hrs/24)*(h2_short_st_invest*(1/gh2_short_st_lifetime+$M39+h2_short_st_opex)+h2_short_st_e_demand*1000*$AU39/100)/1000000</f>
        <v>6394.548720099383</v>
      </c>
      <c r="EA39" s="63">
        <f>Dme_st_nl_cost*Dme_st_nl_demand/1000000+(Dme_st_invest*(M39+1/Dme_st_lifetime+Dme_st_opex)/(Storage!$Q$63/1000000)+Dme_st_e_demand*1000*$AU39/100)*(EB39+Dme_st_ab_losses)/1000000+(h2_demand_kt*1000/365.25*short_st_duration_hrs/24)*(h2_short_st_invest*(1/gh2_short_st_lifetime+$M39+h2_short_st_opex)+h2_short_st_e_demand*1000*$AU39/100)/1000000</f>
        <v>3234.1200554948077</v>
      </c>
      <c r="EB39" s="63">
        <f>Storage!$Q$57/((1-Shipping!$R$37)^($F39/24/Shipping!$R$44+0.5*Shipping!$R$59))</f>
        <v>103547089.94708996</v>
      </c>
      <c r="EC39" s="153">
        <f>IF($E39="","No Port",IF(AND(ship_choice="VLCC",G39="Panama"),"Ship cannot pass through Panama",IF(ship_choice="VLCC",((F39/24/Shipping!$AD$44+F39/24/Shipping!$AD$50+Shipping!$AD$59+Shipping!$AD$64)*(Shipping!$AD$22+wacc_nl*Shipping!$AD$19/365.25*1000000+Shipping!$AD$35)+(F39/24/Shipping!$AD$44*Shipping!$AD$45+Shipping!$AD$64*Shipping!$AD$65)*IF(bunker_choice="HFO",$H39,IF(bunker_choice="hydrogen",$BD39*hfo_e_density_lhv/h2_e_density_lhv,(DX39+DZ39)*1000000/EB39*hfo_e_density_lhv/Dme_e_density_lhv))+(F39/24/Shipping!$AD$50*Shipping!$AD$51+Shipping!$AD$59*Shipping!$AD$60)*IF(bunker_choice="HFO",bunker_price_ROT,IF(bunker_choice="hydrogen",$BD39*hfo_e_density_lhv/h2_e_density_lhv,(DX39+DZ39)*1000000/EB39*hfo_e_density_lhv/Dme_e_density_lhv))+Shipping!$AD$73+IF(G39="Panama",Shipping!$AD$55,0)+IF(G39="Suez",Shipping!$AD$56,0))/Shipping!$AD$31*(EB39+Dme_st_ab_losses)/1000000+IF(inland_transport_to_port="hv dc grid",$BM39/100*1000*EE39,IF(inland_transport_to_port="pipeline",$BN39,0)),((F39/24/Shipping!$R$44+F39/24/Shipping!$R$50+Shipping!$R$59+Shipping!$R$64)*(Shipping!$R$22+wacc_nl*Shipping!$R$19/365.25*1000000+Shipping!$R$35)+(F39/24/Shipping!$R$44*Shipping!$R$45+Shipping!$R$64*Shipping!$R$65)*IF(bunker_choice="HFO",$H39,IF(bunker_choice="hydrogen",$BD39*hfo_e_density_lhv/h2_e_density_lhv,(DX39+DZ39)*1000000/EB39*hfo_e_density_lhv/Dme_e_density_lhv))+(F39/24/Shipping!$R$50*Shipping!$R$51+Shipping!$R$59*Shipping!$R$60)*IF(bunker_choice="HFO",bunker_price_ROT,IF(bunker_choice="hydrogen",$BD39*hfo_e_density_lhv/h2_e_density_lhv,(DX39+DZ39)*1000000/EB39*hfo_e_density_lhv/Dme_e_density_lhv))+Shipping!$R$73+IF(G39="Panama",Shipping!$R$55,0)+IF(G39="Suez",Shipping!$R$56,0))/Shipping!$R$31*(EB39+Dme_st_ab_losses)/1000000+IF(inland_transport_to_port="hv dc grid",$BM39/100*1000*EE39,IF(inland_transport_to_port="pipeline",$BN39,0)))))</f>
        <v>5036.7082140989414</v>
      </c>
      <c r="ED39" s="28">
        <f t="shared" si="39"/>
        <v>120101.07744440676</v>
      </c>
      <c r="EE39" s="29">
        <f>(Dme_e_demand)*(EB39+Dme_st_ab_losses)/1000000+Dme_st_e_demand*DZ39/1000000+$CV39*(Carriers!$X$21/Carriers!$X$23*EB39)/$CS39</f>
        <v>1550.216824112543</v>
      </c>
      <c r="EF39" s="29">
        <f t="shared" si="26"/>
        <v>1.0354708994708997</v>
      </c>
      <c r="EG39" s="28">
        <f>IFERROR(ED39*1000000/Storage!$Q$12,"")</f>
        <v>1159.8691716568326</v>
      </c>
      <c r="EH39" s="28">
        <f>IF($E39="","No Port",((F39/24/Shipping!$R$44+F39/24/Shipping!$R$50+Shipping!$R$59+Shipping!$R$64)*Carriers!$X$39*wacc_nl))</f>
        <v>91.741303742414814</v>
      </c>
      <c r="EI39" s="100">
        <f>H2_retrieval!$P$25*h2_demand_kt/1000+(co2_liq_e_demand+co2_st_e_demand*2)*Storage!$Q$12*co2_density/Dme_density/1000000</f>
        <v>252.45335899349112</v>
      </c>
      <c r="EJ39" s="28">
        <f>IFERROR((((DX39+DZ39+EC39)*(1+H2_retrieval!$P$34)+EH39)*1000000/H2_retrieval!$P$8)+h2_regen_dme,"")</f>
        <v>8377.6261447036595</v>
      </c>
      <c r="EK39" s="149">
        <f>(ome_invest*(M39+1/ome_lifetime)/ome_prod+ome_opex+ome_e_demand*1000*$AU39/100+Carriers!$Z$21/Carriers!$Z$23*(CO39*1000000/CS39))*(EO39+ome_st_ab_losses)/1000000</f>
        <v>190074.21684197322</v>
      </c>
      <c r="EL39" s="86">
        <f>(ome_invest*(M39+1/ome_lifetime)/ome_prod+ome_opex+ome_e_demand*1000*$AU39/100+Carriers!$Z$21/Carriers!$Z$23*(CP39*1000000/CS39))*(EO39+ome_st_ab_losses)/1000000</f>
        <v>243249.50469347861</v>
      </c>
      <c r="EM39" s="63">
        <f>ome_st_nl_cost*ome_st_nl_demand/1000000+(ome_st_invest*(M39+1/ome_st_lifetime+ome_st_opex)/(Storage!$S$63/1000000)+ome_st_e_demand*1000*$AU39/100)*(EO39+ome_st_ab_losses)/1000000+co2_st_nl_cost*Storage!$S$12*co2_density/ome_density/1000000+(co2_st_opex_lev+co2_st_invest_lev+co2_st_e_demand*1000*$AU39/100)*Storage!$S$12/1000000+co2_st_invest_lev*Storage!$S$12*co2_st_lifetime*M39/1000000+(h2_demand_kt*1000/365.25*short_st_duration_hrs/24)*(h2_short_st_invest*(1/gh2_short_st_lifetime+$M39+h2_short_st_opex)+h2_short_st_e_demand*1000*$AU39/100)/1000000</f>
        <v>5523.0438596977965</v>
      </c>
      <c r="EN39" s="63">
        <f>ome_st_nl_cost*ome_st_nl_demand/1000000+(ome_st_invest*(M39+1/ome_st_lifetime+ome_st_opex)/(Storage!$S$63/1000000)+ome_st_e_demand*1000*$AU39/100)*(EO39+ome_st_ab_losses)/1000000+(h2_demand_kt*1000/365.25*short_st_duration_hrs/24)*(h2_short_st_invest*(1/gh2_short_st_lifetime+$M39+h2_short_st_opex)+h2_short_st_e_demand*1000*$AU39/100)/1000000</f>
        <v>1946.6161440710325</v>
      </c>
      <c r="EO39" s="63">
        <f>Storage!$S$57/((1-Shipping!$T$37)^($F39/24/Shipping!$T$44+0.5*Shipping!$T$59))</f>
        <v>128282539.68253967</v>
      </c>
      <c r="EP39" s="28">
        <f>IF($E39="","No Port",IF(AND(ship_choice="VLCC",G39="Panama"),"Ship cannot pass through Panama",IF(ship_choice="VLCC",((F39/24/Shipping!$AD$44+F39/24/Shipping!$AD$50+Shipping!$AD$59+Shipping!$AD$64)*(Shipping!$AD$22+wacc_nl*Shipping!$AD$19/365.25*1000000+Shipping!$AD$35)+(F39/24/Shipping!$AD$44*Shipping!$AD$45+Shipping!$AD$64*Shipping!$AD$65)*IF(bunker_choice="HFO",$H39,IF(bunker_choice="hydrogen",$BD39*hfo_e_density_lhv/h2_e_density_lhv,(EK39+EM39)*1000000/EO39*hfo_e_density_lhv/Dme_e_density_lhv))+(F39/24/Shipping!$AD$50*Shipping!$AD$51+Shipping!$AD$59*Shipping!$AD$60)*IF(bunker_choice="HFO",bunker_price_ROT,IF(bunker_choice="hydrogen",$BD39*hfo_e_density_lhv/h2_e_density_lhv,(EK39+EM39)*1000000/EO39*hfo_e_density_lhv/ome_e_density_lhv))+Shipping!$AD$73+IF(G39="Panama",Shipping!$AD$55,0)+IF(G39="Suez",Shipping!$AD$56,0))/Shipping!$AD$31*(EO39+ome_st_ab_losses)/1000000+IF(inland_transport_to_port="hv dc grid",$BM39/100*1000*ER39,IF(inland_transport_to_port="pipeline",$BN39,0)),((F39/24/Shipping!$T$44+F39/24/Shipping!$T$50+Shipping!$T$59+Shipping!$T$64)*(Shipping!$T$22+wacc_nl*Shipping!$T$19/365.25*1000000+Shipping!$T$35)+(F39/24/Shipping!$T$44*Shipping!$T$45+Shipping!$T$64*Shipping!$T$65)*IF(bunker_choice="HFO",$H39,IF(bunker_choice="hydrogen",$BD39*hfo_e_density_lhv/h2_e_density_lhv,(EK39+EM39)*1000000/EO39*hfo_e_density_lhv/Dme_e_density_lhv))+(F39/24/Shipping!$T$50*Shipping!$T$51+Shipping!$T$59*Shipping!$T$60)*IF(bunker_choice="HFO",bunker_price_ROT,IF(bunker_choice="hydrogen",$BD39*hfo_e_density_lhv/h2_e_density_lhv,(EK39+EM39)*1000000/EO39*hfo_e_density_lhv/ome_e_density_lhv))+Shipping!$T$73+IF(G39="Panama",Shipping!$T$55,0)+IF(G39="Suez",Shipping!$T$56,0))/Shipping!$T$31*(EO39+ome_st_ab_losses)/1000000+IF(inland_transport_to_port="hv dc grid",$BM39/100*1000*ER39,IF(inland_transport_to_port="pipeline",$BN39,0)))))</f>
        <v>5511.644250039265</v>
      </c>
      <c r="EQ39" s="28">
        <f t="shared" si="40"/>
        <v>250707.76508758892</v>
      </c>
      <c r="ER39" s="29">
        <f>(ome_e_demand)*(EO39+ome_st_ab_losses)/1000000+ome_st_e_demand*EM39/1000000+$CV39*(Carriers!$Z$21/Carriers!$Z$23*EO39)/$CS39</f>
        <v>3352.0814584253494</v>
      </c>
      <c r="ES39" s="29">
        <f t="shared" si="27"/>
        <v>0.1924238095238095</v>
      </c>
      <c r="ET39" s="28">
        <f>IFERROR(EQ39*1000000/Storage!$S$12,"")</f>
        <v>1954.3405182654983</v>
      </c>
      <c r="EU39" s="28">
        <f>IF($E39="","No Port",((F39/24/Shipping!$T$44+F39/24/Shipping!$T$50+Shipping!$T$59+Shipping!$T$64)*Carriers!$Z$39*wacc_nl))</f>
        <v>105.04173916866584</v>
      </c>
      <c r="EV39" s="100">
        <f>H2_retrieval!$R$25*h2_demand_kt/1000+(co2_liq_e_demand+co2_st_e_demand*2)*Storage!$S$12*co2_density/ome_density/1000000</f>
        <v>254.51942895252085</v>
      </c>
      <c r="EW39" s="28">
        <f>IFERROR((((EK39+EM39+EP39)*(1+H2_retrieval!$R$34)+EU39)*1000000/H2_retrieval!$R$8)+h2_regen_ome,"")</f>
        <v>15965.27168223133</v>
      </c>
      <c r="EX39" s="149">
        <f>(sng_invest*(M39+1/sng_lifetime)/sng_prod+lng_invest*(M39+1/lng_lifetime)/lng_prod+sng_opex+lng_opex+(sng_e_demand+lng_e_demand)*1000*$AU39/100+Carriers!$AB$18/Carriers!$AB$23*BD39+Carriers!$AB$20/Carriers!$AB$23*co2_liq_cost)*(FB39+lng_st_ab_losses)/1000000</f>
        <v>67002.738641647069</v>
      </c>
      <c r="EY39" s="86">
        <f>(sng_invest*(M39+1/sng_lifetime)/sng_prod+lng_invest*(M39+1/lng_lifetime)/lng_prod+sng_opex+lng_opex+(sng_e_demand+lng_e_demand)*1000*$AU39/100+Carriers!$AB$18/Carriers!$AB$23*BD39+Carriers!$AB$20/Carriers!$AB$23*BP39)*(FB39+lng_st_ab_losses)/1000000</f>
        <v>81027.877718098171</v>
      </c>
      <c r="EZ39" s="63">
        <f>lng_st_nl_cost*lng_st_nl_demand/1000000+(lng_st_invest*(M39+1/lng_st_lifetime+lng_st_opex)/(Storage!$U$63/1000000)+lng_st_e_demand*1000*$AU39/100)*(FB39+lng_st_ab_losses)/1000000+co2_st_nl_cost*Storage!$U$12*co2_density/lng_density/1000000+(co2_st_opex_lev+co2_st_invest_lev+co2_st_e_demand*1000*$AU39/100)*Storage!$U$12/1000000+co2_st_invest_lev*Storage!$U$12*co2_st_lifetime*M39/1000000+Carriers!$AB$18/Carriers!$AB$23*((FB39+lng_st_ab_losses)/365.25*short_st_duration_hrs/24)*(h2_short_st_invest*(1/gh2_short_st_lifetime+$M39+h2_short_st_opex)+h2_short_st_e_demand*1000*$AU39/100)/1000000+Carriers!$AB$20/Carriers!$AB$23*((FB39+lng_st_ab_losses)/365.25*short_st_duration_hrs/24)*(co2_short_st_invest*(1/co2_short_st_lifetime+$M39+co2_short_st_opex)+co2_short_st_e_demand*1000*$AU39/100)/1000000</f>
        <v>6741.1413225834931</v>
      </c>
      <c r="FA39" s="63">
        <f>lng_st_nl_cost*lng_st_nl_demand/1000000+(lng_st_invest*(M39+1/lng_st_lifetime+lng_st_opex)/(Storage!$U$63/1000000)+lng_st_e_demand*1000*$AU39/100)*(FB39+lng_st_ab_losses)/1000000+Carriers!$AB$18/Carriers!$AB$23*((FB39+lng_st_ab_losses)/365.25*short_st_duration_hrs/24)*(h2_short_st_invest*(1/gh2_short_st_lifetime+$M39+h2_short_st_opex)+h2_short_st_e_demand*1000*$AU39/100)/1000000+Carriers!$AB$20/Carriers!$AB$23*((FB39+lng_st_ab_losses)/365.25*short_st_duration_hrs/24)*(co2_short_st_invest*(1/co2_short_st_lifetime+$M39+co2_short_st_opex)+co2_short_st_e_demand*1000*$AU39/100)/1000000</f>
        <v>5064.7582119999915</v>
      </c>
      <c r="FB39" s="63">
        <f>Storage!$U$57/((1-Shipping!$V$37)^($F39/24/Shipping!$V$44+0.5*Shipping!$V$59))</f>
        <v>41352006.891046517</v>
      </c>
      <c r="FC39" s="28">
        <f>IF($E39="","No Port",IF(G39="Panama","Ship cannot pass through Panama",((F39/24/Shipping!$V$44+F39/24/Shipping!$V$50+Shipping!$V$59+Shipping!$V$64)*(Shipping!$V$22+wacc_nl*Shipping!$V$19/365.25*1000000+Shipping!$V$35)+(F39/24/Shipping!$V$44*Shipping!$V$45+Shipping!$V$64*Shipping!$V$65)*IF(bunker_choice="HFO",$H39,IF(bunker_choice="hydrogen",$BD39*hfo_e_density_lhv/h2_e_density_lhv,(EX39+EZ39)*1000000/FB39*hfo_e_density_lhv/lng_e_density_lhv))+(F39/24/Shipping!$V$50*Shipping!$V$51+Shipping!$V$59*Shipping!$V$60)*IF(bunker_choice="HFO",bunker_price_ROT,IF(bunker_choice="hydrogen",$BD39*hfo_e_density_lhv/h2_e_density_lhv,(EX39+EZ39)*1000000/FB39*hfo_e_density_lhv/lng_e_density_lhv))+Shipping!$V$73+IF(G39="Panama",Shipping!$V$55,0)+IF(G39="Suez",Shipping!$V$56,0))/Shipping!$V$31*(FB39+lng_st_ab_losses)/1000000)+IF(inland_transport_to_port="hv dc grid",$BM39/100*1000*FE39,IF(inland_transport_to_port="pipeline",$BN39,0)))</f>
        <v>2154.5937776754249</v>
      </c>
      <c r="FD39" s="28">
        <f t="shared" si="41"/>
        <v>88247.229707773586</v>
      </c>
      <c r="FE39" s="29">
        <f>((Carriers!$AB$18/Carriers!$AB$23*alk_el_e_demand)+sng_e_demand+lng_e_demand)*(FB39+lng_st_ab_losses)/1000000+lng_st_e_demand*EZ39/1000000</f>
        <v>1109.0246541981294</v>
      </c>
      <c r="FF39" s="29">
        <f t="shared" si="28"/>
        <v>0.8126185861001558</v>
      </c>
      <c r="FG39" s="28">
        <f>IFERROR(FD39*1000000/Storage!$U$12,"")</f>
        <v>2174.4272025929818</v>
      </c>
      <c r="FH39" s="28">
        <f>IF($E39="","No Port",((F39/24/Shipping!$V$44+F39/24/Shipping!$V$50+Shipping!$V$59+Shipping!$V$64)*Carriers!$AB$39*wacc_nl))</f>
        <v>30.97919236396087</v>
      </c>
      <c r="FI39" s="100">
        <f>H2_retrieval!$T$25*h2_demand_kt/1000+(co2_liq_e_demand+co2_st_e_demand*2)*Storage!$U$12*co2_density/lng_density/1000000</f>
        <v>236.51371749646054</v>
      </c>
      <c r="FJ39" s="28">
        <f>IFERROR((((EX39+EZ39+FC39)*(1+H2_retrieval!$T$34)+FH39)*1000000/H2_retrieval!$T$8)+h2_regen_lng,"")</f>
        <v>6753.1765530689072</v>
      </c>
      <c r="FK39" s="149">
        <f>(lh2_invest*(M39+1/lh2_lifetime)/lh2_prod+lh2_opex+lh2_e_demand*1000*$AU39/100+Carriers!$AD$18/Carriers!$AD$23*BD39)*(FM39+lh2_st_ab_losses)/1000000</f>
        <v>54335.093659437101</v>
      </c>
      <c r="FL39" s="28">
        <f>lh2_st_nl_cost*lh2_st_nl_demand/1000000+(lh2_st_invest*(M39+1/lh2_st_lifetime+lh2_st_opex)/(Storage!$Y$63/1000000)+lh2_st_e_demand*1000*$AU39/100)*(FM39+lh2_st_ab_losses)/1000000+((FM39+lh2_st_ab_losses)/365.25*short_st_duration_hrs/24)*(h2_short_st_invest*(1/gh2_short_st_lifetime+$M39+h2_short_st_opex)+h2_short_st_e_demand*1000*$AU39/100)/1000000</f>
        <v>58464.5512038585</v>
      </c>
      <c r="FM39" s="63">
        <f>Storage!$Y$57/((1-Shipping!$Z$37)^($F39/24/Shipping!$Z$44+0.5*Shipping!$Z$59))</f>
        <v>14007941.971124101</v>
      </c>
      <c r="FN39" s="28">
        <f>IF($E39="","No Port",IF(G39="Panama","Ship cannot pass through Panama",((F39/24/Shipping!$Z$44+F39/24/Shipping!$Z$50+Shipping!$Z$59+Shipping!$Z$64)*(Shipping!$Z$22+wacc_nl*Shipping!$Z$19/365.25*1000000+Shipping!$Z$35)+(F39/24/Shipping!$Z$44*Shipping!$Z$45+Shipping!$Z$64*Shipping!$Z$65)*IF(bunker_choice="HFO",$H39,IF(bunker_choice="hydrogen",$BD39*hfo_e_density_lhv/h2_e_density_lhv,(FK39+FL39)*1000000/FM39*hfo_e_density_lhv/lh2_e_density_lhv))+(F39/24/Shipping!$Z$50*Shipping!$Z$51+Shipping!$Z$59*Shipping!$Z$60)*IF(bunker_choice="HFO",bunker_price_ROT,IF(bunker_choice="hydrogen",$BD39*hfo_e_density_lhv/h2_e_density_lhv,(FK39+FL39)*1000000/FM39*hfo_e_density_lhv/lh2_e_density_lhv))+Shipping!$Z$73+IF(G39="Panama",Shipping!$Z$55,0)+IF(G39="Suez",Shipping!$Z$56,0))/Shipping!$Z$31*(FM39+lh2_st_ab_losses)/1000000)+IF(inland_transport_to_port="hv dc grid",$BM39/100*1000*FP39,IF(inland_transport_to_port="pipeline",$BN39,0)))</f>
        <v>3540.229237761363</v>
      </c>
      <c r="FO39" s="28">
        <f t="shared" si="42"/>
        <v>116339.87410105696</v>
      </c>
      <c r="FP39" s="29">
        <f>((Carriers!$AD$18/Carriers!$AD$23*alk_el_e_demand)+lh2_e_demand)*(FM39+lh2_st_ab_losses)/1000000+lh2_st_e_demand*FM39/1000000</f>
        <v>811.73865501895546</v>
      </c>
      <c r="FQ39" s="100">
        <f t="shared" si="29"/>
        <v>1.361902463475859</v>
      </c>
      <c r="FR39" s="28">
        <f>IFERROR(FO39*1000000/Storage!$Y$12,"")</f>
        <v>8554.4025074306592</v>
      </c>
      <c r="FS39" s="100">
        <f>H2_retrieval!$V$25*h2_demand_kt/1000</f>
        <v>8.16</v>
      </c>
      <c r="FT39" s="28">
        <f>IFERROR(FR39*(1+H2_retrieval!$V$34)/Carrier_properties!$U$7+H2_retrieval!$V$38,"")</f>
        <v>8586.3712332991272</v>
      </c>
      <c r="FU39" s="12"/>
      <c r="FV39" s="24">
        <f t="shared" si="30"/>
        <v>2.8351890352510791</v>
      </c>
      <c r="FW39" s="24">
        <f t="shared" si="57"/>
        <v>4.5913166136361898</v>
      </c>
      <c r="FX39" s="24">
        <f t="shared" si="58"/>
        <v>8.4633793647393123</v>
      </c>
      <c r="FY39" s="24">
        <f t="shared" si="45"/>
        <v>2.8351890352510791</v>
      </c>
      <c r="FZ39" s="28">
        <f t="shared" si="59"/>
        <v>2739.1749071558438</v>
      </c>
      <c r="GA39" s="28">
        <f t="shared" si="47"/>
        <v>652.709360363158</v>
      </c>
      <c r="GB39" s="28">
        <f t="shared" si="48"/>
        <v>478.2130011573845</v>
      </c>
      <c r="GC39" s="28">
        <f t="shared" si="49"/>
        <v>737.05888770124773</v>
      </c>
      <c r="GD39" s="28">
        <f t="shared" si="50"/>
        <v>1079.9941285839666</v>
      </c>
      <c r="GE39" s="28">
        <f t="shared" si="51"/>
        <v>1896.2011922701815</v>
      </c>
      <c r="GF39" s="28">
        <f t="shared" si="52"/>
        <v>1959.4666331815258</v>
      </c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</row>
    <row r="40" spans="1:214" x14ac:dyDescent="0.2">
      <c r="A40" s="40" t="s">
        <v>24</v>
      </c>
      <c r="B40" s="12">
        <v>5056</v>
      </c>
      <c r="C40" s="12">
        <v>0.9</v>
      </c>
      <c r="D40" s="12">
        <f t="shared" si="0"/>
        <v>9.9999999999999978E-2</v>
      </c>
      <c r="E40" s="12"/>
      <c r="F40" s="12"/>
      <c r="G40" s="12"/>
      <c r="H40" s="16">
        <f t="shared" si="1"/>
        <v>382.75862068965517</v>
      </c>
      <c r="I40" s="16">
        <v>318000</v>
      </c>
      <c r="J40" s="16">
        <f t="shared" si="31"/>
        <v>318.15490536285222</v>
      </c>
      <c r="K40" s="16" t="str">
        <f t="shared" si="32"/>
        <v/>
      </c>
      <c r="L40" s="103">
        <v>0.15</v>
      </c>
      <c r="M40" s="103">
        <f t="shared" si="2"/>
        <v>0.14750037705040026</v>
      </c>
      <c r="N40" s="122">
        <f t="shared" si="33"/>
        <v>0.9</v>
      </c>
      <c r="O40" s="46">
        <f t="shared" si="3"/>
        <v>40</v>
      </c>
      <c r="P40" s="70">
        <f t="array" ref="P40">SUMPRODUCT(IF(Solar_data!A$4:A$777=A40,Solar_data!C$4:C$777),IF(Solar_data!A$4:A$777=A40,Solar_data!I$4:I$777))/SUMIF(Solar_data!A$4:A$777,A40,Solar_data!I$4:I$777)</f>
        <v>1868.2943593788198</v>
      </c>
      <c r="Q40" s="16">
        <f t="array" ref="Q40">MAX(IF(Solar_data!$A$777:'Solar_data'!$A$4=Country_details!$A40,Solar_data!$C$4:'Solar_data'!$C$777))</f>
        <v>2098.75</v>
      </c>
      <c r="R40" s="16">
        <f t="array" ref="R40">MIN(IF(Solar_data!$A$777:'Solar_data'!$A$4=Country_details!A40,Solar_data!$C$4:'Solar_data'!$C$777))</f>
        <v>1551.25</v>
      </c>
      <c r="S40" s="24">
        <f t="shared" si="4"/>
        <v>2.7431492689129904</v>
      </c>
      <c r="T40" s="24">
        <f t="shared" si="5"/>
        <v>2.4419346306345555</v>
      </c>
      <c r="U40" s="24">
        <f t="shared" si="6"/>
        <v>3.3037939120349864</v>
      </c>
      <c r="V40" s="16">
        <f t="array" ref="V40">SUM(IF(Solar_data!$A$777:'Solar_data'!$A$4=Country_details!$A40,Solar_data!$I$4:'Solar_data'!$I$777))</f>
        <v>2419.5635098468219</v>
      </c>
      <c r="W40" s="148"/>
      <c r="X40" s="16" t="str">
        <f>IFERROR(INDEX(Onshore_wind_data!$J$5:'Onshore_wind_data'!$J$221,MATCH(A40,Onshore_wind_data!$B$5:'Onshore_wind_data'!$B$221,0)),"")</f>
        <v/>
      </c>
      <c r="Y40" s="16" t="str">
        <f>IFERROR(INDEX(Onshore_wind_data!$K$5:'Onshore_wind_data'!$K$221,MATCH(A40,Onshore_wind_data!$B$5:'Onshore_wind_data'!$B$221,0)),"")</f>
        <v/>
      </c>
      <c r="Z40" s="16" t="str">
        <f>IFERROR(INDEX(Onshore_wind_data!$L$5:'Onshore_wind_data'!$L$221,MATCH(A40,Onshore_wind_data!$B$5:'Onshore_wind_data'!$B$221,0)),"")</f>
        <v/>
      </c>
      <c r="AA40" s="24" t="str">
        <f t="shared" si="7"/>
        <v/>
      </c>
      <c r="AB40" s="24" t="str">
        <f t="shared" si="8"/>
        <v/>
      </c>
      <c r="AC40" s="24" t="str">
        <f t="shared" si="9"/>
        <v/>
      </c>
      <c r="AD40" s="16">
        <f>IFERROR(INDEX(Onshore_wind_data!$I$5:'Onshore_wind_data'!$I$221,MATCH(A40,Onshore_wind_data!$B$5:'Onshore_wind_data'!$B$221,0)),"")</f>
        <v>0</v>
      </c>
      <c r="AE40" s="148"/>
      <c r="AF40" s="16" t="str">
        <f>INDEX(Offshore_wind_data!$AA$7:$AA$192,MATCH(Country_details!A40,Offshore_wind_data!$A$7:$A$192,0))</f>
        <v/>
      </c>
      <c r="AG40" s="16" t="str">
        <f>INDEX(Offshore_wind_data!$Y$7:$Y$192,MATCH(Country_details!A40,Offshore_wind_data!$A$7:$A$192,0))</f>
        <v/>
      </c>
      <c r="AH40" s="16" t="str">
        <f>INDEX(Offshore_wind_data!$Z$7:$Z$192,MATCH(Country_details!A40,Offshore_wind_data!$A$7:$A$192,0))</f>
        <v/>
      </c>
      <c r="AI40" s="24" t="str">
        <f t="shared" si="10"/>
        <v/>
      </c>
      <c r="AJ40" s="24" t="str">
        <f t="shared" si="11"/>
        <v/>
      </c>
      <c r="AK40" s="24" t="str">
        <f t="shared" si="12"/>
        <v/>
      </c>
      <c r="AL40" s="16">
        <f>INDEX(Offshore_wind_data!$W$7:$W$191,MATCH(A40,Offshore_wind_data!$A$7:$A$191,0))</f>
        <v>0</v>
      </c>
      <c r="AM40" s="148"/>
      <c r="AN40" s="12">
        <v>24.3</v>
      </c>
      <c r="AO40" s="12">
        <v>51.4</v>
      </c>
      <c r="AP40" s="34">
        <f>0.6053*11.63</f>
        <v>7.0396390000000002</v>
      </c>
      <c r="AQ40" s="15">
        <f t="shared" si="13"/>
        <v>50</v>
      </c>
      <c r="AR40" s="12">
        <f t="shared" si="34"/>
        <v>2570</v>
      </c>
      <c r="AS40" s="16">
        <f t="shared" si="35"/>
        <v>-150.43649015317806</v>
      </c>
      <c r="AT40" s="12"/>
      <c r="AU40" s="24">
        <f t="shared" si="14"/>
        <v>2.7431492689129904</v>
      </c>
      <c r="AV40" s="16">
        <f t="shared" si="15"/>
        <v>1868.2943593788198</v>
      </c>
      <c r="AW40" s="149">
        <f>HV_DC_Grid!$E$3/(1-AX40)*AU40/100*1000</f>
        <v>3075.4357441201464</v>
      </c>
      <c r="AX40" s="31">
        <f>(1-(1-HV_DC_Grid!$E$25)^(B40*C40*HV_DC_Grid!$E$8/1000))+(1-(1-HV_DC_Grid!$E$26)^(B40*D40*HV_DC_Grid!$E$8/1000))+HV_DC_Grid!$E$35*HV_DC_Grid!$E$28</f>
        <v>0.10804533173630658</v>
      </c>
      <c r="AY40" s="28">
        <f>B40*nl_e_demand/IF(hv_dc_flh="electricity FLH",$AV40,hv_dc_custom)*1000*hv_dc_capacity_multiplier*hv_dc_length_multiplier*1000*(C40*hv_dc_overhead_invest*(hv_dc_overhead_opex+M40+1/hv_dc_lifetime)+D40*hv_dc_sea_invest*(hv_dc_sea_opex+M40+1/hv_dc_lifetime))/1000000+HV_DC_Grid!$E$10*1000*hv_dc_station_invest*hv_dc_station_number*(hv_dc_station_opex+M40+1/hv_dc_lifetime)/1000000</f>
        <v>6410.4790096738125</v>
      </c>
      <c r="AZ40" s="24">
        <f>(AW40+AY40)/(HV_DC_Grid!$E$3*1000)*100</f>
        <v>9.4859147537939581</v>
      </c>
      <c r="BA40" s="28">
        <f>MIN(((Carriers!$F$26+Carriers!$F$27)*(alk_el_opex+wacc_nl+1/alk_el_lifetime)+IF(hv_dc_flh="electricity FLH",$AV40,hv_dc_custom)*AZ40/100)/(IF(hv_dc_flh="electricity FLH",$AV40,hv_dc_custom)/alk_el_e_demand)*1000,((Carriers!$H$26+Carriers!$H$27)*(pem_el_opex+wacc_nl+1/pem_el_lifetime)+IF(hv_dc_flh="electricity FLH",$AV40,hv_dc_custom)*AZ40/100)/(IF(hv_dc_flh="electricity FLH",$AV40,hv_dc_custom)/pem_el_e_demand)*1000)</f>
        <v>5196.9608188910988</v>
      </c>
      <c r="BB40" s="12"/>
      <c r="BC40" s="12"/>
      <c r="BD40" s="149">
        <f>MIN(((Carriers!$F$26+Carriers!$F$27)*(alk_el_opex+M40+1/alk_el_lifetime)+$AV40*$AU40/100)/($AV40/alk_el_e_demand)*1000,((Carriers!$H$26+Carriers!$H$27)*(pem_el_opex+M40+1/pem_el_lifetime)+$AV40*$AU40/100)/($AV40/pem_el_e_demand)*1000)</f>
        <v>3438.1105192625892</v>
      </c>
      <c r="BE40" s="28">
        <f>Storage!$AC$50</f>
        <v>8.1664117557772418</v>
      </c>
      <c r="BF40" s="28">
        <f>((Pipeline!$D$22*Pipeline!$D$24*B40*(pipeline_opex+M40+1/pipeline_lifetime))*(Pipeline!$D$39/Pipeline!$D$3)+(Pipeline!$D$57*(pipeline_comp_opex+M40+1/pipeline_comp_lifetime)+Pipeline!$D$47*1000*Pipeline!$D$45*$AU40/100/1000000))*(Pipeline!$D$75/Pipeline!$D$45)</f>
        <v>12726.978825031038</v>
      </c>
      <c r="BG40" s="28">
        <f>BD40+(BE40+BF40)/Storage!$AC$12*1000000</f>
        <v>4374.5182572616195</v>
      </c>
      <c r="BH40" s="28"/>
      <c r="BI40" s="28"/>
      <c r="BJ40" s="28" t="str">
        <f>IF($E40="","No Port",BK40*HV_DC_Grid!$E$3*$AU40/100*1000)</f>
        <v>No Port</v>
      </c>
      <c r="BK40" s="31" t="str">
        <f>IFERROR((1-(1-HV_DC_Grid!$E$25)^(K40*HV_DC_Grid!$E$8/1000))+HV_DC_Grid!$E$35*HV_DC_Grid!$E$28,"")</f>
        <v/>
      </c>
      <c r="BL40" s="28" t="str">
        <f>IFERROR(K40*nl_e_demand/IF(hv_dc_flh="electricity FLH",$AV40,hv_dc_custom)*1000*hv_dc_capacity_multiplier*hv_dc_length_multiplier*1000*(hv_dc_overhead_invest*(hv_dc_overhead_opex+M40+1/hv_dc_lifetime))/1000000+HV_DC_Grid!$E$10*1000*hv_dc_station_invest*hv_dc_station_number*(hv_dc_station_opex+M40+1/hv_dc_lifetime)/1000000,"")</f>
        <v/>
      </c>
      <c r="BM40" s="29" t="str">
        <f>IFERROR((BJ40+BL40)/(HV_DC_Grid!$E$3*1000)*100,"")</f>
        <v/>
      </c>
      <c r="BN40" s="28" t="str">
        <f>IFERROR(((Pipeline!$D$22*Pipeline!$D$24*K40*(pipeline_opex+M40+1/pipeline_lifetime))*(Pipeline!$D$39/Pipeline!$D$3)+(Pipeline!$D$57*(pipeline_comp_opex+M40+1/pipeline_comp_lifetime)+Pipeline!$D$47*1000*Pipeline!$D$45*S40/100/1000000))*(Pipeline!$D$75/Pipeline!$D$45),"")</f>
        <v/>
      </c>
      <c r="BO40" s="28"/>
      <c r="BP40" s="150">
        <f t="shared" si="16"/>
        <v>125.33750950422157</v>
      </c>
      <c r="BQ40" s="34">
        <f t="shared" si="17"/>
        <v>37.502122203889193</v>
      </c>
      <c r="BR40" s="151">
        <f>(nh3_invest*(M40+1/nh3_lifetime)/nh3_prod+nh3_opex+nh3_e_demand*1000*$AU40/100+Carriers!$N$18/Carriers!$N$23*BD40+Carriers!$N$19/Carriers!$N$23*BQ40)*(BT40+nh3_st_ab_losses)/1000000</f>
        <v>59160.303989388653</v>
      </c>
      <c r="BS40" s="63">
        <f>nh3_st_nl_cost*nh3_st_nl_demand/1000000+(nh3_st_invest*(M40+1/nh3_st_lifetime+nh3_st_opex)/(Storage!$G$63/1000000)+nh3_st_e_demand*1000*$AU40/100)*(BT40+nh3_st_ab_losses)/1000000+Carriers!$N$18/Carriers!$N$23*((BT40+nh3_st_ab_losses)/365.25*short_st_duration_hrs/24)*(h2_short_st_invest*(1/gh2_short_st_lifetime+$M40+h2_short_st_opex)+h2_short_st_e_demand*1000*$AU40/100)/1000000+Carriers!$N$19/Carriers!$N$23*((BT40+nh3_st_ab_losses)/365.25*short_st_duration_hrs/24)*(n2_short_st_invest*(1/n2_short_st_lifetime+$M40+n2_short_st_opex)+n2_short_st_e_demand*1000*$AU40/100)/1000000</f>
        <v>3635.5046491615294</v>
      </c>
      <c r="BT40" s="63">
        <f>Storage!$G$57/((1-Shipping!$H$37)^(F40/24/Shipping!$H$44+0.5*Shipping!$H$59))</f>
        <v>76857210.785724297</v>
      </c>
      <c r="BU40" s="63" t="str">
        <f>IF($E40="","No Port",((F40/24/Shipping!$H$44+F40/24/Shipping!$H$50+Shipping!$H$59+Shipping!$H$64)*(Shipping!$H$22+wacc_nl*Shipping!$H$19/365.25*1000000+Shipping!$H$35)+(F40/24/Shipping!$H$44*Shipping!$H$45+Shipping!$H$64*Shipping!$H$65)*IF(bunker_choice="HFO",H40,IF(bunker_choice="hydrogen",BD40*hfo_e_density_lhv/h2_e_density_lhv,(BR40+BS40)*1000000/BT40*hfo_e_density_lhv/nh3_e_density_lhv))+(F40/24/Shipping!$H$50*Shipping!$H$51+Shipping!$H$59*Shipping!$H$60)*IF(bunker_choice="HFO",bunker_price_ROT,IF(bunker_choice="hydrogen",BD40*hfo_e_density_lhv/h2_e_density_lhv,(BR40+BS40)*1000000/BT40*hfo_e_density_lhv/nh3_e_density_lhv))+Shipping!$H$73+IF(G40="Panama",Shipping!$H$55,0)+IF(G40="Suez",Shipping!$H$56,0))/Shipping!$H$31*BT40/1000000+IF(inland_transport_to_port="hv dc grid",$BM40/100*1000*BW40,IF(inland_transport_to_port="pipeline",$BN40,0)))</f>
        <v>No Port</v>
      </c>
      <c r="BV40" s="63" t="str">
        <f t="shared" si="18"/>
        <v/>
      </c>
      <c r="BW40" s="33">
        <f>((Carriers!$N$18/Carriers!$N$23*alk_el_e_demand)+(Carriers!$N$19/Carriers!$N$23*n2_e_demand)+nh3_e_demand)*(BT40+nh3_st_ab_losses)/1000000+nh3_st_e_demand*BT40/1000000</f>
        <v>759.00171168026975</v>
      </c>
      <c r="BX40" s="33">
        <f t="shared" si="19"/>
        <v>0.76626754477640768</v>
      </c>
      <c r="BY40" s="63" t="str">
        <f>IFERROR(BV40*1000000/Storage!$G$12,"")</f>
        <v/>
      </c>
      <c r="BZ40" s="63">
        <f>H2_retrieval!$F$25*h2_demand_kt/1000</f>
        <v>80</v>
      </c>
      <c r="CA40" s="63" t="str">
        <f>IFERROR(BY40*(1+H2_retrieval!$F$34)/Carrier_properties!$E$7+H2_retrieval!$F$38,"")</f>
        <v/>
      </c>
      <c r="CB40" s="149">
        <f>(FA_invest*(M40+1/FA_lifetime)/FA_prod+FA_opex+FA_e_demand*1000*$AU40/100+Carriers!$P$18/Carriers!$P$23*BD40+Carriers!$P$20/Carriers!$P$23*co2_liq_cost)*(CF40+FA_st_ab_losses)/1000000</f>
        <v>118067.48862475407</v>
      </c>
      <c r="CC40" s="86">
        <f>(FA_invest*(M40+1/FA_lifetime)/FA_prod+FA_opex+FA_e_demand*1000*$AU40/100+Carriers!$P$18/Carriers!$P$23*BD40+Carriers!$P$20/Carriers!$P$23*BP40)*(CF40+FA_st_ab_losses)/1000000</f>
        <v>148495.42469345458</v>
      </c>
      <c r="CD40" s="63">
        <f>FA_st_nl_cost*FA_st_nl_demand/1000000+(FA_st_invest*(M40+1/FA_st_lifetime+FA_st_opex)/(Storage!$I$63/1000000)+FA_st_e_demand*1000*$AU40/100)*(CF40+FA_st_ab_losses)/1000000+co2_st_nl_cost*Storage!$I$12*co2_density/FA_density/1000000+(co2_st_opex_lev+co2_st_invest_lev+co2_st_e_demand*1000*$AU40/100)*Storage!$I$12/1000000+co2_st_invest_lev*Storage!$I$12*co2_st_lifetime*M40/1000000+Carriers!$P$18/Carriers!$P$23*((CF40+FA_st_ab_losses)/365.25*short_st_duration_hrs/24)*(h2_short_st_invest*(1/gh2_short_st_lifetime+$M40+h2_short_st_opex)+h2_short_st_e_demand*1000*$AU40/100)/1000000+Carriers!$P$20/Carriers!$P$23*((CF40+FA_st_ab_losses)/365.25*short_st_duration_hrs/24)*(co2_short_st_invest*(1/co2_short_st_lifetime+$M40+co2_short_st_opex)+co2_short_st_e_demand*1000*$AU40/100)/1000000</f>
        <v>12523.61875948596</v>
      </c>
      <c r="CE40" s="63">
        <f>FA_st_nl_cost*FA_st_nl_demand/1000000+(FA_st_invest*(M40+1/FA_st_lifetime+FA_st_opex)/(Storage!$I$63/1000000)+FA_st_e_demand*1000*$AU40/100)*(CF40+FA_st_ab_losses)/1000000+Carriers!$P$18/Carriers!$P$23*((CF40+FA_st_ab_losses)/365.25*short_st_duration_hrs/24)*(h2_short_st_invest*(1/gh2_short_st_lifetime+$M40+h2_short_st_opex)+h2_short_st_e_demand*1000*$AU40/100)/1000000+Carriers!$P$20/Carriers!$P$23*((CF40+FA_st_ab_losses)/365.25*short_st_duration_hrs/24)*(co2_short_st_invest*(1/co2_short_st_lifetime+$M40+co2_short_st_opex)+co2_short_st_e_demand*1000*$AU40/100)/1000000</f>
        <v>5491.0908961557761</v>
      </c>
      <c r="CF40" s="63">
        <f>Storage!$I$57/((1-Shipping!$J$37)^($F40/24/Shipping!$J$44+0.5*Shipping!$J$59))</f>
        <v>310425396.82539684</v>
      </c>
      <c r="CG40" s="28" t="str">
        <f>IF($E40="","No Port",((F40/24/Shipping!$J$44+F40/24/Shipping!$J$50+Shipping!$J$59+Shipping!$J$64)*(Shipping!$J$22+wacc_nl*Shipping!$J$19/365.25*1000000+Shipping!$J$35)+(F40/24/Shipping!$J$44*Shipping!$J$45+Shipping!$J$64*Shipping!$J$65)*IF(bunker_choice="HFO",$H40,IF(bunker_choice="hydrogen",$BD40*hfo_e_density_lhv/h2_e_density_lhv,(CB40+CD40)*1000000/CF40*hfo_e_density_lhv/FA_e_density_lhv))+(F40/24/Shipping!$J$50*Shipping!$J$51+Shipping!$J$59*Shipping!$J$60)*IF(bunker_choice="HFO",bunker_price_ROT,IF(bunker_choice="hydrogen",$BD40*hfo_e_density_lhv/h2_e_density_lhv,(CB40+CD40)*1000000/CF40*hfo_e_density_lhv/FA_e_density_lhv))+Shipping!$J$73+IF(G40="Panama",Shipping!$J$55,0)+IF(G40="Suez",Shipping!$J$56,0))/Shipping!$J$31*CF40/1000000+IF(inland_transport_to_port="hv dc grid",$BM40/100*1000*CI40,IF(inland_transport_to_port="pipeline",$BN40,0)))</f>
        <v>No Port</v>
      </c>
      <c r="CH40" s="28" t="str">
        <f t="shared" si="36"/>
        <v/>
      </c>
      <c r="CI40" s="29">
        <f>((Carriers!$P$18/Carriers!$P$23*alk_el_e_demand)+FA_e_demand)*(CF40+FA_st_ab_losses)/1000000+FA_st_e_demand*CF40/1000000</f>
        <v>1897.8881241622576</v>
      </c>
      <c r="CJ40" s="29">
        <f t="shared" si="20"/>
        <v>0.46563809523809524</v>
      </c>
      <c r="CK40" s="28" t="str">
        <f>IFERROR(CH40*1000000/Storage!$I$12,"")</f>
        <v/>
      </c>
      <c r="CL40" s="28" t="str">
        <f>IF($E40="","No Port",((F40/24/Shipping!$J$44+F40/24/Shipping!$J$50+Shipping!$J$59+Shipping!$J$64)*Carriers!$P$39*wacc_nl))</f>
        <v>No Port</v>
      </c>
      <c r="CM40" s="29">
        <f>H2_retrieval!$H$25*h2_demand_kt/1000+(co2_liq_e_demand+co2_st_e_demand*2)*Storage!$I$12*co2_density/FA_density/1000000</f>
        <v>94.204253879484654</v>
      </c>
      <c r="CN40" s="28" t="str">
        <f>IFERROR((((CB40+CD40+CG40)*(1+H2_retrieval!$H$34)+CL40)*1000000/H2_retrieval!$H$8)+h2_regen_fa,"")</f>
        <v/>
      </c>
      <c r="CO40" s="149">
        <f>(meoh_invest*(M40+1/meoh_lifetime)/meoh_prod+meoh_opex+meoh_e_demand*1000*$AU40/100+Carriers!$R$18/Carriers!$R$23*BD40+Carriers!$R$20/Carriers!$R$23*co2_liq_cost)*(CS40+meoh_st_ab_losses)/1000000</f>
        <v>74950.574485416641</v>
      </c>
      <c r="CP40" s="86">
        <f>(meoh_invest*(M40+1/meoh_lifetime)/meoh_prod+meoh_opex+meoh_e_demand*1000*$AU40/100+Carriers!$R$18/Carriers!$R$23*BD40+Carriers!$R$20/Carriers!$R$23*BP40)*(CS40+meoh_st_ab_losses)/1000000</f>
        <v>92812.712324009073</v>
      </c>
      <c r="CQ40" s="63">
        <f>meoh_st_nl_cost*meoh_st_nl_demand/1000000+(meoh_st_invest*(M40+1/meoh_st_lifetime+meoh_st_opex)/(Storage!$K$63/1000000)+meoh_st_e_demand*1000*$AU40/100)*(CS40+meoh_st_ab_losses)/1000000+co2_st_nl_cost*Storage!$K$12*co2_density/meoh_density/1000000+(co2_st_opex_lev+co2_st_invest_lev+co2_st_e_demand*1000*IFERROR(MIN(S40,AA40,AI40),S40)/100)*Storage!$K$12/1000000+co2_st_invest_lev*Storage!$K$12*co2_st_lifetime*M40/1000000+Carriers!$R$18/Carriers!$R$23*((CS40+meoh_st_ab_losses)/365.25*short_st_duration_hrs/24)*(h2_short_st_invest*(1/gh2_short_st_lifetime+$M40+h2_short_st_opex)+h2_short_st_e_demand*1000*$AU40/100)/1000000+Carriers!$R$20/Carriers!$R$23*((CF40+meoh_st_ab_losses)/365.25*short_st_duration_hrs/24)*(co2_short_st_invest*(1/co2_short_st_lifetime+$M40+co2_short_st_opex)+co2_short_st_e_demand*1000*$AU40/100)/1000000</f>
        <v>5235.9552319538561</v>
      </c>
      <c r="CR40" s="63">
        <f>meoh_st_nl_cost*meoh_st_nl_demand/1000000+(meoh_st_invest*(M40+1/meoh_st_lifetime+meoh_st_opex)/(Storage!$K$63/1000000)+meoh_st_e_demand*1000*$AU40/100)*(CS40+meoh_st_ab_losses)/1000000+Carriers!$R$18/Carriers!$R$23*((CS40+meoh_st_ab_losses)/365.25*short_st_duration_hrs/24)*(h2_short_st_invest*(1/gh2_short_st_lifetime+$M40+h2_short_st_opex)+h2_short_st_e_demand*1000*$AU40/100)/1000000+Carriers!$R$20/Carriers!$R$23*((CF40+meoh_st_ab_losses)/365.25*short_st_duration_hrs/24)*(co2_short_st_invest*(1/co2_short_st_lifetime+$M40+co2_short_st_opex)+co2_short_st_e_demand*1000*$AU40/100)/1000000</f>
        <v>2189.2664200788399</v>
      </c>
      <c r="CS40" s="63">
        <f>Storage!$K$57/((1-Shipping!$L$37)^($F40/24/Shipping!$L$44+0.5*Shipping!$L$59))</f>
        <v>108044444.44444443</v>
      </c>
      <c r="CT40" s="28" t="str">
        <f>IF($E40="","No Port",IF(AND(ship_choice="VLCC",G40="Panama"),"Ship cannot pass through Panama",IF(ship_choice="VLCC",((F40/24/Shipping!$AD$44+F40/24/Shipping!$AD$50+Shipping!$AD$59+Shipping!$AD$64)*(Shipping!$AD$22+wacc_nl*Shipping!$AD$19/365.25*1000000+Shipping!$AD$35)+(F40/24/Shipping!$AD$44*Shipping!$AD$45+Shipping!$AD$64*Shipping!$AD$65)*IF(bunker_choice="HFO",$H40,IF(bunker_choice="hydrogen",$BD40*hfo_e_density_lhv/h2_e_density_lhv,(CO40+CQ40)*1000000/CS40*hfo_e_density_lhv/meoh_e_density_lhv))+(F40/24/Shipping!$AD$50*Shipping!$AD$51+Shipping!$AD$59*Shipping!$AD$60)*IF(bunker_choice="HFO",bunker_price_ROT,IF(bunker_choice="hydrogen",$BD40*hfo_e_density_lhv/h2_e_density_lhv,(CO40+CQ40)*1000000/CS40*hfo_e_density_lhv/meoh_e_density_lhv))+Shipping!$AD$73+IF(G40="Panama",Shipping!$AD$55,0)+IF(G40="Suez",Shipping!$AD$56,0))/Shipping!$AD$31*CS40/1000000+IF(inland_transport_to_port="hv dc grid",$BM40/100*1000*CV40,IF(inland_transport_to_port="pipeline",$BN40,0)),((F40/24/Shipping!$L$44+F40/24/Shipping!$L$50+Shipping!$L$59+Shipping!$L$64)*(Shipping!$L$22+wacc_nl*Shipping!$L$19/365.25*1000000+Shipping!$L$35)+(F40/24/Shipping!$L$44*Shipping!$L$45+Shipping!$L$64*Shipping!$L$65)*IF(bunker_choice="HFO",$H40,IF(bunker_choice="hydrogen",$BD40*hfo_e_density_lhv/h2_e_density_lhv,(CO40+CQ40)*1000000/CS40*hfo_e_density_lhv/meoh_e_density_lhv))+(F40/24/Shipping!$L$50*Shipping!$L$51+Shipping!$L$59*Shipping!$L$60)*IF(bunker_choice="HFO",bunker_price_ROT,IF(bunker_choice="hydrogen",$BD40*hfo_e_density_lhv/h2_e_density_lhv,(CO40+CQ40)*1000000/CS40*hfo_e_density_lhv/meoh_e_density_lhv))+Shipping!$L$73+IF(G40="Panama",Shipping!$L$55,0)+IF(G40="Suez",Shipping!$L$56,0))/Shipping!$L$31*CS40/1000000+IF(inland_transport_to_port="hv dc grid",$BM40/100*1000*CV40,IF(inland_transport_to_port="pipeline",$BN40,0)))))</f>
        <v>No Port</v>
      </c>
      <c r="CU40" s="28" t="str">
        <f t="shared" si="37"/>
        <v/>
      </c>
      <c r="CV40" s="29">
        <f>((Carriers!$R$18/Carriers!$R$23*alk_el_e_demand)+meoh_e_demand)*(CS40+meoh_st_ab_losses)/1000000+meoh_st_e_demand*CS40/1000000</f>
        <v>1119.9789871111109</v>
      </c>
      <c r="CW40" s="29">
        <f t="shared" si="21"/>
        <v>0.16206666666666666</v>
      </c>
      <c r="CX40" s="28" t="str">
        <f>IFERROR(CU40*1000000/Storage!$K$12,"")</f>
        <v/>
      </c>
      <c r="CY40" s="28" t="str">
        <f>IF($E40="","No Port",((F40/24/Shipping!$L$44+F40/24/Shipping!$L$50+Shipping!$L$59+Shipping!$L$64)*Carriers!$R$39*wacc_nl))</f>
        <v>No Port</v>
      </c>
      <c r="CZ40" s="29">
        <f>H2_retrieval!$J$25*h2_demand_kt/1000+(co2_liq_e_demand+co2_st_e_demand*2)*Storage!$K$12*co2_density/meoh_density/1000000</f>
        <v>251.05079059698966</v>
      </c>
      <c r="DA40" s="28" t="str">
        <f>IFERROR((((CO40+CQ40+CT40)*(1+H2_retrieval!$J$34)+CY40)*1000000/H2_retrieval!$J$8)+h2_regen_meoh,"")</f>
        <v/>
      </c>
      <c r="DB40" s="149">
        <f>(DBT_invest*(M40+1/DBT_lifetime)/DBT_prod+DBT_opex+DBT_e_demand*1000*$AU40/100+Carriers!$T$18/Carriers!$T$23*BD40)*(DD40+DBT_st_ab_losses)/1000000</f>
        <v>50272.508930332697</v>
      </c>
      <c r="DC40" s="28">
        <f>2*(DBT_st_nl_cost*DBT_st_nl_demand/1000000+(DBT_st_invest*(M40+1/DBT_st_lifetime+DBT_st_opex)/(Storage!$M$63/1000000)+DBT_st_e_demand*1000*$AU40/100)*(DD40+DBT_st_ab_losses)/1000000)+Carriers!$T$18/Carriers!$T$23*((DD40+DBT_st_ab_losses)/365.25*short_st_duration_hrs/24)*(h2_short_st_invest*(1/gh2_short_st_lifetime+$M40+h2_short_st_opex)+h2_short_st_e_demand*1000*$AU40/100)/1000000</f>
        <v>4461.8092050154373</v>
      </c>
      <c r="DD40" s="63">
        <f>Storage!$M$57/((1-Shipping!$N$37)^($F40/24/Shipping!$N$44+0.5*Shipping!$N$59))</f>
        <v>219354838.70967743</v>
      </c>
      <c r="DE40" s="28" t="str">
        <f>IF($E40="","No Port",IF(AND(ship_choice="VLCC",G40="Panama"),"Ship cannot pass through Panama",IF(ship_choice="VLCC",((F40/24/Shipping!$AD$44+F40/24/Shipping!$AD$50+Shipping!$AD$59+Shipping!$AD$64)*(Shipping!$AD$22+wacc_nl*Shipping!$AD$19/365.25*1000000+Shipping!$AD$35)+(F40/24/Shipping!$AD$44*Shipping!$AD$45+Shipping!$AD$64*Shipping!$AD$65)*IF(bunker_choice="HFO",$H40,IF(bunker_choice="hydrogen",$BD40*hfo_e_density_lhv/h2_e_density_lhv,(DB40+DC40)*1000000/DD40*hfo_e_density_lhv/DBT_e_density_lhv))+(F40/24/Shipping!$AD$50*Shipping!$AD$51+Shipping!$AD$59*Shipping!$AD$60)*IF(bunker_choice="HFO",bunker_price_ROT,IF(bunker_choice="hydrogen",$BD40*hfo_e_density_lhv/h2_e_density_lhv,(DB40+DC40)*1000000/DD40*hfo_e_density_lhv/DBT_e_density_lhv))+Shipping!$AD$73+IF(G40="Panama",Shipping!$AD$55,0)+IF(G40="Suez",Shipping!$AD$56,0))/Shipping!$AD$31*DD40/1000000+IF(inland_transport_to_port="hv dc grid",$BM40/100*1000*DG40,IF(inland_transport_to_port="pipeline",$BN40,0)),((F40/24/Shipping!$N$44+F40/24/Shipping!$N$50+Shipping!$N$59+Shipping!$N$64)*(Shipping!$N$22+wacc_nl*Shipping!$N$19/365.25*1000000+Shipping!$N$35)+(F40/24/Shipping!$N$44*Shipping!$N$45+Shipping!$N$64*Shipping!$N$65)*IF(bunker_choice="HFO",$H40,IF(bunker_choice="hydrogen",$BD40*hfo_e_density_lhv/h2_e_density_lhv,(DB40+DC40)*1000000/DD40*hfo_e_density_lhv/DBT_e_density_lhv))+(F40/24/Shipping!$N$50*Shipping!$N$51+Shipping!$N$59*Shipping!$N$60)*IF(bunker_choice="HFO",bunker_price_ROT,IF(bunker_choice="hydrogen",$BD40*hfo_e_density_lhv/h2_e_density_lhv,(DB40+DC40)*1000000/DD40*hfo_e_density_lhv/DBT_e_density_lhv))+Shipping!$N$73+IF(G40="Panama",Shipping!$N$55,0)+IF(G40="Suez",Shipping!$N$56,0))/Shipping!$N$31*Shipping!$N$86/1000000+IF(inland_transport_to_port="hv dc grid",$BM40/100*1000*DG40,IF(inland_transport_to_port="pipeline",$BN40,0)))))</f>
        <v>No Port</v>
      </c>
      <c r="DF40" s="28" t="str">
        <f>IFERROR(DB40+DC40+DE40,"")</f>
        <v/>
      </c>
      <c r="DG40" s="29">
        <f>((Carriers!$T$18/Carriers!$T$23*alk_el_e_demand)+DBT_e_demand)*(DD40+DBT_st_ab_losses)/1000000+DBT_st_e_demand*DD40/1000000</f>
        <v>703.88335483870969</v>
      </c>
      <c r="DH40" s="29">
        <f t="shared" si="23"/>
        <v>0.21935483870967742</v>
      </c>
      <c r="DI40" s="28" t="str">
        <f>IFERROR(DF40*1000000/Storage!$M$12,"")</f>
        <v/>
      </c>
      <c r="DJ40" s="28" t="str">
        <f>IF($E40="","No Port",((F40/24/Shipping!$N$44+F40/24/Shipping!$N$50+Shipping!$N$59+Shipping!$N$64)*Carriers!$T$39*wacc_nl))</f>
        <v>No Port</v>
      </c>
      <c r="DK40" s="100">
        <f>H2_retrieval!$L$25*h2_demand_kt/1000+(co2_liq_e_demand+co2_st_e_demand*2)*Storage!$M$12*co2_density/DBT_density/1000000</f>
        <v>206.61934861671787</v>
      </c>
      <c r="DL40" s="28" t="str">
        <f>IFERROR(((DF40*(1+H2_retrieval!$L$34)+DJ40)*1000000/H2_retrieval!$L$8)+h2_regen_lohc,"")</f>
        <v/>
      </c>
      <c r="DM40" s="149">
        <f t="shared" si="24"/>
        <v>54073.670062952348</v>
      </c>
      <c r="DN40" s="16">
        <f>2*(nabh4_st_nl_cost*nabh4_st_nl_demand/1000000+(nabh4_st_invest*(M40+1/nabh4_st_lifetime+nabh4_st_opex)/(Storage!$O$63/1000000)+nabh4_st_e_demand*1000*$AU40/100)*(DO40+nabh4_st_ab_losses)/1000000)+(h2_demand_kt*1000/365.25*short_st_duration_hrs/24)*(h2_short_st_invest*(1/gh2_short_st_lifetime+$M40+h2_short_st_opex)+h2_short_st_e_demand*1000*$AU40/100)/1000000</f>
        <v>1509.9554855710853</v>
      </c>
      <c r="DO40" s="63">
        <f>Storage!$O$57/((1-Shipping!$P$37)^($F40/24/Shipping!$P$44+0.5*Shipping!$P$59))</f>
        <v>63920000</v>
      </c>
      <c r="DP40" s="16" t="str">
        <f>IF($E40="","No Port",((F40/24/Shipping!$P$44+F40/24/Shipping!$P$50+Shipping!$P$59+Shipping!$P$64)*(Shipping!$P$22+wacc_nl*Shipping!$P$19/365.25*1000000+Shipping!$P$35)+(F40/24/Shipping!$P$44*Shipping!$P$45+Shipping!$P$64*Shipping!$P$65)*IF(bunker_choice="HFO",$H40,IF(bunker_choice="hydrogen",$BD40*hfo_e_density_lhv/h2_e_density_lhv,(DM40+DN40)*1000000/DO40*hfo_e_density_lhv/nabh4_e_density_lhv))+(F40/24/Shipping!$P$50*Shipping!$P$51+Shipping!$P$59*Shipping!$P$60)*IF(bunker_choice="HFO",bunker_price_ROT,IF(bunker_choice="hydrogen",$BD40*hfo_e_density_lhv/h2_e_density_lhv,(DM40+DN40)*1000000/DO40*hfo_e_density_lhv/nabh4_e_density_lhv))+Shipping!$P$73+IF(G40="Panama",Shipping!$P$55,0)+IF(G40="Suez",Shipping!$P$56,0))/Shipping!$P$31*(DO40+nabh4_st_ab_losses)/1000000+IF(inland_transport_to_port="hv dc grid",$BM40/100*1000*DR40,IF(inland_transport_to_port="pipeline",$BN40,0)))</f>
        <v>No Port</v>
      </c>
      <c r="DQ40" s="28" t="str">
        <f t="shared" si="60"/>
        <v/>
      </c>
      <c r="DR40" s="29">
        <f>((Carriers!$V$18/Carriers!$V$23*alk_el_e_demand)+nabh4_e_demand)*(DO40+nabh4_st_ab_losses)/1000000+nabh4_st_e_demand*DO40/1000000</f>
        <v>980.02139682539689</v>
      </c>
      <c r="DS40" s="28">
        <f t="shared" si="25"/>
        <v>3.1960000000000002</v>
      </c>
      <c r="DT40" s="28" t="str">
        <f>IFERROR(DQ40*1000000/Storage!$O$12,"")</f>
        <v/>
      </c>
      <c r="DU40" s="28" t="str">
        <f>IF($E40="","No Port",((F40/24/Shipping!$P$44+F40/24/Shipping!$P$50+Shipping!$P$59+Shipping!$P$64)*Carriers!$V$39*wacc_nl))</f>
        <v>No Port</v>
      </c>
      <c r="DV40" s="100">
        <f>H2_retrieval!$N$25*h2_demand_kt/1000+(co2_liq_e_demand+co2_st_e_demand*2)*Storage!$O$12*co2_density/nabh4_density/1000000</f>
        <v>18.783638728971958</v>
      </c>
      <c r="DW40" s="28" t="str">
        <f>IFERROR(((DQ40*(1+H2_retrieval!$N$34)+DU40)*1000000/H2_retrieval!$N$8)+h2_regen_nabh4,"")</f>
        <v/>
      </c>
      <c r="DX40" s="149">
        <f>(Dme_invest*(M40+1/Dme_lifetime)/Dme_prod+Dme_opex+Dme_e_demand*1000*$AU40/100+Carriers!$X$21/Carriers!$X$23*(CO40*1000000/CS40))*(EB40+Dme_st_ab_losses)/1000000</f>
        <v>105112.89612419863</v>
      </c>
      <c r="DY40" s="86">
        <f>(Dme_invest*(M40+1/Dme_lifetime)/Dme_prod+Dme_opex+Dme_e_demand*1000*$AU40/100+Carriers!$X$21/Carriers!$X$23*(CP40*1000000/CS40))*(EB40+Dme_st_ab_losses)/1000000</f>
        <v>129345.81570653612</v>
      </c>
      <c r="DZ40" s="63">
        <f>Dme_st_nl_cost*Dme_st_nl_demand/1000000+(Dme_st_invest*(M40+1/Dme_st_lifetime+Dme_st_opex)/(Storage!$Q$63/1000000)+Dme_st_e_demand*1000*$AU40/100)*(EB40+Dme_st_ab_losses)/1000000+co2_st_nl_cost*Storage!$Q$12*co2_density/Dme_density/1000000+(co2_st_opex_lev+co2_st_invest_lev+co2_st_e_demand*1000*$AU40/100)*Storage!$Q$12/1000000+co2_st_invest_lev*Storage!$Q$12*co2_st_lifetime*M40/1000000+(h2_demand_kt*1000/365.25*short_st_duration_hrs/24)*(h2_short_st_invest*(1/gh2_short_st_lifetime+$M40+h2_short_st_opex)+h2_short_st_e_demand*1000*$AU40/100)/1000000</f>
        <v>6297.8147091959845</v>
      </c>
      <c r="EA40" s="63">
        <f>Dme_st_nl_cost*Dme_st_nl_demand/1000000+(Dme_st_invest*(M40+1/Dme_st_lifetime+Dme_st_opex)/(Storage!$Q$63/1000000)+Dme_st_e_demand*1000*$AU40/100)*(EB40+Dme_st_ab_losses)/1000000+(h2_demand_kt*1000/365.25*short_st_duration_hrs/24)*(h2_short_st_invest*(1/gh2_short_st_lifetime+$M40+h2_short_st_opex)+h2_short_st_e_demand*1000*$AU40/100)/1000000</f>
        <v>3251.0437509602725</v>
      </c>
      <c r="EB40" s="63">
        <f>Storage!$Q$57/((1-Shipping!$R$37)^($F40/24/Shipping!$R$44+0.5*Shipping!$R$59))</f>
        <v>103547089.94708996</v>
      </c>
      <c r="EC40" s="153" t="str">
        <f>IF($E40="","No Port",IF(AND(ship_choice="VLCC",G40="Panama"),"Ship cannot pass through Panama",IF(ship_choice="VLCC",((F40/24/Shipping!$AD$44+F40/24/Shipping!$AD$50+Shipping!$AD$59+Shipping!$AD$64)*(Shipping!$AD$22+wacc_nl*Shipping!$AD$19/365.25*1000000+Shipping!$AD$35)+(F40/24/Shipping!$AD$44*Shipping!$AD$45+Shipping!$AD$64*Shipping!$AD$65)*IF(bunker_choice="HFO",$H40,IF(bunker_choice="hydrogen",$BD40*hfo_e_density_lhv/h2_e_density_lhv,(DX40+DZ40)*1000000/EB40*hfo_e_density_lhv/Dme_e_density_lhv))+(F40/24/Shipping!$AD$50*Shipping!$AD$51+Shipping!$AD$59*Shipping!$AD$60)*IF(bunker_choice="HFO",bunker_price_ROT,IF(bunker_choice="hydrogen",$BD40*hfo_e_density_lhv/h2_e_density_lhv,(DX40+DZ40)*1000000/EB40*hfo_e_density_lhv/Dme_e_density_lhv))+Shipping!$AD$73+IF(G40="Panama",Shipping!$AD$55,0)+IF(G40="Suez",Shipping!$AD$56,0))/Shipping!$AD$31*(EB40+Dme_st_ab_losses)/1000000+IF(inland_transport_to_port="hv dc grid",$BM40/100*1000*EE40,IF(inland_transport_to_port="pipeline",$BN40,0)),((F40/24/Shipping!$R$44+F40/24/Shipping!$R$50+Shipping!$R$59+Shipping!$R$64)*(Shipping!$R$22+wacc_nl*Shipping!$R$19/365.25*1000000+Shipping!$R$35)+(F40/24/Shipping!$R$44*Shipping!$R$45+Shipping!$R$64*Shipping!$R$65)*IF(bunker_choice="HFO",$H40,IF(bunker_choice="hydrogen",$BD40*hfo_e_density_lhv/h2_e_density_lhv,(DX40+DZ40)*1000000/EB40*hfo_e_density_lhv/Dme_e_density_lhv))+(F40/24/Shipping!$R$50*Shipping!$R$51+Shipping!$R$59*Shipping!$R$60)*IF(bunker_choice="HFO",bunker_price_ROT,IF(bunker_choice="hydrogen",$BD40*hfo_e_density_lhv/h2_e_density_lhv,(DX40+DZ40)*1000000/EB40*hfo_e_density_lhv/Dme_e_density_lhv))+Shipping!$R$73+IF(G40="Panama",Shipping!$R$55,0)+IF(G40="Suez",Shipping!$R$56,0))/Shipping!$R$31*(EB40+Dme_st_ab_losses)/1000000+IF(inland_transport_to_port="hv dc grid",$BM40/100*1000*EE40,IF(inland_transport_to_port="pipeline",$BN40,0)))))</f>
        <v>No Port</v>
      </c>
      <c r="ED40" s="28" t="str">
        <f t="shared" si="39"/>
        <v/>
      </c>
      <c r="EE40" s="29">
        <f>(Dme_e_demand)*(EB40+Dme_st_ab_losses)/1000000+Dme_st_e_demand*DZ40/1000000+$CV40*(Carriers!$X$21/Carriers!$X$23*EB40)/$CS40</f>
        <v>1550.2168231452029</v>
      </c>
      <c r="EF40" s="29">
        <f t="shared" si="26"/>
        <v>1.0354708994708997</v>
      </c>
      <c r="EG40" s="28" t="str">
        <f>IFERROR(ED40*1000000/Storage!$Q$12,"")</f>
        <v/>
      </c>
      <c r="EH40" s="28" t="str">
        <f>IF($E40="","No Port",((F40/24/Shipping!$R$44+F40/24/Shipping!$R$50+Shipping!$R$59+Shipping!$R$64)*Carriers!$X$39*wacc_nl))</f>
        <v>No Port</v>
      </c>
      <c r="EI40" s="100">
        <f>H2_retrieval!$P$25*h2_demand_kt/1000+(co2_liq_e_demand+co2_st_e_demand*2)*Storage!$Q$12*co2_density/Dme_density/1000000</f>
        <v>252.45335899349112</v>
      </c>
      <c r="EJ40" s="28" t="str">
        <f>IFERROR((((DX40+DZ40+EC40)*(1+H2_retrieval!$P$34)+EH40)*1000000/H2_retrieval!$P$8)+h2_regen_dme,"")</f>
        <v/>
      </c>
      <c r="EK40" s="149">
        <f>(ome_invest*(M40+1/ome_lifetime)/ome_prod+ome_opex+ome_e_demand*1000*$AU40/100+Carriers!$Z$21/Carriers!$Z$23*(CO40*1000000/CS40))*(EO40+ome_st_ab_losses)/1000000</f>
        <v>228035.18107441737</v>
      </c>
      <c r="EL40" s="86">
        <f>(ome_invest*(M40+1/ome_lifetime)/ome_prod+ome_opex+ome_e_demand*1000*$AU40/100+Carriers!$Z$21/Carriers!$Z$23*(CP40*1000000/CS40))*(EO40+ome_st_ab_losses)/1000000</f>
        <v>278904.79653137707</v>
      </c>
      <c r="EM40" s="63">
        <f>ome_st_nl_cost*ome_st_nl_demand/1000000+(ome_st_invest*(M40+1/ome_st_lifetime+ome_st_opex)/(Storage!$S$63/1000000)+ome_st_e_demand*1000*$AU40/100)*(EO40+ome_st_ab_losses)/1000000+co2_st_nl_cost*Storage!$S$12*co2_density/ome_density/1000000+(co2_st_opex_lev+co2_st_invest_lev+co2_st_e_demand*1000*$AU40/100)*Storage!$S$12/1000000+co2_st_invest_lev*Storage!$S$12*co2_st_lifetime*M40/1000000+(h2_demand_kt*1000/365.25*short_st_duration_hrs/24)*(h2_short_st_invest*(1/gh2_short_st_lifetime+$M40+h2_short_st_opex)+h2_short_st_e_demand*1000*$AU40/100)/1000000</f>
        <v>5399.2271865121656</v>
      </c>
      <c r="EN40" s="63">
        <f>ome_st_nl_cost*ome_st_nl_demand/1000000+(ome_st_invest*(M40+1/ome_st_lifetime+ome_st_opex)/(Storage!$S$63/1000000)+ome_st_e_demand*1000*$AU40/100)*(EO40+ome_st_ab_losses)/1000000+(h2_demand_kt*1000/365.25*short_st_duration_hrs/24)*(h2_short_st_invest*(1/gh2_short_st_lifetime+$M40+h2_short_st_opex)+h2_short_st_e_demand*1000*$AU40/100)/1000000</f>
        <v>1963.6078628444641</v>
      </c>
      <c r="EO40" s="63">
        <f>Storage!$S$57/((1-Shipping!$T$37)^($F40/24/Shipping!$T$44+0.5*Shipping!$T$59))</f>
        <v>128282539.68253967</v>
      </c>
      <c r="EP40" s="28" t="str">
        <f>IF($E40="","No Port",IF(AND(ship_choice="VLCC",G40="Panama"),"Ship cannot pass through Panama",IF(ship_choice="VLCC",((F40/24/Shipping!$AD$44+F40/24/Shipping!$AD$50+Shipping!$AD$59+Shipping!$AD$64)*(Shipping!$AD$22+wacc_nl*Shipping!$AD$19/365.25*1000000+Shipping!$AD$35)+(F40/24/Shipping!$AD$44*Shipping!$AD$45+Shipping!$AD$64*Shipping!$AD$65)*IF(bunker_choice="HFO",$H40,IF(bunker_choice="hydrogen",$BD40*hfo_e_density_lhv/h2_e_density_lhv,(EK40+EM40)*1000000/EO40*hfo_e_density_lhv/Dme_e_density_lhv))+(F40/24/Shipping!$AD$50*Shipping!$AD$51+Shipping!$AD$59*Shipping!$AD$60)*IF(bunker_choice="HFO",bunker_price_ROT,IF(bunker_choice="hydrogen",$BD40*hfo_e_density_lhv/h2_e_density_lhv,(EK40+EM40)*1000000/EO40*hfo_e_density_lhv/ome_e_density_lhv))+Shipping!$AD$73+IF(G40="Panama",Shipping!$AD$55,0)+IF(G40="Suez",Shipping!$AD$56,0))/Shipping!$AD$31*(EO40+ome_st_ab_losses)/1000000+IF(inland_transport_to_port="hv dc grid",$BM40/100*1000*ER40,IF(inland_transport_to_port="pipeline",$BN40,0)),((F40/24/Shipping!$T$44+F40/24/Shipping!$T$50+Shipping!$T$59+Shipping!$T$64)*(Shipping!$T$22+wacc_nl*Shipping!$T$19/365.25*1000000+Shipping!$T$35)+(F40/24/Shipping!$T$44*Shipping!$T$45+Shipping!$T$64*Shipping!$T$65)*IF(bunker_choice="HFO",$H40,IF(bunker_choice="hydrogen",$BD40*hfo_e_density_lhv/h2_e_density_lhv,(EK40+EM40)*1000000/EO40*hfo_e_density_lhv/Dme_e_density_lhv))+(F40/24/Shipping!$T$50*Shipping!$T$51+Shipping!$T$59*Shipping!$T$60)*IF(bunker_choice="HFO",bunker_price_ROT,IF(bunker_choice="hydrogen",$BD40*hfo_e_density_lhv/h2_e_density_lhv,(EK40+EM40)*1000000/EO40*hfo_e_density_lhv/ome_e_density_lhv))+Shipping!$T$73+IF(G40="Panama",Shipping!$T$55,0)+IF(G40="Suez",Shipping!$T$56,0))/Shipping!$T$31*(EO40+ome_st_ab_losses)/1000000+IF(inland_transport_to_port="hv dc grid",$BM40/100*1000*ER40,IF(inland_transport_to_port="pipeline",$BN40,0)))))</f>
        <v>No Port</v>
      </c>
      <c r="EQ40" s="28" t="str">
        <f t="shared" si="40"/>
        <v/>
      </c>
      <c r="ER40" s="29">
        <f>(ome_e_demand)*(EO40+ome_st_ab_losses)/1000000+ome_st_e_demand*EM40/1000000+$CV40*(Carriers!$Z$21/Carriers!$Z$23*EO40)/$CS40</f>
        <v>3352.0814582396242</v>
      </c>
      <c r="ES40" s="29">
        <f t="shared" si="27"/>
        <v>0.1924238095238095</v>
      </c>
      <c r="ET40" s="28" t="str">
        <f>IFERROR(EQ40*1000000/Storage!$S$12,"")</f>
        <v/>
      </c>
      <c r="EU40" s="28" t="str">
        <f>IF($E40="","No Port",((F40/24/Shipping!$T$44+F40/24/Shipping!$T$50+Shipping!$T$59+Shipping!$T$64)*Carriers!$Z$39*wacc_nl))</f>
        <v>No Port</v>
      </c>
      <c r="EV40" s="100">
        <f>H2_retrieval!$R$25*h2_demand_kt/1000+(co2_liq_e_demand+co2_st_e_demand*2)*Storage!$S$12*co2_density/ome_density/1000000</f>
        <v>254.51942895252085</v>
      </c>
      <c r="EW40" s="28" t="str">
        <f>IFERROR((((EK40+EM40+EP40)*(1+H2_retrieval!$R$34)+EU40)*1000000/H2_retrieval!$R$8)+h2_regen_ome,"")</f>
        <v/>
      </c>
      <c r="EX40" s="149">
        <f>(sng_invest*(M40+1/sng_lifetime)/sng_prod+lng_invest*(M40+1/lng_lifetime)/lng_prod+sng_opex+lng_opex+(sng_e_demand+lng_e_demand)*1000*$AU40/100+Carriers!$AB$18/Carriers!$AB$23*BD40+Carriers!$AB$20/Carriers!$AB$23*co2_liq_cost)*(FB40+lng_st_ab_losses)/1000000</f>
        <v>79900.622902363597</v>
      </c>
      <c r="EY40" s="86">
        <f>(sng_invest*(M40+1/sng_lifetime)/sng_prod+lng_invest*(M40+1/lng_lifetime)/lng_prod+sng_opex+lng_opex+(sng_e_demand+lng_e_demand)*1000*$AU40/100+Carriers!$AB$18/Carriers!$AB$23*BD40+Carriers!$AB$20/Carriers!$AB$23*BP40)*(FB40+lng_st_ab_losses)/1000000</f>
        <v>93108.667719818186</v>
      </c>
      <c r="EZ40" s="63">
        <f>lng_st_nl_cost*lng_st_nl_demand/1000000+(lng_st_invest*(M40+1/lng_st_lifetime+lng_st_opex)/(Storage!$U$63/1000000)+lng_st_e_demand*1000*$AU40/100)*(FB40+lng_st_ab_losses)/1000000+co2_st_nl_cost*Storage!$U$12*co2_density/lng_density/1000000+(co2_st_opex_lev+co2_st_invest_lev+co2_st_e_demand*1000*$AU40/100)*Storage!$U$12/1000000+co2_st_invest_lev*Storage!$U$12*co2_st_lifetime*M40/1000000+Carriers!$AB$18/Carriers!$AB$23*((FB40+lng_st_ab_losses)/365.25*short_st_duration_hrs/24)*(h2_short_st_invest*(1/gh2_short_st_lifetime+$M40+h2_short_st_opex)+h2_short_st_e_demand*1000*$AU40/100)/1000000+Carriers!$AB$20/Carriers!$AB$23*((FB40+lng_st_ab_losses)/365.25*short_st_duration_hrs/24)*(co2_short_st_invest*(1/co2_short_st_lifetime+$M40+co2_short_st_opex)+co2_short_st_e_demand*1000*$AU40/100)/1000000</f>
        <v>6679.1775148200622</v>
      </c>
      <c r="FA40" s="63">
        <f>lng_st_nl_cost*lng_st_nl_demand/1000000+(lng_st_invest*(M40+1/lng_st_lifetime+lng_st_opex)/(Storage!$U$63/1000000)+lng_st_e_demand*1000*$AU40/100)*(FB40+lng_st_ab_losses)/1000000+Carriers!$AB$18/Carriers!$AB$23*((FB40+lng_st_ab_losses)/365.25*short_st_duration_hrs/24)*(h2_short_st_invest*(1/gh2_short_st_lifetime+$M40+h2_short_st_opex)+h2_short_st_e_demand*1000*$AU40/100)/1000000+Carriers!$AB$20/Carriers!$AB$23*((FB40+lng_st_ab_losses)/365.25*short_st_duration_hrs/24)*(co2_short_st_invest*(1/co2_short_st_lifetime+$M40+co2_short_st_opex)+co2_short_st_e_demand*1000*$AU40/100)/1000000</f>
        <v>5047.3412745576443</v>
      </c>
      <c r="FB40" s="63">
        <f>Storage!$U$57/((1-Shipping!$V$37)^($F40/24/Shipping!$V$44+0.5*Shipping!$V$59))</f>
        <v>40707231.50721889</v>
      </c>
      <c r="FC40" s="28" t="str">
        <f>IF($E40="","No Port",IF(G40="Panama","Ship cannot pass through Panama",((F40/24/Shipping!$V$44+F40/24/Shipping!$V$50+Shipping!$V$59+Shipping!$V$64)*(Shipping!$V$22+wacc_nl*Shipping!$V$19/365.25*1000000+Shipping!$V$35)+(F40/24/Shipping!$V$44*Shipping!$V$45+Shipping!$V$64*Shipping!$V$65)*IF(bunker_choice="HFO",$H40,IF(bunker_choice="hydrogen",$BD40*hfo_e_density_lhv/h2_e_density_lhv,(EX40+EZ40)*1000000/FB40*hfo_e_density_lhv/lng_e_density_lhv))+(F40/24/Shipping!$V$50*Shipping!$V$51+Shipping!$V$59*Shipping!$V$60)*IF(bunker_choice="HFO",bunker_price_ROT,IF(bunker_choice="hydrogen",$BD40*hfo_e_density_lhv/h2_e_density_lhv,(EX40+EZ40)*1000000/FB40*hfo_e_density_lhv/lng_e_density_lhv))+Shipping!$V$73+IF(G40="Panama",Shipping!$V$55,0)+IF(G40="Suez",Shipping!$V$56,0))/Shipping!$V$31*(FB40+lng_st_ab_losses)/1000000)+IF(inland_transport_to_port="hv dc grid",$BM40/100*1000*FE40,IF(inland_transport_to_port="pipeline",$BN40,0)))</f>
        <v>No Port</v>
      </c>
      <c r="FD40" s="28" t="str">
        <f t="shared" si="41"/>
        <v/>
      </c>
      <c r="FE40" s="29">
        <f>((Carriers!$AB$18/Carriers!$AB$23*alk_el_e_demand)+sng_e_demand+lng_e_demand)*(FB40+lng_st_ab_losses)/1000000+lng_st_e_demand*EZ40/1000000</f>
        <v>1091.7518926121995</v>
      </c>
      <c r="FF40" s="29">
        <f t="shared" si="28"/>
        <v>0.8126185861001558</v>
      </c>
      <c r="FG40" s="28" t="str">
        <f>IFERROR(FD40*1000000/Storage!$U$12,"")</f>
        <v/>
      </c>
      <c r="FH40" s="28" t="str">
        <f>IF($E40="","No Port",((F40/24/Shipping!$V$44+F40/24/Shipping!$V$50+Shipping!$V$59+Shipping!$V$64)*Carriers!$AB$39*wacc_nl))</f>
        <v>No Port</v>
      </c>
      <c r="FI40" s="100">
        <f>H2_retrieval!$T$25*h2_demand_kt/1000+(co2_liq_e_demand+co2_st_e_demand*2)*Storage!$U$12*co2_density/lng_density/1000000</f>
        <v>236.51371749646054</v>
      </c>
      <c r="FJ40" s="28" t="str">
        <f>IFERROR((((EX40+EZ40+FC40)*(1+H2_retrieval!$T$34)+FH40)*1000000/H2_retrieval!$T$8)+h2_regen_lng,"")</f>
        <v/>
      </c>
      <c r="FK40" s="149">
        <f>(lh2_invest*(M40+1/lh2_lifetime)/lh2_prod+lh2_opex+lh2_e_demand*1000*$AU40/100+Carriers!$AD$18/Carriers!$AD$23*BD40)*(FM40+lh2_st_ab_losses)/1000000</f>
        <v>61634.639906364551</v>
      </c>
      <c r="FL40" s="28">
        <f>lh2_st_nl_cost*lh2_st_nl_demand/1000000+(lh2_st_invest*(M40+1/lh2_st_lifetime+lh2_st_opex)/(Storage!$Y$63/1000000)+lh2_st_e_demand*1000*$AU40/100)*(FM40+lh2_st_ab_losses)/1000000+((FM40+lh2_st_ab_losses)/365.25*short_st_duration_hrs/24)*(h2_short_st_invest*(1/gh2_short_st_lifetime+$M40+h2_short_st_opex)+h2_short_st_e_demand*1000*$AU40/100)/1000000</f>
        <v>58044.615865838328</v>
      </c>
      <c r="FM40" s="63">
        <f>Storage!$Y$57/((1-Shipping!$Z$37)^($F40/24/Shipping!$Z$44+0.5*Shipping!$Z$59))</f>
        <v>13659984.090217989</v>
      </c>
      <c r="FN40" s="28" t="str">
        <f>IF($E40="","No Port",IF(G40="Panama","Ship cannot pass through Panama",((F40/24/Shipping!$Z$44+F40/24/Shipping!$Z$50+Shipping!$Z$59+Shipping!$Z$64)*(Shipping!$Z$22+wacc_nl*Shipping!$Z$19/365.25*1000000+Shipping!$Z$35)+(F40/24/Shipping!$Z$44*Shipping!$Z$45+Shipping!$Z$64*Shipping!$Z$65)*IF(bunker_choice="HFO",$H40,IF(bunker_choice="hydrogen",$BD40*hfo_e_density_lhv/h2_e_density_lhv,(FK40+FL40)*1000000/FM40*hfo_e_density_lhv/lh2_e_density_lhv))+(F40/24/Shipping!$Z$50*Shipping!$Z$51+Shipping!$Z$59*Shipping!$Z$60)*IF(bunker_choice="HFO",bunker_price_ROT,IF(bunker_choice="hydrogen",$BD40*hfo_e_density_lhv/h2_e_density_lhv,(FK40+FL40)*1000000/FM40*hfo_e_density_lhv/lh2_e_density_lhv))+Shipping!$Z$73+IF(G40="Panama",Shipping!$Z$55,0)+IF(G40="Suez",Shipping!$Z$56,0))/Shipping!$Z$31*(FM40+lh2_st_ab_losses)/1000000)+IF(inland_transport_to_port="hv dc grid",$BM40/100*1000*FP40,IF(inland_transport_to_port="pipeline",$BN40,0)))</f>
        <v>No Port</v>
      </c>
      <c r="FO40" s="28" t="str">
        <f t="shared" si="42"/>
        <v/>
      </c>
      <c r="FP40" s="29">
        <f>((Carriers!$AD$18/Carriers!$AD$23*alk_el_e_demand)+lh2_e_demand)*(FM40+lh2_st_ab_losses)/1000000+lh2_st_e_demand*FM40/1000000</f>
        <v>791.60233245091877</v>
      </c>
      <c r="FQ40" s="100">
        <f t="shared" si="29"/>
        <v>1.361902463475859</v>
      </c>
      <c r="FR40" s="28" t="str">
        <f>IFERROR(FO40*1000000/Storage!$Y$12,"")</f>
        <v/>
      </c>
      <c r="FS40" s="100">
        <f>H2_retrieval!$V$25*h2_demand_kt/1000</f>
        <v>8.16</v>
      </c>
      <c r="FT40" s="28" t="str">
        <f>IFERROR(FR40*(1+H2_retrieval!$V$34)/Carrier_properties!$U$7+H2_retrieval!$V$38,"")</f>
        <v/>
      </c>
      <c r="FU40" s="12"/>
      <c r="FV40" s="24">
        <f t="shared" si="30"/>
        <v>2.7431492689129904</v>
      </c>
      <c r="FW40" s="24" t="str">
        <f t="shared" si="57"/>
        <v/>
      </c>
      <c r="FX40" s="24" t="str">
        <f t="shared" si="58"/>
        <v/>
      </c>
      <c r="FY40" s="24">
        <f t="shared" si="45"/>
        <v>2.7431492689129904</v>
      </c>
      <c r="FZ40" s="28">
        <f t="shared" si="59"/>
        <v>3438.1105192625892</v>
      </c>
      <c r="GA40" s="28">
        <f t="shared" si="47"/>
        <v>769.74305188261235</v>
      </c>
      <c r="GB40" s="28">
        <f t="shared" si="48"/>
        <v>478.36106907508582</v>
      </c>
      <c r="GC40" s="28">
        <f t="shared" si="49"/>
        <v>859.02345836701136</v>
      </c>
      <c r="GD40" s="28">
        <f t="shared" si="50"/>
        <v>1249.1496938506789</v>
      </c>
      <c r="GE40" s="28">
        <f t="shared" si="51"/>
        <v>2174.1446437027344</v>
      </c>
      <c r="GF40" s="28">
        <f t="shared" si="52"/>
        <v>2287.2758542497936</v>
      </c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12"/>
      <c r="HA40" s="12"/>
      <c r="HB40" s="12"/>
      <c r="HC40" s="12"/>
      <c r="HD40" s="12"/>
      <c r="HE40" s="12"/>
      <c r="HF40" s="12"/>
    </row>
    <row r="41" spans="1:214" x14ac:dyDescent="0.2">
      <c r="A41" s="40" t="s">
        <v>25</v>
      </c>
      <c r="B41" s="12">
        <v>7672</v>
      </c>
      <c r="C41" s="12">
        <v>0</v>
      </c>
      <c r="D41" s="12">
        <f t="shared" ref="D41:D71" si="61">1-C41</f>
        <v>1</v>
      </c>
      <c r="E41" s="12" t="s">
        <v>712</v>
      </c>
      <c r="F41" s="12">
        <v>4314</v>
      </c>
      <c r="G41" s="12"/>
      <c r="H41" s="16">
        <f t="shared" ref="H41:H72" si="62">bunker_price_gen</f>
        <v>382.75862068965517</v>
      </c>
      <c r="I41" s="16">
        <v>104020</v>
      </c>
      <c r="J41" s="16">
        <f t="shared" si="31"/>
        <v>181.9631675939884</v>
      </c>
      <c r="K41" s="27">
        <f t="shared" si="32"/>
        <v>218.35580111278608</v>
      </c>
      <c r="L41" s="103">
        <v>0.16800000000000001</v>
      </c>
      <c r="M41" s="103">
        <f t="shared" ref="M41:M72" si="63">IF(wacc="dataset",L41,IF(wacc="dataset rv",wacc_average+SQRT(wacc_rv_factor)*(L41-wacc_average),uniform_wacc))</f>
        <v>0.16022829911175812</v>
      </c>
      <c r="N41" s="122">
        <f t="shared" si="33"/>
        <v>0.8</v>
      </c>
      <c r="O41" s="46">
        <f t="shared" ref="O41:O72" si="64">solar_lifetime</f>
        <v>40</v>
      </c>
      <c r="P41" s="70">
        <f t="array" ref="P41">SUMPRODUCT(IF(Solar_data!A$4:A$777=A41,Solar_data!C$4:C$777),IF(Solar_data!A$4:A$777=A41,Solar_data!I$4:I$777))/SUMIF(Solar_data!A$4:A$777,A41,Solar_data!I$4:I$777)</f>
        <v>2118.9976307244533</v>
      </c>
      <c r="Q41" s="16">
        <f t="array" ref="Q41">MAX(IF(Solar_data!$A$777:'Solar_data'!$A$4=Country_details!$A41,Solar_data!$C$4:'Solar_data'!$C$777))</f>
        <v>2463.75</v>
      </c>
      <c r="R41" s="16">
        <f t="array" ref="R41">MIN(IF(Solar_data!$A$777:'Solar_data'!$A$4=Country_details!A41,Solar_data!$C$4:'Solar_data'!$C$777))</f>
        <v>1916.25</v>
      </c>
      <c r="S41" s="24">
        <f t="shared" ref="S41:S71" si="65">(solar_invest*($M41+1/$O41)+solar_opex)/(P41*$N41)*100</f>
        <v>2.9056286370558935</v>
      </c>
      <c r="T41" s="24">
        <f t="shared" ref="T41:T71" si="66">(solar_invest*($M41+1/$O41)+solar_opex)/(Q41*$N41)*100</f>
        <v>2.4990442202685181</v>
      </c>
      <c r="U41" s="24">
        <f t="shared" ref="U41:U71" si="67">(solar_invest*($M41+1/$O41)+solar_opex)/(R41*$N41)*100</f>
        <v>3.2130568546309517</v>
      </c>
      <c r="V41" s="16">
        <f t="array" ref="V41">SUM(IF(Solar_data!$A$777:'Solar_data'!$A$4=Country_details!$A41,Solar_data!$I$4:'Solar_data'!$I$777))</f>
        <v>818.5601960827546</v>
      </c>
      <c r="W41" s="148"/>
      <c r="X41" s="16">
        <f>IFERROR(INDEX(Onshore_wind_data!$J$5:'Onshore_wind_data'!$J$221,MATCH(A41,Onshore_wind_data!$B$5:'Onshore_wind_data'!$B$221,0)),"")</f>
        <v>2906.2274001401543</v>
      </c>
      <c r="Y41" s="16">
        <f>IFERROR(INDEX(Onshore_wind_data!$K$5:'Onshore_wind_data'!$K$221,MATCH(A41,Onshore_wind_data!$B$5:'Onshore_wind_data'!$B$221,0)),"")</f>
        <v>3723.5</v>
      </c>
      <c r="Z41" s="16">
        <f>IFERROR(INDEX(Onshore_wind_data!$L$5:'Onshore_wind_data'!$L$221,MATCH(A41,Onshore_wind_data!$B$5:'Onshore_wind_data'!$B$221,0)),"")</f>
        <v>2847.5</v>
      </c>
      <c r="AA41" s="24">
        <f t="shared" ref="AA41:AA72" si="68">IFERROR(IF(X41="","",(onshore_invest*($M41+1/onshore_lifetime)+onshore_opex)/X41*100),"")</f>
        <v>5.9031115390277487</v>
      </c>
      <c r="AB41" s="24">
        <f t="shared" ref="AB41:AB72" si="69">IFERROR(IF(Y41="","",(onshore_invest*($M41+1/onshore_lifetime)+onshore_opex)/Y41*100),"")</f>
        <v>4.6074350747431065</v>
      </c>
      <c r="AC41" s="24">
        <f t="shared" ref="AC41:AC72" si="70">IFERROR(IF(Z41="","",(onshore_invest*($M41+1/onshore_lifetime)+onshore_opex)/Z41*100),"")</f>
        <v>6.0248584726272023</v>
      </c>
      <c r="AD41" s="16">
        <f>IFERROR(INDEX(Onshore_wind_data!$I$5:'Onshore_wind_data'!$I$221,MATCH(A41,Onshore_wind_data!$B$5:'Onshore_wind_data'!$B$221,0)),"")</f>
        <v>62.207797499999998</v>
      </c>
      <c r="AE41" s="148"/>
      <c r="AF41" s="16">
        <f>INDEX(Offshore_wind_data!$AA$7:$AA$192,MATCH(Country_details!A41,Offshore_wind_data!$A$7:$A$192,0))</f>
        <v>3296.3455387465265</v>
      </c>
      <c r="AG41" s="16">
        <f>INDEX(Offshore_wind_data!$Y$7:$Y$192,MATCH(Country_details!A41,Offshore_wind_data!$A$7:$A$192,0))</f>
        <v>3854.4</v>
      </c>
      <c r="AH41" s="16">
        <f>INDEX(Offshore_wind_data!$Z$7:$Z$192,MATCH(Country_details!A41,Offshore_wind_data!$A$7:$A$192,0))</f>
        <v>3153.6</v>
      </c>
      <c r="AI41" s="24">
        <f t="shared" ref="AI41:AI71" si="71">IF(AF41="","",(offshore_invest*($M41+1/offshore_lifetime)+offshore_opex)/AF41*100)</f>
        <v>9.7780895530456764</v>
      </c>
      <c r="AJ41" s="24">
        <f t="shared" ref="AJ41:AJ71" si="72">IF(AG41="","",(offshore_invest*($M41+1/offshore_lifetime)+offshore_opex)/AG41*100)</f>
        <v>8.362381142498478</v>
      </c>
      <c r="AK41" s="24">
        <f t="shared" ref="AK41:AK71" si="73">IF(AH41="","",(offshore_invest*($M41+1/offshore_lifetime)+offshore_opex)/AH41*100)</f>
        <v>10.220688063053696</v>
      </c>
      <c r="AL41" s="16">
        <f>INDEX(Offshore_wind_data!$W$7:$W$191,MATCH(A41,Offshore_wind_data!$A$7:$A$191,0))</f>
        <v>427.07452799999999</v>
      </c>
      <c r="AM41" s="148"/>
      <c r="AN41" s="12">
        <v>11.5</v>
      </c>
      <c r="AO41" s="12">
        <v>10.8</v>
      </c>
      <c r="AP41" s="34">
        <f>1.0309*11.63</f>
        <v>11.989367</v>
      </c>
      <c r="AQ41" s="15">
        <f t="shared" ref="AQ41:AQ71" si="74">Fut_demand_pc</f>
        <v>50</v>
      </c>
      <c r="AR41" s="12">
        <f t="shared" si="34"/>
        <v>540</v>
      </c>
      <c r="AS41" s="16">
        <f t="shared" si="35"/>
        <v>767.84252158275467</v>
      </c>
      <c r="AT41" s="12"/>
      <c r="AU41" s="24">
        <f t="shared" ref="AU41:AU72" si="75">IF($X41="",IF(OR(electricity_choice="min solar", electricity_choice="min hybrid"),$T41,IF(OR(electricity_choice="weighted solar",electricity_choice="weighted hybrid"),$S41,IF(OR(electricity_choice="max solar",electricity_choice="max hybrid"),$U41))),IF(electricity_choice="min solar",$T41,IF(electricity_choice="weighted solar",$S41,IF(electricity_choice="max solar",$U41,IF(electricity_choice="min hybrid",($T41*$Q41+$Y41*$AB41)/($Q41+$Y41),IF(electricity_choice="weighted hybrid",($S41*$P41+$X41*$AA41)/($P41+$X41),IF(electricity_choice="max hybrid",($U41*$R41+$Z41*$AC41)/($R41+$Z41))))))))</f>
        <v>4.639156367188888</v>
      </c>
      <c r="AV41" s="16">
        <f t="shared" ref="AV41:AV72" si="76">IF($X41="",IF(OR(electricity_choice="min solar", electricity_choice="min hybrid"),$Q41,IF(OR(electricity_choice="weighted solar",electricity_choice="weighted hybrid"),$P41,IF(OR(electricity_choice="max solar",electricity_choice="max hybrid"),$R41))),IF(electricity_choice="min solar",$Q41,IF(electricity_choice="weighted solar",$P41,IF(electricity_choice="max solar",$R41,IF(electricity_choice="min hybrid",($Q41+$Y41),IF(electricity_choice="weighted hybrid",($P41+$X41),IF(electricity_choice="max hybrid",($R41+$Z41))))))))</f>
        <v>5025.2250308646071</v>
      </c>
      <c r="AW41" s="149">
        <f>HV_DC_Grid!$E$3/(1-AX41)*AU41/100*1000</f>
        <v>5470.6673028626001</v>
      </c>
      <c r="AX41" s="31">
        <f>(1-(1-HV_DC_Grid!$E$25)^(B41*C41*HV_DC_Grid!$E$8/1000))+(1-(1-HV_DC_Grid!$E$26)^(B41*D41*HV_DC_Grid!$E$8/1000))+HV_DC_Grid!$E$35*HV_DC_Grid!$E$28</f>
        <v>0.1519944258424587</v>
      </c>
      <c r="AY41" s="28">
        <f>B41*nl_e_demand/IF(hv_dc_flh="electricity FLH",$AV41,hv_dc_custom)*1000*hv_dc_capacity_multiplier*hv_dc_length_multiplier*1000*(C41*hv_dc_overhead_invest*(hv_dc_overhead_opex+M41+1/hv_dc_lifetime)+D41*hv_dc_sea_invest*(hv_dc_sea_opex+M41+1/hv_dc_lifetime))/1000000+HV_DC_Grid!$E$10*1000*hv_dc_station_invest*hv_dc_station_number*(hv_dc_station_opex+M41+1/hv_dc_lifetime)/1000000</f>
        <v>25661.288499478225</v>
      </c>
      <c r="AZ41" s="24">
        <f>(AW41+AY41)/(HV_DC_Grid!$E$3*1000)*100</f>
        <v>31.131955802340826</v>
      </c>
      <c r="BA41" s="28">
        <f>MIN(((Carriers!$F$26+Carriers!$F$27)*(alk_el_opex+wacc_nl+1/alk_el_lifetime)+IF(hv_dc_flh="electricity FLH",$AV41,hv_dc_custom)*AZ41/100)/(IF(hv_dc_flh="electricity FLH",$AV41,hv_dc_custom)/alk_el_e_demand)*1000,((Carriers!$H$26+Carriers!$H$27)*(pem_el_opex+wacc_nl+1/pem_el_lifetime)+IF(hv_dc_flh="electricity FLH",$AV41,hv_dc_custom)*AZ41/100)/(IF(hv_dc_flh="electricity FLH",$AV41,hv_dc_custom)/pem_el_e_demand)*1000)</f>
        <v>16055.129693028359</v>
      </c>
      <c r="BB41" s="12"/>
      <c r="BC41" s="12"/>
      <c r="BD41" s="149">
        <f>MIN(((Carriers!$F$26+Carriers!$F$27)*(alk_el_opex+M41+1/alk_el_lifetime)+$AV41*$AU41/100)/($AV41/alk_el_e_demand)*1000,((Carriers!$H$26+Carriers!$H$27)*(pem_el_opex+M41+1/pem_el_lifetime)+$AV41*$AU41/100)/($AV41/pem_el_e_demand)*1000)</f>
        <v>3183.0045512230681</v>
      </c>
      <c r="BE41" s="28">
        <f>Storage!$AC$50</f>
        <v>8.1664117557772418</v>
      </c>
      <c r="BF41" s="28">
        <f>((Pipeline!$D$22*Pipeline!$D$24*B41*(pipeline_opex+M41+1/pipeline_lifetime))*(Pipeline!$D$39/Pipeline!$D$3)+(Pipeline!$D$57*(pipeline_comp_opex+M41+1/pipeline_comp_lifetime)+Pipeline!$D$47*1000*Pipeline!$D$45*$AU41/100/1000000))*(Pipeline!$D$75/Pipeline!$D$45)</f>
        <v>20466.6248057308</v>
      </c>
      <c r="BG41" s="28">
        <f>BD41+(BE41+BF41)/Storage!$AC$12*1000000</f>
        <v>4688.5039054500221</v>
      </c>
      <c r="BH41" s="28"/>
      <c r="BI41" s="28"/>
      <c r="BJ41" s="28">
        <f>IF($E41="","No Port",BK41*HV_DC_Grid!$E$3*$AU41/100*1000)</f>
        <v>84.513434743703158</v>
      </c>
      <c r="BK41" s="31">
        <f>IFERROR((1-(1-HV_DC_Grid!$E$25)^(K41*HV_DC_Grid!$E$8/1000))+HV_DC_Grid!$E$35*HV_DC_Grid!$E$28,"")</f>
        <v>1.821741455869795E-2</v>
      </c>
      <c r="BL41" s="28">
        <f>IFERROR(K41*nl_e_demand/IF(hv_dc_flh="electricity FLH",$AV41,hv_dc_custom)*1000*hv_dc_capacity_multiplier*hv_dc_length_multiplier*1000*(hv_dc_overhead_invest*(hv_dc_overhead_opex+M41+1/hv_dc_lifetime))/1000000+HV_DC_Grid!$E$10*1000*hv_dc_station_invest*hv_dc_station_number*(hv_dc_station_opex+M41+1/hv_dc_lifetime)/1000000,"")</f>
        <v>740.48505277989602</v>
      </c>
      <c r="BM41" s="29">
        <f>IFERROR((BJ41+BL41)/(HV_DC_Grid!$E$3*1000)*100,"")</f>
        <v>0.82499848752359917</v>
      </c>
      <c r="BN41" s="28">
        <f>IFERROR(((Pipeline!$D$22*Pipeline!$D$24*K41*(pipeline_opex+M41+1/pipeline_lifetime))*(Pipeline!$D$39/Pipeline!$D$3)+(Pipeline!$D$57*(pipeline_comp_opex+M41+1/pipeline_comp_lifetime)+Pipeline!$D$47*1000*Pipeline!$D$45*S41/100/1000000))*(Pipeline!$D$75/Pipeline!$D$45),"")</f>
        <v>674.59249177307265</v>
      </c>
      <c r="BO41" s="28"/>
      <c r="BP41" s="150">
        <f t="shared" ref="BP41:BP72" si="77">DAC_invest*(M41+1/DAC_lifetime)/DAC_prod+DAC_opex+DAC_e_demand*1000*$AU41/100</f>
        <v>142.12950957541796</v>
      </c>
      <c r="BQ41" s="34">
        <f t="shared" ref="BQ41:BQ72" si="78">n2_invest*(M41+1/n2_lifetime)/n2_prod+n2_opex+n2_e_demand*1000*$AU41/100</f>
        <v>41.55118922229633</v>
      </c>
      <c r="BR41" s="151">
        <f>(nh3_invest*(M41+1/nh3_lifetime)/nh3_prod+nh3_opex+nh3_e_demand*1000*$AU41/100+Carriers!$N$18/Carriers!$N$23*BD41+Carriers!$N$19/Carriers!$N$23*BQ41)*(BT41+nh3_st_ab_losses)/1000000</f>
        <v>58921.797559706742</v>
      </c>
      <c r="BS41" s="63">
        <f>nh3_st_nl_cost*nh3_st_nl_demand/1000000+(nh3_st_invest*(M41+1/nh3_st_lifetime+nh3_st_opex)/(Storage!$G$63/1000000)+nh3_st_e_demand*1000*$AU41/100)*(BT41+nh3_st_ab_losses)/1000000+Carriers!$N$18/Carriers!$N$23*((BT41+nh3_st_ab_losses)/365.25*short_st_duration_hrs/24)*(h2_short_st_invest*(1/gh2_short_st_lifetime+$M41+h2_short_st_opex)+h2_short_st_e_demand*1000*$AU41/100)/1000000+Carriers!$N$19/Carriers!$N$23*((BT41+nh3_st_ab_losses)/365.25*short_st_duration_hrs/24)*(n2_short_st_invest*(1/n2_short_st_lifetime+$M41+n2_short_st_opex)+n2_short_st_e_demand*1000*$AU41/100)/1000000</f>
        <v>3869.3335451320495</v>
      </c>
      <c r="BT41" s="63">
        <f>Storage!$G$57/((1-Shipping!$H$37)^(F41/24/Shipping!$H$44+0.5*Shipping!$H$59))</f>
        <v>78981323.619355842</v>
      </c>
      <c r="BU41" s="63">
        <f>IF($E41="","No Port",((F41/24/Shipping!$H$44+F41/24/Shipping!$H$50+Shipping!$H$59+Shipping!$H$64)*(Shipping!$H$22+wacc_nl*Shipping!$H$19/365.25*1000000+Shipping!$H$35)+(F41/24/Shipping!$H$44*Shipping!$H$45+Shipping!$H$64*Shipping!$H$65)*IF(bunker_choice="HFO",H41,IF(bunker_choice="hydrogen",BD41*hfo_e_density_lhv/h2_e_density_lhv,(BR41+BS41)*1000000/BT41*hfo_e_density_lhv/nh3_e_density_lhv))+(F41/24/Shipping!$H$50*Shipping!$H$51+Shipping!$H$59*Shipping!$H$60)*IF(bunker_choice="HFO",bunker_price_ROT,IF(bunker_choice="hydrogen",BD41*hfo_e_density_lhv/h2_e_density_lhv,(BR41+BS41)*1000000/BT41*hfo_e_density_lhv/nh3_e_density_lhv))+Shipping!$H$73+IF(G41="Panama",Shipping!$H$55,0)+IF(G41="Suez",Shipping!$H$56,0))/Shipping!$H$31*BT41/1000000+IF(inland_transport_to_port="hv dc grid",$BM41/100*1000*BW41,IF(inland_transport_to_port="pipeline",$BN41,0)))</f>
        <v>3699.7059435219876</v>
      </c>
      <c r="BV41" s="63">
        <f t="shared" si="18"/>
        <v>66490.837048360787</v>
      </c>
      <c r="BW41" s="33">
        <f>((Carriers!$N$18/Carriers!$N$23*alk_el_e_demand)+(Carriers!$N$19/Carriers!$N$23*n2_e_demand)+nh3_e_demand)*(BT41+nh3_st_ab_losses)/1000000+nh3_st_e_demand*BT41/1000000</f>
        <v>779.96096316318619</v>
      </c>
      <c r="BX41" s="33">
        <f t="shared" ref="BX41:BX71" si="79">nh3_st_e_demand*nh3_st_nl_demand/1000000</f>
        <v>0.76626754477640768</v>
      </c>
      <c r="BY41" s="63">
        <f>IFERROR(BV41*1000000/Storage!$G$12,"")</f>
        <v>868.44649782591966</v>
      </c>
      <c r="BZ41" s="63">
        <f>H2_retrieval!$F$25*h2_demand_kt/1000</f>
        <v>80</v>
      </c>
      <c r="CA41" s="63">
        <f>IFERROR(BY41*(1+H2_retrieval!$F$34)/Carrier_properties!$E$7+H2_retrieval!$F$38,"")</f>
        <v>5298.2581155526168</v>
      </c>
      <c r="CB41" s="149">
        <f>(FA_invest*(M41+1/FA_lifetime)/FA_prod+FA_opex+FA_e_demand*1000*$AU41/100+Carriers!$P$18/Carriers!$P$23*BD41+Carriers!$P$20/Carriers!$P$23*co2_liq_cost)*(CF41+FA_st_ab_losses)/1000000</f>
        <v>132961.76251526806</v>
      </c>
      <c r="CC41" s="86">
        <f>(FA_invest*(M41+1/FA_lifetime)/FA_prod+FA_opex+FA_e_demand*1000*$AU41/100+Carriers!$P$18/Carriers!$P$23*BD41+Carriers!$P$20/Carriers!$P$23*BP41)*(CF41+FA_st_ab_losses)/1000000</f>
        <v>167716.54980795769</v>
      </c>
      <c r="CD41" s="63">
        <f>FA_st_nl_cost*FA_st_nl_demand/1000000+(FA_st_invest*(M41+1/FA_st_lifetime+FA_st_opex)/(Storage!$I$63/1000000)+FA_st_e_demand*1000*$AU41/100)*(CF41+FA_st_ab_losses)/1000000+co2_st_nl_cost*Storage!$I$12*co2_density/FA_density/1000000+(co2_st_opex_lev+co2_st_invest_lev+co2_st_e_demand*1000*$AU41/100)*Storage!$I$12/1000000+co2_st_invest_lev*Storage!$I$12*co2_st_lifetime*M41/1000000+Carriers!$P$18/Carriers!$P$23*((CF41+FA_st_ab_losses)/365.25*short_st_duration_hrs/24)*(h2_short_st_invest*(1/gh2_short_st_lifetime+$M41+h2_short_st_opex)+h2_short_st_e_demand*1000*$AU41/100)/1000000+Carriers!$P$20/Carriers!$P$23*((CF41+FA_st_ab_losses)/365.25*short_st_duration_hrs/24)*(co2_short_st_invest*(1/co2_short_st_lifetime+$M41+co2_short_st_opex)+co2_short_st_e_demand*1000*$AU41/100)/1000000</f>
        <v>13531.508251294061</v>
      </c>
      <c r="CE41" s="63">
        <f>FA_st_nl_cost*FA_st_nl_demand/1000000+(FA_st_invest*(M41+1/FA_st_lifetime+FA_st_opex)/(Storage!$I$63/1000000)+FA_st_e_demand*1000*$AU41/100)*(CF41+FA_st_ab_losses)/1000000+Carriers!$P$18/Carriers!$P$23*((CF41+FA_st_ab_losses)/365.25*short_st_duration_hrs/24)*(h2_short_st_invest*(1/gh2_short_st_lifetime+$M41+h2_short_st_opex)+h2_short_st_e_demand*1000*$AU41/100)/1000000+Carriers!$P$20/Carriers!$P$23*((CF41+FA_st_ab_losses)/365.25*short_st_duration_hrs/24)*(co2_short_st_invest*(1/co2_short_st_lifetime+$M41+co2_short_st_opex)+co2_short_st_e_demand*1000*$AU41/100)/1000000</f>
        <v>5725.1302064215479</v>
      </c>
      <c r="CF41" s="63">
        <f>Storage!$I$57/((1-Shipping!$J$37)^($F41/24/Shipping!$J$44+0.5*Shipping!$J$59))</f>
        <v>310425396.82539684</v>
      </c>
      <c r="CG41" s="28">
        <f>IF($E41="","No Port",((F41/24/Shipping!$J$44+F41/24/Shipping!$J$50+Shipping!$J$59+Shipping!$J$64)*(Shipping!$J$22+wacc_nl*Shipping!$J$19/365.25*1000000+Shipping!$J$35)+(F41/24/Shipping!$J$44*Shipping!$J$45+Shipping!$J$64*Shipping!$J$65)*IF(bunker_choice="HFO",$H41,IF(bunker_choice="hydrogen",$BD41*hfo_e_density_lhv/h2_e_density_lhv,(CB41+CD41)*1000000/CF41*hfo_e_density_lhv/FA_e_density_lhv))+(F41/24/Shipping!$J$50*Shipping!$J$51+Shipping!$J$59*Shipping!$J$60)*IF(bunker_choice="HFO",bunker_price_ROT,IF(bunker_choice="hydrogen",$BD41*hfo_e_density_lhv/h2_e_density_lhv,(CB41+CD41)*1000000/CF41*hfo_e_density_lhv/FA_e_density_lhv))+Shipping!$J$73+IF(G41="Panama",Shipping!$J$55,0)+IF(G41="Suez",Shipping!$J$56,0))/Shipping!$J$31*CF41/1000000+IF(inland_transport_to_port="hv dc grid",$BM41/100*1000*CI41,IF(inland_transport_to_port="pipeline",$BN41,0)))</f>
        <v>14007.397741645873</v>
      </c>
      <c r="CH41" s="28">
        <f t="shared" si="36"/>
        <v>187449.0777560251</v>
      </c>
      <c r="CI41" s="29">
        <f>((Carriers!$P$18/Carriers!$P$23*alk_el_e_demand)+FA_e_demand)*(CF41+FA_st_ab_losses)/1000000+FA_st_e_demand*CF41/1000000</f>
        <v>1897.8881241622576</v>
      </c>
      <c r="CJ41" s="29">
        <f t="shared" ref="CJ41:CJ71" si="80">FA_st_e_demand*FA_st_nl_demand/1000000</f>
        <v>0.46563809523809524</v>
      </c>
      <c r="CK41" s="28">
        <f>IFERROR(CH41*1000000/Storage!$I$12,"")</f>
        <v>603.84581826421413</v>
      </c>
      <c r="CL41" s="28">
        <f>IF($E41="","No Port",((F41/24/Shipping!$J$44+F41/24/Shipping!$J$50+Shipping!$J$59+Shipping!$J$64)*Carriers!$P$39*wacc_nl))</f>
        <v>223.54133195832188</v>
      </c>
      <c r="CM41" s="29">
        <f>H2_retrieval!$H$25*h2_demand_kt/1000+(co2_liq_e_demand+co2_st_e_demand*2)*Storage!$I$12*co2_density/FA_density/1000000</f>
        <v>94.204253879484654</v>
      </c>
      <c r="CN41" s="28">
        <f>IFERROR((((CB41+CD41+CG41)*(1+H2_retrieval!$H$34)+CL41)*1000000/H2_retrieval!$H$8)+h2_regen_fa,"")</f>
        <v>11907.643973661536</v>
      </c>
      <c r="CO41" s="149">
        <f>(meoh_invest*(M41+1/meoh_lifetime)/meoh_prod+meoh_opex+meoh_e_demand*1000*$AU41/100+Carriers!$R$18/Carriers!$R$23*BD41+Carriers!$R$20/Carriers!$R$23*co2_liq_cost)*(CS41+meoh_st_ab_losses)/1000000</f>
        <v>70601.173581673196</v>
      </c>
      <c r="CP41" s="86">
        <f>(meoh_invest*(M41+1/meoh_lifetime)/meoh_prod+meoh_opex+meoh_e_demand*1000*$AU41/100+Carriers!$R$18/Carriers!$R$23*BD41+Carriers!$R$20/Carriers!$R$23*BP41)*(CS41+meoh_st_ab_losses)/1000000</f>
        <v>91003.306666590521</v>
      </c>
      <c r="CQ41" s="63">
        <f>meoh_st_nl_cost*meoh_st_nl_demand/1000000+(meoh_st_invest*(M41+1/meoh_st_lifetime+meoh_st_opex)/(Storage!$K$63/1000000)+meoh_st_e_demand*1000*$AU41/100)*(CS41+meoh_st_ab_losses)/1000000+co2_st_nl_cost*Storage!$K$12*co2_density/meoh_density/1000000+(co2_st_opex_lev+co2_st_invest_lev+co2_st_e_demand*1000*IFERROR(MIN(S41,AA41,AI41),S41)/100)*Storage!$K$12/1000000+co2_st_invest_lev*Storage!$K$12*co2_st_lifetime*M41/1000000+Carriers!$R$18/Carriers!$R$23*((CS41+meoh_st_ab_losses)/365.25*short_st_duration_hrs/24)*(h2_short_st_invest*(1/gh2_short_st_lifetime+$M41+h2_short_st_opex)+h2_short_st_e_demand*1000*$AU41/100)/1000000+Carriers!$R$20/Carriers!$R$23*((CF41+meoh_st_ab_losses)/365.25*short_st_duration_hrs/24)*(co2_short_st_invest*(1/co2_short_st_lifetime+$M41+co2_short_st_opex)+co2_short_st_e_demand*1000*$AU41/100)/1000000</f>
        <v>5424.8407823432053</v>
      </c>
      <c r="CR41" s="63">
        <f>meoh_st_nl_cost*meoh_st_nl_demand/1000000+(meoh_st_invest*(M41+1/meoh_st_lifetime+meoh_st_opex)/(Storage!$K$63/1000000)+meoh_st_e_demand*1000*$AU41/100)*(CS41+meoh_st_ab_losses)/1000000+Carriers!$R$18/Carriers!$R$23*((CS41+meoh_st_ab_losses)/365.25*short_st_duration_hrs/24)*(h2_short_st_invest*(1/gh2_short_st_lifetime+$M41+h2_short_st_opex)+h2_short_st_e_demand*1000*$AU41/100)/1000000+Carriers!$R$20/Carriers!$R$23*((CF41+meoh_st_ab_losses)/365.25*short_st_duration_hrs/24)*(co2_short_st_invest*(1/co2_short_st_lifetime+$M41+co2_short_st_opex)+co2_short_st_e_demand*1000*$AU41/100)/1000000</f>
        <v>2296.109248925778</v>
      </c>
      <c r="CS41" s="63">
        <f>Storage!$K$57/((1-Shipping!$L$37)^($F41/24/Shipping!$L$44+0.5*Shipping!$L$59))</f>
        <v>108044444.44444443</v>
      </c>
      <c r="CT41" s="28">
        <f>IF($E41="","No Port",IF(AND(ship_choice="VLCC",G41="Panama"),"Ship cannot pass through Panama",IF(ship_choice="VLCC",((F41/24/Shipping!$AD$44+F41/24/Shipping!$AD$50+Shipping!$AD$59+Shipping!$AD$64)*(Shipping!$AD$22+wacc_nl*Shipping!$AD$19/365.25*1000000+Shipping!$AD$35)+(F41/24/Shipping!$AD$44*Shipping!$AD$45+Shipping!$AD$64*Shipping!$AD$65)*IF(bunker_choice="HFO",$H41,IF(bunker_choice="hydrogen",$BD41*hfo_e_density_lhv/h2_e_density_lhv,(CO41+CQ41)*1000000/CS41*hfo_e_density_lhv/meoh_e_density_lhv))+(F41/24/Shipping!$AD$50*Shipping!$AD$51+Shipping!$AD$59*Shipping!$AD$60)*IF(bunker_choice="HFO",bunker_price_ROT,IF(bunker_choice="hydrogen",$BD41*hfo_e_density_lhv/h2_e_density_lhv,(CO41+CQ41)*1000000/CS41*hfo_e_density_lhv/meoh_e_density_lhv))+Shipping!$AD$73+IF(G41="Panama",Shipping!$AD$55,0)+IF(G41="Suez",Shipping!$AD$56,0))/Shipping!$AD$31*CS41/1000000+IF(inland_transport_to_port="hv dc grid",$BM41/100*1000*CV41,IF(inland_transport_to_port="pipeline",$BN41,0)),((F41/24/Shipping!$L$44+F41/24/Shipping!$L$50+Shipping!$L$59+Shipping!$L$64)*(Shipping!$L$22+wacc_nl*Shipping!$L$19/365.25*1000000+Shipping!$L$35)+(F41/24/Shipping!$L$44*Shipping!$L$45+Shipping!$L$64*Shipping!$L$65)*IF(bunker_choice="HFO",$H41,IF(bunker_choice="hydrogen",$BD41*hfo_e_density_lhv/h2_e_density_lhv,(CO41+CQ41)*1000000/CS41*hfo_e_density_lhv/meoh_e_density_lhv))+(F41/24/Shipping!$L$50*Shipping!$L$51+Shipping!$L$59*Shipping!$L$60)*IF(bunker_choice="HFO",bunker_price_ROT,IF(bunker_choice="hydrogen",$BD41*hfo_e_density_lhv/h2_e_density_lhv,(CO41+CQ41)*1000000/CS41*hfo_e_density_lhv/meoh_e_density_lhv))+Shipping!$L$73+IF(G41="Panama",Shipping!$L$55,0)+IF(G41="Suez",Shipping!$L$56,0))/Shipping!$L$31*CS41/1000000+IF(inland_transport_to_port="hv dc grid",$BM41/100*1000*CV41,IF(inland_transport_to_port="pipeline",$BN41,0)))))</f>
        <v>5045.2788315286543</v>
      </c>
      <c r="CU41" s="28">
        <f t="shared" si="37"/>
        <v>98344.694747044952</v>
      </c>
      <c r="CV41" s="29">
        <f>((Carriers!$R$18/Carriers!$R$23*alk_el_e_demand)+meoh_e_demand)*(CS41+meoh_st_ab_losses)/1000000+meoh_st_e_demand*CS41/1000000</f>
        <v>1119.9789871111109</v>
      </c>
      <c r="CW41" s="29">
        <f t="shared" ref="CW41:CW71" si="81">meoh_st_e_demand*meoh_st_nl_demand/1000000</f>
        <v>0.16206666666666666</v>
      </c>
      <c r="CX41" s="28">
        <f>IFERROR(CU41*1000000/Storage!$K$12,"")</f>
        <v>910.2244474736782</v>
      </c>
      <c r="CY41" s="28">
        <f>IF($E41="","No Port",((F41/24/Shipping!$L$44+F41/24/Shipping!$L$50+Shipping!$L$59+Shipping!$L$64)*Carriers!$R$39*wacc_nl))</f>
        <v>79.949923783162774</v>
      </c>
      <c r="CZ41" s="29">
        <f>H2_retrieval!$J$25*h2_demand_kt/1000+(co2_liq_e_demand+co2_st_e_demand*2)*Storage!$K$12*co2_density/meoh_density/1000000</f>
        <v>251.05079059698966</v>
      </c>
      <c r="DA41" s="28">
        <f>IFERROR((((CO41+CQ41+CT41)*(1+H2_retrieval!$J$34)+CY41)*1000000/H2_retrieval!$J$8)+h2_regen_meoh,"")</f>
        <v>7137.131713734957</v>
      </c>
      <c r="DB41" s="149">
        <f>(DBT_invest*(M41+1/DBT_lifetime)/DBT_prod+DBT_opex+DBT_e_demand*1000*$AU41/100+Carriers!$T$18/Carriers!$T$23*BD41)*(DD41+DBT_st_ab_losses)/1000000</f>
        <v>47038.272021750883</v>
      </c>
      <c r="DC41" s="28">
        <f>2*(DBT_st_nl_cost*DBT_st_nl_demand/1000000+(DBT_st_invest*(M41+1/DBT_st_lifetime+DBT_st_opex)/(Storage!$M$63/1000000)+DBT_st_e_demand*1000*$AU41/100)*(DD41+DBT_st_ab_losses)/1000000)+Carriers!$T$18/Carriers!$T$23*((DD41+DBT_st_ab_losses)/365.25*short_st_duration_hrs/24)*(h2_short_st_invest*(1/gh2_short_st_lifetime+$M41+h2_short_st_opex)+h2_short_st_e_demand*1000*$AU41/100)/1000000</f>
        <v>4651.2704200594881</v>
      </c>
      <c r="DD41" s="63">
        <f>Storage!$M$57/((1-Shipping!$N$37)^($F41/24/Shipping!$N$44+0.5*Shipping!$N$59))</f>
        <v>219354838.70967743</v>
      </c>
      <c r="DE41" s="28">
        <f>IF($E41="","No Port",IF(AND(ship_choice="VLCC",G41="Panama"),"Ship cannot pass through Panama",IF(ship_choice="VLCC",((F41/24/Shipping!$AD$44+F41/24/Shipping!$AD$50+Shipping!$AD$59+Shipping!$AD$64)*(Shipping!$AD$22+wacc_nl*Shipping!$AD$19/365.25*1000000+Shipping!$AD$35)+(F41/24/Shipping!$AD$44*Shipping!$AD$45+Shipping!$AD$64*Shipping!$AD$65)*IF(bunker_choice="HFO",$H41,IF(bunker_choice="hydrogen",$BD41*hfo_e_density_lhv/h2_e_density_lhv,(DB41+DC41)*1000000/DD41*hfo_e_density_lhv/DBT_e_density_lhv))+(F41/24/Shipping!$AD$50*Shipping!$AD$51+Shipping!$AD$59*Shipping!$AD$60)*IF(bunker_choice="HFO",bunker_price_ROT,IF(bunker_choice="hydrogen",$BD41*hfo_e_density_lhv/h2_e_density_lhv,(DB41+DC41)*1000000/DD41*hfo_e_density_lhv/DBT_e_density_lhv))+Shipping!$AD$73+IF(G41="Panama",Shipping!$AD$55,0)+IF(G41="Suez",Shipping!$AD$56,0))/Shipping!$AD$31*DD41/1000000+IF(inland_transport_to_port="hv dc grid",$BM41/100*1000*DG41,IF(inland_transport_to_port="pipeline",$BN41,0)),((F41/24/Shipping!$N$44+F41/24/Shipping!$N$50+Shipping!$N$59+Shipping!$N$64)*(Shipping!$N$22+wacc_nl*Shipping!$N$19/365.25*1000000+Shipping!$N$35)+(F41/24/Shipping!$N$44*Shipping!$N$45+Shipping!$N$64*Shipping!$N$65)*IF(bunker_choice="HFO",$H41,IF(bunker_choice="hydrogen",$BD41*hfo_e_density_lhv/h2_e_density_lhv,(DB41+DC41)*1000000/DD41*hfo_e_density_lhv/DBT_e_density_lhv))+(F41/24/Shipping!$N$50*Shipping!$N$51+Shipping!$N$59*Shipping!$N$60)*IF(bunker_choice="HFO",bunker_price_ROT,IF(bunker_choice="hydrogen",$BD41*hfo_e_density_lhv/h2_e_density_lhv,(DB41+DC41)*1000000/DD41*hfo_e_density_lhv/DBT_e_density_lhv))+Shipping!$N$73+IF(G41="Panama",Shipping!$N$55,0)+IF(G41="Suez",Shipping!$N$56,0))/Shipping!$N$31*Shipping!$N$86/1000000+IF(inland_transport_to_port="hv dc grid",$BM41/100*1000*DG41,IF(inland_transport_to_port="pipeline",$BN41,0)))))</f>
        <v>8916.38240147541</v>
      </c>
      <c r="DF41" s="28">
        <f t="shared" ref="DF41:DF103" si="82">IFERROR(DB41+DC41+DE41,"")</f>
        <v>60605.924843285786</v>
      </c>
      <c r="DG41" s="29">
        <f>((Carriers!$T$18/Carriers!$T$23*alk_el_e_demand)+DBT_e_demand)*(DD41+DBT_st_ab_losses)/1000000+DBT_st_e_demand*DD41/1000000</f>
        <v>703.88335483870969</v>
      </c>
      <c r="DH41" s="29">
        <f t="shared" ref="DH41:DH71" si="83">DBT_st_e_demand*DBT_st_nl_demand/1000000</f>
        <v>0.21935483870967742</v>
      </c>
      <c r="DI41" s="28">
        <f>IFERROR(DF41*1000000/Storage!$M$12,"")</f>
        <v>276.29171619733228</v>
      </c>
      <c r="DJ41" s="28">
        <f>IF($E41="","No Port",((F41/24/Shipping!$N$44+F41/24/Shipping!$N$50+Shipping!$N$59+Shipping!$N$64)*Carriers!$T$39*wacc_nl))</f>
        <v>5823.0156342592818</v>
      </c>
      <c r="DK41" s="100">
        <f>H2_retrieval!$L$25*h2_demand_kt/1000+(co2_liq_e_demand+co2_st_e_demand*2)*Storage!$M$12*co2_density/DBT_density/1000000</f>
        <v>206.61934861671787</v>
      </c>
      <c r="DL41" s="28">
        <f>IFERROR(((DF41*(1+H2_retrieval!$L$34)+DJ41)*1000000/H2_retrieval!$L$8)+h2_regen_lohc,"")</f>
        <v>5355.130698105344</v>
      </c>
      <c r="DM41" s="149">
        <f t="shared" ref="DM41:DM72" si="84">(nabh4_invest*(M41+1/nabh4_lifetime)/nabh4_prod+nabh4_opex+nabh4_e_demand*1000*$AU41/100)*(DO41+nabh4_st_ab_losses)/1000000</f>
        <v>73651.988336134193</v>
      </c>
      <c r="DN41" s="16">
        <f>2*(nabh4_st_nl_cost*nabh4_st_nl_demand/1000000+(nabh4_st_invest*(M41+1/nabh4_st_lifetime+nabh4_st_opex)/(Storage!$O$63/1000000)+nabh4_st_e_demand*1000*$AU41/100)*(DO41+nabh4_st_ab_losses)/1000000)+(h2_demand_kt*1000/365.25*short_st_duration_hrs/24)*(h2_short_st_invest*(1/gh2_short_st_lifetime+$M41+h2_short_st_opex)+h2_short_st_e_demand*1000*$AU41/100)/1000000</f>
        <v>1684.6617062759472</v>
      </c>
      <c r="DO41" s="63">
        <f>Storage!$O$57/((1-Shipping!$P$37)^($F41/24/Shipping!$P$44+0.5*Shipping!$P$59))</f>
        <v>63920000</v>
      </c>
      <c r="DP41" s="16">
        <f>IF($E41="","No Port",((F41/24/Shipping!$P$44+F41/24/Shipping!$P$50+Shipping!$P$59+Shipping!$P$64)*(Shipping!$P$22+wacc_nl*Shipping!$P$19/365.25*1000000+Shipping!$P$35)+(F41/24/Shipping!$P$44*Shipping!$P$45+Shipping!$P$64*Shipping!$P$65)*IF(bunker_choice="HFO",$H41,IF(bunker_choice="hydrogen",$BD41*hfo_e_density_lhv/h2_e_density_lhv,(DM41+DN41)*1000000/DO41*hfo_e_density_lhv/nabh4_e_density_lhv))+(F41/24/Shipping!$P$50*Shipping!$P$51+Shipping!$P$59*Shipping!$P$60)*IF(bunker_choice="HFO",bunker_price_ROT,IF(bunker_choice="hydrogen",$BD41*hfo_e_density_lhv/h2_e_density_lhv,(DM41+DN41)*1000000/DO41*hfo_e_density_lhv/nabh4_e_density_lhv))+Shipping!$P$73+IF(G41="Panama",Shipping!$P$55,0)+IF(G41="Suez",Shipping!$P$56,0))/Shipping!$P$31*(DO41+nabh4_st_ab_losses)/1000000+IF(inland_transport_to_port="hv dc grid",$BM41/100*1000*DR41,IF(inland_transport_to_port="pipeline",$BN41,0)))</f>
        <v>2792.9212133000024</v>
      </c>
      <c r="DQ41" s="28">
        <f t="shared" si="60"/>
        <v>78129.571255710136</v>
      </c>
      <c r="DR41" s="29">
        <f>((Carriers!$V$18/Carriers!$V$23*alk_el_e_demand)+nabh4_e_demand)*(DO41+nabh4_st_ab_losses)/1000000+nabh4_st_e_demand*DO41/1000000</f>
        <v>980.02139682539689</v>
      </c>
      <c r="DS41" s="28">
        <f t="shared" ref="DS41:DS71" si="85">nabh4_st_e_demand*nabh4_st_nl_demand/1000000</f>
        <v>3.1960000000000002</v>
      </c>
      <c r="DT41" s="28">
        <f>IFERROR(DQ41*1000000/Storage!$O$12,"")</f>
        <v>1222.3024289066041</v>
      </c>
      <c r="DU41" s="28">
        <f>IF($E41="","No Port",((F41/24/Shipping!$P$44+F41/24/Shipping!$P$50+Shipping!$P$59+Shipping!$P$64)*Carriers!$V$39*wacc_nl))</f>
        <v>543.68616512181472</v>
      </c>
      <c r="DV41" s="100">
        <f>H2_retrieval!$N$25*h2_demand_kt/1000+(co2_liq_e_demand+co2_st_e_demand*2)*Storage!$O$12*co2_density/nabh4_density/1000000</f>
        <v>18.783638728971958</v>
      </c>
      <c r="DW41" s="28">
        <f>IFERROR(((DQ41*(1+H2_retrieval!$N$34)+DU41)*1000000/H2_retrieval!$N$8)+h2_regen_nabh4,"")</f>
        <v>5906.5689785349159</v>
      </c>
      <c r="DX41" s="149">
        <f>(Dme_invest*(M41+1/Dme_lifetime)/Dme_prod+Dme_opex+Dme_e_demand*1000*$AU41/100+Carriers!$X$21/Carriers!$X$23*(CO41*1000000/CS41))*(EB41+Dme_st_ab_losses)/1000000</f>
        <v>99961.799341824517</v>
      </c>
      <c r="DY41" s="86">
        <f>(Dme_invest*(M41+1/Dme_lifetime)/Dme_prod+Dme_opex+Dme_e_demand*1000*$AU41/100+Carriers!$X$21/Carriers!$X$23*(CP41*1000000/CS41))*(EB41+Dme_st_ab_losses)/1000000</f>
        <v>127640.63906540758</v>
      </c>
      <c r="DZ41" s="63">
        <f>Dme_st_nl_cost*Dme_st_nl_demand/1000000+(Dme_st_invest*(M41+1/Dme_st_lifetime+Dme_st_opex)/(Storage!$Q$63/1000000)+Dme_st_e_demand*1000*$AU41/100)*(EB41+Dme_st_ab_losses)/1000000+co2_st_nl_cost*Storage!$Q$12*co2_density/Dme_density/1000000+(co2_st_opex_lev+co2_st_invest_lev+co2_st_e_demand*1000*$AU41/100)*Storage!$Q$12/1000000+co2_st_invest_lev*Storage!$Q$12*co2_st_lifetime*M41/1000000+(h2_demand_kt*1000/365.25*short_st_duration_hrs/24)*(h2_short_st_invest*(1/gh2_short_st_lifetime+$M41+h2_short_st_opex)+h2_short_st_e_demand*1000*$AU41/100)/1000000</f>
        <v>6709.2138793952872</v>
      </c>
      <c r="EA41" s="63">
        <f>Dme_st_nl_cost*Dme_st_nl_demand/1000000+(Dme_st_invest*(M41+1/Dme_st_lifetime+Dme_st_opex)/(Storage!$Q$63/1000000)+Dme_st_e_demand*1000*$AU41/100)*(EB41+Dme_st_ab_losses)/1000000+(h2_demand_kt*1000/365.25*short_st_duration_hrs/24)*(h2_short_st_invest*(1/gh2_short_st_lifetime+$M41+h2_short_st_opex)+h2_short_st_e_demand*1000*$AU41/100)/1000000</f>
        <v>3404.3134795185433</v>
      </c>
      <c r="EB41" s="63">
        <f>Storage!$Q$57/((1-Shipping!$R$37)^($F41/24/Shipping!$R$44+0.5*Shipping!$R$59))</f>
        <v>103547089.94708996</v>
      </c>
      <c r="EC41" s="153">
        <f>IF($E41="","No Port",IF(AND(ship_choice="VLCC",G41="Panama"),"Ship cannot pass through Panama",IF(ship_choice="VLCC",((F41/24/Shipping!$AD$44+F41/24/Shipping!$AD$50+Shipping!$AD$59+Shipping!$AD$64)*(Shipping!$AD$22+wacc_nl*Shipping!$AD$19/365.25*1000000+Shipping!$AD$35)+(F41/24/Shipping!$AD$44*Shipping!$AD$45+Shipping!$AD$64*Shipping!$AD$65)*IF(bunker_choice="HFO",$H41,IF(bunker_choice="hydrogen",$BD41*hfo_e_density_lhv/h2_e_density_lhv,(DX41+DZ41)*1000000/EB41*hfo_e_density_lhv/Dme_e_density_lhv))+(F41/24/Shipping!$AD$50*Shipping!$AD$51+Shipping!$AD$59*Shipping!$AD$60)*IF(bunker_choice="HFO",bunker_price_ROT,IF(bunker_choice="hydrogen",$BD41*hfo_e_density_lhv/h2_e_density_lhv,(DX41+DZ41)*1000000/EB41*hfo_e_density_lhv/Dme_e_density_lhv))+Shipping!$AD$73+IF(G41="Panama",Shipping!$AD$55,0)+IF(G41="Suez",Shipping!$AD$56,0))/Shipping!$AD$31*(EB41+Dme_st_ab_losses)/1000000+IF(inland_transport_to_port="hv dc grid",$BM41/100*1000*EE41,IF(inland_transport_to_port="pipeline",$BN41,0)),((F41/24/Shipping!$R$44+F41/24/Shipping!$R$50+Shipping!$R$59+Shipping!$R$64)*(Shipping!$R$22+wacc_nl*Shipping!$R$19/365.25*1000000+Shipping!$R$35)+(F41/24/Shipping!$R$44*Shipping!$R$45+Shipping!$R$64*Shipping!$R$65)*IF(bunker_choice="HFO",$H41,IF(bunker_choice="hydrogen",$BD41*hfo_e_density_lhv/h2_e_density_lhv,(DX41+DZ41)*1000000/EB41*hfo_e_density_lhv/Dme_e_density_lhv))+(F41/24/Shipping!$R$50*Shipping!$R$51+Shipping!$R$59*Shipping!$R$60)*IF(bunker_choice="HFO",bunker_price_ROT,IF(bunker_choice="hydrogen",$BD41*hfo_e_density_lhv/h2_e_density_lhv,(DX41+DZ41)*1000000/EB41*hfo_e_density_lhv/Dme_e_density_lhv))+Shipping!$R$73+IF(G41="Panama",Shipping!$R$55,0)+IF(G41="Suez",Shipping!$R$56,0))/Shipping!$R$31*(EB41+Dme_st_ab_losses)/1000000+IF(inland_transport_to_port="hv dc grid",$BM41/100*1000*EE41,IF(inland_transport_to_port="pipeline",$BN41,0)))))</f>
        <v>5055.3519069266276</v>
      </c>
      <c r="ED41" s="28">
        <f t="shared" si="39"/>
        <v>136100.30445185275</v>
      </c>
      <c r="EE41" s="29">
        <f>(Dme_e_demand)*(EB41+Dme_st_ab_losses)/1000000+Dme_st_e_demand*DZ41/1000000+$CV41*(Carriers!$X$21/Carriers!$X$23*EB41)/$CS41</f>
        <v>1550.2168272591946</v>
      </c>
      <c r="EF41" s="29">
        <f t="shared" ref="EF41:EF71" si="86">Dme_st_e_demand*Dme_st_nl_demand/1000000</f>
        <v>1.0354708994708997</v>
      </c>
      <c r="EG41" s="28">
        <f>IFERROR(ED41*1000000/Storage!$Q$12,"")</f>
        <v>1314.3807761415285</v>
      </c>
      <c r="EH41" s="28">
        <f>IF($E41="","No Port",((F41/24/Shipping!$R$44+F41/24/Shipping!$R$50+Shipping!$R$59+Shipping!$R$64)*Carriers!$X$39*wacc_nl))</f>
        <v>82.764321112788934</v>
      </c>
      <c r="EI41" s="100">
        <f>H2_retrieval!$P$25*h2_demand_kt/1000+(co2_liq_e_demand+co2_st_e_demand*2)*Storage!$Q$12*co2_density/Dme_density/1000000</f>
        <v>252.45335899349112</v>
      </c>
      <c r="EJ41" s="28">
        <f>IFERROR((((DX41+DZ41+EC41)*(1+H2_retrieval!$P$34)+EH41)*1000000/H2_retrieval!$P$8)+h2_regen_dme,"")</f>
        <v>9391.3880615239996</v>
      </c>
      <c r="EK41" s="149">
        <f>(ome_invest*(M41+1/ome_lifetime)/ome_prod+ome_opex+ome_e_demand*1000*$AU41/100+Carriers!$Z$21/Carriers!$Z$23*(CO41*1000000/CS41))*(EO41+ome_st_ab_losses)/1000000</f>
        <v>219295.8724330345</v>
      </c>
      <c r="EL41" s="86">
        <f>(ome_invest*(M41+1/ome_lifetime)/ome_prod+ome_opex+ome_e_demand*1000*$AU41/100+Carriers!$Z$21/Carriers!$Z$23*(CP41*1000000/CS41))*(EO41+ome_st_ab_losses)/1000000</f>
        <v>277399.14505973615</v>
      </c>
      <c r="EM41" s="63">
        <f>ome_st_nl_cost*ome_st_nl_demand/1000000+(ome_st_invest*(M41+1/ome_st_lifetime+ome_st_opex)/(Storage!$S$63/1000000)+ome_st_e_demand*1000*$AU41/100)*(EO41+ome_st_ab_losses)/1000000+co2_st_nl_cost*Storage!$S$12*co2_density/ome_density/1000000+(co2_st_opex_lev+co2_st_invest_lev+co2_st_e_demand*1000*$AU41/100)*Storage!$S$12/1000000+co2_st_invest_lev*Storage!$S$12*co2_st_lifetime*M41/1000000+(h2_demand_kt*1000/365.25*short_st_duration_hrs/24)*(h2_short_st_invest*(1/gh2_short_st_lifetime+$M41+h2_short_st_opex)+h2_short_st_e_demand*1000*$AU41/100)/1000000</f>
        <v>5809.8753132233642</v>
      </c>
      <c r="EN41" s="63">
        <f>ome_st_nl_cost*ome_st_nl_demand/1000000+(ome_st_invest*(M41+1/ome_st_lifetime+ome_st_opex)/(Storage!$S$63/1000000)+ome_st_e_demand*1000*$AU41/100)*(EO41+ome_st_ab_losses)/1000000+(h2_demand_kt*1000/365.25*short_st_duration_hrs/24)*(h2_short_st_invest*(1/gh2_short_st_lifetime+$M41+h2_short_st_opex)+h2_short_st_e_demand*1000*$AU41/100)/1000000</f>
        <v>2054.4642855351276</v>
      </c>
      <c r="EO41" s="63">
        <f>Storage!$S$57/((1-Shipping!$T$37)^($F41/24/Shipping!$T$44+0.5*Shipping!$T$59))</f>
        <v>128282539.68253967</v>
      </c>
      <c r="EP41" s="28">
        <f>IF($E41="","No Port",IF(AND(ship_choice="VLCC",G41="Panama"),"Ship cannot pass through Panama",IF(ship_choice="VLCC",((F41/24/Shipping!$AD$44+F41/24/Shipping!$AD$50+Shipping!$AD$59+Shipping!$AD$64)*(Shipping!$AD$22+wacc_nl*Shipping!$AD$19/365.25*1000000+Shipping!$AD$35)+(F41/24/Shipping!$AD$44*Shipping!$AD$45+Shipping!$AD$64*Shipping!$AD$65)*IF(bunker_choice="HFO",$H41,IF(bunker_choice="hydrogen",$BD41*hfo_e_density_lhv/h2_e_density_lhv,(EK41+EM41)*1000000/EO41*hfo_e_density_lhv/Dme_e_density_lhv))+(F41/24/Shipping!$AD$50*Shipping!$AD$51+Shipping!$AD$59*Shipping!$AD$60)*IF(bunker_choice="HFO",bunker_price_ROT,IF(bunker_choice="hydrogen",$BD41*hfo_e_density_lhv/h2_e_density_lhv,(EK41+EM41)*1000000/EO41*hfo_e_density_lhv/ome_e_density_lhv))+Shipping!$AD$73+IF(G41="Panama",Shipping!$AD$55,0)+IF(G41="Suez",Shipping!$AD$56,0))/Shipping!$AD$31*(EO41+ome_st_ab_losses)/1000000+IF(inland_transport_to_port="hv dc grid",$BM41/100*1000*ER41,IF(inland_transport_to_port="pipeline",$BN41,0)),((F41/24/Shipping!$T$44+F41/24/Shipping!$T$50+Shipping!$T$59+Shipping!$T$64)*(Shipping!$T$22+wacc_nl*Shipping!$T$19/365.25*1000000+Shipping!$T$35)+(F41/24/Shipping!$T$44*Shipping!$T$45+Shipping!$T$64*Shipping!$T$65)*IF(bunker_choice="HFO",$H41,IF(bunker_choice="hydrogen",$BD41*hfo_e_density_lhv/h2_e_density_lhv,(EK41+EM41)*1000000/EO41*hfo_e_density_lhv/Dme_e_density_lhv))+(F41/24/Shipping!$T$50*Shipping!$T$51+Shipping!$T$59*Shipping!$T$60)*IF(bunker_choice="HFO",bunker_price_ROT,IF(bunker_choice="hydrogen",$BD41*hfo_e_density_lhv/h2_e_density_lhv,(EK41+EM41)*1000000/EO41*hfo_e_density_lhv/ome_e_density_lhv))+Shipping!$T$73+IF(G41="Panama",Shipping!$T$55,0)+IF(G41="Suez",Shipping!$T$56,0))/Shipping!$T$31*(EO41+ome_st_ab_losses)/1000000+IF(inland_transport_to_port="hv dc grid",$BM41/100*1000*ER41,IF(inland_transport_to_port="pipeline",$BN41,0)))))</f>
        <v>5581.63667469551</v>
      </c>
      <c r="EQ41" s="28">
        <f t="shared" si="40"/>
        <v>285035.24601996684</v>
      </c>
      <c r="ER41" s="29">
        <f>(ome_e_demand)*(EO41+ome_st_ab_losses)/1000000+ome_st_e_demand*EM41/1000000+$CV41*(Carriers!$Z$21/Carriers!$Z$23*EO41)/$CS41</f>
        <v>3352.0814588555963</v>
      </c>
      <c r="ES41" s="29">
        <f t="shared" ref="ES41:ES71" si="87">ome_st_e_demand*ome_st_nl_demand/1000000</f>
        <v>0.1924238095238095</v>
      </c>
      <c r="ET41" s="28">
        <f>IFERROR(EQ41*1000000/Storage!$S$12,"")</f>
        <v>2221.9332944712705</v>
      </c>
      <c r="EU41" s="28">
        <f>IF($E41="","No Port",((F41/24/Shipping!$T$44+F41/24/Shipping!$T$50+Shipping!$T$59+Shipping!$T$64)*Carriers!$Z$39*wacc_nl))</f>
        <v>94.925558857431511</v>
      </c>
      <c r="EV41" s="100">
        <f>H2_retrieval!$R$25*h2_demand_kt/1000+(co2_liq_e_demand+co2_st_e_demand*2)*Storage!$S$12*co2_density/ome_density/1000000</f>
        <v>254.51942895252085</v>
      </c>
      <c r="EW41" s="28">
        <f>IFERROR((((EK41+EM41+EP41)*(1+H2_retrieval!$R$34)+EU41)*1000000/H2_retrieval!$R$8)+h2_regen_ome,"")</f>
        <v>18139.416041711618</v>
      </c>
      <c r="EX41" s="149">
        <f>(sng_invest*(M41+1/sng_lifetime)/sng_prod+lng_invest*(M41+1/lng_lifetime)/lng_prod+sng_opex+lng_opex+(sng_e_demand+lng_e_demand)*1000*$AU41/100+Carriers!$AB$18/Carriers!$AB$23*BD41+Carriers!$AB$20/Carriers!$AB$23*co2_liq_cost)*(FB41+lng_st_ab_losses)/1000000</f>
        <v>76869.623154164801</v>
      </c>
      <c r="EY41" s="86">
        <f>(sng_invest*(M41+1/sng_lifetime)/sng_prod+lng_invest*(M41+1/lng_lifetime)/lng_prod+sng_opex+lng_opex+(sng_e_demand+lng_e_demand)*1000*$AU41/100+Carriers!$AB$18/Carriers!$AB$23*BD41+Carriers!$AB$20/Carriers!$AB$23*BP41)*(FB41+lng_st_ab_losses)/1000000</f>
        <v>92166.439680981654</v>
      </c>
      <c r="EZ41" s="63">
        <f>lng_st_nl_cost*lng_st_nl_demand/1000000+(lng_st_invest*(M41+1/lng_st_lifetime+lng_st_opex)/(Storage!$U$63/1000000)+lng_st_e_demand*1000*$AU41/100)*(FB41+lng_st_ab_losses)/1000000+co2_st_nl_cost*Storage!$U$12*co2_density/lng_density/1000000+(co2_st_opex_lev+co2_st_invest_lev+co2_st_e_demand*1000*$AU41/100)*Storage!$U$12/1000000+co2_st_invest_lev*Storage!$U$12*co2_st_lifetime*M41/1000000+Carriers!$AB$18/Carriers!$AB$23*((FB41+lng_st_ab_losses)/365.25*short_st_duration_hrs/24)*(h2_short_st_invest*(1/gh2_short_st_lifetime+$M41+h2_short_st_opex)+h2_short_st_e_demand*1000*$AU41/100)/1000000+Carriers!$AB$20/Carriers!$AB$23*((FB41+lng_st_ab_losses)/365.25*short_st_duration_hrs/24)*(co2_short_st_invest*(1/co2_short_st_lifetime+$M41+co2_short_st_opex)+co2_short_st_e_demand*1000*$AU41/100)/1000000</f>
        <v>7054.8991506428792</v>
      </c>
      <c r="FA41" s="63">
        <f>lng_st_nl_cost*lng_st_nl_demand/1000000+(lng_st_invest*(M41+1/lng_st_lifetime+lng_st_opex)/(Storage!$U$63/1000000)+lng_st_e_demand*1000*$AU41/100)*(FB41+lng_st_ab_losses)/1000000+Carriers!$AB$18/Carriers!$AB$23*((FB41+lng_st_ab_losses)/365.25*short_st_duration_hrs/24)*(h2_short_st_invest*(1/gh2_short_st_lifetime+$M41+h2_short_st_opex)+h2_short_st_e_demand*1000*$AU41/100)/1000000+Carriers!$AB$20/Carriers!$AB$23*((FB41+lng_st_ab_losses)/365.25*short_st_duration_hrs/24)*(co2_short_st_invest*(1/co2_short_st_lifetime+$M41+co2_short_st_opex)+co2_short_st_e_demand*1000*$AU41/100)/1000000</f>
        <v>5321.8919547963469</v>
      </c>
      <c r="FB41" s="63">
        <f>Storage!$U$57/((1-Shipping!$V$37)^($F41/24/Shipping!$V$44+0.5*Shipping!$V$59))</f>
        <v>41276116.077248409</v>
      </c>
      <c r="FC41" s="28">
        <f>IF($E41="","No Port",IF(G41="Panama","Ship cannot pass through Panama",((F41/24/Shipping!$V$44+F41/24/Shipping!$V$50+Shipping!$V$59+Shipping!$V$64)*(Shipping!$V$22+wacc_nl*Shipping!$V$19/365.25*1000000+Shipping!$V$35)+(F41/24/Shipping!$V$44*Shipping!$V$45+Shipping!$V$64*Shipping!$V$65)*IF(bunker_choice="HFO",$H41,IF(bunker_choice="hydrogen",$BD41*hfo_e_density_lhv/h2_e_density_lhv,(EX41+EZ41)*1000000/FB41*hfo_e_density_lhv/lng_e_density_lhv))+(F41/24/Shipping!$V$50*Shipping!$V$51+Shipping!$V$59*Shipping!$V$60)*IF(bunker_choice="HFO",bunker_price_ROT,IF(bunker_choice="hydrogen",$BD41*hfo_e_density_lhv/h2_e_density_lhv,(EX41+EZ41)*1000000/FB41*hfo_e_density_lhv/lng_e_density_lhv))+Shipping!$V$73+IF(G41="Panama",Shipping!$V$55,0)+IF(G41="Suez",Shipping!$V$56,0))/Shipping!$V$31*(FB41+lng_st_ab_losses)/1000000)+IF(inland_transport_to_port="hv dc grid",$BM41/100*1000*FE41,IF(inland_transport_to_port="pipeline",$BN41,0)))</f>
        <v>2309.7782021508947</v>
      </c>
      <c r="FD41" s="28">
        <f t="shared" si="41"/>
        <v>99798.109837928889</v>
      </c>
      <c r="FE41" s="29">
        <f>((Carriers!$AB$18/Carriers!$AB$23*alk_el_e_demand)+sng_e_demand+lng_e_demand)*(FB41+lng_st_ab_losses)/1000000+lng_st_e_demand*EZ41/1000000</f>
        <v>1106.9916364588369</v>
      </c>
      <c r="FF41" s="29">
        <f t="shared" ref="FF41:FF71" si="88">lng_st_e_demand*lng_st_nl_demand/1000000</f>
        <v>0.8126185861001558</v>
      </c>
      <c r="FG41" s="28">
        <f>IFERROR(FD41*1000000/Storage!$U$12,"")</f>
        <v>2459.0429129339486</v>
      </c>
      <c r="FH41" s="28">
        <f>IF($E41="","No Port",((F41/24/Shipping!$V$44+F41/24/Shipping!$V$50+Shipping!$V$59+Shipping!$V$64)*Carriers!$AB$39*wacc_nl))</f>
        <v>28.056047498339417</v>
      </c>
      <c r="FI41" s="100">
        <f>H2_retrieval!$T$25*h2_demand_kt/1000+(co2_liq_e_demand+co2_st_e_demand*2)*Storage!$U$12*co2_density/lng_density/1000000</f>
        <v>236.51371749646054</v>
      </c>
      <c r="FJ41" s="28">
        <f>IFERROR((((EX41+EZ41+FC41)*(1+H2_retrieval!$T$34)+FH41)*1000000/H2_retrieval!$T$8)+h2_regen_lng,"")</f>
        <v>7512.9488780826523</v>
      </c>
      <c r="FK41" s="149">
        <f>(lh2_invest*(M41+1/lh2_lifetime)/lh2_prod+lh2_opex+lh2_e_demand*1000*$AU41/100+Carriers!$AD$18/Carriers!$AD$23*BD41)*(FM41+lh2_st_ab_losses)/1000000</f>
        <v>61899.617909959881</v>
      </c>
      <c r="FL41" s="28">
        <f>lh2_st_nl_cost*lh2_st_nl_demand/1000000+(lh2_st_invest*(M41+1/lh2_st_lifetime+lh2_st_opex)/(Storage!$Y$63/1000000)+lh2_st_e_demand*1000*$AU41/100)*(FM41+lh2_st_ab_losses)/1000000+((FM41+lh2_st_ab_losses)/365.25*short_st_duration_hrs/24)*(h2_short_st_invest*(1/gh2_short_st_lifetime+$M41+h2_short_st_opex)+h2_short_st_e_demand*1000*$AU41/100)/1000000</f>
        <v>61101.213047183126</v>
      </c>
      <c r="FM41" s="63">
        <f>Storage!$Y$57/((1-Shipping!$Z$37)^($F41/24/Shipping!$Z$44+0.5*Shipping!$Z$59))</f>
        <v>13966816.532584723</v>
      </c>
      <c r="FN41" s="28">
        <f>IF($E41="","No Port",IF(G41="Panama","Ship cannot pass through Panama",((F41/24/Shipping!$Z$44+F41/24/Shipping!$Z$50+Shipping!$Z$59+Shipping!$Z$64)*(Shipping!$Z$22+wacc_nl*Shipping!$Z$19/365.25*1000000+Shipping!$Z$35)+(F41/24/Shipping!$Z$44*Shipping!$Z$45+Shipping!$Z$64*Shipping!$Z$65)*IF(bunker_choice="HFO",$H41,IF(bunker_choice="hydrogen",$BD41*hfo_e_density_lhv/h2_e_density_lhv,(FK41+FL41)*1000000/FM41*hfo_e_density_lhv/lh2_e_density_lhv))+(F41/24/Shipping!$Z$50*Shipping!$Z$51+Shipping!$Z$59*Shipping!$Z$60)*IF(bunker_choice="HFO",bunker_price_ROT,IF(bunker_choice="hydrogen",$BD41*hfo_e_density_lhv/h2_e_density_lhv,(FK41+FL41)*1000000/FM41*hfo_e_density_lhv/lh2_e_density_lhv))+Shipping!$Z$73+IF(G41="Panama",Shipping!$Z$55,0)+IF(G41="Suez",Shipping!$Z$56,0))/Shipping!$Z$31*(FM41+lh2_st_ab_losses)/1000000)+IF(inland_transport_to_port="hv dc grid",$BM41/100*1000*FP41,IF(inland_transport_to_port="pipeline",$BN41,0)))</f>
        <v>3581.0915595766701</v>
      </c>
      <c r="FO41" s="28">
        <f t="shared" si="42"/>
        <v>126581.92251671969</v>
      </c>
      <c r="FP41" s="29">
        <f>((Carriers!$AD$18/Carriers!$AD$23*alk_el_e_demand)+lh2_e_demand)*(FM41+lh2_st_ab_losses)/1000000+lh2_st_e_demand*FM41/1000000</f>
        <v>809.35872589068163</v>
      </c>
      <c r="FQ41" s="100">
        <f t="shared" ref="FQ41:FQ71" si="89">lh2_st_e_demand*lh2_st_nl_demand/1000000</f>
        <v>1.361902463475859</v>
      </c>
      <c r="FR41" s="28">
        <f>IFERROR(FO41*1000000/Storage!$Y$12,"")</f>
        <v>9307.4943026999772</v>
      </c>
      <c r="FS41" s="100">
        <f>H2_retrieval!$V$25*h2_demand_kt/1000</f>
        <v>8.16</v>
      </c>
      <c r="FT41" s="28">
        <f>IFERROR(FR41*(1+H2_retrieval!$V$34)/Carrier_properties!$U$7+H2_retrieval!$V$38,"")</f>
        <v>9339.4630285684452</v>
      </c>
      <c r="FU41" s="12"/>
      <c r="FV41" s="24">
        <f t="shared" ref="FV41:FV72" si="90">S41</f>
        <v>2.9056286370558935</v>
      </c>
      <c r="FW41" s="24">
        <f t="shared" si="57"/>
        <v>5.9031115390277487</v>
      </c>
      <c r="FX41" s="24">
        <f t="shared" si="58"/>
        <v>9.7780895530456764</v>
      </c>
      <c r="FY41" s="24">
        <f t="shared" si="45"/>
        <v>2.9056286370558935</v>
      </c>
      <c r="FZ41" s="28">
        <f t="shared" si="59"/>
        <v>3183.0045512230681</v>
      </c>
      <c r="GA41" s="28">
        <f t="shared" si="47"/>
        <v>746.02190568083688</v>
      </c>
      <c r="GB41" s="28">
        <f t="shared" si="48"/>
        <v>540.27973072799921</v>
      </c>
      <c r="GC41" s="28">
        <f t="shared" si="49"/>
        <v>842.27659399353638</v>
      </c>
      <c r="GD41" s="28">
        <f t="shared" si="50"/>
        <v>1232.6820495933671</v>
      </c>
      <c r="GE41" s="28">
        <f t="shared" si="51"/>
        <v>2162.407649133037</v>
      </c>
      <c r="GF41" s="28">
        <f t="shared" si="52"/>
        <v>2232.9242293168236</v>
      </c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12"/>
      <c r="HA41" s="12"/>
      <c r="HB41" s="12"/>
      <c r="HC41" s="12"/>
      <c r="HD41" s="12"/>
      <c r="HE41" s="12"/>
      <c r="HF41" s="12"/>
    </row>
    <row r="42" spans="1:214" x14ac:dyDescent="0.2">
      <c r="A42" s="40" t="s">
        <v>42</v>
      </c>
      <c r="B42" s="12">
        <v>2918</v>
      </c>
      <c r="C42" s="12">
        <v>1</v>
      </c>
      <c r="D42" s="12">
        <f t="shared" si="61"/>
        <v>0</v>
      </c>
      <c r="E42" s="12" t="s">
        <v>713</v>
      </c>
      <c r="F42" s="12">
        <v>3315</v>
      </c>
      <c r="G42" s="12"/>
      <c r="H42" s="16">
        <f t="shared" si="62"/>
        <v>382.75862068965517</v>
      </c>
      <c r="I42" s="16">
        <v>9240</v>
      </c>
      <c r="J42" s="16">
        <f t="shared" si="31"/>
        <v>54.23267786434878</v>
      </c>
      <c r="K42" s="27">
        <f t="shared" si="32"/>
        <v>65.079213437218527</v>
      </c>
      <c r="L42" s="103">
        <v>8.5000000000000006E-2</v>
      </c>
      <c r="M42" s="103">
        <f t="shared" si="63"/>
        <v>0.10153843627327469</v>
      </c>
      <c r="N42" s="122">
        <f t="shared" si="33"/>
        <v>0.9</v>
      </c>
      <c r="O42" s="46">
        <f t="shared" si="64"/>
        <v>40</v>
      </c>
      <c r="P42" s="70">
        <f t="array" ref="P42">SUMPRODUCT(IF(Solar_data!A$4:A$777=A42,Solar_data!C$4:C$777),IF(Solar_data!A$4:A$777=A42,Solar_data!I$4:I$777))/SUMIF(Solar_data!A$4:A$777,A42,Solar_data!I$4:I$777)</f>
        <v>1942.8800370292029</v>
      </c>
      <c r="Q42" s="16">
        <f t="array" ref="Q42">MAX(IF(Solar_data!$A$777:'Solar_data'!$A$4=Country_details!$A42,Solar_data!$C$4:'Solar_data'!$C$777))</f>
        <v>2098.75</v>
      </c>
      <c r="R42" s="16">
        <f t="array" ref="R42">MIN(IF(Solar_data!$A$777:'Solar_data'!$A$4=Country_details!A42,Solar_data!$C$4:'Solar_data'!$C$777))</f>
        <v>1916.25</v>
      </c>
      <c r="S42" s="24">
        <f t="shared" si="65"/>
        <v>1.991228065759381</v>
      </c>
      <c r="T42" s="24">
        <f t="shared" si="66"/>
        <v>1.8433435416968074</v>
      </c>
      <c r="U42" s="24">
        <f t="shared" si="67"/>
        <v>2.0189000694774557</v>
      </c>
      <c r="V42" s="16">
        <f t="array" ref="V42">SUM(IF(Solar_data!$A$777:'Solar_data'!$A$4=Country_details!$A42,Solar_data!$I$4:'Solar_data'!$I$777))</f>
        <v>78.535570870116175</v>
      </c>
      <c r="W42" s="148"/>
      <c r="X42" s="16" t="str">
        <f>IFERROR(INDEX(Onshore_wind_data!$J$5:'Onshore_wind_data'!$J$221,MATCH(A42,Onshore_wind_data!$B$5:'Onshore_wind_data'!$B$221,0)),"")</f>
        <v/>
      </c>
      <c r="Y42" s="16" t="str">
        <f>IFERROR(INDEX(Onshore_wind_data!$K$5:'Onshore_wind_data'!$K$221,MATCH(A42,Onshore_wind_data!$B$5:'Onshore_wind_data'!$B$221,0)),"")</f>
        <v/>
      </c>
      <c r="Z42" s="16" t="str">
        <f>IFERROR(INDEX(Onshore_wind_data!$L$5:'Onshore_wind_data'!$L$221,MATCH(A42,Onshore_wind_data!$B$5:'Onshore_wind_data'!$B$221,0)),"")</f>
        <v/>
      </c>
      <c r="AA42" s="24" t="str">
        <f t="shared" si="68"/>
        <v/>
      </c>
      <c r="AB42" s="24" t="str">
        <f t="shared" si="69"/>
        <v/>
      </c>
      <c r="AC42" s="24" t="str">
        <f t="shared" si="70"/>
        <v/>
      </c>
      <c r="AD42" s="16">
        <f>IFERROR(INDEX(Onshore_wind_data!$I$5:'Onshore_wind_data'!$I$221,MATCH(A42,Onshore_wind_data!$B$5:'Onshore_wind_data'!$B$221,0)),"")</f>
        <v>0</v>
      </c>
      <c r="AE42" s="148"/>
      <c r="AF42" s="16" t="str">
        <f>INDEX(Offshore_wind_data!$AA$7:$AA$192,MATCH(Country_details!A42,Offshore_wind_data!$A$7:$A$192,0))</f>
        <v/>
      </c>
      <c r="AG42" s="16" t="str">
        <f>INDEX(Offshore_wind_data!$Y$7:$Y$192,MATCH(Country_details!A42,Offshore_wind_data!$A$7:$A$192,0))</f>
        <v/>
      </c>
      <c r="AH42" s="16" t="str">
        <f>INDEX(Offshore_wind_data!$Z$7:$Z$192,MATCH(Country_details!A42,Offshore_wind_data!$A$7:$A$192,0))</f>
        <v/>
      </c>
      <c r="AI42" s="24" t="str">
        <f t="shared" si="71"/>
        <v/>
      </c>
      <c r="AJ42" s="24" t="str">
        <f t="shared" si="72"/>
        <v/>
      </c>
      <c r="AK42" s="24" t="str">
        <f t="shared" si="73"/>
        <v/>
      </c>
      <c r="AL42" s="16">
        <f>INDEX(Offshore_wind_data!$W$7:$W$191,MATCH(A42,Offshore_wind_data!$A$7:$A$191,0))</f>
        <v>0</v>
      </c>
      <c r="AM42" s="148"/>
      <c r="AN42" s="12">
        <v>1.2</v>
      </c>
      <c r="AO42" s="12">
        <v>1.4</v>
      </c>
      <c r="AP42" s="34">
        <f>1.6911*11.63</f>
        <v>19.667493</v>
      </c>
      <c r="AQ42" s="15">
        <f t="shared" si="74"/>
        <v>50</v>
      </c>
      <c r="AR42" s="12">
        <f t="shared" si="34"/>
        <v>70</v>
      </c>
      <c r="AS42" s="16">
        <f t="shared" si="35"/>
        <v>8.5355708701161745</v>
      </c>
      <c r="AT42" s="12"/>
      <c r="AU42" s="24">
        <f t="shared" si="75"/>
        <v>1.991228065759381</v>
      </c>
      <c r="AV42" s="16">
        <f t="shared" si="76"/>
        <v>1942.8800370292029</v>
      </c>
      <c r="AW42" s="149">
        <f>HV_DC_Grid!$E$3/(1-AX42)*AU42/100*1000</f>
        <v>2138.6065708837727</v>
      </c>
      <c r="AX42" s="31">
        <f>(1-(1-HV_DC_Grid!$E$25)^(B42*C42*HV_DC_Grid!$E$8/1000))+(1-(1-HV_DC_Grid!$E$26)^(B42*D42*HV_DC_Grid!$E$8/1000))+HV_DC_Grid!$E$35*HV_DC_Grid!$E$28</f>
        <v>6.8913332228044286E-2</v>
      </c>
      <c r="AY42" s="28">
        <f>B42*nl_e_demand/IF(hv_dc_flh="electricity FLH",$AV42,hv_dc_custom)*1000*hv_dc_capacity_multiplier*hv_dc_length_multiplier*1000*(C42*hv_dc_overhead_invest*(hv_dc_overhead_opex+M42+1/hv_dc_lifetime)+D42*hv_dc_sea_invest*(hv_dc_sea_opex+M42+1/hv_dc_lifetime))/1000000+HV_DC_Grid!$E$10*1000*hv_dc_station_invest*hv_dc_station_number*(hv_dc_station_opex+M42+1/hv_dc_lifetime)/1000000</f>
        <v>2464.1146209612389</v>
      </c>
      <c r="AZ42" s="24">
        <f>(AW42+AY42)/(HV_DC_Grid!$E$3*1000)*100</f>
        <v>4.6027211918450117</v>
      </c>
      <c r="BA42" s="28">
        <f>MIN(((Carriers!$F$26+Carriers!$F$27)*(alk_el_opex+wacc_nl+1/alk_el_lifetime)+IF(hv_dc_flh="electricity FLH",$AV42,hv_dc_custom)*AZ42/100)/(IF(hv_dc_flh="electricity FLH",$AV42,hv_dc_custom)/alk_el_e_demand)*1000,((Carriers!$H$26+Carriers!$H$27)*(pem_el_opex+wacc_nl+1/pem_el_lifetime)+IF(hv_dc_flh="electricity FLH",$AV42,hv_dc_custom)*AZ42/100)/(IF(hv_dc_flh="electricity FLH",$AV42,hv_dc_custom)/pem_el_e_demand)*1000)</f>
        <v>2688.4642861179259</v>
      </c>
      <c r="BB42" s="12"/>
      <c r="BC42" s="12"/>
      <c r="BD42" s="149">
        <f>MIN(((Carriers!$F$26+Carriers!$F$27)*(alk_el_opex+M42+1/alk_el_lifetime)+$AV42*$AU42/100)/($AV42/alk_el_e_demand)*1000,((Carriers!$H$26+Carriers!$H$27)*(pem_el_opex+M42+1/pem_el_lifetime)+$AV42*$AU42/100)/($AV42/pem_el_e_demand)*1000)</f>
        <v>2548.6246926073768</v>
      </c>
      <c r="BE42" s="28">
        <f>Storage!$AC$50</f>
        <v>8.1664117557772418</v>
      </c>
      <c r="BF42" s="28">
        <f>((Pipeline!$D$22*Pipeline!$D$24*B42*(pipeline_opex+M42+1/pipeline_lifetime))*(Pipeline!$D$39/Pipeline!$D$3)+(Pipeline!$D$57*(pipeline_comp_opex+M42+1/pipeline_comp_lifetime)+Pipeline!$D$47*1000*Pipeline!$D$45*$AU42/100/1000000))*(Pipeline!$D$75/Pipeline!$D$45)</f>
        <v>5782.4423262574519</v>
      </c>
      <c r="BG42" s="28">
        <f>BD42+(BE42+BF42)/Storage!$AC$12*1000000</f>
        <v>2974.4047468730555</v>
      </c>
      <c r="BH42" s="28"/>
      <c r="BI42" s="28"/>
      <c r="BJ42" s="28">
        <f>IF($E42="","No Port",BK42*HV_DC_Grid!$E$3*$AU42/100*1000)</f>
        <v>30.383814514192792</v>
      </c>
      <c r="BK42" s="31">
        <f>IFERROR((1-(1-HV_DC_Grid!$E$25)^(K42*HV_DC_Grid!$E$8/1000))+HV_DC_Grid!$E$35*HV_DC_Grid!$E$28,"")</f>
        <v>1.5258831992509868E-2</v>
      </c>
      <c r="BL42" s="28">
        <f>IFERROR(K42*nl_e_demand/IF(hv_dc_flh="electricity FLH",$AV42,hv_dc_custom)*1000*hv_dc_capacity_multiplier*hv_dc_length_multiplier*1000*(hv_dc_overhead_invest*(hv_dc_overhead_opex+M42+1/hv_dc_lifetime))/1000000+HV_DC_Grid!$E$10*1000*hv_dc_station_invest*hv_dc_station_number*(hv_dc_station_opex+M42+1/hv_dc_lifetime)/1000000,"")</f>
        <v>407.37856987475919</v>
      </c>
      <c r="BM42" s="29">
        <f>IFERROR((BJ42+BL42)/(HV_DC_Grid!$E$3*1000)*100,"")</f>
        <v>0.43776238438895199</v>
      </c>
      <c r="BN42" s="28">
        <f>IFERROR(((Pipeline!$D$22*Pipeline!$D$24*K42*(pipeline_opex+M42+1/pipeline_lifetime))*(Pipeline!$D$39/Pipeline!$D$3)+(Pipeline!$D$57*(pipeline_comp_opex+M42+1/pipeline_comp_lifetime)+Pipeline!$D$47*1000*Pipeline!$D$45*S42/100/1000000))*(Pipeline!$D$75/Pipeline!$D$45),"")</f>
        <v>194.50662958711951</v>
      </c>
      <c r="BO42" s="28"/>
      <c r="BP42" s="150">
        <f t="shared" si="77"/>
        <v>98.220972498313941</v>
      </c>
      <c r="BQ42" s="34">
        <f t="shared" si="78"/>
        <v>29.473813193617318</v>
      </c>
      <c r="BR42" s="151">
        <f>(nh3_invest*(M42+1/nh3_lifetime)/nh3_prod+nh3_opex+nh3_e_demand*1000*$AU42/100+Carriers!$N$18/Carriers!$N$23*BD42+Carriers!$N$19/Carriers!$N$23*BQ42)*(BT42+nh3_st_ab_losses)/1000000</f>
        <v>45358.202656447233</v>
      </c>
      <c r="BS42" s="63">
        <f>nh3_st_nl_cost*nh3_st_nl_demand/1000000+(nh3_st_invest*(M42+1/nh3_st_lifetime+nh3_st_opex)/(Storage!$G$63/1000000)+nh3_st_e_demand*1000*$AU42/100)*(BT42+nh3_st_ab_losses)/1000000+Carriers!$N$18/Carriers!$N$23*((BT42+nh3_st_ab_losses)/365.25*short_st_duration_hrs/24)*(h2_short_st_invest*(1/gh2_short_st_lifetime+$M42+h2_short_st_opex)+h2_short_st_e_demand*1000*$AU42/100)/1000000+Carriers!$N$19/Carriers!$N$23*((BT42+nh3_st_ab_losses)/365.25*short_st_duration_hrs/24)*(n2_short_st_invest*(1/n2_short_st_lifetime+$M42+n2_short_st_opex)+n2_short_st_e_demand*1000*$AU42/100)/1000000</f>
        <v>3136.6200531196919</v>
      </c>
      <c r="BT42" s="63">
        <f>Storage!$G$57/((1-Shipping!$H$37)^(F42/24/Shipping!$H$44+0.5*Shipping!$H$59))</f>
        <v>78484274.604745626</v>
      </c>
      <c r="BU42" s="63">
        <f>IF($E42="","No Port",((F42/24/Shipping!$H$44+F42/24/Shipping!$H$50+Shipping!$H$59+Shipping!$H$64)*(Shipping!$H$22+wacc_nl*Shipping!$H$19/365.25*1000000+Shipping!$H$35)+(F42/24/Shipping!$H$44*Shipping!$H$45+Shipping!$H$64*Shipping!$H$65)*IF(bunker_choice="HFO",H42,IF(bunker_choice="hydrogen",BD42*hfo_e_density_lhv/h2_e_density_lhv,(BR42+BS42)*1000000/BT42*hfo_e_density_lhv/nh3_e_density_lhv))+(F42/24/Shipping!$H$50*Shipping!$H$51+Shipping!$H$59*Shipping!$H$60)*IF(bunker_choice="HFO",bunker_price_ROT,IF(bunker_choice="hydrogen",BD42*hfo_e_density_lhv/h2_e_density_lhv,(BR42+BS42)*1000000/BT42*hfo_e_density_lhv/nh3_e_density_lhv))+Shipping!$H$73+IF(G42="Panama",Shipping!$H$55,0)+IF(G42="Suez",Shipping!$H$56,0))/Shipping!$H$31*BT42/1000000+IF(inland_transport_to_port="hv dc grid",$BM42/100*1000*BW42,IF(inland_transport_to_port="pipeline",$BN42,0)))</f>
        <v>2425.8825004112732</v>
      </c>
      <c r="BV42" s="63">
        <f t="shared" ref="BV42:BV72" si="91">IFERROR(BR42+BS42+BU42,"")</f>
        <v>50920.705209978201</v>
      </c>
      <c r="BW42" s="33">
        <f>((Carriers!$N$18/Carriers!$N$23*alk_el_e_demand)+(Carriers!$N$19/Carriers!$N$23*n2_e_demand)+nh3_e_demand)*(BT42+nh3_st_ab_losses)/1000000+nh3_st_e_demand*BT42/1000000</f>
        <v>775.05643307815285</v>
      </c>
      <c r="BX42" s="33">
        <f t="shared" si="79"/>
        <v>0.76626754477640768</v>
      </c>
      <c r="BY42" s="63">
        <f>IFERROR(BV42*1000000/Storage!$G$12,"")</f>
        <v>665.08274026190566</v>
      </c>
      <c r="BZ42" s="63">
        <f>H2_retrieval!$F$25*h2_demand_kt/1000</f>
        <v>80</v>
      </c>
      <c r="CA42" s="63">
        <f>IFERROR(BY42*(1+H2_retrieval!$F$34)/Carrier_properties!$E$7+H2_retrieval!$F$38,"")</f>
        <v>4153.3954803774268</v>
      </c>
      <c r="CB42" s="149">
        <f>(FA_invest*(M42+1/FA_lifetime)/FA_prod+FA_opex+FA_e_demand*1000*$AU42/100+Carriers!$P$18/Carriers!$P$23*BD42+Carriers!$P$20/Carriers!$P$23*co2_liq_cost)*(CF42+FA_st_ab_losses)/1000000</f>
        <v>89189.938536519374</v>
      </c>
      <c r="CC42" s="86">
        <f>(FA_invest*(M42+1/FA_lifetime)/FA_prod+FA_opex+FA_e_demand*1000*$AU42/100+Carriers!$P$18/Carriers!$P$23*BD42+Carriers!$P$20/Carriers!$P$23*BP42)*(CF42+FA_st_ab_losses)/1000000</f>
        <v>112630.66516995935</v>
      </c>
      <c r="CD42" s="63">
        <f>FA_st_nl_cost*FA_st_nl_demand/1000000+(FA_st_invest*(M42+1/FA_st_lifetime+FA_st_opex)/(Storage!$I$63/1000000)+FA_st_e_demand*1000*$AU42/100)*(CF42+FA_st_ab_losses)/1000000+co2_st_nl_cost*Storage!$I$12*co2_density/FA_density/1000000+(co2_st_opex_lev+co2_st_invest_lev+co2_st_e_demand*1000*$AU42/100)*Storage!$I$12/1000000+co2_st_invest_lev*Storage!$I$12*co2_st_lifetime*M42/1000000+Carriers!$P$18/Carriers!$P$23*((CF42+FA_st_ab_losses)/365.25*short_st_duration_hrs/24)*(h2_short_st_invest*(1/gh2_short_st_lifetime+$M42+h2_short_st_opex)+h2_short_st_e_demand*1000*$AU42/100)/1000000+Carriers!$P$20/Carriers!$P$23*((CF42+FA_st_ab_losses)/365.25*short_st_duration_hrs/24)*(co2_short_st_invest*(1/co2_short_st_lifetime+$M42+co2_short_st_opex)+co2_short_st_e_demand*1000*$AU42/100)/1000000</f>
        <v>10805.904489183353</v>
      </c>
      <c r="CE42" s="63">
        <f>FA_st_nl_cost*FA_st_nl_demand/1000000+(FA_st_invest*(M42+1/FA_st_lifetime+FA_st_opex)/(Storage!$I$63/1000000)+FA_st_e_demand*1000*$AU42/100)*(CF42+FA_st_ab_losses)/1000000+Carriers!$P$18/Carriers!$P$23*((CF42+FA_st_ab_losses)/365.25*short_st_duration_hrs/24)*(h2_short_st_invest*(1/gh2_short_st_lifetime+$M42+h2_short_st_opex)+h2_short_st_e_demand*1000*$AU42/100)/1000000+Carriers!$P$20/Carriers!$P$23*((CF42+FA_st_ab_losses)/365.25*short_st_duration_hrs/24)*(co2_short_st_invest*(1/co2_short_st_lifetime+$M42+co2_short_st_opex)+co2_short_st_e_demand*1000*$AU42/100)/1000000</f>
        <v>4675.8638786656184</v>
      </c>
      <c r="CF42" s="63">
        <f>Storage!$I$57/((1-Shipping!$J$37)^($F42/24/Shipping!$J$44+0.5*Shipping!$J$59))</f>
        <v>310425396.82539684</v>
      </c>
      <c r="CG42" s="28">
        <f>IF($E42="","No Port",((F42/24/Shipping!$J$44+F42/24/Shipping!$J$50+Shipping!$J$59+Shipping!$J$64)*(Shipping!$J$22+wacc_nl*Shipping!$J$19/365.25*1000000+Shipping!$J$35)+(F42/24/Shipping!$J$44*Shipping!$J$45+Shipping!$J$64*Shipping!$J$65)*IF(bunker_choice="HFO",$H42,IF(bunker_choice="hydrogen",$BD42*hfo_e_density_lhv/h2_e_density_lhv,(CB42+CD42)*1000000/CF42*hfo_e_density_lhv/FA_e_density_lhv))+(F42/24/Shipping!$J$50*Shipping!$J$51+Shipping!$J$59*Shipping!$J$60)*IF(bunker_choice="HFO",bunker_price_ROT,IF(bunker_choice="hydrogen",$BD42*hfo_e_density_lhv/h2_e_density_lhv,(CB42+CD42)*1000000/CF42*hfo_e_density_lhv/FA_e_density_lhv))+Shipping!$J$73+IF(G42="Panama",Shipping!$J$55,0)+IF(G42="Suez",Shipping!$J$56,0))/Shipping!$J$31*CF42/1000000+IF(inland_transport_to_port="hv dc grid",$BM42/100*1000*CI42,IF(inland_transport_to_port="pipeline",$BN42,0)))</f>
        <v>9732.8064850580431</v>
      </c>
      <c r="CH42" s="28">
        <f t="shared" si="36"/>
        <v>127039.33553368301</v>
      </c>
      <c r="CI42" s="29">
        <f>((Carriers!$P$18/Carriers!$P$23*alk_el_e_demand)+FA_e_demand)*(CF42+FA_st_ab_losses)/1000000+FA_st_e_demand*CF42/1000000</f>
        <v>1897.8881241622576</v>
      </c>
      <c r="CJ42" s="29">
        <f t="shared" si="80"/>
        <v>0.46563809523809524</v>
      </c>
      <c r="CK42" s="28">
        <f>IFERROR(CH42*1000000/Storage!$I$12,"")</f>
        <v>409.24272573335259</v>
      </c>
      <c r="CL42" s="28">
        <f>IF($E42="","No Port",((F42/24/Shipping!$J$44+F42/24/Shipping!$J$50+Shipping!$J$59+Shipping!$J$64)*Carriers!$P$39*wacc_nl))</f>
        <v>182.14018427082399</v>
      </c>
      <c r="CM42" s="29">
        <f>H2_retrieval!$H$25*h2_demand_kt/1000+(co2_liq_e_demand+co2_st_e_demand*2)*Storage!$I$12*co2_density/FA_density/1000000</f>
        <v>94.204253879484654</v>
      </c>
      <c r="CN42" s="28">
        <f>IFERROR((((CB42+CD42+CG42)*(1+H2_retrieval!$H$34)+CL42)*1000000/H2_retrieval!$H$8)+h2_regen_fa,"")</f>
        <v>8171.3630806369247</v>
      </c>
      <c r="CO42" s="149">
        <f>(meoh_invest*(M42+1/meoh_lifetime)/meoh_prod+meoh_opex+meoh_e_demand*1000*$AU42/100+Carriers!$R$18/Carriers!$R$23*BD42+Carriers!$R$20/Carriers!$R$23*co2_liq_cost)*(CS42+meoh_st_ab_losses)/1000000</f>
        <v>55862.221539572107</v>
      </c>
      <c r="CP42" s="86">
        <f>(meoh_invest*(M42+1/meoh_lifetime)/meoh_prod+meoh_opex+meoh_e_demand*1000*$AU42/100+Carriers!$R$18/Carriers!$R$23*BD42+Carriers!$R$20/Carriers!$R$23*BP42)*(CS42+meoh_st_ab_losses)/1000000</f>
        <v>69622.651731679827</v>
      </c>
      <c r="CQ42" s="63">
        <f>meoh_st_nl_cost*meoh_st_nl_demand/1000000+(meoh_st_invest*(M42+1/meoh_st_lifetime+meoh_st_opex)/(Storage!$K$63/1000000)+meoh_st_e_demand*1000*$AU42/100)*(CS42+meoh_st_ab_losses)/1000000+co2_st_nl_cost*Storage!$K$12*co2_density/meoh_density/1000000+(co2_st_opex_lev+co2_st_invest_lev+co2_st_e_demand*1000*IFERROR(MIN(S42,AA42,AI42),S42)/100)*Storage!$K$12/1000000+co2_st_invest_lev*Storage!$K$12*co2_st_lifetime*M42/1000000+Carriers!$R$18/Carriers!$R$23*((CS42+meoh_st_ab_losses)/365.25*short_st_duration_hrs/24)*(h2_short_st_invest*(1/gh2_short_st_lifetime+$M42+h2_short_st_opex)+h2_short_st_e_demand*1000*$AU42/100)/1000000+Carriers!$R$20/Carriers!$R$23*((CF42+meoh_st_ab_losses)/365.25*short_st_duration_hrs/24)*(co2_short_st_invest*(1/co2_short_st_lifetime+$M42+co2_short_st_opex)+co2_short_st_e_demand*1000*$AU42/100)/1000000</f>
        <v>4548.4315260578915</v>
      </c>
      <c r="CR42" s="63">
        <f>meoh_st_nl_cost*meoh_st_nl_demand/1000000+(meoh_st_invest*(M42+1/meoh_st_lifetime+meoh_st_opex)/(Storage!$K$63/1000000)+meoh_st_e_demand*1000*$AU42/100)*(CS42+meoh_st_ab_losses)/1000000+Carriers!$R$18/Carriers!$R$23*((CS42+meoh_st_ab_losses)/365.25*short_st_duration_hrs/24)*(h2_short_st_invest*(1/gh2_short_st_lifetime+$M42+h2_short_st_opex)+h2_short_st_e_demand*1000*$AU42/100)/1000000+Carriers!$R$20/Carriers!$R$23*((CF42+meoh_st_ab_losses)/365.25*short_st_duration_hrs/24)*(co2_short_st_invest*(1/co2_short_st_lifetime+$M42+co2_short_st_opex)+co2_short_st_e_demand*1000*$AU42/100)/1000000</f>
        <v>1815.8559756798363</v>
      </c>
      <c r="CS42" s="63">
        <f>Storage!$K$57/((1-Shipping!$L$37)^($F42/24/Shipping!$L$44+0.5*Shipping!$L$59))</f>
        <v>108044444.44444443</v>
      </c>
      <c r="CT42" s="28">
        <f>IF($E42="","No Port",IF(AND(ship_choice="VLCC",G42="Panama"),"Ship cannot pass through Panama",IF(ship_choice="VLCC",((F42/24/Shipping!$AD$44+F42/24/Shipping!$AD$50+Shipping!$AD$59+Shipping!$AD$64)*(Shipping!$AD$22+wacc_nl*Shipping!$AD$19/365.25*1000000+Shipping!$AD$35)+(F42/24/Shipping!$AD$44*Shipping!$AD$45+Shipping!$AD$64*Shipping!$AD$65)*IF(bunker_choice="HFO",$H42,IF(bunker_choice="hydrogen",$BD42*hfo_e_density_lhv/h2_e_density_lhv,(CO42+CQ42)*1000000/CS42*hfo_e_density_lhv/meoh_e_density_lhv))+(F42/24/Shipping!$AD$50*Shipping!$AD$51+Shipping!$AD$59*Shipping!$AD$60)*IF(bunker_choice="HFO",bunker_price_ROT,IF(bunker_choice="hydrogen",$BD42*hfo_e_density_lhv/h2_e_density_lhv,(CO42+CQ42)*1000000/CS42*hfo_e_density_lhv/meoh_e_density_lhv))+Shipping!$AD$73+IF(G42="Panama",Shipping!$AD$55,0)+IF(G42="Suez",Shipping!$AD$56,0))/Shipping!$AD$31*CS42/1000000+IF(inland_transport_to_port="hv dc grid",$BM42/100*1000*CV42,IF(inland_transport_to_port="pipeline",$BN42,0)),((F42/24/Shipping!$L$44+F42/24/Shipping!$L$50+Shipping!$L$59+Shipping!$L$64)*(Shipping!$L$22+wacc_nl*Shipping!$L$19/365.25*1000000+Shipping!$L$35)+(F42/24/Shipping!$L$44*Shipping!$L$45+Shipping!$L$64*Shipping!$L$65)*IF(bunker_choice="HFO",$H42,IF(bunker_choice="hydrogen",$BD42*hfo_e_density_lhv/h2_e_density_lhv,(CO42+CQ42)*1000000/CS42*hfo_e_density_lhv/meoh_e_density_lhv))+(F42/24/Shipping!$L$50*Shipping!$L$51+Shipping!$L$59*Shipping!$L$60)*IF(bunker_choice="HFO",bunker_price_ROT,IF(bunker_choice="hydrogen",$BD42*hfo_e_density_lhv/h2_e_density_lhv,(CO42+CQ42)*1000000/CS42*hfo_e_density_lhv/meoh_e_density_lhv))+Shipping!$L$73+IF(G42="Panama",Shipping!$L$55,0)+IF(G42="Suez",Shipping!$L$56,0))/Shipping!$L$31*CS42/1000000+IF(inland_transport_to_port="hv dc grid",$BM42/100*1000*CV42,IF(inland_transport_to_port="pipeline",$BN42,0)))))</f>
        <v>3312.4141682217614</v>
      </c>
      <c r="CU42" s="28">
        <f t="shared" si="37"/>
        <v>74750.921875581422</v>
      </c>
      <c r="CV42" s="29">
        <f>((Carriers!$R$18/Carriers!$R$23*alk_el_e_demand)+meoh_e_demand)*(CS42+meoh_st_ab_losses)/1000000+meoh_st_e_demand*CS42/1000000</f>
        <v>1119.9789871111109</v>
      </c>
      <c r="CW42" s="29">
        <f t="shared" si="81"/>
        <v>0.16206666666666666</v>
      </c>
      <c r="CX42" s="28">
        <f>IFERROR(CU42*1000000/Storage!$K$12,"")</f>
        <v>691.85345215984455</v>
      </c>
      <c r="CY42" s="28">
        <f>IF($E42="","No Port",((F42/24/Shipping!$L$44+F42/24/Shipping!$L$50+Shipping!$L$59+Shipping!$L$64)*Carriers!$R$39*wacc_nl))</f>
        <v>65.043247064353594</v>
      </c>
      <c r="CZ42" s="29">
        <f>H2_retrieval!$J$25*h2_demand_kt/1000+(co2_liq_e_demand+co2_st_e_demand*2)*Storage!$K$12*co2_density/meoh_density/1000000</f>
        <v>251.05079059698966</v>
      </c>
      <c r="DA42" s="28">
        <f>IFERROR((((CO42+CQ42+CT42)*(1+H2_retrieval!$J$34)+CY42)*1000000/H2_retrieval!$J$8)+h2_regen_meoh,"")</f>
        <v>5860.4307844399482</v>
      </c>
      <c r="DB42" s="149">
        <f>(DBT_invest*(M42+1/DBT_lifetime)/DBT_prod+DBT_opex+DBT_e_demand*1000*$AU42/100+Carriers!$T$18/Carriers!$T$23*BD42)*(DD42+DBT_st_ab_losses)/1000000</f>
        <v>37632.841864430324</v>
      </c>
      <c r="DC42" s="28">
        <f>2*(DBT_st_nl_cost*DBT_st_nl_demand/1000000+(DBT_st_invest*(M42+1/DBT_st_lifetime+DBT_st_opex)/(Storage!$M$63/1000000)+DBT_st_e_demand*1000*$AU42/100)*(DD42+DBT_st_ab_losses)/1000000)+Carriers!$T$18/Carriers!$T$23*((DD42+DBT_st_ab_losses)/365.25*short_st_duration_hrs/24)*(h2_short_st_invest*(1/gh2_short_st_lifetime+$M42+h2_short_st_opex)+h2_short_st_e_demand*1000*$AU42/100)/1000000</f>
        <v>3804.4577026621619</v>
      </c>
      <c r="DD42" s="63">
        <f>Storage!$M$57/((1-Shipping!$N$37)^($F42/24/Shipping!$N$44+0.5*Shipping!$N$59))</f>
        <v>219354838.70967743</v>
      </c>
      <c r="DE42" s="28">
        <f>IF($E42="","No Port",IF(AND(ship_choice="VLCC",G42="Panama"),"Ship cannot pass through Panama",IF(ship_choice="VLCC",((F42/24/Shipping!$AD$44+F42/24/Shipping!$AD$50+Shipping!$AD$59+Shipping!$AD$64)*(Shipping!$AD$22+wacc_nl*Shipping!$AD$19/365.25*1000000+Shipping!$AD$35)+(F42/24/Shipping!$AD$44*Shipping!$AD$45+Shipping!$AD$64*Shipping!$AD$65)*IF(bunker_choice="HFO",$H42,IF(bunker_choice="hydrogen",$BD42*hfo_e_density_lhv/h2_e_density_lhv,(DB42+DC42)*1000000/DD42*hfo_e_density_lhv/DBT_e_density_lhv))+(F42/24/Shipping!$AD$50*Shipping!$AD$51+Shipping!$AD$59*Shipping!$AD$60)*IF(bunker_choice="HFO",bunker_price_ROT,IF(bunker_choice="hydrogen",$BD42*hfo_e_density_lhv/h2_e_density_lhv,(DB42+DC42)*1000000/DD42*hfo_e_density_lhv/DBT_e_density_lhv))+Shipping!$AD$73+IF(G42="Panama",Shipping!$AD$55,0)+IF(G42="Suez",Shipping!$AD$56,0))/Shipping!$AD$31*DD42/1000000+IF(inland_transport_to_port="hv dc grid",$BM42/100*1000*DG42,IF(inland_transport_to_port="pipeline",$BN42,0)),((F42/24/Shipping!$N$44+F42/24/Shipping!$N$50+Shipping!$N$59+Shipping!$N$64)*(Shipping!$N$22+wacc_nl*Shipping!$N$19/365.25*1000000+Shipping!$N$35)+(F42/24/Shipping!$N$44*Shipping!$N$45+Shipping!$N$64*Shipping!$N$65)*IF(bunker_choice="HFO",$H42,IF(bunker_choice="hydrogen",$BD42*hfo_e_density_lhv/h2_e_density_lhv,(DB42+DC42)*1000000/DD42*hfo_e_density_lhv/DBT_e_density_lhv))+(F42/24/Shipping!$N$50*Shipping!$N$51+Shipping!$N$59*Shipping!$N$60)*IF(bunker_choice="HFO",bunker_price_ROT,IF(bunker_choice="hydrogen",$BD42*hfo_e_density_lhv/h2_e_density_lhv,(DB42+DC42)*1000000/DD42*hfo_e_density_lhv/DBT_e_density_lhv))+Shipping!$N$73+IF(G42="Panama",Shipping!$N$55,0)+IF(G42="Suez",Shipping!$N$56,0))/Shipping!$N$31*Shipping!$N$86/1000000+IF(inland_transport_to_port="hv dc grid",$BM42/100*1000*DG42,IF(inland_transport_to_port="pipeline",$BN42,0)))))</f>
        <v>6041.9358837037507</v>
      </c>
      <c r="DF42" s="28">
        <f t="shared" si="82"/>
        <v>47479.235450796237</v>
      </c>
      <c r="DG42" s="29">
        <f>((Carriers!$T$18/Carriers!$T$23*alk_el_e_demand)+DBT_e_demand)*(DD42+DBT_st_ab_losses)/1000000+DBT_st_e_demand*DD42/1000000</f>
        <v>703.88335483870969</v>
      </c>
      <c r="DH42" s="29">
        <f t="shared" si="83"/>
        <v>0.21935483870967742</v>
      </c>
      <c r="DI42" s="28">
        <f>IFERROR(DF42*1000000/Storage!$M$12,"")</f>
        <v>216.44945573157105</v>
      </c>
      <c r="DJ42" s="28">
        <f>IF($E42="","No Port",((F42/24/Shipping!$N$44+F42/24/Shipping!$N$50+Shipping!$N$59+Shipping!$N$64)*Carriers!$T$39*wacc_nl))</f>
        <v>4737.3133911415098</v>
      </c>
      <c r="DK42" s="100">
        <f>H2_retrieval!$L$25*h2_demand_kt/1000+(co2_liq_e_demand+co2_st_e_demand*2)*Storage!$M$12*co2_density/DBT_density/1000000</f>
        <v>206.61934861671787</v>
      </c>
      <c r="DL42" s="28">
        <f>IFERROR(((DF42*(1+H2_retrieval!$L$34)+DJ42)*1000000/H2_retrieval!$L$8)+h2_regen_lohc,"")</f>
        <v>4310.1019013695122</v>
      </c>
      <c r="DM42" s="149">
        <f t="shared" si="84"/>
        <v>42909.459355616782</v>
      </c>
      <c r="DN42" s="16">
        <f>2*(nabh4_st_nl_cost*nabh4_st_nl_demand/1000000+(nabh4_st_invest*(M42+1/nabh4_st_lifetime+nabh4_st_opex)/(Storage!$O$63/1000000)+nabh4_st_e_demand*1000*$AU42/100)*(DO42+nabh4_st_ab_losses)/1000000)+(h2_demand_kt*1000/365.25*short_st_duration_hrs/24)*(h2_short_st_invest*(1/gh2_short_st_lifetime+$M42+h2_short_st_opex)+h2_short_st_e_demand*1000*$AU42/100)/1000000</f>
        <v>1268.7253250725219</v>
      </c>
      <c r="DO42" s="63">
        <f>Storage!$O$57/((1-Shipping!$P$37)^($F42/24/Shipping!$P$44+0.5*Shipping!$P$59))</f>
        <v>63920000</v>
      </c>
      <c r="DP42" s="16">
        <f>IF($E42="","No Port",((F42/24/Shipping!$P$44+F42/24/Shipping!$P$50+Shipping!$P$59+Shipping!$P$64)*(Shipping!$P$22+wacc_nl*Shipping!$P$19/365.25*1000000+Shipping!$P$35)+(F42/24/Shipping!$P$44*Shipping!$P$45+Shipping!$P$64*Shipping!$P$65)*IF(bunker_choice="HFO",$H42,IF(bunker_choice="hydrogen",$BD42*hfo_e_density_lhv/h2_e_density_lhv,(DM42+DN42)*1000000/DO42*hfo_e_density_lhv/nabh4_e_density_lhv))+(F42/24/Shipping!$P$50*Shipping!$P$51+Shipping!$P$59*Shipping!$P$60)*IF(bunker_choice="HFO",bunker_price_ROT,IF(bunker_choice="hydrogen",$BD42*hfo_e_density_lhv/h2_e_density_lhv,(DM42+DN42)*1000000/DO42*hfo_e_density_lhv/nabh4_e_density_lhv))+Shipping!$P$73+IF(G42="Panama",Shipping!$P$55,0)+IF(G42="Suez",Shipping!$P$56,0))/Shipping!$P$31*(DO42+nabh4_st_ab_losses)/1000000+IF(inland_transport_to_port="hv dc grid",$BM42/100*1000*DR42,IF(inland_transport_to_port="pipeline",$BN42,0)))</f>
        <v>1664.6548557933074</v>
      </c>
      <c r="DQ42" s="28">
        <f t="shared" si="60"/>
        <v>45842.839536482606</v>
      </c>
      <c r="DR42" s="29">
        <f>((Carriers!$V$18/Carriers!$V$23*alk_el_e_demand)+nabh4_e_demand)*(DO42+nabh4_st_ab_losses)/1000000+nabh4_st_e_demand*DO42/1000000</f>
        <v>980.02139682539689</v>
      </c>
      <c r="DS42" s="28">
        <f t="shared" si="85"/>
        <v>3.1960000000000002</v>
      </c>
      <c r="DT42" s="28">
        <f>IFERROR(DQ42*1000000/Storage!$O$12,"")</f>
        <v>717.19085632795066</v>
      </c>
      <c r="DU42" s="28">
        <f>IF($E42="","No Port",((F42/24/Shipping!$P$44+F42/24/Shipping!$P$50+Shipping!$P$59+Shipping!$P$64)*Carriers!$V$39*wacc_nl))</f>
        <v>446.49511241322318</v>
      </c>
      <c r="DV42" s="100">
        <f>H2_retrieval!$N$25*h2_demand_kt/1000+(co2_liq_e_demand+co2_st_e_demand*2)*Storage!$O$12*co2_density/nabh4_density/1000000</f>
        <v>18.783638728971958</v>
      </c>
      <c r="DW42" s="28">
        <f>IFERROR(((DQ42*(1+H2_retrieval!$N$34)+DU42)*1000000/H2_retrieval!$N$8)+h2_regen_nabh4,"")</f>
        <v>3477.9176986583952</v>
      </c>
      <c r="DX42" s="149">
        <f>(Dme_invest*(M42+1/Dme_lifetime)/Dme_prod+Dme_opex+Dme_e_demand*1000*$AU42/100+Carriers!$X$21/Carriers!$X$23*(CO42*1000000/CS42))*(EB42+Dme_st_ab_losses)/1000000</f>
        <v>78460.142946845197</v>
      </c>
      <c r="DY42" s="86">
        <f>(Dme_invest*(M42+1/Dme_lifetime)/Dme_prod+Dme_opex+Dme_e_demand*1000*$AU42/100+Carriers!$X$21/Carriers!$X$23*(CP42*1000000/CS42))*(EB42+Dme_st_ab_losses)/1000000</f>
        <v>97128.423377604209</v>
      </c>
      <c r="DZ42" s="63">
        <f>Dme_st_nl_cost*Dme_st_nl_demand/1000000+(Dme_st_invest*(M42+1/Dme_st_lifetime+Dme_st_opex)/(Storage!$Q$63/1000000)+Dme_st_e_demand*1000*$AU42/100)*(EB42+Dme_st_ab_losses)/1000000+co2_st_nl_cost*Storage!$Q$12*co2_density/Dme_density/1000000+(co2_st_opex_lev+co2_st_invest_lev+co2_st_e_demand*1000*$AU42/100)*Storage!$Q$12/1000000+co2_st_invest_lev*Storage!$Q$12*co2_st_lifetime*M42/1000000+(h2_demand_kt*1000/365.25*short_st_duration_hrs/24)*(h2_short_st_invest*(1/gh2_short_st_lifetime+$M42+h2_short_st_opex)+h2_short_st_e_demand*1000*$AU42/100)/1000000</f>
        <v>5506.5384264237609</v>
      </c>
      <c r="EA42" s="63">
        <f>Dme_st_nl_cost*Dme_st_nl_demand/1000000+(Dme_st_invest*(M42+1/Dme_st_lifetime+Dme_st_opex)/(Storage!$Q$63/1000000)+Dme_st_e_demand*1000*$AU42/100)*(EB42+Dme_st_ab_losses)/1000000+(h2_demand_kt*1000/365.25*short_st_duration_hrs/24)*(h2_short_st_invest*(1/gh2_short_st_lifetime+$M42+h2_short_st_opex)+h2_short_st_e_demand*1000*$AU42/100)/1000000</f>
        <v>2760.8057521002215</v>
      </c>
      <c r="EB42" s="63">
        <f>Storage!$Q$57/((1-Shipping!$R$37)^($F42/24/Shipping!$R$44+0.5*Shipping!$R$59))</f>
        <v>103547089.94708996</v>
      </c>
      <c r="EC42" s="153">
        <f>IF($E42="","No Port",IF(AND(ship_choice="VLCC",G42="Panama"),"Ship cannot pass through Panama",IF(ship_choice="VLCC",((F42/24/Shipping!$AD$44+F42/24/Shipping!$AD$50+Shipping!$AD$59+Shipping!$AD$64)*(Shipping!$AD$22+wacc_nl*Shipping!$AD$19/365.25*1000000+Shipping!$AD$35)+(F42/24/Shipping!$AD$44*Shipping!$AD$45+Shipping!$AD$64*Shipping!$AD$65)*IF(bunker_choice="HFO",$H42,IF(bunker_choice="hydrogen",$BD42*hfo_e_density_lhv/h2_e_density_lhv,(DX42+DZ42)*1000000/EB42*hfo_e_density_lhv/Dme_e_density_lhv))+(F42/24/Shipping!$AD$50*Shipping!$AD$51+Shipping!$AD$59*Shipping!$AD$60)*IF(bunker_choice="HFO",bunker_price_ROT,IF(bunker_choice="hydrogen",$BD42*hfo_e_density_lhv/h2_e_density_lhv,(DX42+DZ42)*1000000/EB42*hfo_e_density_lhv/Dme_e_density_lhv))+Shipping!$AD$73+IF(G42="Panama",Shipping!$AD$55,0)+IF(G42="Suez",Shipping!$AD$56,0))/Shipping!$AD$31*(EB42+Dme_st_ab_losses)/1000000+IF(inland_transport_to_port="hv dc grid",$BM42/100*1000*EE42,IF(inland_transport_to_port="pipeline",$BN42,0)),((F42/24/Shipping!$R$44+F42/24/Shipping!$R$50+Shipping!$R$59+Shipping!$R$64)*(Shipping!$R$22+wacc_nl*Shipping!$R$19/365.25*1000000+Shipping!$R$35)+(F42/24/Shipping!$R$44*Shipping!$R$45+Shipping!$R$64*Shipping!$R$65)*IF(bunker_choice="HFO",$H42,IF(bunker_choice="hydrogen",$BD42*hfo_e_density_lhv/h2_e_density_lhv,(DX42+DZ42)*1000000/EB42*hfo_e_density_lhv/Dme_e_density_lhv))+(F42/24/Shipping!$R$50*Shipping!$R$51+Shipping!$R$59*Shipping!$R$60)*IF(bunker_choice="HFO",bunker_price_ROT,IF(bunker_choice="hydrogen",$BD42*hfo_e_density_lhv/h2_e_density_lhv,(DX42+DZ42)*1000000/EB42*hfo_e_density_lhv/Dme_e_density_lhv))+Shipping!$R$73+IF(G42="Panama",Shipping!$R$55,0)+IF(G42="Suez",Shipping!$R$56,0))/Shipping!$R$31*(EB42+Dme_st_ab_losses)/1000000+IF(inland_transport_to_port="hv dc grid",$BM42/100*1000*EE42,IF(inland_transport_to_port="pipeline",$BN42,0)))))</f>
        <v>3395.6693033028105</v>
      </c>
      <c r="ED42" s="28">
        <f t="shared" si="39"/>
        <v>103284.89843300724</v>
      </c>
      <c r="EE42" s="29">
        <f>(Dme_e_demand)*(EB42+Dme_st_ab_losses)/1000000+Dme_st_e_demand*DZ42/1000000+$CV42*(Carriers!$X$21/Carriers!$X$23*EB42)/$CS42</f>
        <v>1550.21681523244</v>
      </c>
      <c r="EF42" s="29">
        <f t="shared" si="86"/>
        <v>1.0354708994708997</v>
      </c>
      <c r="EG42" s="28">
        <f>IFERROR(ED42*1000000/Storage!$Q$12,"")</f>
        <v>997.46790069893143</v>
      </c>
      <c r="EH42" s="28">
        <f>IF($E42="","No Port",((F42/24/Shipping!$R$44+F42/24/Shipping!$R$50+Shipping!$R$59+Shipping!$R$64)*Carriers!$X$39*wacc_nl))</f>
        <v>67.058531888627385</v>
      </c>
      <c r="EI42" s="100">
        <f>H2_retrieval!$P$25*h2_demand_kt/1000+(co2_liq_e_demand+co2_st_e_demand*2)*Storage!$Q$12*co2_density/Dme_density/1000000</f>
        <v>252.45335899349112</v>
      </c>
      <c r="EJ42" s="28">
        <f>IFERROR((((DX42+DZ42+EC42)*(1+H2_retrieval!$P$34)+EH42)*1000000/H2_retrieval!$P$8)+h2_regen_dme,"")</f>
        <v>7598.7615732299691</v>
      </c>
      <c r="EK42" s="149">
        <f>(ome_invest*(M42+1/ome_lifetime)/ome_prod+ome_opex+ome_e_demand*1000*$AU42/100+Carriers!$Z$21/Carriers!$Z$23*(CO42*1000000/CS42))*(EO42+ome_st_ab_losses)/1000000</f>
        <v>170405.87714782744</v>
      </c>
      <c r="EL42" s="86">
        <f>(ome_invest*(M42+1/ome_lifetime)/ome_prod+ome_opex+ome_e_demand*1000*$AU42/100+Carriers!$Z$21/Carriers!$Z$23*(CP42*1000000/CS42))*(EO42+ome_st_ab_losses)/1000000</f>
        <v>209594.23179608706</v>
      </c>
      <c r="EM42" s="63">
        <f>ome_st_nl_cost*ome_st_nl_demand/1000000+(ome_st_invest*(M42+1/ome_st_lifetime+ome_st_opex)/(Storage!$S$63/1000000)+ome_st_e_demand*1000*$AU42/100)*(EO42+ome_st_ab_losses)/1000000+co2_st_nl_cost*Storage!$S$12*co2_density/ome_density/1000000+(co2_st_opex_lev+co2_st_invest_lev+co2_st_e_demand*1000*$AU42/100)*Storage!$S$12/1000000+co2_st_invest_lev*Storage!$S$12*co2_st_lifetime*M42/1000000+(h2_demand_kt*1000/365.25*short_st_duration_hrs/24)*(h2_short_st_invest*(1/gh2_short_st_lifetime+$M42+h2_short_st_opex)+h2_short_st_e_demand*1000*$AU42/100)/1000000</f>
        <v>4709.987324916031</v>
      </c>
      <c r="EN42" s="63">
        <f>ome_st_nl_cost*ome_st_nl_demand/1000000+(ome_st_invest*(M42+1/ome_st_lifetime+ome_st_opex)/(Storage!$S$63/1000000)+ome_st_e_demand*1000*$AU42/100)*(EO42+ome_st_ab_losses)/1000000+(h2_demand_kt*1000/365.25*short_st_duration_hrs/24)*(h2_short_st_invest*(1/gh2_short_st_lifetime+$M42+h2_short_st_opex)+h2_short_st_e_demand*1000*$AU42/100)/1000000</f>
        <v>1647.3186618768389</v>
      </c>
      <c r="EO42" s="63">
        <f>Storage!$S$57/((1-Shipping!$T$37)^($F42/24/Shipping!$T$44+0.5*Shipping!$T$59))</f>
        <v>128282539.68253967</v>
      </c>
      <c r="EP42" s="28">
        <f>IF($E42="","No Port",IF(AND(ship_choice="VLCC",G42="Panama"),"Ship cannot pass through Panama",IF(ship_choice="VLCC",((F42/24/Shipping!$AD$44+F42/24/Shipping!$AD$50+Shipping!$AD$59+Shipping!$AD$64)*(Shipping!$AD$22+wacc_nl*Shipping!$AD$19/365.25*1000000+Shipping!$AD$35)+(F42/24/Shipping!$AD$44*Shipping!$AD$45+Shipping!$AD$64*Shipping!$AD$65)*IF(bunker_choice="HFO",$H42,IF(bunker_choice="hydrogen",$BD42*hfo_e_density_lhv/h2_e_density_lhv,(EK42+EM42)*1000000/EO42*hfo_e_density_lhv/Dme_e_density_lhv))+(F42/24/Shipping!$AD$50*Shipping!$AD$51+Shipping!$AD$59*Shipping!$AD$60)*IF(bunker_choice="HFO",bunker_price_ROT,IF(bunker_choice="hydrogen",$BD42*hfo_e_density_lhv/h2_e_density_lhv,(EK42+EM42)*1000000/EO42*hfo_e_density_lhv/ome_e_density_lhv))+Shipping!$AD$73+IF(G42="Panama",Shipping!$AD$55,0)+IF(G42="Suez",Shipping!$AD$56,0))/Shipping!$AD$31*(EO42+ome_st_ab_losses)/1000000+IF(inland_transport_to_port="hv dc grid",$BM42/100*1000*ER42,IF(inland_transport_to_port="pipeline",$BN42,0)),((F42/24/Shipping!$T$44+F42/24/Shipping!$T$50+Shipping!$T$59+Shipping!$T$64)*(Shipping!$T$22+wacc_nl*Shipping!$T$19/365.25*1000000+Shipping!$T$35)+(F42/24/Shipping!$T$44*Shipping!$T$45+Shipping!$T$64*Shipping!$T$65)*IF(bunker_choice="HFO",$H42,IF(bunker_choice="hydrogen",$BD42*hfo_e_density_lhv/h2_e_density_lhv,(EK42+EM42)*1000000/EO42*hfo_e_density_lhv/Dme_e_density_lhv))+(F42/24/Shipping!$T$50*Shipping!$T$51+Shipping!$T$59*Shipping!$T$60)*IF(bunker_choice="HFO",bunker_price_ROT,IF(bunker_choice="hydrogen",$BD42*hfo_e_density_lhv/h2_e_density_lhv,(EK42+EM42)*1000000/EO42*hfo_e_density_lhv/ome_e_density_lhv))+Shipping!$T$73+IF(G42="Panama",Shipping!$T$55,0)+IF(G42="Suez",Shipping!$T$56,0))/Shipping!$T$31*(EO42+ome_st_ab_losses)/1000000+IF(inland_transport_to_port="hv dc grid",$BM42/100*1000*ER42,IF(inland_transport_to_port="pipeline",$BN42,0)))))</f>
        <v>3685.0467981627944</v>
      </c>
      <c r="EQ42" s="28">
        <f t="shared" si="40"/>
        <v>214926.5972561267</v>
      </c>
      <c r="ER42" s="29">
        <f>(ome_e_demand)*(EO42+ome_st_ab_losses)/1000000+ome_st_e_demand*EM42/1000000+$CV42*(Carriers!$Z$21/Carriers!$Z$23*EO42)/$CS42</f>
        <v>3352.0814572057643</v>
      </c>
      <c r="ES42" s="29">
        <f t="shared" si="87"/>
        <v>0.1924238095238095</v>
      </c>
      <c r="ET42" s="28">
        <f>IFERROR(EQ42*1000000/Storage!$S$12,"")</f>
        <v>1675.4158265653671</v>
      </c>
      <c r="EU42" s="28">
        <f>IF($E42="","No Port",((F42/24/Shipping!$T$44+F42/24/Shipping!$T$50+Shipping!$T$59+Shipping!$T$64)*Carriers!$Z$39*wacc_nl))</f>
        <v>77.226672463520728</v>
      </c>
      <c r="EV42" s="100">
        <f>H2_retrieval!$R$25*h2_demand_kt/1000+(co2_liq_e_demand+co2_st_e_demand*2)*Storage!$S$12*co2_density/ome_density/1000000</f>
        <v>254.51942895252085</v>
      </c>
      <c r="EW42" s="28">
        <f>IFERROR((((EK42+EM42+EP42)*(1+H2_retrieval!$R$34)+EU42)*1000000/H2_retrieval!$R$8)+h2_regen_ome,"")</f>
        <v>14322.932803738013</v>
      </c>
      <c r="EX42" s="149">
        <f>(sng_invest*(M42+1/sng_lifetime)/sng_prod+lng_invest*(M42+1/lng_lifetime)/lng_prod+sng_opex+lng_opex+(sng_e_demand+lng_e_demand)*1000*$AU42/100+Carriers!$AB$18/Carriers!$AB$23*BD42+Carriers!$AB$20/Carriers!$AB$23*co2_liq_cost)*(FB42+lng_st_ab_losses)/1000000</f>
        <v>60550.969312655652</v>
      </c>
      <c r="EY42" s="86">
        <f>(sng_invest*(M42+1/sng_lifetime)/sng_prod+lng_invest*(M42+1/lng_lifetime)/lng_prod+sng_opex+lng_opex+(sng_e_demand+lng_e_demand)*1000*$AU42/100+Carriers!$AB$18/Carriers!$AB$23*BD42+Carriers!$AB$20/Carriers!$AB$23*BP42)*(FB42+lng_st_ab_losses)/1000000</f>
        <v>70834.999301005097</v>
      </c>
      <c r="EZ42" s="63">
        <f>lng_st_nl_cost*lng_st_nl_demand/1000000+(lng_st_invest*(M42+1/lng_st_lifetime+lng_st_opex)/(Storage!$U$63/1000000)+lng_st_e_demand*1000*$AU42/100)*(FB42+lng_st_ab_losses)/1000000+co2_st_nl_cost*Storage!$U$12*co2_density/lng_density/1000000+(co2_st_opex_lev+co2_st_invest_lev+co2_st_e_demand*1000*$AU42/100)*Storage!$U$12/1000000+co2_st_invest_lev*Storage!$U$12*co2_st_lifetime*M42/1000000+Carriers!$AB$18/Carriers!$AB$23*((FB42+lng_st_ab_losses)/365.25*short_st_duration_hrs/24)*(h2_short_st_invest*(1/gh2_short_st_lifetime+$M42+h2_short_st_opex)+h2_short_st_e_demand*1000*$AU42/100)/1000000+Carriers!$AB$20/Carriers!$AB$23*((FB42+lng_st_ab_losses)/365.25*short_st_duration_hrs/24)*(co2_short_st_invest*(1/co2_short_st_lifetime+$M42+co2_short_st_opex)+co2_short_st_e_demand*1000*$AU42/100)/1000000</f>
        <v>5832.1149270198757</v>
      </c>
      <c r="FA42" s="63">
        <f>lng_st_nl_cost*lng_st_nl_demand/1000000+(lng_st_invest*(M42+1/lng_st_lifetime+lng_st_opex)/(Storage!$U$63/1000000)+lng_st_e_demand*1000*$AU42/100)*(FB42+lng_st_ab_losses)/1000000+Carriers!$AB$18/Carriers!$AB$23*((FB42+lng_st_ab_losses)/365.25*short_st_duration_hrs/24)*(h2_short_st_invest*(1/gh2_short_st_lifetime+$M42+h2_short_st_opex)+h2_short_st_e_demand*1000*$AU42/100)/1000000+Carriers!$AB$20/Carriers!$AB$23*((FB42+lng_st_ab_losses)/365.25*short_st_duration_hrs/24)*(co2_short_st_invest*(1/co2_short_st_lifetime+$M42+co2_short_st_opex)+co2_short_st_e_demand*1000*$AU42/100)/1000000</f>
        <v>4318.2672844825911</v>
      </c>
      <c r="FB42" s="63">
        <f>Storage!$U$57/((1-Shipping!$V$37)^($F42/24/Shipping!$V$44+0.5*Shipping!$V$59))</f>
        <v>41143675.226585187</v>
      </c>
      <c r="FC42" s="28">
        <f>IF($E42="","No Port",IF(G42="Panama","Ship cannot pass through Panama",((F42/24/Shipping!$V$44+F42/24/Shipping!$V$50+Shipping!$V$59+Shipping!$V$64)*(Shipping!$V$22+wacc_nl*Shipping!$V$19/365.25*1000000+Shipping!$V$35)+(F42/24/Shipping!$V$44*Shipping!$V$45+Shipping!$V$64*Shipping!$V$65)*IF(bunker_choice="HFO",$H42,IF(bunker_choice="hydrogen",$BD42*hfo_e_density_lhv/h2_e_density_lhv,(EX42+EZ42)*1000000/FB42*hfo_e_density_lhv/lng_e_density_lhv))+(F42/24/Shipping!$V$50*Shipping!$V$51+Shipping!$V$59*Shipping!$V$60)*IF(bunker_choice="HFO",bunker_price_ROT,IF(bunker_choice="hydrogen",$BD42*hfo_e_density_lhv/h2_e_density_lhv,(EX42+EZ42)*1000000/FB42*hfo_e_density_lhv/lng_e_density_lhv))+Shipping!$V$73+IF(G42="Panama",Shipping!$V$55,0)+IF(G42="Suez",Shipping!$V$56,0))/Shipping!$V$31*(FB42+lng_st_ab_losses)/1000000)+IF(inland_transport_to_port="hv dc grid",$BM42/100*1000*FE42,IF(inland_transport_to_port="pipeline",$BN42,0)))</f>
        <v>1369.0672141191003</v>
      </c>
      <c r="FD42" s="28">
        <f t="shared" si="41"/>
        <v>76522.333799606786</v>
      </c>
      <c r="FE42" s="29">
        <f>((Carriers!$AB$18/Carriers!$AB$23*alk_el_e_demand)+sng_e_demand+lng_e_demand)*(FB42+lng_st_ab_losses)/1000000+lng_st_e_demand*EZ42/1000000</f>
        <v>1103.4436802256819</v>
      </c>
      <c r="FF42" s="29">
        <f t="shared" si="88"/>
        <v>0.8126185861001558</v>
      </c>
      <c r="FG42" s="28">
        <f>IFERROR(FD42*1000000/Storage!$U$12,"")</f>
        <v>1885.5237129909367</v>
      </c>
      <c r="FH42" s="28">
        <f>IF($E42="","No Port",((F42/24/Shipping!$V$44+F42/24/Shipping!$V$50+Shipping!$V$59+Shipping!$V$64)*Carriers!$AB$39*wacc_nl))</f>
        <v>22.941823819257401</v>
      </c>
      <c r="FI42" s="100">
        <f>H2_retrieval!$T$25*h2_demand_kt/1000+(co2_liq_e_demand+co2_st_e_demand*2)*Storage!$U$12*co2_density/lng_density/1000000</f>
        <v>236.51371749646054</v>
      </c>
      <c r="FJ42" s="28">
        <f>IFERROR((((EX42+EZ42+FC42)*(1+H2_retrieval!$T$34)+FH42)*1000000/H2_retrieval!$T$8)+h2_regen_lng,"")</f>
        <v>6153.5912841971376</v>
      </c>
      <c r="FK42" s="149">
        <f>(lh2_invest*(M42+1/lh2_lifetime)/lh2_prod+lh2_opex+lh2_e_demand*1000*$AU42/100+Carriers!$AD$18/Carriers!$AD$23*BD42)*(FM42+lh2_st_ab_losses)/1000000</f>
        <v>46942.170228070114</v>
      </c>
      <c r="FL42" s="28">
        <f>lh2_st_nl_cost*lh2_st_nl_demand/1000000+(lh2_st_invest*(M42+1/lh2_st_lifetime+lh2_st_opex)/(Storage!$Y$63/1000000)+lh2_st_e_demand*1000*$AU42/100)*(FM42+lh2_st_ab_losses)/1000000+((FM42+lh2_st_ab_losses)/365.25*short_st_duration_hrs/24)*(h2_short_st_invest*(1/gh2_short_st_lifetime+$M42+h2_short_st_opex)+h2_short_st_e_demand*1000*$AU42/100)/1000000</f>
        <v>50611.369449859463</v>
      </c>
      <c r="FM42" s="63">
        <f>Storage!$Y$57/((1-Shipping!$Z$37)^($F42/24/Shipping!$Z$44+0.5*Shipping!$Z$59))</f>
        <v>13895155.216696935</v>
      </c>
      <c r="FN42" s="28">
        <f>IF($E42="","No Port",IF(G42="Panama","Ship cannot pass through Panama",((F42/24/Shipping!$Z$44+F42/24/Shipping!$Z$50+Shipping!$Z$59+Shipping!$Z$64)*(Shipping!$Z$22+wacc_nl*Shipping!$Z$19/365.25*1000000+Shipping!$Z$35)+(F42/24/Shipping!$Z$44*Shipping!$Z$45+Shipping!$Z$64*Shipping!$Z$65)*IF(bunker_choice="HFO",$H42,IF(bunker_choice="hydrogen",$BD42*hfo_e_density_lhv/h2_e_density_lhv,(FK42+FL42)*1000000/FM42*hfo_e_density_lhv/lh2_e_density_lhv))+(F42/24/Shipping!$Z$50*Shipping!$Z$51+Shipping!$Z$59*Shipping!$Z$60)*IF(bunker_choice="HFO",bunker_price_ROT,IF(bunker_choice="hydrogen",$BD42*hfo_e_density_lhv/h2_e_density_lhv,(FK42+FL42)*1000000/FM42*hfo_e_density_lhv/lh2_e_density_lhv))+Shipping!$Z$73+IF(G42="Panama",Shipping!$Z$55,0)+IF(G42="Suez",Shipping!$Z$56,0))/Shipping!$Z$31*(FM42+lh2_st_ab_losses)/1000000)+IF(inland_transport_to_port="hv dc grid",$BM42/100*1000*FP42,IF(inland_transport_to_port="pipeline",$BN42,0)))</f>
        <v>2369.3202893525795</v>
      </c>
      <c r="FO42" s="28">
        <f t="shared" si="42"/>
        <v>99922.859967282144</v>
      </c>
      <c r="FP42" s="29">
        <f>((Carriers!$AD$18/Carriers!$AD$23*alk_el_e_demand)+lh2_e_demand)*(FM42+lh2_st_ab_losses)/1000000+lh2_st_e_demand*FM42/1000000</f>
        <v>805.2116855402553</v>
      </c>
      <c r="FQ42" s="100">
        <f t="shared" si="89"/>
        <v>1.361902463475859</v>
      </c>
      <c r="FR42" s="28">
        <f>IFERROR(FO42*1000000/Storage!$Y$12,"")</f>
        <v>7347.2691152413345</v>
      </c>
      <c r="FS42" s="100">
        <f>H2_retrieval!$V$25*h2_demand_kt/1000</f>
        <v>8.16</v>
      </c>
      <c r="FT42" s="28">
        <f>IFERROR(FR42*(1+H2_retrieval!$V$34)/Carrier_properties!$U$7+H2_retrieval!$V$38,"")</f>
        <v>7379.2378411098016</v>
      </c>
      <c r="FU42" s="12"/>
      <c r="FV42" s="24">
        <f t="shared" si="90"/>
        <v>1.991228065759381</v>
      </c>
      <c r="FW42" s="24" t="str">
        <f t="shared" si="57"/>
        <v/>
      </c>
      <c r="FX42" s="24" t="str">
        <f t="shared" si="58"/>
        <v/>
      </c>
      <c r="FY42" s="24">
        <f t="shared" si="45"/>
        <v>1.991228065759381</v>
      </c>
      <c r="FZ42" s="28">
        <f t="shared" si="59"/>
        <v>2548.6246926073768</v>
      </c>
      <c r="GA42" s="28">
        <f t="shared" si="47"/>
        <v>577.92727122567567</v>
      </c>
      <c r="GB42" s="28">
        <f t="shared" si="48"/>
        <v>362.82683801580214</v>
      </c>
      <c r="GC42" s="28">
        <f t="shared" si="49"/>
        <v>644.38900204146285</v>
      </c>
      <c r="GD42" s="28">
        <f t="shared" si="50"/>
        <v>938.01210084449951</v>
      </c>
      <c r="GE42" s="28">
        <f t="shared" si="51"/>
        <v>1633.8484747399696</v>
      </c>
      <c r="GF42" s="28">
        <f t="shared" si="52"/>
        <v>1721.6497775394337</v>
      </c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  <c r="GZ42" s="12"/>
      <c r="HA42" s="12"/>
      <c r="HB42" s="12"/>
      <c r="HC42" s="12"/>
      <c r="HD42" s="12"/>
      <c r="HE42" s="12"/>
      <c r="HF42" s="12"/>
    </row>
    <row r="43" spans="1:214" x14ac:dyDescent="0.2">
      <c r="A43" s="40" t="s">
        <v>49</v>
      </c>
      <c r="B43" s="12">
        <v>535</v>
      </c>
      <c r="C43" s="12">
        <v>1</v>
      </c>
      <c r="D43" s="12">
        <f t="shared" si="61"/>
        <v>0</v>
      </c>
      <c r="E43" s="12" t="s">
        <v>714</v>
      </c>
      <c r="F43" s="12">
        <v>608</v>
      </c>
      <c r="G43" s="12"/>
      <c r="H43" s="16">
        <f t="shared" si="62"/>
        <v>382.75862068965517</v>
      </c>
      <c r="I43" s="16">
        <v>42262</v>
      </c>
      <c r="J43" s="16">
        <f t="shared" si="31"/>
        <v>115.98453521870647</v>
      </c>
      <c r="K43" s="27">
        <f t="shared" si="32"/>
        <v>139.18144226244775</v>
      </c>
      <c r="L43" s="103">
        <v>7.0000000000000007E-2</v>
      </c>
      <c r="M43" s="103">
        <f t="shared" si="63"/>
        <v>9.093183455547646E-2</v>
      </c>
      <c r="N43" s="122">
        <f t="shared" si="33"/>
        <v>0.9</v>
      </c>
      <c r="O43" s="46">
        <f t="shared" si="64"/>
        <v>40</v>
      </c>
      <c r="P43" s="70">
        <f t="array" ref="P43">SUMPRODUCT(IF(Solar_data!A$4:A$777=A43,Solar_data!C$4:C$777),IF(Solar_data!A$4:A$777=A43,Solar_data!I$4:I$777))/SUMIF(Solar_data!A$4:A$777,A43,Solar_data!I$4:I$777)</f>
        <v>1183.4220786322417</v>
      </c>
      <c r="Q43" s="16">
        <f t="array" ref="Q43">MAX(IF(Solar_data!$A$777:'Solar_data'!$A$4=Country_details!$A43,Solar_data!$C$4:'Solar_data'!$C$777))</f>
        <v>1186.25</v>
      </c>
      <c r="R43" s="16">
        <f t="array" ref="R43">MIN(IF(Solar_data!$A$777:'Solar_data'!$A$4=Country_details!A43,Solar_data!$C$4:'Solar_data'!$C$777))</f>
        <v>1003.75</v>
      </c>
      <c r="S43" s="24">
        <f t="shared" si="65"/>
        <v>3.0241141706481822</v>
      </c>
      <c r="T43" s="24">
        <f t="shared" si="66"/>
        <v>3.0169049339091165</v>
      </c>
      <c r="U43" s="24">
        <f t="shared" si="67"/>
        <v>3.5654331037107738</v>
      </c>
      <c r="V43" s="16">
        <f t="array" ref="V43">SUM(IF(Solar_data!$A$777:'Solar_data'!$A$4=Country_details!$A43,Solar_data!$I$4:'Solar_data'!$I$777))</f>
        <v>189.02843550092265</v>
      </c>
      <c r="W43" s="148"/>
      <c r="X43" s="16">
        <f>IFERROR(INDEX(Onshore_wind_data!$J$5:'Onshore_wind_data'!$J$221,MATCH(A43,Onshore_wind_data!$B$5:'Onshore_wind_data'!$B$221,0)),"")</f>
        <v>3458.497000438073</v>
      </c>
      <c r="Y43" s="16">
        <f>IFERROR(INDEX(Onshore_wind_data!$K$5:'Onshore_wind_data'!$K$221,MATCH(A43,Onshore_wind_data!$B$5:'Onshore_wind_data'!$B$221,0)),"")</f>
        <v>3971</v>
      </c>
      <c r="Z43" s="16">
        <f>IFERROR(INDEX(Onshore_wind_data!$L$5:'Onshore_wind_data'!$L$221,MATCH(A43,Onshore_wind_data!$B$5:'Onshore_wind_data'!$B$221,0)),"")</f>
        <v>2847.5</v>
      </c>
      <c r="AA43" s="24">
        <f t="shared" si="68"/>
        <v>3.3996241460907246</v>
      </c>
      <c r="AB43" s="24">
        <f t="shared" si="69"/>
        <v>2.9608637400835094</v>
      </c>
      <c r="AC43" s="24">
        <f t="shared" si="70"/>
        <v>4.1290921551787942</v>
      </c>
      <c r="AD43" s="16">
        <f>IFERROR(INDEX(Onshore_wind_data!$I$5:'Onshore_wind_data'!$I$221,MATCH(A43,Onshore_wind_data!$B$5:'Onshore_wind_data'!$B$221,0)),"")</f>
        <v>665.13727850000009</v>
      </c>
      <c r="AE43" s="148"/>
      <c r="AF43" s="16">
        <f>INDEX(Offshore_wind_data!$AA$7:$AA$192,MATCH(Country_details!A43,Offshore_wind_data!$A$7:$A$192,0))</f>
        <v>4193.8166184632228</v>
      </c>
      <c r="AG43" s="16">
        <f>INDEX(Offshore_wind_data!$Y$7:$Y$192,MATCH(Country_details!A43,Offshore_wind_data!$A$7:$A$192,0))</f>
        <v>4204.8</v>
      </c>
      <c r="AH43" s="16">
        <f>INDEX(Offshore_wind_data!$Z$7:$Z$192,MATCH(Country_details!A43,Offshore_wind_data!$A$7:$A$192,0))</f>
        <v>3854.4</v>
      </c>
      <c r="AI43" s="24">
        <f t="shared" si="71"/>
        <v>5.3723037718379638</v>
      </c>
      <c r="AJ43" s="24">
        <f t="shared" si="72"/>
        <v>5.3582707471857649</v>
      </c>
      <c r="AK43" s="24">
        <f t="shared" si="73"/>
        <v>5.8453862696571983</v>
      </c>
      <c r="AL43" s="16">
        <f>INDEX(Offshore_wind_data!$W$7:$W$191,MATCH(A43,Offshore_wind_data!$A$7:$A$191,0))</f>
        <v>1073.0299199999999</v>
      </c>
      <c r="AM43" s="148"/>
      <c r="AN43" s="12">
        <v>5.7</v>
      </c>
      <c r="AO43" s="12">
        <v>6.3</v>
      </c>
      <c r="AP43" s="34">
        <f>3.1071*11.63</f>
        <v>36.135573000000001</v>
      </c>
      <c r="AQ43" s="15">
        <f t="shared" si="74"/>
        <v>50</v>
      </c>
      <c r="AR43" s="12">
        <f t="shared" si="34"/>
        <v>315</v>
      </c>
      <c r="AS43" s="16">
        <f t="shared" si="35"/>
        <v>1612.1956340009228</v>
      </c>
      <c r="AT43" s="12"/>
      <c r="AU43" s="24">
        <f t="shared" si="75"/>
        <v>3.3038907246079972</v>
      </c>
      <c r="AV43" s="16">
        <f t="shared" si="76"/>
        <v>4641.9190790703142</v>
      </c>
      <c r="AW43" s="149">
        <f>HV_DC_Grid!$E$3/(1-AX43)*AU43/100*1000</f>
        <v>3386.1804427639495</v>
      </c>
      <c r="AX43" s="31">
        <f>(1-(1-HV_DC_Grid!$E$25)^(B43*C43*HV_DC_Grid!$E$8/1000))+(1-(1-HV_DC_Grid!$E$26)^(B43*D43*HV_DC_Grid!$E$8/1000))+HV_DC_Grid!$E$35*HV_DC_Grid!$E$28</f>
        <v>2.4301634111613887E-2</v>
      </c>
      <c r="AY43" s="28">
        <f>B43*nl_e_demand/IF(hv_dc_flh="electricity FLH",$AV43,hv_dc_custom)*1000*hv_dc_capacity_multiplier*hv_dc_length_multiplier*1000*(C43*hv_dc_overhead_invest*(hv_dc_overhead_opex+M43+1/hv_dc_lifetime)+D43*hv_dc_sea_invest*(hv_dc_sea_opex+M43+1/hv_dc_lifetime))/1000000+HV_DC_Grid!$E$10*1000*hv_dc_station_invest*hv_dc_station_number*(hv_dc_station_opex+M43+1/hv_dc_lifetime)/1000000</f>
        <v>688.19228947876786</v>
      </c>
      <c r="AZ43" s="24">
        <f>(AW43+AY43)/(HV_DC_Grid!$E$3*1000)*100</f>
        <v>4.0743727322427175</v>
      </c>
      <c r="BA43" s="28">
        <f>MIN(((Carriers!$F$26+Carriers!$F$27)*(alk_el_opex+wacc_nl+1/alk_el_lifetime)+IF(hv_dc_flh="electricity FLH",$AV43,hv_dc_custom)*AZ43/100)/(IF(hv_dc_flh="electricity FLH",$AV43,hv_dc_custom)/alk_el_e_demand)*1000,((Carriers!$H$26+Carriers!$H$27)*(pem_el_opex+wacc_nl+1/pem_el_lifetime)+IF(hv_dc_flh="electricity FLH",$AV43,hv_dc_custom)*AZ43/100)/(IF(hv_dc_flh="electricity FLH",$AV43,hv_dc_custom)/pem_el_e_demand)*1000)</f>
        <v>2417.0516824202277</v>
      </c>
      <c r="BB43" s="12"/>
      <c r="BC43" s="12"/>
      <c r="BD43" s="149">
        <f>MIN(((Carriers!$F$26+Carriers!$F$27)*(alk_el_opex+M43+1/alk_el_lifetime)+$AV43*$AU43/100)/($AV43/alk_el_e_demand)*1000,((Carriers!$H$26+Carriers!$H$27)*(pem_el_opex+M43+1/pem_el_lifetime)+$AV43*$AU43/100)/($AV43/pem_el_e_demand)*1000)</f>
        <v>2294.7224389120674</v>
      </c>
      <c r="BE43" s="28">
        <f>Storage!$AC$50</f>
        <v>8.1664117557772418</v>
      </c>
      <c r="BF43" s="28">
        <f>((Pipeline!$D$22*Pipeline!$D$24*B43*(pipeline_opex+M43+1/pipeline_lifetime))*(Pipeline!$D$39/Pipeline!$D$3)+(Pipeline!$D$57*(pipeline_comp_opex+M43+1/pipeline_comp_lifetime)+Pipeline!$D$47*1000*Pipeline!$D$45*$AU43/100/1000000))*(Pipeline!$D$75/Pipeline!$D$45)</f>
        <v>1083.7286632279972</v>
      </c>
      <c r="BG43" s="28">
        <f>BD43+(BE43+BF43)/Storage!$AC$12*1000000</f>
        <v>2375.008841484404</v>
      </c>
      <c r="BH43" s="28"/>
      <c r="BI43" s="28"/>
      <c r="BJ43" s="28">
        <f>IF($E43="","No Port",BK43*HV_DC_Grid!$E$3*$AU43/100*1000)</f>
        <v>55.142819967090851</v>
      </c>
      <c r="BK43" s="31">
        <f>IFERROR((1-(1-HV_DC_Grid!$E$25)^(K43*HV_DC_Grid!$E$8/1000))+HV_DC_Grid!$E$35*HV_DC_Grid!$E$28,"")</f>
        <v>1.6690267494737884E-2</v>
      </c>
      <c r="BL43" s="28">
        <f>IFERROR(K43*nl_e_demand/IF(hv_dc_flh="electricity FLH",$AV43,hv_dc_custom)*1000*hv_dc_capacity_multiplier*hv_dc_length_multiplier*1000*(hv_dc_overhead_invest*(hv_dc_overhead_opex+M43+1/hv_dc_lifetime))/1000000+HV_DC_Grid!$E$10*1000*hv_dc_station_invest*hv_dc_station_number*(hv_dc_station_opex+M43+1/hv_dc_lifetime)/1000000,"")</f>
        <v>425.00457984824612</v>
      </c>
      <c r="BM43" s="29">
        <f>IFERROR((BJ43+BL43)/(HV_DC_Grid!$E$3*1000)*100,"")</f>
        <v>0.48014739981533694</v>
      </c>
      <c r="BN43" s="28">
        <f>IFERROR(((Pipeline!$D$22*Pipeline!$D$24*K43*(pipeline_opex+M43+1/pipeline_lifetime))*(Pipeline!$D$39/Pipeline!$D$3)+(Pipeline!$D$57*(pipeline_comp_opex+M43+1/pipeline_comp_lifetime)+Pipeline!$D$47*1000*Pipeline!$D$45*S43/100/1000000))*(Pipeline!$D$75/Pipeline!$D$45),"")</f>
        <v>350.10138099325218</v>
      </c>
      <c r="BO43" s="28"/>
      <c r="BP43" s="150">
        <f t="shared" si="77"/>
        <v>100.13731626308221</v>
      </c>
      <c r="BQ43" s="34">
        <f t="shared" si="78"/>
        <v>29.228878838189182</v>
      </c>
      <c r="BR43" s="151">
        <f>(nh3_invest*(M43+1/nh3_lifetime)/nh3_prod+nh3_opex+nh3_e_demand*1000*$AU43/100+Carriers!$N$18/Carriers!$N$23*BD43+Carriers!$N$19/Carriers!$N$23*BQ43)*(BT43+nh3_st_ab_losses)/1000000</f>
        <v>41345.631725195046</v>
      </c>
      <c r="BS43" s="63">
        <f>nh3_st_nl_cost*nh3_st_nl_demand/1000000+(nh3_st_invest*(M43+1/nh3_st_lifetime+nh3_st_opex)/(Storage!$G$63/1000000)+nh3_st_e_demand*1000*$AU43/100)*(BT43+nh3_st_ab_losses)/1000000+Carriers!$N$18/Carriers!$N$23*((BT43+nh3_st_ab_losses)/365.25*short_st_duration_hrs/24)*(h2_short_st_invest*(1/gh2_short_st_lifetime+$M43+h2_short_st_opex)+h2_short_st_e_demand*1000*$AU43/100)/1000000+Carriers!$N$19/Carriers!$N$23*((BT43+nh3_st_ab_losses)/365.25*short_st_duration_hrs/24)*(n2_short_st_invest*(1/n2_short_st_lifetime+$M43+n2_short_st_opex)+n2_short_st_e_demand*1000*$AU43/100)/1000000</f>
        <v>2990.6930765517768</v>
      </c>
      <c r="BT43" s="63">
        <f>Storage!$G$57/((1-Shipping!$H$37)^(F43/24/Shipping!$H$44+0.5*Shipping!$H$59))</f>
        <v>77153081.700549692</v>
      </c>
      <c r="BU43" s="63">
        <f>IF($E43="","No Port",((F43/24/Shipping!$H$44+F43/24/Shipping!$H$50+Shipping!$H$59+Shipping!$H$64)*(Shipping!$H$22+wacc_nl*Shipping!$H$19/365.25*1000000+Shipping!$H$35)+(F43/24/Shipping!$H$44*Shipping!$H$45+Shipping!$H$64*Shipping!$H$65)*IF(bunker_choice="HFO",H43,IF(bunker_choice="hydrogen",BD43*hfo_e_density_lhv/h2_e_density_lhv,(BR43+BS43)*1000000/BT43*hfo_e_density_lhv/nh3_e_density_lhv))+(F43/24/Shipping!$H$50*Shipping!$H$51+Shipping!$H$59*Shipping!$H$60)*IF(bunker_choice="HFO",bunker_price_ROT,IF(bunker_choice="hydrogen",BD43*hfo_e_density_lhv/h2_e_density_lhv,(BR43+BS43)*1000000/BT43*hfo_e_density_lhv/nh3_e_density_lhv))+Shipping!$H$73+IF(G43="Panama",Shipping!$H$55,0)+IF(G43="Suez",Shipping!$H$56,0))/Shipping!$H$31*BT43/1000000+IF(inland_transport_to_port="hv dc grid",$BM43/100*1000*BW43,IF(inland_transport_to_port="pipeline",$BN43,0)))</f>
        <v>1099.7109469917023</v>
      </c>
      <c r="BV43" s="63">
        <f t="shared" si="91"/>
        <v>45436.035748738526</v>
      </c>
      <c r="BW43" s="33">
        <f>((Carriers!$N$18/Carriers!$N$23*alk_el_e_demand)+(Carriers!$N$19/Carriers!$N$23*n2_e_demand)+nh3_e_demand)*(BT43+nh3_st_ab_losses)/1000000+nh3_st_e_demand*BT43/1000000</f>
        <v>761.92115777188997</v>
      </c>
      <c r="BX43" s="33">
        <f t="shared" si="79"/>
        <v>0.76626754477640768</v>
      </c>
      <c r="BY43" s="63">
        <f>IFERROR(BV43*1000000/Storage!$G$12,"")</f>
        <v>593.44667434981625</v>
      </c>
      <c r="BZ43" s="63">
        <f>H2_retrieval!$F$25*h2_demand_kt/1000</f>
        <v>80</v>
      </c>
      <c r="CA43" s="63">
        <f>IFERROR(BY43*(1+H2_retrieval!$F$34)/Carrier_properties!$E$7+H2_retrieval!$F$38,"")</f>
        <v>3750.110961168627</v>
      </c>
      <c r="CB43" s="149">
        <f>(FA_invest*(M43+1/FA_lifetime)/FA_prod+FA_opex+FA_e_demand*1000*$AU43/100+Carriers!$P$18/Carriers!$P$23*BD43+Carriers!$P$20/Carriers!$P$23*co2_liq_cost)*(CF43+FA_st_ab_losses)/1000000</f>
        <v>95813.6812068523</v>
      </c>
      <c r="CC43" s="86">
        <f>(FA_invest*(M43+1/FA_lifetime)/FA_prod+FA_opex+FA_e_demand*1000*$AU43/100+Carriers!$P$18/Carriers!$P$23*BD43+Carriers!$P$20/Carriers!$P$23*BP43)*(CF43+FA_st_ab_losses)/1000000</f>
        <v>119748.19859356855</v>
      </c>
      <c r="CD43" s="63">
        <f>FA_st_nl_cost*FA_st_nl_demand/1000000+(FA_st_invest*(M43+1/FA_st_lifetime+FA_st_opex)/(Storage!$I$63/1000000)+FA_st_e_demand*1000*$AU43/100)*(CF43+FA_st_ab_losses)/1000000+co2_st_nl_cost*Storage!$I$12*co2_density/FA_density/1000000+(co2_st_opex_lev+co2_st_invest_lev+co2_st_e_demand*1000*$AU43/100)*Storage!$I$12/1000000+co2_st_invest_lev*Storage!$I$12*co2_st_lifetime*M43/1000000+Carriers!$P$18/Carriers!$P$23*((CF43+FA_st_ab_losses)/365.25*short_st_duration_hrs/24)*(h2_short_st_invest*(1/gh2_short_st_lifetime+$M43+h2_short_st_opex)+h2_short_st_e_demand*1000*$AU43/100)/1000000+Carriers!$P$20/Carriers!$P$23*((CF43+FA_st_ab_losses)/365.25*short_st_duration_hrs/24)*(co2_short_st_invest*(1/co2_short_st_lifetime+$M43+co2_short_st_opex)+co2_short_st_e_demand*1000*$AU43/100)/1000000</f>
        <v>10878.152440865264</v>
      </c>
      <c r="CE43" s="63">
        <f>FA_st_nl_cost*FA_st_nl_demand/1000000+(FA_st_invest*(M43+1/FA_st_lifetime+FA_st_opex)/(Storage!$I$63/1000000)+FA_st_e_demand*1000*$AU43/100)*(CF43+FA_st_ab_losses)/1000000+Carriers!$P$18/Carriers!$P$23*((CF43+FA_st_ab_losses)/365.25*short_st_duration_hrs/24)*(h2_short_st_invest*(1/gh2_short_st_lifetime+$M43+h2_short_st_opex)+h2_short_st_e_demand*1000*$AU43/100)/1000000+Carriers!$P$20/Carriers!$P$23*((CF43+FA_st_ab_losses)/365.25*short_st_duration_hrs/24)*(co2_short_st_invest*(1/co2_short_st_lifetime+$M43+co2_short_st_opex)+co2_short_st_e_demand*1000*$AU43/100)/1000000</f>
        <v>4495.0291916401175</v>
      </c>
      <c r="CF43" s="63">
        <f>Storage!$I$57/((1-Shipping!$J$37)^($F43/24/Shipping!$J$44+0.5*Shipping!$J$59))</f>
        <v>310425396.82539684</v>
      </c>
      <c r="CG43" s="28">
        <f>IF($E43="","No Port",((F43/24/Shipping!$J$44+F43/24/Shipping!$J$50+Shipping!$J$59+Shipping!$J$64)*(Shipping!$J$22+wacc_nl*Shipping!$J$19/365.25*1000000+Shipping!$J$35)+(F43/24/Shipping!$J$44*Shipping!$J$45+Shipping!$J$64*Shipping!$J$65)*IF(bunker_choice="HFO",$H43,IF(bunker_choice="hydrogen",$BD43*hfo_e_density_lhv/h2_e_density_lhv,(CB43+CD43)*1000000/CF43*hfo_e_density_lhv/FA_e_density_lhv))+(F43/24/Shipping!$J$50*Shipping!$J$51+Shipping!$J$59*Shipping!$J$60)*IF(bunker_choice="HFO",bunker_price_ROT,IF(bunker_choice="hydrogen",$BD43*hfo_e_density_lhv/h2_e_density_lhv,(CB43+CD43)*1000000/CF43*hfo_e_density_lhv/FA_e_density_lhv))+Shipping!$J$73+IF(G43="Panama",Shipping!$J$55,0)+IF(G43="Suez",Shipping!$J$56,0))/Shipping!$J$31*CF43/1000000+IF(inland_transport_to_port="hv dc grid",$BM43/100*1000*CI43,IF(inland_transport_to_port="pipeline",$BN43,0)))</f>
        <v>3398.8433442119467</v>
      </c>
      <c r="CH43" s="28">
        <f t="shared" si="36"/>
        <v>127642.07112942061</v>
      </c>
      <c r="CI43" s="29">
        <f>((Carriers!$P$18/Carriers!$P$23*alk_el_e_demand)+FA_e_demand)*(CF43+FA_st_ab_losses)/1000000+FA_st_e_demand*CF43/1000000</f>
        <v>1897.8881241622576</v>
      </c>
      <c r="CJ43" s="29">
        <f t="shared" si="80"/>
        <v>0.46563809523809524</v>
      </c>
      <c r="CK43" s="28">
        <f>IFERROR(CH43*1000000/Storage!$I$12,"")</f>
        <v>411.18436969000544</v>
      </c>
      <c r="CL43" s="28">
        <f>IF($E43="","No Port",((F43/24/Shipping!$J$44+F43/24/Shipping!$J$50+Shipping!$J$59+Shipping!$J$64)*Carriers!$P$39*wacc_nl))</f>
        <v>69.955092388885305</v>
      </c>
      <c r="CM43" s="29">
        <f>H2_retrieval!$H$25*h2_demand_kt/1000+(co2_liq_e_demand+co2_st_e_demand*2)*Storage!$I$12*co2_density/FA_density/1000000</f>
        <v>94.204253879484654</v>
      </c>
      <c r="CN43" s="28">
        <f>IFERROR((((CB43+CD43+CG43)*(1+H2_retrieval!$H$34)+CL43)*1000000/H2_retrieval!$H$8)+h2_regen_fa,"")</f>
        <v>8189.7338445550722</v>
      </c>
      <c r="CO43" s="149">
        <f>(meoh_invest*(M43+1/meoh_lifetime)/meoh_prod+meoh_opex+meoh_e_demand*1000*$AU43/100+Carriers!$R$18/Carriers!$R$23*BD43+Carriers!$R$20/Carriers!$R$23*co2_liq_cost)*(CS43+meoh_st_ab_losses)/1000000</f>
        <v>51165.607060174611</v>
      </c>
      <c r="CP43" s="86">
        <f>(meoh_invest*(M43+1/meoh_lifetime)/meoh_prod+meoh_opex+meoh_e_demand*1000*$AU43/100+Carriers!$R$18/Carriers!$R$23*BD43+Carriers!$R$20/Carriers!$R$23*BP43)*(CS43+meoh_st_ab_losses)/1000000</f>
        <v>65215.907668682878</v>
      </c>
      <c r="CQ43" s="63">
        <f>meoh_st_nl_cost*meoh_st_nl_demand/1000000+(meoh_st_invest*(M43+1/meoh_st_lifetime+meoh_st_opex)/(Storage!$K$63/1000000)+meoh_st_e_demand*1000*$AU43/100)*(CS43+meoh_st_ab_losses)/1000000+co2_st_nl_cost*Storage!$K$12*co2_density/meoh_density/1000000+(co2_st_opex_lev+co2_st_invest_lev+co2_st_e_demand*1000*IFERROR(MIN(S43,AA43,AI43),S43)/100)*Storage!$K$12/1000000+co2_st_invest_lev*Storage!$K$12*co2_st_lifetime*M43/1000000+Carriers!$R$18/Carriers!$R$23*((CS43+meoh_st_ab_losses)/365.25*short_st_duration_hrs/24)*(h2_short_st_invest*(1/gh2_short_st_lifetime+$M43+h2_short_st_opex)+h2_short_st_e_demand*1000*$AU43/100)/1000000+Carriers!$R$20/Carriers!$R$23*((CF43+meoh_st_ab_losses)/365.25*short_st_duration_hrs/24)*(co2_short_st_invest*(1/co2_short_st_lifetime+$M43+co2_short_st_opex)+co2_short_st_e_demand*1000*$AU43/100)/1000000</f>
        <v>4523.1440552913427</v>
      </c>
      <c r="CR43" s="63">
        <f>meoh_st_nl_cost*meoh_st_nl_demand/1000000+(meoh_st_invest*(M43+1/meoh_st_lifetime+meoh_st_opex)/(Storage!$K$63/1000000)+meoh_st_e_demand*1000*$AU43/100)*(CS43+meoh_st_ab_losses)/1000000+Carriers!$R$18/Carriers!$R$23*((CS43+meoh_st_ab_losses)/365.25*short_st_duration_hrs/24)*(h2_short_st_invest*(1/gh2_short_st_lifetime+$M43+h2_short_st_opex)+h2_short_st_e_demand*1000*$AU43/100)/1000000+Carriers!$R$20/Carriers!$R$23*((CF43+meoh_st_ab_losses)/365.25*short_st_duration_hrs/24)*(co2_short_st_invest*(1/co2_short_st_lifetime+$M43+co2_short_st_opex)+co2_short_st_e_demand*1000*$AU43/100)/1000000</f>
        <v>1732.7106732676291</v>
      </c>
      <c r="CS43" s="63">
        <f>Storage!$K$57/((1-Shipping!$L$37)^($F43/24/Shipping!$L$44+0.5*Shipping!$L$59))</f>
        <v>108044444.44444443</v>
      </c>
      <c r="CT43" s="28">
        <f>IF($E43="","No Port",IF(AND(ship_choice="VLCC",G43="Panama"),"Ship cannot pass through Panama",IF(ship_choice="VLCC",((F43/24/Shipping!$AD$44+F43/24/Shipping!$AD$50+Shipping!$AD$59+Shipping!$AD$64)*(Shipping!$AD$22+wacc_nl*Shipping!$AD$19/365.25*1000000+Shipping!$AD$35)+(F43/24/Shipping!$AD$44*Shipping!$AD$45+Shipping!$AD$64*Shipping!$AD$65)*IF(bunker_choice="HFO",$H43,IF(bunker_choice="hydrogen",$BD43*hfo_e_density_lhv/h2_e_density_lhv,(CO43+CQ43)*1000000/CS43*hfo_e_density_lhv/meoh_e_density_lhv))+(F43/24/Shipping!$AD$50*Shipping!$AD$51+Shipping!$AD$59*Shipping!$AD$60)*IF(bunker_choice="HFO",bunker_price_ROT,IF(bunker_choice="hydrogen",$BD43*hfo_e_density_lhv/h2_e_density_lhv,(CO43+CQ43)*1000000/CS43*hfo_e_density_lhv/meoh_e_density_lhv))+Shipping!$AD$73+IF(G43="Panama",Shipping!$AD$55,0)+IF(G43="Suez",Shipping!$AD$56,0))/Shipping!$AD$31*CS43/1000000+IF(inland_transport_to_port="hv dc grid",$BM43/100*1000*CV43,IF(inland_transport_to_port="pipeline",$BN43,0)),((F43/24/Shipping!$L$44+F43/24/Shipping!$L$50+Shipping!$L$59+Shipping!$L$64)*(Shipping!$L$22+wacc_nl*Shipping!$L$19/365.25*1000000+Shipping!$L$35)+(F43/24/Shipping!$L$44*Shipping!$L$45+Shipping!$L$64*Shipping!$L$65)*IF(bunker_choice="HFO",$H43,IF(bunker_choice="hydrogen",$BD43*hfo_e_density_lhv/h2_e_density_lhv,(CO43+CQ43)*1000000/CS43*hfo_e_density_lhv/meoh_e_density_lhv))+(F43/24/Shipping!$L$50*Shipping!$L$51+Shipping!$L$59*Shipping!$L$60)*IF(bunker_choice="HFO",bunker_price_ROT,IF(bunker_choice="hydrogen",$BD43*hfo_e_density_lhv/h2_e_density_lhv,(CO43+CQ43)*1000000/CS43*hfo_e_density_lhv/meoh_e_density_lhv))+Shipping!$L$73+IF(G43="Panama",Shipping!$L$55,0)+IF(G43="Suez",Shipping!$L$56,0))/Shipping!$L$31*CS43/1000000+IF(inland_transport_to_port="hv dc grid",$BM43/100*1000*CV43,IF(inland_transport_to_port="pipeline",$BN43,0)))))</f>
        <v>1342.2540277379717</v>
      </c>
      <c r="CU43" s="28">
        <f t="shared" si="37"/>
        <v>68290.872369688484</v>
      </c>
      <c r="CV43" s="29">
        <f>((Carriers!$R$18/Carriers!$R$23*alk_el_e_demand)+meoh_e_demand)*(CS43+meoh_st_ab_losses)/1000000+meoh_st_e_demand*CS43/1000000</f>
        <v>1119.9789871111109</v>
      </c>
      <c r="CW43" s="29">
        <f t="shared" si="81"/>
        <v>0.16206666666666666</v>
      </c>
      <c r="CX43" s="28">
        <f>IFERROR(CU43*1000000/Storage!$K$12,"")</f>
        <v>632.0627841702966</v>
      </c>
      <c r="CY43" s="28">
        <f>IF($E43="","No Port",((F43/24/Shipping!$L$44+F43/24/Shipping!$L$50+Shipping!$L$59+Shipping!$L$64)*Carriers!$R$39*wacc_nl))</f>
        <v>24.650480419892666</v>
      </c>
      <c r="CZ43" s="29">
        <f>H2_retrieval!$J$25*h2_demand_kt/1000+(co2_liq_e_demand+co2_st_e_demand*2)*Storage!$K$12*co2_density/meoh_density/1000000</f>
        <v>251.05079059698966</v>
      </c>
      <c r="DA43" s="28">
        <f>IFERROR((((CO43+CQ43+CT43)*(1+H2_retrieval!$J$34)+CY43)*1000000/H2_retrieval!$J$8)+h2_regen_meoh,"")</f>
        <v>5365.3973390508081</v>
      </c>
      <c r="DB43" s="149">
        <f>(DBT_invest*(M43+1/DBT_lifetime)/DBT_prod+DBT_opex+DBT_e_demand*1000*$AU43/100+Carriers!$T$18/Carriers!$T$23*BD43)*(DD43+DBT_st_ab_losses)/1000000</f>
        <v>34129.326749525353</v>
      </c>
      <c r="DC43" s="28">
        <f>2*(DBT_st_nl_cost*DBT_st_nl_demand/1000000+(DBT_st_invest*(M43+1/DBT_st_lifetime+DBT_st_opex)/(Storage!$M$63/1000000)+DBT_st_e_demand*1000*$AU43/100)*(DD43+DBT_st_ab_losses)/1000000)+Carriers!$T$18/Carriers!$T$23*((DD43+DBT_st_ab_losses)/365.25*short_st_duration_hrs/24)*(h2_short_st_invest*(1/gh2_short_st_lifetime+$M43+h2_short_st_opex)+h2_short_st_e_demand*1000*$AU43/100)/1000000</f>
        <v>3659.2996763792976</v>
      </c>
      <c r="DD43" s="63">
        <f>Storage!$M$57/((1-Shipping!$N$37)^($F43/24/Shipping!$N$44+0.5*Shipping!$N$59))</f>
        <v>219354838.70967743</v>
      </c>
      <c r="DE43" s="28">
        <f>IF($E43="","No Port",IF(AND(ship_choice="VLCC",G43="Panama"),"Ship cannot pass through Panama",IF(ship_choice="VLCC",((F43/24/Shipping!$AD$44+F43/24/Shipping!$AD$50+Shipping!$AD$59+Shipping!$AD$64)*(Shipping!$AD$22+wacc_nl*Shipping!$AD$19/365.25*1000000+Shipping!$AD$35)+(F43/24/Shipping!$AD$44*Shipping!$AD$45+Shipping!$AD$64*Shipping!$AD$65)*IF(bunker_choice="HFO",$H43,IF(bunker_choice="hydrogen",$BD43*hfo_e_density_lhv/h2_e_density_lhv,(DB43+DC43)*1000000/DD43*hfo_e_density_lhv/DBT_e_density_lhv))+(F43/24/Shipping!$AD$50*Shipping!$AD$51+Shipping!$AD$59*Shipping!$AD$60)*IF(bunker_choice="HFO",bunker_price_ROT,IF(bunker_choice="hydrogen",$BD43*hfo_e_density_lhv/h2_e_density_lhv,(DB43+DC43)*1000000/DD43*hfo_e_density_lhv/DBT_e_density_lhv))+Shipping!$AD$73+IF(G43="Panama",Shipping!$AD$55,0)+IF(G43="Suez",Shipping!$AD$56,0))/Shipping!$AD$31*DD43/1000000+IF(inland_transport_to_port="hv dc grid",$BM43/100*1000*DG43,IF(inland_transport_to_port="pipeline",$BN43,0)),((F43/24/Shipping!$N$44+F43/24/Shipping!$N$50+Shipping!$N$59+Shipping!$N$64)*(Shipping!$N$22+wacc_nl*Shipping!$N$19/365.25*1000000+Shipping!$N$35)+(F43/24/Shipping!$N$44*Shipping!$N$45+Shipping!$N$64*Shipping!$N$65)*IF(bunker_choice="HFO",$H43,IF(bunker_choice="hydrogen",$BD43*hfo_e_density_lhv/h2_e_density_lhv,(DB43+DC43)*1000000/DD43*hfo_e_density_lhv/DBT_e_density_lhv))+(F43/24/Shipping!$N$50*Shipping!$N$51+Shipping!$N$59*Shipping!$N$60)*IF(bunker_choice="HFO",bunker_price_ROT,IF(bunker_choice="hydrogen",$BD43*hfo_e_density_lhv/h2_e_density_lhv,(DB43+DC43)*1000000/DD43*hfo_e_density_lhv/DBT_e_density_lhv))+Shipping!$N$73+IF(G43="Panama",Shipping!$N$55,0)+IF(G43="Suez",Shipping!$N$56,0))/Shipping!$N$31*Shipping!$N$86/1000000+IF(inland_transport_to_port="hv dc grid",$BM43/100*1000*DG43,IF(inland_transport_to_port="pipeline",$BN43,0)))))</f>
        <v>2188.7017225949676</v>
      </c>
      <c r="DF43" s="28">
        <f t="shared" si="82"/>
        <v>39977.328148499619</v>
      </c>
      <c r="DG43" s="29">
        <f>((Carriers!$T$18/Carriers!$T$23*alk_el_e_demand)+DBT_e_demand)*(DD43+DBT_st_ab_losses)/1000000+DBT_st_e_demand*DD43/1000000</f>
        <v>703.88335483870969</v>
      </c>
      <c r="DH43" s="29">
        <f t="shared" si="83"/>
        <v>0.21935483870967742</v>
      </c>
      <c r="DI43" s="28">
        <f>IFERROR(DF43*1000000/Storage!$M$12,"")</f>
        <v>182.24958420639533</v>
      </c>
      <c r="DJ43" s="28">
        <f>IF($E43="","No Port",((F43/24/Shipping!$N$44+F43/24/Shipping!$N$50+Shipping!$N$59+Shipping!$N$64)*Carriers!$T$39*wacc_nl))</f>
        <v>1795.3754811116708</v>
      </c>
      <c r="DK43" s="100">
        <f>H2_retrieval!$L$25*h2_demand_kt/1000+(co2_liq_e_demand+co2_st_e_demand*2)*Storage!$M$12*co2_density/DBT_density/1000000</f>
        <v>206.61934861671787</v>
      </c>
      <c r="DL43" s="28">
        <f>IFERROR(((DF43*(1+H2_retrieval!$L$34)+DJ43)*1000000/H2_retrieval!$L$8)+h2_regen_lohc,"")</f>
        <v>3542.172106345507</v>
      </c>
      <c r="DM43" s="149">
        <f t="shared" si="84"/>
        <v>54850.515405551429</v>
      </c>
      <c r="DN43" s="16">
        <f>2*(nabh4_st_nl_cost*nabh4_st_nl_demand/1000000+(nabh4_st_invest*(M43+1/nabh4_st_lifetime+nabh4_st_opex)/(Storage!$O$63/1000000)+nabh4_st_e_demand*1000*$AU43/100)*(DO43+nabh4_st_ab_losses)/1000000)+(h2_demand_kt*1000/365.25*short_st_duration_hrs/24)*(h2_short_st_invest*(1/gh2_short_st_lifetime+$M43+h2_short_st_opex)+h2_short_st_e_demand*1000*$AU43/100)/1000000</f>
        <v>1308.0720856905973</v>
      </c>
      <c r="DO43" s="63">
        <f>Storage!$O$57/((1-Shipping!$P$37)^($F43/24/Shipping!$P$44+0.5*Shipping!$P$59))</f>
        <v>63920000</v>
      </c>
      <c r="DP43" s="16">
        <f>IF($E43="","No Port",((F43/24/Shipping!$P$44+F43/24/Shipping!$P$50+Shipping!$P$59+Shipping!$P$64)*(Shipping!$P$22+wacc_nl*Shipping!$P$19/365.25*1000000+Shipping!$P$35)+(F43/24/Shipping!$P$44*Shipping!$P$45+Shipping!$P$64*Shipping!$P$65)*IF(bunker_choice="HFO",$H43,IF(bunker_choice="hydrogen",$BD43*hfo_e_density_lhv/h2_e_density_lhv,(DM43+DN43)*1000000/DO43*hfo_e_density_lhv/nabh4_e_density_lhv))+(F43/24/Shipping!$P$50*Shipping!$P$51+Shipping!$P$59*Shipping!$P$60)*IF(bunker_choice="HFO",bunker_price_ROT,IF(bunker_choice="hydrogen",$BD43*hfo_e_density_lhv/h2_e_density_lhv,(DM43+DN43)*1000000/DO43*hfo_e_density_lhv/nabh4_e_density_lhv))+Shipping!$P$73+IF(G43="Panama",Shipping!$P$55,0)+IF(G43="Suez",Shipping!$P$56,0))/Shipping!$P$31*(DO43+nabh4_st_ab_losses)/1000000+IF(inland_transport_to_port="hv dc grid",$BM43/100*1000*DR43,IF(inland_transport_to_port="pipeline",$BN43,0)))</f>
        <v>816.7810451711598</v>
      </c>
      <c r="DQ43" s="28">
        <f t="shared" si="60"/>
        <v>56975.368536413189</v>
      </c>
      <c r="DR43" s="29">
        <f>((Carriers!$V$18/Carriers!$V$23*alk_el_e_demand)+nabh4_e_demand)*(DO43+nabh4_st_ab_losses)/1000000+nabh4_st_e_demand*DO43/1000000</f>
        <v>980.02139682539689</v>
      </c>
      <c r="DS43" s="28">
        <f t="shared" si="85"/>
        <v>3.1960000000000002</v>
      </c>
      <c r="DT43" s="28">
        <f>IFERROR(DQ43*1000000/Storage!$O$12,"")</f>
        <v>891.35432628931767</v>
      </c>
      <c r="DU43" s="28">
        <f>IF($E43="","No Port",((F43/24/Shipping!$P$44+F43/24/Shipping!$P$50+Shipping!$P$59+Shipping!$P$64)*Carriers!$V$39*wacc_nl))</f>
        <v>183.13557319184454</v>
      </c>
      <c r="DV43" s="100">
        <f>H2_retrieval!$N$25*h2_demand_kt/1000+(co2_liq_e_demand+co2_st_e_demand*2)*Storage!$O$12*co2_density/nabh4_density/1000000</f>
        <v>18.783638728971958</v>
      </c>
      <c r="DW43" s="28">
        <f>IFERROR(((DQ43*(1+H2_retrieval!$N$34)+DU43)*1000000/H2_retrieval!$N$8)+h2_regen_nabh4,"")</f>
        <v>4293.4927016516167</v>
      </c>
      <c r="DX43" s="149">
        <f>(Dme_invest*(M43+1/Dme_lifetime)/Dme_prod+Dme_opex+Dme_e_demand*1000*$AU43/100+Carriers!$X$21/Carriers!$X$23*(CO43*1000000/CS43))*(EB43+Dme_st_ab_losses)/1000000</f>
        <v>72389.521651479212</v>
      </c>
      <c r="DY43" s="86">
        <f>(Dme_invest*(M43+1/Dme_lifetime)/Dme_prod+Dme_opex+Dme_e_demand*1000*$AU43/100+Carriers!$X$21/Carriers!$X$23*(CP43*1000000/CS43))*(EB43+Dme_st_ab_losses)/1000000</f>
        <v>91451.058844301529</v>
      </c>
      <c r="DZ43" s="63">
        <f>Dme_st_nl_cost*Dme_st_nl_demand/1000000+(Dme_st_invest*(M43+1/Dme_st_lifetime+Dme_st_opex)/(Storage!$Q$63/1000000)+Dme_st_e_demand*1000*$AU43/100)*(EB43+Dme_st_ab_losses)/1000000+co2_st_nl_cost*Storage!$Q$12*co2_density/Dme_density/1000000+(co2_st_opex_lev+co2_st_invest_lev+co2_st_e_demand*1000*$AU43/100)*Storage!$Q$12/1000000+co2_st_invest_lev*Storage!$Q$12*co2_st_lifetime*M43/1000000+(h2_demand_kt*1000/365.25*short_st_duration_hrs/24)*(h2_short_st_invest*(1/gh2_short_st_lifetime+$M43+h2_short_st_opex)+h2_short_st_e_demand*1000*$AU43/100)/1000000</f>
        <v>5493.2459491421578</v>
      </c>
      <c r="EA43" s="63">
        <f>Dme_st_nl_cost*Dme_st_nl_demand/1000000+(Dme_st_invest*(M43+1/Dme_st_lifetime+Dme_st_opex)/(Storage!$Q$63/1000000)+Dme_st_e_demand*1000*$AU43/100)*(EB43+Dme_st_ab_losses)/1000000+(h2_demand_kt*1000/365.25*short_st_duration_hrs/24)*(h2_short_st_invest*(1/gh2_short_st_lifetime+$M43+h2_short_st_opex)+h2_short_st_e_demand*1000*$AU43/100)/1000000</f>
        <v>2663.0937298255817</v>
      </c>
      <c r="EB43" s="63">
        <f>Storage!$Q$57/((1-Shipping!$R$37)^($F43/24/Shipping!$R$44+0.5*Shipping!$R$59))</f>
        <v>103547089.94708996</v>
      </c>
      <c r="EC43" s="153">
        <f>IF($E43="","No Port",IF(AND(ship_choice="VLCC",G43="Panama"),"Ship cannot pass through Panama",IF(ship_choice="VLCC",((F43/24/Shipping!$AD$44+F43/24/Shipping!$AD$50+Shipping!$AD$59+Shipping!$AD$64)*(Shipping!$AD$22+wacc_nl*Shipping!$AD$19/365.25*1000000+Shipping!$AD$35)+(F43/24/Shipping!$AD$44*Shipping!$AD$45+Shipping!$AD$64*Shipping!$AD$65)*IF(bunker_choice="HFO",$H43,IF(bunker_choice="hydrogen",$BD43*hfo_e_density_lhv/h2_e_density_lhv,(DX43+DZ43)*1000000/EB43*hfo_e_density_lhv/Dme_e_density_lhv))+(F43/24/Shipping!$AD$50*Shipping!$AD$51+Shipping!$AD$59*Shipping!$AD$60)*IF(bunker_choice="HFO",bunker_price_ROT,IF(bunker_choice="hydrogen",$BD43*hfo_e_density_lhv/h2_e_density_lhv,(DX43+DZ43)*1000000/EB43*hfo_e_density_lhv/Dme_e_density_lhv))+Shipping!$AD$73+IF(G43="Panama",Shipping!$AD$55,0)+IF(G43="Suez",Shipping!$AD$56,0))/Shipping!$AD$31*(EB43+Dme_st_ab_losses)/1000000+IF(inland_transport_to_port="hv dc grid",$BM43/100*1000*EE43,IF(inland_transport_to_port="pipeline",$BN43,0)),((F43/24/Shipping!$R$44+F43/24/Shipping!$R$50+Shipping!$R$59+Shipping!$R$64)*(Shipping!$R$22+wacc_nl*Shipping!$R$19/365.25*1000000+Shipping!$R$35)+(F43/24/Shipping!$R$44*Shipping!$R$45+Shipping!$R$64*Shipping!$R$65)*IF(bunker_choice="HFO",$H43,IF(bunker_choice="hydrogen",$BD43*hfo_e_density_lhv/h2_e_density_lhv,(DX43+DZ43)*1000000/EB43*hfo_e_density_lhv/Dme_e_density_lhv))+(F43/24/Shipping!$R$50*Shipping!$R$51+Shipping!$R$59*Shipping!$R$60)*IF(bunker_choice="HFO",bunker_price_ROT,IF(bunker_choice="hydrogen",$BD43*hfo_e_density_lhv/h2_e_density_lhv,(DX43+DZ43)*1000000/EB43*hfo_e_density_lhv/Dme_e_density_lhv))+Shipping!$R$73+IF(G43="Panama",Shipping!$R$55,0)+IF(G43="Suez",Shipping!$R$56,0))/Shipping!$R$31*(EB43+Dme_st_ab_losses)/1000000+IF(inland_transport_to_port="hv dc grid",$BM43/100*1000*EE43,IF(inland_transport_to_port="pipeline",$BN43,0)))))</f>
        <v>1404.2707785266155</v>
      </c>
      <c r="ED43" s="28">
        <f t="shared" si="39"/>
        <v>95518.423352653728</v>
      </c>
      <c r="EE43" s="29">
        <f>(Dme_e_demand)*(EB43+Dme_st_ab_losses)/1000000+Dme_st_e_demand*DZ43/1000000+$CV43*(Carriers!$X$21/Carriers!$X$23*EB43)/$CS43</f>
        <v>1550.2168150995153</v>
      </c>
      <c r="EF43" s="29">
        <f t="shared" si="86"/>
        <v>1.0354708994708997</v>
      </c>
      <c r="EG43" s="28">
        <f>IFERROR(ED43*1000000/Storage!$Q$12,"")</f>
        <v>922.46361922349843</v>
      </c>
      <c r="EH43" s="28">
        <f>IF($E43="","No Port",((F43/24/Shipping!$R$44+F43/24/Shipping!$R$50+Shipping!$R$59+Shipping!$R$64)*Carriers!$X$39*wacc_nl))</f>
        <v>24.500402329262645</v>
      </c>
      <c r="EI43" s="100">
        <f>H2_retrieval!$P$25*h2_demand_kt/1000+(co2_liq_e_demand+co2_st_e_demand*2)*Storage!$Q$12*co2_density/Dme_density/1000000</f>
        <v>252.45335899349112</v>
      </c>
      <c r="EJ43" s="28">
        <f>IFERROR((((DX43+DZ43+EC43)*(1+H2_retrieval!$P$34)+EH43)*1000000/H2_retrieval!$P$8)+h2_regen_dme,"")</f>
        <v>7001.8593359517945</v>
      </c>
      <c r="EK43" s="149">
        <f>(ome_invest*(M43+1/ome_lifetime)/ome_prod+ome_opex+ome_e_demand*1000*$AU43/100+Carriers!$Z$21/Carriers!$Z$23*(CO43*1000000/CS43))*(EO43+ome_st_ab_losses)/1000000</f>
        <v>158691.24722339917</v>
      </c>
      <c r="EL43" s="86">
        <f>(ome_invest*(M43+1/ome_lifetime)/ome_prod+ome_opex+ome_e_demand*1000*$AU43/100+Carriers!$Z$21/Carriers!$Z$23*(CP43*1000000/CS43))*(EO43+ome_st_ab_losses)/1000000</f>
        <v>198705.12436778384</v>
      </c>
      <c r="EM43" s="63">
        <f>ome_st_nl_cost*ome_st_nl_demand/1000000+(ome_st_invest*(M43+1/ome_st_lifetime+ome_st_opex)/(Storage!$S$63/1000000)+ome_st_e_demand*1000*$AU43/100)*(EO43+ome_st_ab_losses)/1000000+co2_st_nl_cost*Storage!$S$12*co2_density/ome_density/1000000+(co2_st_opex_lev+co2_st_invest_lev+co2_st_e_demand*1000*$AU43/100)*Storage!$S$12/1000000+co2_st_invest_lev*Storage!$S$12*co2_st_lifetime*M43/1000000+(h2_demand_kt*1000/365.25*short_st_duration_hrs/24)*(h2_short_st_invest*(1/gh2_short_st_lifetime+$M43+h2_short_st_opex)+h2_short_st_e_demand*1000*$AU43/100)/1000000</f>
        <v>4744.4615094835299</v>
      </c>
      <c r="EN43" s="63">
        <f>ome_st_nl_cost*ome_st_nl_demand/1000000+(ome_st_invest*(M43+1/ome_st_lifetime+ome_st_opex)/(Storage!$S$63/1000000)+ome_st_e_demand*1000*$AU43/100)*(EO43+ome_st_ab_losses)/1000000+(h2_demand_kt*1000/365.25*short_st_duration_hrs/24)*(h2_short_st_invest*(1/gh2_short_st_lifetime+$M43+h2_short_st_opex)+h2_short_st_e_demand*1000*$AU43/100)/1000000</f>
        <v>1577.2070619854521</v>
      </c>
      <c r="EO43" s="63">
        <f>Storage!$S$57/((1-Shipping!$T$37)^($F43/24/Shipping!$T$44+0.5*Shipping!$T$59))</f>
        <v>128282539.68253967</v>
      </c>
      <c r="EP43" s="28">
        <f>IF($E43="","No Port",IF(AND(ship_choice="VLCC",G43="Panama"),"Ship cannot pass through Panama",IF(ship_choice="VLCC",((F43/24/Shipping!$AD$44+F43/24/Shipping!$AD$50+Shipping!$AD$59+Shipping!$AD$64)*(Shipping!$AD$22+wacc_nl*Shipping!$AD$19/365.25*1000000+Shipping!$AD$35)+(F43/24/Shipping!$AD$44*Shipping!$AD$45+Shipping!$AD$64*Shipping!$AD$65)*IF(bunker_choice="HFO",$H43,IF(bunker_choice="hydrogen",$BD43*hfo_e_density_lhv/h2_e_density_lhv,(EK43+EM43)*1000000/EO43*hfo_e_density_lhv/Dme_e_density_lhv))+(F43/24/Shipping!$AD$50*Shipping!$AD$51+Shipping!$AD$59*Shipping!$AD$60)*IF(bunker_choice="HFO",bunker_price_ROT,IF(bunker_choice="hydrogen",$BD43*hfo_e_density_lhv/h2_e_density_lhv,(EK43+EM43)*1000000/EO43*hfo_e_density_lhv/ome_e_density_lhv))+Shipping!$AD$73+IF(G43="Panama",Shipping!$AD$55,0)+IF(G43="Suez",Shipping!$AD$56,0))/Shipping!$AD$31*(EO43+ome_st_ab_losses)/1000000+IF(inland_transport_to_port="hv dc grid",$BM43/100*1000*ER43,IF(inland_transport_to_port="pipeline",$BN43,0)),((F43/24/Shipping!$T$44+F43/24/Shipping!$T$50+Shipping!$T$59+Shipping!$T$64)*(Shipping!$T$22+wacc_nl*Shipping!$T$19/365.25*1000000+Shipping!$T$35)+(F43/24/Shipping!$T$44*Shipping!$T$45+Shipping!$T$64*Shipping!$T$65)*IF(bunker_choice="HFO",$H43,IF(bunker_choice="hydrogen",$BD43*hfo_e_density_lhv/h2_e_density_lhv,(EK43+EM43)*1000000/EO43*hfo_e_density_lhv/Dme_e_density_lhv))+(F43/24/Shipping!$T$50*Shipping!$T$51+Shipping!$T$59*Shipping!$T$60)*IF(bunker_choice="HFO",bunker_price_ROT,IF(bunker_choice="hydrogen",$BD43*hfo_e_density_lhv/h2_e_density_lhv,(EK43+EM43)*1000000/EO43*hfo_e_density_lhv/ome_e_density_lhv))+Shipping!$T$73+IF(G43="Panama",Shipping!$T$55,0)+IF(G43="Suez",Shipping!$T$56,0))/Shipping!$T$31*(EO43+ome_st_ab_losses)/1000000+IF(inland_transport_to_port="hv dc grid",$BM43/100*1000*ER43,IF(inland_transport_to_port="pipeline",$BN43,0)))))</f>
        <v>1452.202458490174</v>
      </c>
      <c r="EQ43" s="28">
        <f t="shared" si="40"/>
        <v>201734.53388825947</v>
      </c>
      <c r="ER43" s="29">
        <f>(ome_e_demand)*(EO43+ome_st_ab_losses)/1000000+ome_st_e_demand*EM43/1000000+$CV43*(Carriers!$Z$21/Carriers!$Z$23*EO43)/$CS43</f>
        <v>3352.0814572574759</v>
      </c>
      <c r="ES43" s="29">
        <f t="shared" si="87"/>
        <v>0.1924238095238095</v>
      </c>
      <c r="ET43" s="28">
        <f>IFERROR(EQ43*1000000/Storage!$S$12,"")</f>
        <v>1572.5798256527441</v>
      </c>
      <c r="EU43" s="28">
        <f>IF($E43="","No Port",((F43/24/Shipping!$T$44+F43/24/Shipping!$T$50+Shipping!$T$59+Shipping!$T$64)*Carriers!$Z$39*wacc_nl))</f>
        <v>29.267828150891539</v>
      </c>
      <c r="EV43" s="100">
        <f>H2_retrieval!$R$25*h2_demand_kt/1000+(co2_liq_e_demand+co2_st_e_demand*2)*Storage!$S$12*co2_density/ome_density/1000000</f>
        <v>254.51942895252085</v>
      </c>
      <c r="EW43" s="28">
        <f>IFERROR((((EK43+EM43+EP43)*(1+H2_retrieval!$R$34)+EU43)*1000000/H2_retrieval!$R$8)+h2_regen_ome,"")</f>
        <v>13296.391706396391</v>
      </c>
      <c r="EX43" s="149">
        <f>(sng_invest*(M43+1/sng_lifetime)/sng_prod+lng_invest*(M43+1/lng_lifetime)/lng_prod+sng_opex+lng_opex+(sng_e_demand+lng_e_demand)*1000*$AU43/100+Carriers!$AB$18/Carriers!$AB$23*BD43+Carriers!$AB$20/Carriers!$AB$23*co2_liq_cost)*(FB43+lng_st_ab_losses)/1000000</f>
        <v>54981.736623573277</v>
      </c>
      <c r="EY43" s="86">
        <f>(sng_invest*(M43+1/sng_lifetime)/sng_prod+lng_invest*(M43+1/lng_lifetime)/lng_prod+sng_opex+lng_opex+(sng_e_demand+lng_e_demand)*1000*$AU43/100+Carriers!$AB$18/Carriers!$AB$23*BD43+Carriers!$AB$20/Carriers!$AB$23*BP43)*(FB43+lng_st_ab_losses)/1000000</f>
        <v>65391.460256970415</v>
      </c>
      <c r="EZ43" s="63">
        <f>lng_st_nl_cost*lng_st_nl_demand/1000000+(lng_st_invest*(M43+1/lng_st_lifetime+lng_st_opex)/(Storage!$U$63/1000000)+lng_st_e_demand*1000*$AU43/100)*(FB43+lng_st_ab_losses)/1000000+co2_st_nl_cost*Storage!$U$12*co2_density/lng_density/1000000+(co2_st_opex_lev+co2_st_invest_lev+co2_st_e_demand*1000*$AU43/100)*Storage!$U$12/1000000+co2_st_invest_lev*Storage!$U$12*co2_st_lifetime*M43/1000000+Carriers!$AB$18/Carriers!$AB$23*((FB43+lng_st_ab_losses)/365.25*short_st_duration_hrs/24)*(h2_short_st_invest*(1/gh2_short_st_lifetime+$M43+h2_short_st_opex)+h2_short_st_e_demand*1000*$AU43/100)/1000000+Carriers!$AB$20/Carriers!$AB$23*((FB43+lng_st_ab_losses)/365.25*short_st_duration_hrs/24)*(co2_short_st_invest*(1/co2_short_st_lifetime+$M43+co2_short_st_opex)+co2_short_st_e_demand*1000*$AU43/100)/1000000</f>
        <v>5679.0875819258072</v>
      </c>
      <c r="FA43" s="63">
        <f>lng_st_nl_cost*lng_st_nl_demand/1000000+(lng_st_invest*(M43+1/lng_st_lifetime+lng_st_opex)/(Storage!$U$63/1000000)+lng_st_e_demand*1000*$AU43/100)*(FB43+lng_st_ab_losses)/1000000+Carriers!$AB$18/Carriers!$AB$23*((FB43+lng_st_ab_losses)/365.25*short_st_duration_hrs/24)*(h2_short_st_invest*(1/gh2_short_st_lifetime+$M43+h2_short_st_opex)+h2_short_st_e_demand*1000*$AU43/100)/1000000+Carriers!$AB$20/Carriers!$AB$23*((FB43+lng_st_ab_losses)/365.25*short_st_duration_hrs/24)*(co2_short_st_invest*(1/co2_short_st_lifetime+$M43+co2_short_st_opex)+co2_short_st_e_demand*1000*$AU43/100)/1000000</f>
        <v>4132.1526403085545</v>
      </c>
      <c r="FB43" s="63">
        <f>Storage!$U$57/((1-Shipping!$V$37)^($F43/24/Shipping!$V$44+0.5*Shipping!$V$59))</f>
        <v>40786930.948736168</v>
      </c>
      <c r="FC43" s="28">
        <f>IF($E43="","No Port",IF(G43="Panama","Ship cannot pass through Panama",((F43/24/Shipping!$V$44+F43/24/Shipping!$V$50+Shipping!$V$59+Shipping!$V$64)*(Shipping!$V$22+wacc_nl*Shipping!$V$19/365.25*1000000+Shipping!$V$35)+(F43/24/Shipping!$V$44*Shipping!$V$45+Shipping!$V$64*Shipping!$V$65)*IF(bunker_choice="HFO",$H43,IF(bunker_choice="hydrogen",$BD43*hfo_e_density_lhv/h2_e_density_lhv,(EX43+EZ43)*1000000/FB43*hfo_e_density_lhv/lng_e_density_lhv))+(F43/24/Shipping!$V$50*Shipping!$V$51+Shipping!$V$59*Shipping!$V$60)*IF(bunker_choice="HFO",bunker_price_ROT,IF(bunker_choice="hydrogen",$BD43*hfo_e_density_lhv/h2_e_density_lhv,(EX43+EZ43)*1000000/FB43*hfo_e_density_lhv/lng_e_density_lhv))+Shipping!$V$73+IF(G43="Panama",Shipping!$V$55,0)+IF(G43="Suez",Shipping!$V$56,0))/Shipping!$V$31*(FB43+lng_st_ab_losses)/1000000)+IF(inland_transport_to_port="hv dc grid",$BM43/100*1000*FE43,IF(inland_transport_to_port="pipeline",$BN43,0)))</f>
        <v>747.58238059571966</v>
      </c>
      <c r="FD43" s="28">
        <f t="shared" si="41"/>
        <v>70271.195277874693</v>
      </c>
      <c r="FE43" s="29">
        <f>((Carriers!$AB$18/Carriers!$AB$23*alk_el_e_demand)+sng_e_demand+lng_e_demand)*(FB43+lng_st_ab_losses)/1000000+lng_st_e_demand*EZ43/1000000</f>
        <v>1093.886925200216</v>
      </c>
      <c r="FF43" s="29">
        <f t="shared" si="88"/>
        <v>0.8126185861001558</v>
      </c>
      <c r="FG43" s="28">
        <f>IFERROR(FD43*1000000/Storage!$U$12,"")</f>
        <v>1731.494564497069</v>
      </c>
      <c r="FH43" s="28">
        <f>IF($E43="","No Port",((F43/24/Shipping!$V$44+F43/24/Shipping!$V$50+Shipping!$V$59+Shipping!$V$64)*Carriers!$AB$39*wacc_nl))</f>
        <v>9.0837622584215509</v>
      </c>
      <c r="FI43" s="100">
        <f>H2_retrieval!$T$25*h2_demand_kt/1000+(co2_liq_e_demand+co2_st_e_demand*2)*Storage!$U$12*co2_density/lng_density/1000000</f>
        <v>236.51371749646054</v>
      </c>
      <c r="FJ43" s="28">
        <f>IFERROR((((EX43+EZ43+FC43)*(1+H2_retrieval!$T$34)+FH43)*1000000/H2_retrieval!$T$8)+h2_regen_lng,"")</f>
        <v>5686.1204805750294</v>
      </c>
      <c r="FK43" s="149">
        <f>(lh2_invest*(M43+1/lh2_lifetime)/lh2_prod+lh2_opex+lh2_e_demand*1000*$AU43/100+Carriers!$AD$18/Carriers!$AD$23*BD43)*(FM43+lh2_st_ab_losses)/1000000</f>
        <v>43346.210343375918</v>
      </c>
      <c r="FL43" s="28">
        <f>lh2_st_nl_cost*lh2_st_nl_demand/1000000+(lh2_st_invest*(M43+1/lh2_st_lifetime+lh2_st_opex)/(Storage!$Y$63/1000000)+lh2_st_e_demand*1000*$AU43/100)*(FM43+lh2_st_ab_losses)/1000000+((FM43+lh2_st_ab_losses)/365.25*short_st_duration_hrs/24)*(h2_short_st_invest*(1/gh2_short_st_lifetime+$M43+h2_short_st_opex)+h2_short_st_e_demand*1000*$AU43/100)/1000000</f>
        <v>48414.723976130757</v>
      </c>
      <c r="FM43" s="63">
        <f>Storage!$Y$57/((1-Shipping!$Z$37)^($F43/24/Shipping!$Z$44+0.5*Shipping!$Z$59))</f>
        <v>13702816.466593428</v>
      </c>
      <c r="FN43" s="28">
        <f>IF($E43="","No Port",IF(G43="Panama","Ship cannot pass through Panama",((F43/24/Shipping!$Z$44+F43/24/Shipping!$Z$50+Shipping!$Z$59+Shipping!$Z$64)*(Shipping!$Z$22+wacc_nl*Shipping!$Z$19/365.25*1000000+Shipping!$Z$35)+(F43/24/Shipping!$Z$44*Shipping!$Z$45+Shipping!$Z$64*Shipping!$Z$65)*IF(bunker_choice="HFO",$H43,IF(bunker_choice="hydrogen",$BD43*hfo_e_density_lhv/h2_e_density_lhv,(FK43+FL43)*1000000/FM43*hfo_e_density_lhv/lh2_e_density_lhv))+(F43/24/Shipping!$Z$50*Shipping!$Z$51+Shipping!$Z$59*Shipping!$Z$60)*IF(bunker_choice="HFO",bunker_price_ROT,IF(bunker_choice="hydrogen",$BD43*hfo_e_density_lhv/h2_e_density_lhv,(FK43+FL43)*1000000/FM43*hfo_e_density_lhv/lh2_e_density_lhv))+Shipping!$Z$73+IF(G43="Panama",Shipping!$Z$55,0)+IF(G43="Suez",Shipping!$Z$56,0))/Shipping!$Z$31*(FM43+lh2_st_ab_losses)/1000000)+IF(inland_transport_to_port="hv dc grid",$BM43/100*1000*FP43,IF(inland_transport_to_port="pipeline",$BN43,0)))</f>
        <v>1121.5077700831789</v>
      </c>
      <c r="FO43" s="28">
        <f t="shared" si="42"/>
        <v>92882.442089589851</v>
      </c>
      <c r="FP43" s="29">
        <f>((Carriers!$AD$18/Carriers!$AD$23*alk_el_e_demand)+lh2_e_demand)*(FM43+lh2_st_ab_losses)/1000000+lh2_st_e_demand*FM43/1000000</f>
        <v>794.08104207176541</v>
      </c>
      <c r="FQ43" s="100">
        <f t="shared" si="89"/>
        <v>1.361902463475859</v>
      </c>
      <c r="FR43" s="28">
        <f>IFERROR(FO43*1000000/Storage!$Y$12,"")</f>
        <v>6829.5913301169003</v>
      </c>
      <c r="FS43" s="100">
        <f>H2_retrieval!$V$25*h2_demand_kt/1000</f>
        <v>8.16</v>
      </c>
      <c r="FT43" s="28">
        <f>IFERROR(FR43*(1+H2_retrieval!$V$34)/Carrier_properties!$U$7+H2_retrieval!$V$38,"")</f>
        <v>6861.5600559853674</v>
      </c>
      <c r="FU43" s="12"/>
      <c r="FV43" s="24">
        <f t="shared" si="90"/>
        <v>3.0241141706481822</v>
      </c>
      <c r="FW43" s="24">
        <f t="shared" si="57"/>
        <v>3.3996241460907246</v>
      </c>
      <c r="FX43" s="24">
        <f t="shared" si="58"/>
        <v>5.3723037718379638</v>
      </c>
      <c r="FY43" s="24">
        <f t="shared" si="45"/>
        <v>3.0241141706481822</v>
      </c>
      <c r="FZ43" s="28">
        <f t="shared" si="59"/>
        <v>2294.7224389120674</v>
      </c>
      <c r="GA43" s="28">
        <f t="shared" si="47"/>
        <v>535.89086545716646</v>
      </c>
      <c r="GB43" s="28">
        <f t="shared" si="48"/>
        <v>385.7551599134224</v>
      </c>
      <c r="GC43" s="28">
        <f t="shared" si="49"/>
        <v>603.60260080023238</v>
      </c>
      <c r="GD43" s="28">
        <f t="shared" si="50"/>
        <v>883.18328299743428</v>
      </c>
      <c r="GE43" s="28">
        <f t="shared" si="51"/>
        <v>1548.9646904365839</v>
      </c>
      <c r="GF43" s="28">
        <f t="shared" si="52"/>
        <v>1603.2454204303558</v>
      </c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  <c r="GZ43" s="12"/>
      <c r="HA43" s="12"/>
      <c r="HB43" s="12"/>
      <c r="HC43" s="12"/>
      <c r="HD43" s="12"/>
      <c r="HE43" s="12"/>
      <c r="HF43" s="12"/>
    </row>
    <row r="44" spans="1:214" x14ac:dyDescent="0.2">
      <c r="A44" s="154" t="s">
        <v>50</v>
      </c>
      <c r="B44" s="12">
        <v>5585</v>
      </c>
      <c r="C44" s="12">
        <v>0.9</v>
      </c>
      <c r="D44" s="12">
        <f t="shared" si="61"/>
        <v>9.9999999999999978E-2</v>
      </c>
      <c r="E44" s="12" t="s">
        <v>50</v>
      </c>
      <c r="F44" s="12">
        <v>4651</v>
      </c>
      <c r="G44" s="12" t="s">
        <v>692</v>
      </c>
      <c r="H44" s="16">
        <f t="shared" si="62"/>
        <v>382.75862068965517</v>
      </c>
      <c r="I44" s="16">
        <v>23180</v>
      </c>
      <c r="J44" s="16">
        <f t="shared" si="31"/>
        <v>85.897748292608156</v>
      </c>
      <c r="K44" s="27">
        <f t="shared" si="32"/>
        <v>103.07729795112978</v>
      </c>
      <c r="L44" s="103">
        <v>0.12</v>
      </c>
      <c r="M44" s="103">
        <f t="shared" si="63"/>
        <v>0.12628717361480385</v>
      </c>
      <c r="N44" s="122">
        <f t="shared" si="33"/>
        <v>0.85</v>
      </c>
      <c r="O44" s="46">
        <f t="shared" si="64"/>
        <v>40</v>
      </c>
      <c r="P44" s="70">
        <f t="array" ref="P44">SUMPRODUCT(IF(Solar_data!A$4:A$777=A44,Solar_data!C$4:C$777),IF(Solar_data!A$4:A$777=A44,Solar_data!I$4:I$777))/SUMIF(Solar_data!A$4:A$777,A44,Solar_data!I$4:I$777)</f>
        <v>2278.0523670278603</v>
      </c>
      <c r="Q44" s="16">
        <f t="array" ref="Q44">MAX(IF(Solar_data!$A$777:'Solar_data'!$A$4=Country_details!$A44,Solar_data!$C$4:'Solar_data'!$C$777))</f>
        <v>2281.25</v>
      </c>
      <c r="R44" s="16">
        <f t="array" ref="R44">MIN(IF(Solar_data!$A$777:'Solar_data'!$A$4=Country_details!A44,Solar_data!$C$4:'Solar_data'!$C$777))</f>
        <v>2098.75</v>
      </c>
      <c r="S44" s="24">
        <f t="shared" si="65"/>
        <v>2.1125705914566999</v>
      </c>
      <c r="T44" s="24">
        <f t="shared" si="66"/>
        <v>2.1096093967699208</v>
      </c>
      <c r="U44" s="24">
        <f t="shared" si="67"/>
        <v>2.2930536921412186</v>
      </c>
      <c r="V44" s="16">
        <f t="array" ref="V44">SUM(IF(Solar_data!$A$777:'Solar_data'!$A$4=Country_details!$A44,Solar_data!$I$4:'Solar_data'!$I$777))</f>
        <v>179.60295179975122</v>
      </c>
      <c r="W44" s="148"/>
      <c r="X44" s="16" t="str">
        <f>IFERROR(INDEX(Onshore_wind_data!$J$5:'Onshore_wind_data'!$J$221,MATCH(A44,Onshore_wind_data!$B$5:'Onshore_wind_data'!$B$221,0)),"")</f>
        <v/>
      </c>
      <c r="Y44" s="16" t="str">
        <f>IFERROR(INDEX(Onshore_wind_data!$K$5:'Onshore_wind_data'!$K$221,MATCH(A44,Onshore_wind_data!$B$5:'Onshore_wind_data'!$B$221,0)),"")</f>
        <v/>
      </c>
      <c r="Z44" s="16" t="str">
        <f>IFERROR(INDEX(Onshore_wind_data!$L$5:'Onshore_wind_data'!$L$221,MATCH(A44,Onshore_wind_data!$B$5:'Onshore_wind_data'!$B$221,0)),"")</f>
        <v/>
      </c>
      <c r="AA44" s="24" t="str">
        <f t="shared" si="68"/>
        <v/>
      </c>
      <c r="AB44" s="24" t="str">
        <f t="shared" si="69"/>
        <v/>
      </c>
      <c r="AC44" s="24" t="str">
        <f t="shared" si="70"/>
        <v/>
      </c>
      <c r="AD44" s="16">
        <f>IFERROR(INDEX(Onshore_wind_data!$I$5:'Onshore_wind_data'!$I$221,MATCH(A44,Onshore_wind_data!$B$5:'Onshore_wind_data'!$B$221,0)),"")</f>
        <v>0</v>
      </c>
      <c r="AE44" s="148"/>
      <c r="AF44" s="16" t="str">
        <f>INDEX(Offshore_wind_data!$AA$7:$AA$192,MATCH(Country_details!A44,Offshore_wind_data!$A$7:$A$192,0))</f>
        <v/>
      </c>
      <c r="AG44" s="16" t="str">
        <f>INDEX(Offshore_wind_data!$Y$7:$Y$192,MATCH(Country_details!A44,Offshore_wind_data!$A$7:$A$192,0))</f>
        <v/>
      </c>
      <c r="AH44" s="16" t="str">
        <f>INDEX(Offshore_wind_data!$Z$7:$Z$192,MATCH(Country_details!A44,Offshore_wind_data!$A$7:$A$192,0))</f>
        <v/>
      </c>
      <c r="AI44" s="24" t="str">
        <f t="shared" si="71"/>
        <v/>
      </c>
      <c r="AJ44" s="24" t="str">
        <f t="shared" si="72"/>
        <v/>
      </c>
      <c r="AK44" s="24" t="str">
        <f t="shared" si="73"/>
        <v/>
      </c>
      <c r="AL44" s="16">
        <f>INDEX(Offshore_wind_data!$W$7:$W$191,MATCH(A44,Offshore_wind_data!$A$7:$A$191,0))</f>
        <v>0</v>
      </c>
      <c r="AM44" s="148"/>
      <c r="AN44" s="12">
        <v>1</v>
      </c>
      <c r="AO44" s="12">
        <v>1.3</v>
      </c>
      <c r="AP44" s="34"/>
      <c r="AQ44" s="15">
        <f t="shared" si="74"/>
        <v>50</v>
      </c>
      <c r="AR44" s="12">
        <f t="shared" si="34"/>
        <v>65</v>
      </c>
      <c r="AS44" s="16">
        <f t="shared" si="35"/>
        <v>114.60295179975122</v>
      </c>
      <c r="AT44" s="12"/>
      <c r="AU44" s="24">
        <f t="shared" si="75"/>
        <v>2.1125705914566999</v>
      </c>
      <c r="AV44" s="16">
        <f t="shared" si="76"/>
        <v>2278.0523670278603</v>
      </c>
      <c r="AW44" s="149">
        <f>HV_DC_Grid!$E$3/(1-AX44)*AU44/100*1000</f>
        <v>2393.7341014942758</v>
      </c>
      <c r="AX44" s="31">
        <f>(1-(1-HV_DC_Grid!$E$25)^(B44*C44*HV_DC_Grid!$E$8/1000))+(1-(1-HV_DC_Grid!$E$26)^(B44*D44*HV_DC_Grid!$E$8/1000))+HV_DC_Grid!$E$35*HV_DC_Grid!$E$28</f>
        <v>0.11745812112634445</v>
      </c>
      <c r="AY44" s="28">
        <f>B44*nl_e_demand/IF(hv_dc_flh="electricity FLH",$AV44,hv_dc_custom)*1000*hv_dc_capacity_multiplier*hv_dc_length_multiplier*1000*(C44*hv_dc_overhead_invest*(hv_dc_overhead_opex+M44+1/hv_dc_lifetime)+D44*hv_dc_sea_invest*(hv_dc_sea_opex+M44+1/hv_dc_lifetime))/1000000+HV_DC_Grid!$E$10*1000*hv_dc_station_invest*hv_dc_station_number*(hv_dc_station_opex+M44+1/hv_dc_lifetime)/1000000</f>
        <v>6203.2688248701643</v>
      </c>
      <c r="AZ44" s="24">
        <f>(AW44+AY44)/(HV_DC_Grid!$E$3*1000)*100</f>
        <v>8.5970029263644392</v>
      </c>
      <c r="BA44" s="28">
        <f>MIN(((Carriers!$F$26+Carriers!$F$27)*(alk_el_opex+wacc_nl+1/alk_el_lifetime)+IF(hv_dc_flh="electricity FLH",$AV44,hv_dc_custom)*AZ44/100)/(IF(hv_dc_flh="electricity FLH",$AV44,hv_dc_custom)/alk_el_e_demand)*1000,((Carriers!$H$26+Carriers!$H$27)*(pem_el_opex+wacc_nl+1/pem_el_lifetime)+IF(hv_dc_flh="electricity FLH",$AV44,hv_dc_custom)*AZ44/100)/(IF(hv_dc_flh="electricity FLH",$AV44,hv_dc_custom)/pem_el_e_demand)*1000)</f>
        <v>4740.3268131405557</v>
      </c>
      <c r="BB44" s="12"/>
      <c r="BC44" s="12"/>
      <c r="BD44" s="149">
        <f>MIN(((Carriers!$F$26+Carriers!$F$27)*(alk_el_opex+M44+1/alk_el_lifetime)+$AV44*$AU44/100)/($AV44/alk_el_e_demand)*1000,((Carriers!$H$26+Carriers!$H$27)*(pem_el_opex+M44+1/pem_el_lifetime)+$AV44*$AU44/100)/($AV44/pem_el_e_demand)*1000)</f>
        <v>2581.8050077209741</v>
      </c>
      <c r="BE44" s="28">
        <f>Storage!$AC$50</f>
        <v>8.1664117557772418</v>
      </c>
      <c r="BF44" s="28">
        <f>((Pipeline!$D$22*Pipeline!$D$24*B44*(pipeline_opex+M44+1/pipeline_lifetime))*(Pipeline!$D$39/Pipeline!$D$3)+(Pipeline!$D$57*(pipeline_comp_opex+M44+1/pipeline_comp_lifetime)+Pipeline!$D$47*1000*Pipeline!$D$45*$AU44/100/1000000))*(Pipeline!$D$75/Pipeline!$D$45)</f>
        <v>12636.850822568476</v>
      </c>
      <c r="BG44" s="28">
        <f>BD44+(BE44+BF44)/Storage!$AC$12*1000000</f>
        <v>3511.5856867154043</v>
      </c>
      <c r="BH44" s="28"/>
      <c r="BI44" s="28"/>
      <c r="BJ44" s="28">
        <f>IF($E44="","No Port",BK44*HV_DC_Grid!$E$3*$AU44/100*1000)</f>
        <v>33.786550325704034</v>
      </c>
      <c r="BK44" s="31">
        <f>IFERROR((1-(1-HV_DC_Grid!$E$25)^(K44*HV_DC_Grid!$E$8/1000))+HV_DC_Grid!$E$35*HV_DC_Grid!$E$28,"")</f>
        <v>1.599309886369614E-2</v>
      </c>
      <c r="BL44" s="28">
        <f>IFERROR(K44*nl_e_demand/IF(hv_dc_flh="electricity FLH",$AV44,hv_dc_custom)*1000*hv_dc_capacity_multiplier*hv_dc_length_multiplier*1000*(hv_dc_overhead_invest*(hv_dc_overhead_opex+M44+1/hv_dc_lifetime))/1000000+HV_DC_Grid!$E$10*1000*hv_dc_station_invest*hv_dc_station_number*(hv_dc_station_opex+M44+1/hv_dc_lifetime)/1000000,"")</f>
        <v>513.5783814891347</v>
      </c>
      <c r="BM44" s="29">
        <f>IFERROR((BJ44+BL44)/(HV_DC_Grid!$E$3*1000)*100,"")</f>
        <v>0.54736493181483881</v>
      </c>
      <c r="BN44" s="28">
        <f>IFERROR(((Pipeline!$D$22*Pipeline!$D$24*K44*(pipeline_opex+M44+1/pipeline_lifetime))*(Pipeline!$D$39/Pipeline!$D$3)+(Pipeline!$D$57*(pipeline_comp_opex+M44+1/pipeline_comp_lifetime)+Pipeline!$D$47*1000*Pipeline!$D$45*S44/100/1000000))*(Pipeline!$D$75/Pipeline!$D$45),"")</f>
        <v>303.92947824083086</v>
      </c>
      <c r="BO44" s="28"/>
      <c r="BP44" s="150">
        <f t="shared" si="77"/>
        <v>111.26272506041379</v>
      </c>
      <c r="BQ44" s="34">
        <f t="shared" si="78"/>
        <v>33.490017342945485</v>
      </c>
      <c r="BR44" s="151">
        <f>(nh3_invest*(M44+1/nh3_lifetime)/nh3_prod+nh3_opex+nh3_e_demand*1000*$AU44/100+Carriers!$N$18/Carriers!$N$23*BD44+Carriers!$N$19/Carriers!$N$23*BQ44)*(BT44+nh3_st_ab_losses)/1000000</f>
        <v>47479.129568863726</v>
      </c>
      <c r="BS44" s="63">
        <f>nh3_st_nl_cost*nh3_st_nl_demand/1000000+(nh3_st_invest*(M44+1/nh3_st_lifetime+nh3_st_opex)/(Storage!$G$63/1000000)+nh3_st_e_demand*1000*$AU44/100)*(BT44+nh3_st_ab_losses)/1000000+Carriers!$N$18/Carriers!$N$23*((BT44+nh3_st_ab_losses)/365.25*short_st_duration_hrs/24)*(h2_short_st_invest*(1/gh2_short_st_lifetime+$M44+h2_short_st_opex)+h2_short_st_e_demand*1000*$AU44/100)/1000000+Carriers!$N$19/Carriers!$N$23*((BT44+nh3_st_ab_losses)/365.25*short_st_duration_hrs/24)*(n2_short_st_invest*(1/n2_short_st_lifetime+$M44+n2_short_st_opex)+n2_short_st_e_demand*1000*$AU44/100)/1000000</f>
        <v>3449.4787081482013</v>
      </c>
      <c r="BT44" s="63">
        <f>Storage!$G$57/((1-Shipping!$H$37)^(F44/24/Shipping!$H$44+0.5*Shipping!$H$59))</f>
        <v>79149705.873443559</v>
      </c>
      <c r="BU44" s="63">
        <f>IF($E44="","No Port",((F44/24/Shipping!$H$44+F44/24/Shipping!$H$50+Shipping!$H$59+Shipping!$H$64)*(Shipping!$H$22+wacc_nl*Shipping!$H$19/365.25*1000000+Shipping!$H$35)+(F44/24/Shipping!$H$44*Shipping!$H$45+Shipping!$H$64*Shipping!$H$65)*IF(bunker_choice="HFO",H44,IF(bunker_choice="hydrogen",BD44*hfo_e_density_lhv/h2_e_density_lhv,(BR44+BS44)*1000000/BT44*hfo_e_density_lhv/nh3_e_density_lhv))+(F44/24/Shipping!$H$50*Shipping!$H$51+Shipping!$H$59*Shipping!$H$60)*IF(bunker_choice="HFO",bunker_price_ROT,IF(bunker_choice="hydrogen",BD44*hfo_e_density_lhv/h2_e_density_lhv,(BR44+BS44)*1000000/BT44*hfo_e_density_lhv/nh3_e_density_lhv))+Shipping!$H$73+IF(G44="Panama",Shipping!$H$55,0)+IF(G44="Suez",Shipping!$H$56,0))/Shipping!$H$31*BT44/1000000+IF(inland_transport_to_port="hv dc grid",$BM44/100*1000*BW44,IF(inland_transport_to_port="pipeline",$BN44,0)))</f>
        <v>3818.5904485266528</v>
      </c>
      <c r="BV44" s="63">
        <f t="shared" si="91"/>
        <v>54747.198725538576</v>
      </c>
      <c r="BW44" s="33">
        <f>((Carriers!$N$18/Carriers!$N$23*alk_el_e_demand)+(Carriers!$N$19/Carriers!$N$23*n2_e_demand)+nh3_e_demand)*(BT44+nh3_st_ab_losses)/1000000+nh3_st_e_demand*BT44/1000000</f>
        <v>781.62244081767176</v>
      </c>
      <c r="BX44" s="33">
        <f t="shared" si="79"/>
        <v>0.76626754477640768</v>
      </c>
      <c r="BY44" s="63">
        <f>IFERROR(BV44*1000000/Storage!$G$12,"")</f>
        <v>715.06112886490973</v>
      </c>
      <c r="BZ44" s="63">
        <f>H2_retrieval!$F$25*h2_demand_kt/1000</f>
        <v>80</v>
      </c>
      <c r="CA44" s="63">
        <f>IFERROR(BY44*(1+H2_retrieval!$F$34)/Carrier_properties!$E$7+H2_retrieval!$F$38,"")</f>
        <v>4434.7552976980423</v>
      </c>
      <c r="CB44" s="149">
        <f>(FA_invest*(M44+1/FA_lifetime)/FA_prod+FA_opex+FA_e_demand*1000*$AU44/100+Carriers!$P$18/Carriers!$P$23*BD44+Carriers!$P$20/Carriers!$P$23*co2_liq_cost)*(CF44+FA_st_ab_losses)/1000000</f>
        <v>93848.738916944552</v>
      </c>
      <c r="CC44" s="86">
        <f>(FA_invest*(M44+1/FA_lifetime)/FA_prod+FA_opex+FA_e_demand*1000*$AU44/100+Carriers!$P$18/Carriers!$P$23*BD44+Carriers!$P$20/Carriers!$P$23*BP44)*(CF44+FA_st_ab_losses)/1000000</f>
        <v>120649.97786559589</v>
      </c>
      <c r="CD44" s="63">
        <f>FA_st_nl_cost*FA_st_nl_demand/1000000+(FA_st_invest*(M44+1/FA_st_lifetime+FA_st_opex)/(Storage!$I$63/1000000)+FA_st_e_demand*1000*$AU44/100)*(CF44+FA_st_ab_losses)/1000000+co2_st_nl_cost*Storage!$I$12*co2_density/FA_density/1000000+(co2_st_opex_lev+co2_st_invest_lev+co2_st_e_demand*1000*$AU44/100)*Storage!$I$12/1000000+co2_st_invest_lev*Storage!$I$12*co2_st_lifetime*M44/1000000+Carriers!$P$18/Carriers!$P$23*((CF44+FA_st_ab_losses)/365.25*short_st_duration_hrs/24)*(h2_short_st_invest*(1/gh2_short_st_lifetime+$M44+h2_short_st_opex)+h2_short_st_e_demand*1000*$AU44/100)/1000000+Carriers!$P$20/Carriers!$P$23*((CF44+FA_st_ab_losses)/365.25*short_st_duration_hrs/24)*(co2_short_st_invest*(1/co2_short_st_lifetime+$M44+co2_short_st_opex)+co2_short_st_e_demand*1000*$AU44/100)/1000000</f>
        <v>11641.418434894171</v>
      </c>
      <c r="CE44" s="63">
        <f>FA_st_nl_cost*FA_st_nl_demand/1000000+(FA_st_invest*(M44+1/FA_st_lifetime+FA_st_opex)/(Storage!$I$63/1000000)+FA_st_e_demand*1000*$AU44/100)*(CF44+FA_st_ab_losses)/1000000+Carriers!$P$18/Carriers!$P$23*((CF44+FA_st_ab_losses)/365.25*short_st_duration_hrs/24)*(h2_short_st_invest*(1/gh2_short_st_lifetime+$M44+h2_short_st_opex)+h2_short_st_e_demand*1000*$AU44/100)/1000000+Carriers!$P$20/Carriers!$P$23*((CF44+FA_st_ab_losses)/365.25*short_st_duration_hrs/24)*(co2_short_st_invest*(1/co2_short_st_lifetime+$M44+co2_short_st_opex)+co2_short_st_e_demand*1000*$AU44/100)/1000000</f>
        <v>5113.4405838700941</v>
      </c>
      <c r="CF44" s="63">
        <f>Storage!$I$57/((1-Shipping!$J$37)^($F44/24/Shipping!$J$44+0.5*Shipping!$J$59))</f>
        <v>310425396.82539684</v>
      </c>
      <c r="CG44" s="28">
        <f>IF($E44="","No Port",((F44/24/Shipping!$J$44+F44/24/Shipping!$J$50+Shipping!$J$59+Shipping!$J$64)*(Shipping!$J$22+wacc_nl*Shipping!$J$19/365.25*1000000+Shipping!$J$35)+(F44/24/Shipping!$J$44*Shipping!$J$45+Shipping!$J$64*Shipping!$J$65)*IF(bunker_choice="HFO",$H44,IF(bunker_choice="hydrogen",$BD44*hfo_e_density_lhv/h2_e_density_lhv,(CB44+CD44)*1000000/CF44*hfo_e_density_lhv/FA_e_density_lhv))+(F44/24/Shipping!$J$50*Shipping!$J$51+Shipping!$J$59*Shipping!$J$60)*IF(bunker_choice="HFO",bunker_price_ROT,IF(bunker_choice="hydrogen",$BD44*hfo_e_density_lhv/h2_e_density_lhv,(CB44+CD44)*1000000/CF44*hfo_e_density_lhv/FA_e_density_lhv))+Shipping!$J$73+IF(G44="Panama",Shipping!$J$55,0)+IF(G44="Suez",Shipping!$J$56,0))/Shipping!$J$31*CF44/1000000+IF(inland_transport_to_port="hv dc grid",$BM44/100*1000*CI44,IF(inland_transport_to_port="pipeline",$BN44,0)))</f>
        <v>15455.004242861325</v>
      </c>
      <c r="CH44" s="28">
        <f t="shared" si="36"/>
        <v>141218.42269232732</v>
      </c>
      <c r="CI44" s="29">
        <f>((Carriers!$P$18/Carriers!$P$23*alk_el_e_demand)+FA_e_demand)*(CF44+FA_st_ab_losses)/1000000+FA_st_e_demand*CF44/1000000</f>
        <v>1897.8881241622576</v>
      </c>
      <c r="CJ44" s="29">
        <f t="shared" si="80"/>
        <v>0.46563809523809524</v>
      </c>
      <c r="CK44" s="28">
        <f>IFERROR(CH44*1000000/Storage!$I$12,"")</f>
        <v>454.91903734847324</v>
      </c>
      <c r="CL44" s="28">
        <f>IF($E44="","No Port",((F44/24/Shipping!$J$44+F44/24/Shipping!$J$50+Shipping!$J$59+Shipping!$J$64)*Carriers!$P$39*wacc_nl))</f>
        <v>237.50748488193227</v>
      </c>
      <c r="CM44" s="29">
        <f>H2_retrieval!$H$25*h2_demand_kt/1000+(co2_liq_e_demand+co2_st_e_demand*2)*Storage!$I$12*co2_density/FA_density/1000000</f>
        <v>94.204253879484654</v>
      </c>
      <c r="CN44" s="28">
        <f>IFERROR((((CB44+CD44+CG44)*(1+H2_retrieval!$H$34)+CL44)*1000000/H2_retrieval!$H$8)+h2_regen_fa,"")</f>
        <v>9000.1777412656302</v>
      </c>
      <c r="CO44" s="149">
        <f>(meoh_invest*(M44+1/meoh_lifetime)/meoh_prod+meoh_opex+meoh_e_demand*1000*$AU44/100+Carriers!$R$18/Carriers!$R$23*BD44+Carriers!$R$20/Carriers!$R$23*co2_liq_cost)*(CS44+meoh_st_ab_losses)/1000000</f>
        <v>56707.180709485699</v>
      </c>
      <c r="CP44" s="86">
        <f>(meoh_invest*(M44+1/meoh_lifetime)/meoh_prod+meoh_opex+meoh_e_demand*1000*$AU44/100+Carriers!$R$18/Carriers!$R$23*BD44+Carriers!$R$20/Carriers!$R$23*BP44)*(CS44+meoh_st_ab_losses)/1000000</f>
        <v>72440.335375809009</v>
      </c>
      <c r="CQ44" s="63">
        <f>meoh_st_nl_cost*meoh_st_nl_demand/1000000+(meoh_st_invest*(M44+1/meoh_st_lifetime+meoh_st_opex)/(Storage!$K$63/1000000)+meoh_st_e_demand*1000*$AU44/100)*(CS44+meoh_st_ab_losses)/1000000+co2_st_nl_cost*Storage!$K$12*co2_density/meoh_density/1000000+(co2_st_opex_lev+co2_st_invest_lev+co2_st_e_demand*1000*IFERROR(MIN(S44,AA44,AI44),S44)/100)*Storage!$K$12/1000000+co2_st_invest_lev*Storage!$K$12*co2_st_lifetime*M44/1000000+Carriers!$R$18/Carriers!$R$23*((CS44+meoh_st_ab_losses)/365.25*short_st_duration_hrs/24)*(h2_short_st_invest*(1/gh2_short_st_lifetime+$M44+h2_short_st_opex)+h2_short_st_e_demand*1000*$AU44/100)/1000000+Carriers!$R$20/Carriers!$R$23*((CF44+meoh_st_ab_losses)/365.25*short_st_duration_hrs/24)*(co2_short_st_invest*(1/co2_short_st_lifetime+$M44+co2_short_st_opex)+co2_short_st_e_demand*1000*$AU44/100)/1000000</f>
        <v>4887.4245062642594</v>
      </c>
      <c r="CR44" s="63">
        <f>meoh_st_nl_cost*meoh_st_nl_demand/1000000+(meoh_st_invest*(M44+1/meoh_st_lifetime+meoh_st_opex)/(Storage!$K$63/1000000)+meoh_st_e_demand*1000*$AU44/100)*(CS44+meoh_st_ab_losses)/1000000+Carriers!$R$18/Carriers!$R$23*((CS44+meoh_st_ab_losses)/365.25*short_st_duration_hrs/24)*(h2_short_st_invest*(1/gh2_short_st_lifetime+$M44+h2_short_st_opex)+h2_short_st_e_demand*1000*$AU44/100)/1000000+Carriers!$R$20/Carriers!$R$23*((CF44+meoh_st_ab_losses)/365.25*short_st_duration_hrs/24)*(co2_short_st_invest*(1/co2_short_st_lifetime+$M44+co2_short_st_opex)+co2_short_st_e_demand*1000*$AU44/100)/1000000</f>
        <v>2016.3457647363966</v>
      </c>
      <c r="CS44" s="63">
        <f>Storage!$K$57/((1-Shipping!$L$37)^($F44/24/Shipping!$L$44+0.5*Shipping!$L$59))</f>
        <v>108044444.44444443</v>
      </c>
      <c r="CT44" s="28">
        <f>IF($E44="","No Port",IF(AND(ship_choice="VLCC",G44="Panama"),"Ship cannot pass through Panama",IF(ship_choice="VLCC",((F44/24/Shipping!$AD$44+F44/24/Shipping!$AD$50+Shipping!$AD$59+Shipping!$AD$64)*(Shipping!$AD$22+wacc_nl*Shipping!$AD$19/365.25*1000000+Shipping!$AD$35)+(F44/24/Shipping!$AD$44*Shipping!$AD$45+Shipping!$AD$64*Shipping!$AD$65)*IF(bunker_choice="HFO",$H44,IF(bunker_choice="hydrogen",$BD44*hfo_e_density_lhv/h2_e_density_lhv,(CO44+CQ44)*1000000/CS44*hfo_e_density_lhv/meoh_e_density_lhv))+(F44/24/Shipping!$AD$50*Shipping!$AD$51+Shipping!$AD$59*Shipping!$AD$60)*IF(bunker_choice="HFO",bunker_price_ROT,IF(bunker_choice="hydrogen",$BD44*hfo_e_density_lhv/h2_e_density_lhv,(CO44+CQ44)*1000000/CS44*hfo_e_density_lhv/meoh_e_density_lhv))+Shipping!$AD$73+IF(G44="Panama",Shipping!$AD$55,0)+IF(G44="Suez",Shipping!$AD$56,0))/Shipping!$AD$31*CS44/1000000+IF(inland_transport_to_port="hv dc grid",$BM44/100*1000*CV44,IF(inland_transport_to_port="pipeline",$BN44,0)),((F44/24/Shipping!$L$44+F44/24/Shipping!$L$50+Shipping!$L$59+Shipping!$L$64)*(Shipping!$L$22+wacc_nl*Shipping!$L$19/365.25*1000000+Shipping!$L$35)+(F44/24/Shipping!$L$44*Shipping!$L$45+Shipping!$L$64*Shipping!$L$65)*IF(bunker_choice="HFO",$H44,IF(bunker_choice="hydrogen",$BD44*hfo_e_density_lhv/h2_e_density_lhv,(CO44+CQ44)*1000000/CS44*hfo_e_density_lhv/meoh_e_density_lhv))+(F44/24/Shipping!$L$50*Shipping!$L$51+Shipping!$L$59*Shipping!$L$60)*IF(bunker_choice="HFO",bunker_price_ROT,IF(bunker_choice="hydrogen",$BD44*hfo_e_density_lhv/h2_e_density_lhv,(CO44+CQ44)*1000000/CS44*hfo_e_density_lhv/meoh_e_density_lhv))+Shipping!$L$73+IF(G44="Panama",Shipping!$L$55,0)+IF(G44="Suez",Shipping!$L$56,0))/Shipping!$L$31*CS44/1000000+IF(inland_transport_to_port="hv dc grid",$BM44/100*1000*CV44,IF(inland_transport_to_port="pipeline",$BN44,0)))))</f>
        <v>5358.4572546128184</v>
      </c>
      <c r="CU44" s="28">
        <f t="shared" si="37"/>
        <v>79815.138395158225</v>
      </c>
      <c r="CV44" s="29">
        <f>((Carriers!$R$18/Carriers!$R$23*alk_el_e_demand)+meoh_e_demand)*(CS44+meoh_st_ab_losses)/1000000+meoh_st_e_demand*CS44/1000000</f>
        <v>1119.9789871111109</v>
      </c>
      <c r="CW44" s="29">
        <f t="shared" si="81"/>
        <v>0.16206666666666666</v>
      </c>
      <c r="CX44" s="28">
        <f>IFERROR(CU44*1000000/Storage!$K$12,"")</f>
        <v>738.72505713330327</v>
      </c>
      <c r="CY44" s="28">
        <f>IF($E44="","No Port",((F44/24/Shipping!$L$44+F44/24/Shipping!$L$50+Shipping!$L$59+Shipping!$L$64)*Carriers!$R$39*wacc_nl))</f>
        <v>84.978502416034345</v>
      </c>
      <c r="CZ44" s="29">
        <f>H2_retrieval!$J$25*h2_demand_kt/1000+(co2_liq_e_demand+co2_st_e_demand*2)*Storage!$K$12*co2_density/meoh_density/1000000</f>
        <v>251.05079059698966</v>
      </c>
      <c r="DA44" s="28">
        <f>IFERROR((((CO44+CQ44+CT44)*(1+H2_retrieval!$J$34)+CY44)*1000000/H2_retrieval!$J$8)+h2_regen_meoh,"")</f>
        <v>6099.3962617827938</v>
      </c>
      <c r="DB44" s="149">
        <f>(DBT_invest*(M44+1/DBT_lifetime)/DBT_prod+DBT_opex+DBT_e_demand*1000*$AU44/100+Carriers!$T$18/Carriers!$T$23*BD44)*(DD44+DBT_st_ab_losses)/1000000</f>
        <v>38362.027955033074</v>
      </c>
      <c r="DC44" s="28">
        <f>2*(DBT_st_nl_cost*DBT_st_nl_demand/1000000+(DBT_st_invest*(M44+1/DBT_st_lifetime+DBT_st_opex)/(Storage!$M$63/1000000)+DBT_st_e_demand*1000*$AU44/100)*(DD44+DBT_st_ab_losses)/1000000)+Carriers!$T$18/Carriers!$T$23*((DD44+DBT_st_ab_losses)/365.25*short_st_duration_hrs/24)*(h2_short_st_invest*(1/gh2_short_st_lifetime+$M44+h2_short_st_opex)+h2_short_st_e_demand*1000*$AU44/100)/1000000</f>
        <v>4157.1687755892572</v>
      </c>
      <c r="DD44" s="63">
        <f>Storage!$M$57/((1-Shipping!$N$37)^($F44/24/Shipping!$N$44+0.5*Shipping!$N$59))</f>
        <v>219354838.70967743</v>
      </c>
      <c r="DE44" s="28">
        <f>IF($E44="","No Port",IF(AND(ship_choice="VLCC",G44="Panama"),"Ship cannot pass through Panama",IF(ship_choice="VLCC",((F44/24/Shipping!$AD$44+F44/24/Shipping!$AD$50+Shipping!$AD$59+Shipping!$AD$64)*(Shipping!$AD$22+wacc_nl*Shipping!$AD$19/365.25*1000000+Shipping!$AD$35)+(F44/24/Shipping!$AD$44*Shipping!$AD$45+Shipping!$AD$64*Shipping!$AD$65)*IF(bunker_choice="HFO",$H44,IF(bunker_choice="hydrogen",$BD44*hfo_e_density_lhv/h2_e_density_lhv,(DB44+DC44)*1000000/DD44*hfo_e_density_lhv/DBT_e_density_lhv))+(F44/24/Shipping!$AD$50*Shipping!$AD$51+Shipping!$AD$59*Shipping!$AD$60)*IF(bunker_choice="HFO",bunker_price_ROT,IF(bunker_choice="hydrogen",$BD44*hfo_e_density_lhv/h2_e_density_lhv,(DB44+DC44)*1000000/DD44*hfo_e_density_lhv/DBT_e_density_lhv))+Shipping!$AD$73+IF(G44="Panama",Shipping!$AD$55,0)+IF(G44="Suez",Shipping!$AD$56,0))/Shipping!$AD$31*DD44/1000000+IF(inland_transport_to_port="hv dc grid",$BM44/100*1000*DG44,IF(inland_transport_to_port="pipeline",$BN44,0)),((F44/24/Shipping!$N$44+F44/24/Shipping!$N$50+Shipping!$N$59+Shipping!$N$64)*(Shipping!$N$22+wacc_nl*Shipping!$N$19/365.25*1000000+Shipping!$N$35)+(F44/24/Shipping!$N$44*Shipping!$N$45+Shipping!$N$64*Shipping!$N$65)*IF(bunker_choice="HFO",$H44,IF(bunker_choice="hydrogen",$BD44*hfo_e_density_lhv/h2_e_density_lhv,(DB44+DC44)*1000000/DD44*hfo_e_density_lhv/DBT_e_density_lhv))+(F44/24/Shipping!$N$50*Shipping!$N$51+Shipping!$N$59*Shipping!$N$60)*IF(bunker_choice="HFO",bunker_price_ROT,IF(bunker_choice="hydrogen",$BD44*hfo_e_density_lhv/h2_e_density_lhv,(DB44+DC44)*1000000/DD44*hfo_e_density_lhv/DBT_e_density_lhv))+Shipping!$N$73+IF(G44="Panama",Shipping!$N$55,0)+IF(G44="Suez",Shipping!$N$56,0))/Shipping!$N$31*Shipping!$N$86/1000000+IF(inland_transport_to_port="hv dc grid",$BM44/100*1000*DG44,IF(inland_transport_to_port="pipeline",$BN44,0)))))</f>
        <v>9797.5083983045552</v>
      </c>
      <c r="DF44" s="28">
        <f t="shared" si="82"/>
        <v>52316.705128926886</v>
      </c>
      <c r="DG44" s="29">
        <f>((Carriers!$T$18/Carriers!$T$23*alk_el_e_demand)+DBT_e_demand)*(DD44+DBT_st_ab_losses)/1000000+DBT_st_e_demand*DD44/1000000</f>
        <v>703.88335483870969</v>
      </c>
      <c r="DH44" s="29">
        <f t="shared" si="83"/>
        <v>0.21935483870967742</v>
      </c>
      <c r="DI44" s="28">
        <f>IFERROR(DF44*1000000/Storage!$M$12,"")</f>
        <v>238.50262632304904</v>
      </c>
      <c r="DJ44" s="28">
        <f>IF($E44="","No Port",((F44/24/Shipping!$N$44+F44/24/Shipping!$N$50+Shipping!$N$59+Shipping!$N$64)*Carriers!$T$39*wacc_nl))</f>
        <v>6189.2635380938054</v>
      </c>
      <c r="DK44" s="100">
        <f>H2_retrieval!$L$25*h2_demand_kt/1000+(co2_liq_e_demand+co2_st_e_demand*2)*Storage!$M$12*co2_density/DBT_density/1000000</f>
        <v>206.61934861671787</v>
      </c>
      <c r="DL44" s="28">
        <f>IFERROR(((DF44*(1+H2_retrieval!$L$34)+DJ44)*1000000/H2_retrieval!$L$8)+h2_regen_lohc,"")</f>
        <v>4772.5592414491402</v>
      </c>
      <c r="DM44" s="149">
        <f t="shared" si="84"/>
        <v>46151.285041909279</v>
      </c>
      <c r="DN44" s="16">
        <f>2*(nabh4_st_nl_cost*nabh4_st_nl_demand/1000000+(nabh4_st_invest*(M44+1/nabh4_st_lifetime+nabh4_st_opex)/(Storage!$O$63/1000000)+nabh4_st_e_demand*1000*$AU44/100)*(DO44+nabh4_st_ab_losses)/1000000)+(h2_demand_kt*1000/365.25*short_st_duration_hrs/24)*(h2_short_st_invest*(1/gh2_short_st_lifetime+$M44+h2_short_st_opex)+h2_short_st_e_demand*1000*$AU44/100)/1000000</f>
        <v>1380.4912124907905</v>
      </c>
      <c r="DO44" s="63">
        <f>Storage!$O$57/((1-Shipping!$P$37)^($F44/24/Shipping!$P$44+0.5*Shipping!$P$59))</f>
        <v>63920000</v>
      </c>
      <c r="DP44" s="16">
        <f>IF($E44="","No Port",((F44/24/Shipping!$P$44+F44/24/Shipping!$P$50+Shipping!$P$59+Shipping!$P$64)*(Shipping!$P$22+wacc_nl*Shipping!$P$19/365.25*1000000+Shipping!$P$35)+(F44/24/Shipping!$P$44*Shipping!$P$45+Shipping!$P$64*Shipping!$P$65)*IF(bunker_choice="HFO",$H44,IF(bunker_choice="hydrogen",$BD44*hfo_e_density_lhv/h2_e_density_lhv,(DM44+DN44)*1000000/DO44*hfo_e_density_lhv/nabh4_e_density_lhv))+(F44/24/Shipping!$P$50*Shipping!$P$51+Shipping!$P$59*Shipping!$P$60)*IF(bunker_choice="HFO",bunker_price_ROT,IF(bunker_choice="hydrogen",$BD44*hfo_e_density_lhv/h2_e_density_lhv,(DM44+DN44)*1000000/DO44*hfo_e_density_lhv/nabh4_e_density_lhv))+Shipping!$P$73+IF(G44="Panama",Shipping!$P$55,0)+IF(G44="Suez",Shipping!$P$56,0))/Shipping!$P$31*(DO44+nabh4_st_ab_losses)/1000000+IF(inland_transport_to_port="hv dc grid",$BM44/100*1000*DR44,IF(inland_transport_to_port="pipeline",$BN44,0)))</f>
        <v>2557.2839715901596</v>
      </c>
      <c r="DQ44" s="28">
        <f t="shared" si="60"/>
        <v>50089.06022599023</v>
      </c>
      <c r="DR44" s="29">
        <f>((Carriers!$V$18/Carriers!$V$23*alk_el_e_demand)+nabh4_e_demand)*(DO44+nabh4_st_ab_losses)/1000000+nabh4_st_e_demand*DO44/1000000</f>
        <v>980.02139682539689</v>
      </c>
      <c r="DS44" s="28">
        <f t="shared" si="85"/>
        <v>3.1960000000000002</v>
      </c>
      <c r="DT44" s="28">
        <f>IFERROR(DQ44*1000000/Storage!$O$12,"")</f>
        <v>783.62109239659299</v>
      </c>
      <c r="DU44" s="28">
        <f>IF($E44="","No Port",((F44/24/Shipping!$P$44+F44/24/Shipping!$P$50+Shipping!$P$59+Shipping!$P$64)*Carriers!$V$39*wacc_nl))</f>
        <v>576.47233605554391</v>
      </c>
      <c r="DV44" s="100">
        <f>H2_retrieval!$N$25*h2_demand_kt/1000+(co2_liq_e_demand+co2_st_e_demand*2)*Storage!$O$12*co2_density/nabh4_density/1000000</f>
        <v>18.783638728971958</v>
      </c>
      <c r="DW44" s="28">
        <f>IFERROR(((DQ44*(1+H2_retrieval!$N$34)+DU44)*1000000/H2_retrieval!$N$8)+h2_regen_nabh4,"")</f>
        <v>3805.9413991686965</v>
      </c>
      <c r="DX44" s="149">
        <f>(Dme_invest*(M44+1/Dme_lifetime)/Dme_prod+Dme_opex+Dme_e_demand*1000*$AU44/100+Carriers!$X$21/Carriers!$X$23*(CO44*1000000/CS44))*(EB44+Dme_st_ab_losses)/1000000</f>
        <v>79922.949694763651</v>
      </c>
      <c r="DY44" s="86">
        <f>(Dme_invest*(M44+1/Dme_lifetime)/Dme_prod+Dme_opex+Dme_e_demand*1000*$AU44/100+Carriers!$X$21/Carriers!$X$23*(CP44*1000000/CS44))*(EB44+Dme_st_ab_losses)/1000000</f>
        <v>101267.55442520919</v>
      </c>
      <c r="DZ44" s="63">
        <f>Dme_st_nl_cost*Dme_st_nl_demand/1000000+(Dme_st_invest*(M44+1/Dme_st_lifetime+Dme_st_opex)/(Storage!$Q$63/1000000)+Dme_st_e_demand*1000*$AU44/100)*(EB44+Dme_st_ab_losses)/1000000+co2_st_nl_cost*Storage!$Q$12*co2_density/Dme_density/1000000+(co2_st_opex_lev+co2_st_invest_lev+co2_st_e_demand*1000*$AU44/100)*Storage!$Q$12/1000000+co2_st_invest_lev*Storage!$Q$12*co2_st_lifetime*M44/1000000+(h2_demand_kt*1000/365.25*short_st_duration_hrs/24)*(h2_short_st_invest*(1/gh2_short_st_lifetime+$M44+h2_short_st_opex)+h2_short_st_e_demand*1000*$AU44/100)/1000000</f>
        <v>5900.3088866355092</v>
      </c>
      <c r="EA44" s="63">
        <f>Dme_st_nl_cost*Dme_st_nl_demand/1000000+(Dme_st_invest*(M44+1/Dme_st_lifetime+Dme_st_opex)/(Storage!$Q$63/1000000)+Dme_st_e_demand*1000*$AU44/100)*(EB44+Dme_st_ab_losses)/1000000+(h2_demand_kt*1000/365.25*short_st_duration_hrs/24)*(h2_short_st_invest*(1/gh2_short_st_lifetime+$M44+h2_short_st_opex)+h2_short_st_e_demand*1000*$AU44/100)/1000000</f>
        <v>3021.8382222589744</v>
      </c>
      <c r="EB44" s="63">
        <f>Storage!$Q$57/((1-Shipping!$R$37)^($F44/24/Shipping!$R$44+0.5*Shipping!$R$59))</f>
        <v>103547089.94708996</v>
      </c>
      <c r="EC44" s="153">
        <f>IF($E44="","No Port",IF(AND(ship_choice="VLCC",G44="Panama"),"Ship cannot pass through Panama",IF(ship_choice="VLCC",((F44/24/Shipping!$AD$44+F44/24/Shipping!$AD$50+Shipping!$AD$59+Shipping!$AD$64)*(Shipping!$AD$22+wacc_nl*Shipping!$AD$19/365.25*1000000+Shipping!$AD$35)+(F44/24/Shipping!$AD$44*Shipping!$AD$45+Shipping!$AD$64*Shipping!$AD$65)*IF(bunker_choice="HFO",$H44,IF(bunker_choice="hydrogen",$BD44*hfo_e_density_lhv/h2_e_density_lhv,(DX44+DZ44)*1000000/EB44*hfo_e_density_lhv/Dme_e_density_lhv))+(F44/24/Shipping!$AD$50*Shipping!$AD$51+Shipping!$AD$59*Shipping!$AD$60)*IF(bunker_choice="HFO",bunker_price_ROT,IF(bunker_choice="hydrogen",$BD44*hfo_e_density_lhv/h2_e_density_lhv,(DX44+DZ44)*1000000/EB44*hfo_e_density_lhv/Dme_e_density_lhv))+Shipping!$AD$73+IF(G44="Panama",Shipping!$AD$55,0)+IF(G44="Suez",Shipping!$AD$56,0))/Shipping!$AD$31*(EB44+Dme_st_ab_losses)/1000000+IF(inland_transport_to_port="hv dc grid",$BM44/100*1000*EE44,IF(inland_transport_to_port="pipeline",$BN44,0)),((F44/24/Shipping!$R$44+F44/24/Shipping!$R$50+Shipping!$R$59+Shipping!$R$64)*(Shipping!$R$22+wacc_nl*Shipping!$R$19/365.25*1000000+Shipping!$R$35)+(F44/24/Shipping!$R$44*Shipping!$R$45+Shipping!$R$64*Shipping!$R$65)*IF(bunker_choice="HFO",$H44,IF(bunker_choice="hydrogen",$BD44*hfo_e_density_lhv/h2_e_density_lhv,(DX44+DZ44)*1000000/EB44*hfo_e_density_lhv/Dme_e_density_lhv))+(F44/24/Shipping!$R$50*Shipping!$R$51+Shipping!$R$59*Shipping!$R$60)*IF(bunker_choice="HFO",bunker_price_ROT,IF(bunker_choice="hydrogen",$BD44*hfo_e_density_lhv/h2_e_density_lhv,(DX44+DZ44)*1000000/EB44*hfo_e_density_lhv/Dme_e_density_lhv))+Shipping!$R$73+IF(G44="Panama",Shipping!$R$55,0)+IF(G44="Suez",Shipping!$R$56,0))/Shipping!$R$31*(EB44+Dme_st_ab_losses)/1000000+IF(inland_transport_to_port="hv dc grid",$BM44/100*1000*EE44,IF(inland_transport_to_port="pipeline",$BN44,0)))))</f>
        <v>5343.3652272855788</v>
      </c>
      <c r="ED44" s="28">
        <f t="shared" si="39"/>
        <v>109632.75787475375</v>
      </c>
      <c r="EE44" s="29">
        <f>(Dme_e_demand)*(EB44+Dme_st_ab_losses)/1000000+Dme_st_e_demand*DZ44/1000000+$CV44*(Carriers!$X$21/Carriers!$X$23*EB44)/$CS44</f>
        <v>1550.2168191701446</v>
      </c>
      <c r="EF44" s="29">
        <f t="shared" si="86"/>
        <v>1.0354708994708997</v>
      </c>
      <c r="EG44" s="28">
        <f>IFERROR(ED44*1000000/Storage!$Q$12,"")</f>
        <v>1058.7719841356568</v>
      </c>
      <c r="EH44" s="28">
        <f>IF($E44="","No Port",((F44/24/Shipping!$R$44+F44/24/Shipping!$R$50+Shipping!$R$59+Shipping!$R$64)*Carriers!$X$39*wacc_nl))</f>
        <v>88.062470230449051</v>
      </c>
      <c r="EI44" s="100">
        <f>H2_retrieval!$P$25*h2_demand_kt/1000+(co2_liq_e_demand+co2_st_e_demand*2)*Storage!$Q$12*co2_density/Dme_density/1000000</f>
        <v>252.45335899349112</v>
      </c>
      <c r="EJ44" s="28">
        <f>IFERROR((((DX44+DZ44+EC44)*(1+H2_retrieval!$P$34)+EH44)*1000000/H2_retrieval!$P$8)+h2_regen_dme,"")</f>
        <v>7880.0319460575274</v>
      </c>
      <c r="EK44" s="149">
        <f>(ome_invest*(M44+1/ome_lifetime)/ome_prod+ome_opex+ome_e_demand*1000*$AU44/100+Carriers!$Z$21/Carriers!$Z$23*(CO44*1000000/CS44))*(EO44+ome_st_ab_losses)/1000000</f>
        <v>174110.96241573716</v>
      </c>
      <c r="EL44" s="86">
        <f>(ome_invest*(M44+1/ome_lifetime)/ome_prod+ome_opex+ome_e_demand*1000*$AU44/100+Carriers!$Z$21/Carriers!$Z$23*(CP44*1000000/CS44))*(EO44+ome_st_ab_losses)/1000000</f>
        <v>218917.44275044525</v>
      </c>
      <c r="EM44" s="63">
        <f>ome_st_nl_cost*ome_st_nl_demand/1000000+(ome_st_invest*(M44+1/ome_st_lifetime+ome_st_opex)/(Storage!$S$63/1000000)+ome_st_e_demand*1000*$AU44/100)*(EO44+ome_st_ab_losses)/1000000+co2_st_nl_cost*Storage!$S$12*co2_density/ome_density/1000000+(co2_st_opex_lev+co2_st_invest_lev+co2_st_e_demand*1000*$AU44/100)*Storage!$S$12/1000000+co2_st_invest_lev*Storage!$S$12*co2_st_lifetime*M44/1000000+(h2_demand_kt*1000/365.25*short_st_duration_hrs/24)*(h2_short_st_invest*(1/gh2_short_st_lifetime+$M44+h2_short_st_opex)+h2_short_st_e_demand*1000*$AU44/100)/1000000</f>
        <v>5044.194376738199</v>
      </c>
      <c r="EN44" s="63">
        <f>ome_st_nl_cost*ome_st_nl_demand/1000000+(ome_st_invest*(M44+1/ome_st_lifetime+ome_st_opex)/(Storage!$S$63/1000000)+ome_st_e_demand*1000*$AU44/100)*(EO44+ome_st_ab_losses)/1000000+(h2_demand_kt*1000/365.25*short_st_duration_hrs/24)*(h2_short_st_invest*(1/gh2_short_st_lifetime+$M44+h2_short_st_opex)+h2_short_st_e_demand*1000*$AU44/100)/1000000</f>
        <v>1817.0791176135463</v>
      </c>
      <c r="EO44" s="63">
        <f>Storage!$S$57/((1-Shipping!$T$37)^($F44/24/Shipping!$T$44+0.5*Shipping!$T$59))</f>
        <v>128282539.68253967</v>
      </c>
      <c r="EP44" s="28">
        <f>IF($E44="","No Port",IF(AND(ship_choice="VLCC",G44="Panama"),"Ship cannot pass through Panama",IF(ship_choice="VLCC",((F44/24/Shipping!$AD$44+F44/24/Shipping!$AD$50+Shipping!$AD$59+Shipping!$AD$64)*(Shipping!$AD$22+wacc_nl*Shipping!$AD$19/365.25*1000000+Shipping!$AD$35)+(F44/24/Shipping!$AD$44*Shipping!$AD$45+Shipping!$AD$64*Shipping!$AD$65)*IF(bunker_choice="HFO",$H44,IF(bunker_choice="hydrogen",$BD44*hfo_e_density_lhv/h2_e_density_lhv,(EK44+EM44)*1000000/EO44*hfo_e_density_lhv/Dme_e_density_lhv))+(F44/24/Shipping!$AD$50*Shipping!$AD$51+Shipping!$AD$59*Shipping!$AD$60)*IF(bunker_choice="HFO",bunker_price_ROT,IF(bunker_choice="hydrogen",$BD44*hfo_e_density_lhv/h2_e_density_lhv,(EK44+EM44)*1000000/EO44*hfo_e_density_lhv/ome_e_density_lhv))+Shipping!$AD$73+IF(G44="Panama",Shipping!$AD$55,0)+IF(G44="Suez",Shipping!$AD$56,0))/Shipping!$AD$31*(EO44+ome_st_ab_losses)/1000000+IF(inland_transport_to_port="hv dc grid",$BM44/100*1000*ER44,IF(inland_transport_to_port="pipeline",$BN44,0)),((F44/24/Shipping!$T$44+F44/24/Shipping!$T$50+Shipping!$T$59+Shipping!$T$64)*(Shipping!$T$22+wacc_nl*Shipping!$T$19/365.25*1000000+Shipping!$T$35)+(F44/24/Shipping!$T$44*Shipping!$T$45+Shipping!$T$64*Shipping!$T$65)*IF(bunker_choice="HFO",$H44,IF(bunker_choice="hydrogen",$BD44*hfo_e_density_lhv/h2_e_density_lhv,(EK44+EM44)*1000000/EO44*hfo_e_density_lhv/Dme_e_density_lhv))+(F44/24/Shipping!$T$50*Shipping!$T$51+Shipping!$T$59*Shipping!$T$60)*IF(bunker_choice="HFO",bunker_price_ROT,IF(bunker_choice="hydrogen",$BD44*hfo_e_density_lhv/h2_e_density_lhv,(EK44+EM44)*1000000/EO44*hfo_e_density_lhv/ome_e_density_lhv))+Shipping!$T$73+IF(G44="Panama",Shipping!$T$55,0)+IF(G44="Suez",Shipping!$T$56,0))/Shipping!$T$31*(EO44+ome_st_ab_losses)/1000000+IF(inland_transport_to_port="hv dc grid",$BM44/100*1000*ER44,IF(inland_transport_to_port="pipeline",$BN44,0)))))</f>
        <v>5948.5201220225472</v>
      </c>
      <c r="EQ44" s="28">
        <f t="shared" si="40"/>
        <v>226683.04199008134</v>
      </c>
      <c r="ER44" s="29">
        <f>(ome_e_demand)*(EO44+ome_st_ab_losses)/1000000+ome_st_e_demand*EM44/1000000+$CV44*(Carriers!$Z$21/Carriers!$Z$23*EO44)/$CS44</f>
        <v>3352.0814577070751</v>
      </c>
      <c r="ES44" s="29">
        <f t="shared" si="87"/>
        <v>0.1924238095238095</v>
      </c>
      <c r="ET44" s="28">
        <f>IFERROR(EQ44*1000000/Storage!$S$12,"")</f>
        <v>1767.0607594069545</v>
      </c>
      <c r="EU44" s="28">
        <f>IF($E44="","No Port",((F44/24/Shipping!$T$44+F44/24/Shipping!$T$50+Shipping!$T$59+Shipping!$T$64)*Carriers!$Z$39*wacc_nl))</f>
        <v>100.89605406738943</v>
      </c>
      <c r="EV44" s="100">
        <f>H2_retrieval!$R$25*h2_demand_kt/1000+(co2_liq_e_demand+co2_st_e_demand*2)*Storage!$S$12*co2_density/ome_density/1000000</f>
        <v>254.51942895252085</v>
      </c>
      <c r="EW44" s="28">
        <f>IFERROR((((EK44+EM44+EP44)*(1+H2_retrieval!$R$34)+EU44)*1000000/H2_retrieval!$R$8)+h2_regen_ome,"")</f>
        <v>14788.111849708268</v>
      </c>
      <c r="EX44" s="149">
        <f>(sng_invest*(M44+1/sng_lifetime)/sng_prod+lng_invest*(M44+1/lng_lifetime)/lng_prod+sng_opex+lng_opex+(sng_e_demand+lng_e_demand)*1000*$AU44/100+Carriers!$AB$18/Carriers!$AB$23*BD44+Carriers!$AB$20/Carriers!$AB$23*co2_liq_cost)*(FB44+lng_st_ab_losses)/1000000</f>
        <v>62351.125561073946</v>
      </c>
      <c r="EY44" s="86">
        <f>(sng_invest*(M44+1/sng_lifetime)/sng_prod+lng_invest*(M44+1/lng_lifetime)/lng_prod+sng_opex+lng_opex+(sng_e_demand+lng_e_demand)*1000*$AU44/100+Carriers!$AB$18/Carriers!$AB$23*BD44+Carriers!$AB$20/Carriers!$AB$23*BP44)*(FB44+lng_st_ab_losses)/1000000</f>
        <v>74160.08406376619</v>
      </c>
      <c r="EZ44" s="63">
        <f>lng_st_nl_cost*lng_st_nl_demand/1000000+(lng_st_invest*(M44+1/lng_st_lifetime+lng_st_opex)/(Storage!$U$63/1000000)+lng_st_e_demand*1000*$AU44/100)*(FB44+lng_st_ab_losses)/1000000+co2_st_nl_cost*Storage!$U$12*co2_density/lng_density/1000000+(co2_st_opex_lev+co2_st_invest_lev+co2_st_e_demand*1000*$AU44/100)*Storage!$U$12/1000000+co2_st_invest_lev*Storage!$U$12*co2_st_lifetime*M44/1000000+Carriers!$AB$18/Carriers!$AB$23*((FB44+lng_st_ab_losses)/365.25*short_st_duration_hrs/24)*(h2_short_st_invest*(1/gh2_short_st_lifetime+$M44+h2_short_st_opex)+h2_short_st_e_demand*1000*$AU44/100)/1000000+Carriers!$AB$20/Carriers!$AB$23*((FB44+lng_st_ab_losses)/365.25*short_st_duration_hrs/24)*(co2_short_st_invest*(1/co2_short_st_lifetime+$M44+co2_short_st_opex)+co2_short_st_e_demand*1000*$AU44/100)/1000000</f>
        <v>6307.3708000844526</v>
      </c>
      <c r="FA44" s="63">
        <f>lng_st_nl_cost*lng_st_nl_demand/1000000+(lng_st_invest*(M44+1/lng_st_lifetime+lng_st_opex)/(Storage!$U$63/1000000)+lng_st_e_demand*1000*$AU44/100)*(FB44+lng_st_ab_losses)/1000000+Carriers!$AB$18/Carriers!$AB$23*((FB44+lng_st_ab_losses)/365.25*short_st_duration_hrs/24)*(h2_short_st_invest*(1/gh2_short_st_lifetime+$M44+h2_short_st_opex)+h2_short_st_e_demand*1000*$AU44/100)/1000000+Carriers!$AB$20/Carriers!$AB$23*((FB44+lng_st_ab_losses)/365.25*short_st_duration_hrs/24)*(co2_short_st_invest*(1/co2_short_st_lifetime+$M44+co2_short_st_opex)+co2_short_st_e_demand*1000*$AU44/100)/1000000</f>
        <v>4741.4979828495379</v>
      </c>
      <c r="FB44" s="63">
        <f>Storage!$U$57/((1-Shipping!$V$37)^($F44/24/Shipping!$V$44+0.5*Shipping!$V$59))</f>
        <v>41320889.417701595</v>
      </c>
      <c r="FC44" s="28">
        <f>IF($E44="","No Port",IF(G44="Panama","Ship cannot pass through Panama",((F44/24/Shipping!$V$44+F44/24/Shipping!$V$50+Shipping!$V$59+Shipping!$V$64)*(Shipping!$V$22+wacc_nl*Shipping!$V$19/365.25*1000000+Shipping!$V$35)+(F44/24/Shipping!$V$44*Shipping!$V$45+Shipping!$V$64*Shipping!$V$65)*IF(bunker_choice="HFO",$H44,IF(bunker_choice="hydrogen",$BD44*hfo_e_density_lhv/h2_e_density_lhv,(EX44+EZ44)*1000000/FB44*hfo_e_density_lhv/lng_e_density_lhv))+(F44/24/Shipping!$V$50*Shipping!$V$51+Shipping!$V$59*Shipping!$V$60)*IF(bunker_choice="HFO",bunker_price_ROT,IF(bunker_choice="hydrogen",$BD44*hfo_e_density_lhv/h2_e_density_lhv,(EX44+EZ44)*1000000/FB44*hfo_e_density_lhv/lng_e_density_lhv))+Shipping!$V$73+IF(G44="Panama",Shipping!$V$55,0)+IF(G44="Suez",Shipping!$V$56,0))/Shipping!$V$31*(FB44+lng_st_ab_losses)/1000000)+IF(inland_transport_to_port="hv dc grid",$BM44/100*1000*FE44,IF(inland_transport_to_port="pipeline",$BN44,0)))</f>
        <v>2131.6734619886333</v>
      </c>
      <c r="FD44" s="28">
        <f t="shared" si="41"/>
        <v>81033.255508604358</v>
      </c>
      <c r="FE44" s="29">
        <f>((Carriers!$AB$18/Carriers!$AB$23*alk_el_e_demand)+sng_e_demand+lng_e_demand)*(FB44+lng_st_ab_losses)/1000000+lng_st_e_demand*EZ44/1000000</f>
        <v>1108.1910456782437</v>
      </c>
      <c r="FF44" s="29">
        <f t="shared" si="88"/>
        <v>0.8126185861001558</v>
      </c>
      <c r="FG44" s="28">
        <f>IFERROR(FD44*1000000/Storage!$U$12,"")</f>
        <v>1996.6736142999353</v>
      </c>
      <c r="FH44" s="28">
        <f>IF($E44="","No Port",((F44/24/Shipping!$V$44+F44/24/Shipping!$V$50+Shipping!$V$59+Shipping!$V$64)*Carriers!$AB$39*wacc_nl))</f>
        <v>29.781266096788503</v>
      </c>
      <c r="FI44" s="100">
        <f>H2_retrieval!$T$25*h2_demand_kt/1000+(co2_liq_e_demand+co2_st_e_demand*2)*Storage!$U$12*co2_density/lng_density/1000000</f>
        <v>236.51371749646054</v>
      </c>
      <c r="FJ44" s="28">
        <f>IFERROR((((EX44+EZ44+FC44)*(1+H2_retrieval!$T$34)+FH44)*1000000/H2_retrieval!$T$8)+h2_regen_lng,"")</f>
        <v>6377.4778879934547</v>
      </c>
      <c r="FK44" s="149">
        <f>(lh2_invest*(M44+1/lh2_lifetime)/lh2_prod+lh2_opex+lh2_e_demand*1000*$AU44/100+Carriers!$AD$18/Carriers!$AD$23*BD44)*(FM44+lh2_st_ab_losses)/1000000</f>
        <v>49306.575422433409</v>
      </c>
      <c r="FL44" s="28">
        <f>lh2_st_nl_cost*lh2_st_nl_demand/1000000+(lh2_st_invest*(M44+1/lh2_st_lifetime+lh2_st_opex)/(Storage!$Y$63/1000000)+lh2_st_e_demand*1000*$AU44/100)*(FM44+lh2_st_ab_losses)/1000000+((FM44+lh2_st_ab_losses)/365.25*short_st_duration_hrs/24)*(h2_short_st_invest*(1/gh2_short_st_lifetime+$M44+h2_short_st_opex)+h2_short_st_e_demand*1000*$AU44/100)/1000000</f>
        <v>55160.543549926813</v>
      </c>
      <c r="FM44" s="63">
        <f>Storage!$Y$57/((1-Shipping!$Z$37)^($F44/24/Shipping!$Z$44+0.5*Shipping!$Z$59))</f>
        <v>13991073.839887369</v>
      </c>
      <c r="FN44" s="28">
        <f>IF($E44="","No Port",IF(G44="Panama","Ship cannot pass through Panama",((F44/24/Shipping!$Z$44+F44/24/Shipping!$Z$50+Shipping!$Z$59+Shipping!$Z$64)*(Shipping!$Z$22+wacc_nl*Shipping!$Z$19/365.25*1000000+Shipping!$Z$35)+(F44/24/Shipping!$Z$44*Shipping!$Z$45+Shipping!$Z$64*Shipping!$Z$65)*IF(bunker_choice="HFO",$H44,IF(bunker_choice="hydrogen",$BD44*hfo_e_density_lhv/h2_e_density_lhv,(FK44+FL44)*1000000/FM44*hfo_e_density_lhv/lh2_e_density_lhv))+(F44/24/Shipping!$Z$50*Shipping!$Z$51+Shipping!$Z$59*Shipping!$Z$60)*IF(bunker_choice="HFO",bunker_price_ROT,IF(bunker_choice="hydrogen",$BD44*hfo_e_density_lhv/h2_e_density_lhv,(FK44+FL44)*1000000/FM44*hfo_e_density_lhv/lh2_e_density_lhv))+Shipping!$Z$73+IF(G44="Panama",Shipping!$Z$55,0)+IF(G44="Suez",Shipping!$Z$56,0))/Shipping!$Z$31*(FM44+lh2_st_ab_losses)/1000000)+IF(inland_transport_to_port="hv dc grid",$BM44/100*1000*FP44,IF(inland_transport_to_port="pipeline",$BN44,0)))</f>
        <v>3732.7783064894206</v>
      </c>
      <c r="FO44" s="28">
        <f t="shared" si="42"/>
        <v>108199.89727884963</v>
      </c>
      <c r="FP44" s="29">
        <f>((Carriers!$AD$18/Carriers!$AD$23*alk_el_e_demand)+lh2_e_demand)*(FM44+lh2_st_ab_losses)/1000000+lh2_st_e_demand*FM44/1000000</f>
        <v>810.7624962642858</v>
      </c>
      <c r="FQ44" s="100">
        <f t="shared" si="89"/>
        <v>1.361902463475859</v>
      </c>
      <c r="FR44" s="28">
        <f>IFERROR(FO44*1000000/Storage!$Y$12,"")</f>
        <v>7955.8747999154139</v>
      </c>
      <c r="FS44" s="100">
        <f>H2_retrieval!$V$25*h2_demand_kt/1000</f>
        <v>8.16</v>
      </c>
      <c r="FT44" s="28">
        <f>IFERROR(FR44*(1+H2_retrieval!$V$34)/Carrier_properties!$U$7+H2_retrieval!$V$38,"")</f>
        <v>7987.843525783881</v>
      </c>
      <c r="FU44" s="12"/>
      <c r="FV44" s="24">
        <f t="shared" si="90"/>
        <v>2.1125705914566999</v>
      </c>
      <c r="FW44" s="24" t="str">
        <f t="shared" si="57"/>
        <v/>
      </c>
      <c r="FX44" s="24" t="str">
        <f t="shared" si="58"/>
        <v/>
      </c>
      <c r="FY44" s="24">
        <f t="shared" si="45"/>
        <v>2.1125705914566999</v>
      </c>
      <c r="FZ44" s="28">
        <f t="shared" si="59"/>
        <v>2581.8050077209741</v>
      </c>
      <c r="GA44" s="28">
        <f t="shared" si="47"/>
        <v>599.86488951431465</v>
      </c>
      <c r="GB44" s="28">
        <f t="shared" si="48"/>
        <v>388.66013895588958</v>
      </c>
      <c r="GC44" s="28">
        <f t="shared" si="49"/>
        <v>670.46793334253505</v>
      </c>
      <c r="GD44" s="28">
        <f t="shared" si="50"/>
        <v>977.98551825024208</v>
      </c>
      <c r="GE44" s="28">
        <f t="shared" si="51"/>
        <v>1706.5256370212146</v>
      </c>
      <c r="GF44" s="28">
        <f t="shared" si="52"/>
        <v>1794.7359098228051</v>
      </c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12"/>
      <c r="HF44" s="12"/>
    </row>
    <row r="45" spans="1:214" x14ac:dyDescent="0.2">
      <c r="A45" s="40" t="s">
        <v>51</v>
      </c>
      <c r="B45" s="12">
        <v>7075</v>
      </c>
      <c r="C45" s="12">
        <v>0.9</v>
      </c>
      <c r="D45" s="12">
        <f t="shared" si="61"/>
        <v>9.9999999999999978E-2</v>
      </c>
      <c r="E45" s="12" t="s">
        <v>715</v>
      </c>
      <c r="F45" s="12">
        <v>4043</v>
      </c>
      <c r="G45" s="12"/>
      <c r="H45" s="16">
        <f t="shared" si="62"/>
        <v>382.75862068965517</v>
      </c>
      <c r="I45" s="16">
        <v>48310</v>
      </c>
      <c r="J45" s="16">
        <f t="shared" si="31"/>
        <v>124.00625226793578</v>
      </c>
      <c r="K45" s="27">
        <f t="shared" si="32"/>
        <v>148.80750272152292</v>
      </c>
      <c r="L45" s="103">
        <v>0.153</v>
      </c>
      <c r="M45" s="103">
        <f t="shared" si="63"/>
        <v>0.14962169739395992</v>
      </c>
      <c r="N45" s="122">
        <f t="shared" si="33"/>
        <v>0.85</v>
      </c>
      <c r="O45" s="46">
        <f t="shared" si="64"/>
        <v>40</v>
      </c>
      <c r="P45" s="70">
        <f t="array" ref="P45">SUMPRODUCT(IF(Solar_data!A$4:A$777=A45,Solar_data!C$4:C$777),IF(Solar_data!A$4:A$777=A45,Solar_data!I$4:I$777))/SUMIF(Solar_data!A$4:A$777,A45,Solar_data!I$4:I$777)</f>
        <v>2172.0362747527447</v>
      </c>
      <c r="Q45" s="16">
        <f t="array" ref="Q45">MAX(IF(Solar_data!$A$777:'Solar_data'!$A$4=Country_details!$A45,Solar_data!$C$4:'Solar_data'!$C$777))</f>
        <v>2281.25</v>
      </c>
      <c r="R45" s="16">
        <f t="array" ref="R45">MIN(IF(Solar_data!$A$777:'Solar_data'!$A$4=Country_details!A45,Solar_data!$C$4:'Solar_data'!$C$777))</f>
        <v>1916.25</v>
      </c>
      <c r="S45" s="24">
        <f t="shared" si="65"/>
        <v>2.5266037546061662</v>
      </c>
      <c r="T45" s="24">
        <f t="shared" si="66"/>
        <v>2.4056438386547181</v>
      </c>
      <c r="U45" s="24">
        <f t="shared" si="67"/>
        <v>2.8638617126841881</v>
      </c>
      <c r="V45" s="16">
        <f t="array" ref="V45">SUM(IF(Solar_data!$A$777:'Solar_data'!$A$4=Country_details!$A45,Solar_data!$I$4:'Solar_data'!$I$777))</f>
        <v>385.52811482493718</v>
      </c>
      <c r="W45" s="148"/>
      <c r="X45" s="16">
        <f>IFERROR(INDEX(Onshore_wind_data!$J$5:'Onshore_wind_data'!$J$221,MATCH(A45,Onshore_wind_data!$B$5:'Onshore_wind_data'!$B$221,0)),"")</f>
        <v>3047.7208445040214</v>
      </c>
      <c r="Y45" s="16">
        <f>IFERROR(INDEX(Onshore_wind_data!$K$5:'Onshore_wind_data'!$K$221,MATCH(A45,Onshore_wind_data!$B$5:'Onshore_wind_data'!$B$221,0)),"")</f>
        <v>3971</v>
      </c>
      <c r="Z45" s="16">
        <f>IFERROR(INDEX(Onshore_wind_data!$L$5:'Onshore_wind_data'!$L$221,MATCH(A45,Onshore_wind_data!$B$5:'Onshore_wind_data'!$B$221,0)),"")</f>
        <v>2847.5</v>
      </c>
      <c r="AA45" s="24">
        <f t="shared" si="68"/>
        <v>5.3579481389959476</v>
      </c>
      <c r="AB45" s="24">
        <f t="shared" si="69"/>
        <v>4.11219597758486</v>
      </c>
      <c r="AC45" s="24">
        <f t="shared" si="70"/>
        <v>5.7346901587320387</v>
      </c>
      <c r="AD45" s="16">
        <f>IFERROR(INDEX(Onshore_wind_data!$I$5:'Onshore_wind_data'!$I$221,MATCH(A45,Onshore_wind_data!$B$5:'Onshore_wind_data'!$B$221,0)),"")</f>
        <v>22.7359975</v>
      </c>
      <c r="AE45" s="148"/>
      <c r="AF45" s="16">
        <f>INDEX(Offshore_wind_data!$AA$7:$AA$192,MATCH(Country_details!A45,Offshore_wind_data!$A$7:$A$192,0))</f>
        <v>3884.676719867914</v>
      </c>
      <c r="AG45" s="16">
        <f>INDEX(Offshore_wind_data!$Y$7:$Y$192,MATCH(Country_details!A45,Offshore_wind_data!$A$7:$A$192,0))</f>
        <v>4204.8</v>
      </c>
      <c r="AH45" s="16">
        <f>INDEX(Offshore_wind_data!$Z$7:$Z$192,MATCH(Country_details!A45,Offshore_wind_data!$A$7:$A$192,0))</f>
        <v>3504</v>
      </c>
      <c r="AI45" s="24">
        <f t="shared" si="71"/>
        <v>7.9149540238189608</v>
      </c>
      <c r="AJ45" s="24">
        <f t="shared" si="72"/>
        <v>7.3123662564579499</v>
      </c>
      <c r="AK45" s="24">
        <f t="shared" si="73"/>
        <v>8.7748395077495402</v>
      </c>
      <c r="AL45" s="16">
        <f>INDEX(Offshore_wind_data!$W$7:$W$191,MATCH(A45,Offshore_wind_data!$A$7:$A$191,0))</f>
        <v>282.33830399999999</v>
      </c>
      <c r="AM45" s="148"/>
      <c r="AN45" s="12">
        <v>10.8</v>
      </c>
      <c r="AO45" s="12">
        <v>13.3</v>
      </c>
      <c r="AP45" s="34">
        <f>0.731*11.63</f>
        <v>8.5015300000000007</v>
      </c>
      <c r="AQ45" s="15">
        <f t="shared" si="74"/>
        <v>50</v>
      </c>
      <c r="AR45" s="12">
        <f t="shared" si="34"/>
        <v>665</v>
      </c>
      <c r="AS45" s="16">
        <f t="shared" si="35"/>
        <v>25.602416324937167</v>
      </c>
      <c r="AT45" s="12"/>
      <c r="AU45" s="24">
        <f t="shared" si="75"/>
        <v>4.1797740269239005</v>
      </c>
      <c r="AV45" s="16">
        <f t="shared" si="76"/>
        <v>5219.7571192567666</v>
      </c>
      <c r="AW45" s="149">
        <f>HV_DC_Grid!$E$3/(1-AX45)*AU45/100*1000</f>
        <v>4880.3657550578291</v>
      </c>
      <c r="AX45" s="31">
        <f>(1-(1-HV_DC_Grid!$E$25)^(B45*C45*HV_DC_Grid!$E$8/1000))+(1-(1-HV_DC_Grid!$E$26)^(B45*D45*HV_DC_Grid!$E$8/1000))+HV_DC_Grid!$E$35*HV_DC_Grid!$E$28</f>
        <v>0.14355311943738258</v>
      </c>
      <c r="AY45" s="28">
        <f>B45*nl_e_demand/IF(hv_dc_flh="electricity FLH",$AV45,hv_dc_custom)*1000*hv_dc_capacity_multiplier*hv_dc_length_multiplier*1000*(C45*hv_dc_overhead_invest*(hv_dc_overhead_opex+M45+1/hv_dc_lifetime)+D45*hv_dc_sea_invest*(hv_dc_sea_opex+M45+1/hv_dc_lifetime))/1000000+HV_DC_Grid!$E$10*1000*hv_dc_station_invest*hv_dc_station_number*(hv_dc_station_opex+M45+1/hv_dc_lifetime)/1000000</f>
        <v>8881.2979721335323</v>
      </c>
      <c r="AZ45" s="24">
        <f>(AW45+AY45)/(HV_DC_Grid!$E$3*1000)*100</f>
        <v>13.761663727191362</v>
      </c>
      <c r="BA45" s="28">
        <f>MIN(((Carriers!$F$26+Carriers!$F$27)*(alk_el_opex+wacc_nl+1/alk_el_lifetime)+IF(hv_dc_flh="electricity FLH",$AV45,hv_dc_custom)*AZ45/100)/(IF(hv_dc_flh="electricity FLH",$AV45,hv_dc_custom)/alk_el_e_demand)*1000,((Carriers!$H$26+Carriers!$H$27)*(pem_el_opex+wacc_nl+1/pem_el_lifetime)+IF(hv_dc_flh="electricity FLH",$AV45,hv_dc_custom)*AZ45/100)/(IF(hv_dc_flh="electricity FLH",$AV45,hv_dc_custom)/pem_el_e_demand)*1000)</f>
        <v>7393.413066525346</v>
      </c>
      <c r="BB45" s="12"/>
      <c r="BC45" s="12"/>
      <c r="BD45" s="149">
        <f>MIN(((Carriers!$F$26+Carriers!$F$27)*(alk_el_opex+M45+1/alk_el_lifetime)+$AV45*$AU45/100)/($AV45/alk_el_e_demand)*1000,((Carriers!$H$26+Carriers!$H$27)*(pem_el_opex+M45+1/pem_el_lifetime)+$AV45*$AU45/100)/($AV45/pem_el_e_demand)*1000)</f>
        <v>2880.6754222632053</v>
      </c>
      <c r="BE45" s="28">
        <f>Storage!$AC$50</f>
        <v>8.1664117557772418</v>
      </c>
      <c r="BF45" s="28">
        <f>((Pipeline!$D$22*Pipeline!$D$24*B45*(pipeline_opex+M45+1/pipeline_lifetime))*(Pipeline!$D$39/Pipeline!$D$3)+(Pipeline!$D$57*(pipeline_comp_opex+M45+1/pipeline_comp_lifetime)+Pipeline!$D$47*1000*Pipeline!$D$45*$AU45/100/1000000))*(Pipeline!$D$75/Pipeline!$D$45)</f>
        <v>17989.254587989322</v>
      </c>
      <c r="BG45" s="28">
        <f>BD45+(BE45+BF45)/Storage!$AC$12*1000000</f>
        <v>4204.0152016562279</v>
      </c>
      <c r="BH45" s="28"/>
      <c r="BI45" s="28"/>
      <c r="BJ45" s="28">
        <f>IF($E45="","No Port",BK45*HV_DC_Grid!$E$3*$AU45/100*1000)</f>
        <v>70.538133297394793</v>
      </c>
      <c r="BK45" s="31">
        <f>IFERROR((1-(1-HV_DC_Grid!$E$25)^(K45*HV_DC_Grid!$E$8/1000))+HV_DC_Grid!$E$35*HV_DC_Grid!$E$28,"")</f>
        <v>1.6876063835754115E-2</v>
      </c>
      <c r="BL45" s="28">
        <f>IFERROR(K45*nl_e_demand/IF(hv_dc_flh="electricity FLH",$AV45,hv_dc_custom)*1000*hv_dc_capacity_multiplier*hv_dc_length_multiplier*1000*(hv_dc_overhead_invest*(hv_dc_overhead_opex+M45+1/hv_dc_lifetime))/1000000+HV_DC_Grid!$E$10*1000*hv_dc_station_invest*hv_dc_station_number*(hv_dc_station_opex+M45+1/hv_dc_lifetime)/1000000,"")</f>
        <v>632.4592160535467</v>
      </c>
      <c r="BM45" s="29">
        <f>IFERROR((BJ45+BL45)/(HV_DC_Grid!$E$3*1000)*100,"")</f>
        <v>0.70299734935094149</v>
      </c>
      <c r="BN45" s="28">
        <f>IFERROR(((Pipeline!$D$22*Pipeline!$D$24*K45*(pipeline_opex+M45+1/pipeline_lifetime))*(Pipeline!$D$39/Pipeline!$D$3)+(Pipeline!$D$57*(pipeline_comp_opex+M45+1/pipeline_comp_lifetime)+Pipeline!$D$47*1000*Pipeline!$D$45*S45/100/1000000))*(Pipeline!$D$75/Pipeline!$D$45),"")</f>
        <v>460.63117731774787</v>
      </c>
      <c r="BO45" s="28"/>
      <c r="BP45" s="150">
        <f t="shared" si="77"/>
        <v>134.29960584506142</v>
      </c>
      <c r="BQ45" s="34">
        <f t="shared" si="78"/>
        <v>39.389257017806827</v>
      </c>
      <c r="BR45" s="151">
        <f>(nh3_invest*(M45+1/nh3_lifetime)/nh3_prod+nh3_opex+nh3_e_demand*1000*$AU45/100+Carriers!$N$18/Carriers!$N$23*BD45+Carriers!$N$19/Carriers!$N$23*BQ45)*(BT45+nh3_st_ab_losses)/1000000</f>
        <v>53805.582176779913</v>
      </c>
      <c r="BS45" s="63">
        <f>nh3_st_nl_cost*nh3_st_nl_demand/1000000+(nh3_st_invest*(M45+1/nh3_st_lifetime+nh3_st_opex)/(Storage!$G$63/1000000)+nh3_st_e_demand*1000*$AU45/100)*(BT45+nh3_st_ab_losses)/1000000+Carriers!$N$18/Carriers!$N$23*((BT45+nh3_st_ab_losses)/365.25*short_st_duration_hrs/24)*(h2_short_st_invest*(1/gh2_short_st_lifetime+$M45+h2_short_st_opex)+h2_short_st_e_demand*1000*$AU45/100)/1000000+Carriers!$N$19/Carriers!$N$23*((BT45+nh3_st_ab_losses)/365.25*short_st_duration_hrs/24)*(n2_short_st_invest*(1/n2_short_st_lifetime+$M45+n2_short_st_opex)+n2_short_st_e_demand*1000*$AU45/100)/1000000</f>
        <v>3734.9461330743011</v>
      </c>
      <c r="BT45" s="63">
        <f>Storage!$G$57/((1-Shipping!$H$37)^(F45/24/Shipping!$H$44+0.5*Shipping!$H$59))</f>
        <v>78846178.193553492</v>
      </c>
      <c r="BU45" s="63">
        <f>IF($E45="","No Port",((F45/24/Shipping!$H$44+F45/24/Shipping!$H$50+Shipping!$H$59+Shipping!$H$64)*(Shipping!$H$22+wacc_nl*Shipping!$H$19/365.25*1000000+Shipping!$H$35)+(F45/24/Shipping!$H$44*Shipping!$H$45+Shipping!$H$64*Shipping!$H$65)*IF(bunker_choice="HFO",H45,IF(bunker_choice="hydrogen",BD45*hfo_e_density_lhv/h2_e_density_lhv,(BR45+BS45)*1000000/BT45*hfo_e_density_lhv/nh3_e_density_lhv))+(F45/24/Shipping!$H$50*Shipping!$H$51+Shipping!$H$59*Shipping!$H$60)*IF(bunker_choice="HFO",bunker_price_ROT,IF(bunker_choice="hydrogen",BD45*hfo_e_density_lhv/h2_e_density_lhv,(BR45+BS45)*1000000/BT45*hfo_e_density_lhv/nh3_e_density_lhv))+Shipping!$H$73+IF(G45="Panama",Shipping!$H$55,0)+IF(G45="Suez",Shipping!$H$56,0))/Shipping!$H$31*BT45/1000000+IF(inland_transport_to_port="hv dc grid",$BM45/100*1000*BW45,IF(inland_transport_to_port="pipeline",$BN45,0)))</f>
        <v>3212.6065305714019</v>
      </c>
      <c r="BV45" s="63">
        <f t="shared" si="91"/>
        <v>60753.134840425613</v>
      </c>
      <c r="BW45" s="33">
        <f>((Carriers!$N$18/Carriers!$N$23*alk_el_e_demand)+(Carriers!$N$19/Carriers!$N$23*n2_e_demand)+nh3_e_demand)*(BT45+nh3_st_ab_losses)/1000000+nh3_st_e_demand*BT45/1000000</f>
        <v>778.62744315365148</v>
      </c>
      <c r="BX45" s="33">
        <f t="shared" si="79"/>
        <v>0.76626754477640768</v>
      </c>
      <c r="BY45" s="63">
        <f>IFERROR(BV45*1000000/Storage!$G$12,"")</f>
        <v>793.50553439023383</v>
      </c>
      <c r="BZ45" s="63">
        <f>H2_retrieval!$F$25*h2_demand_kt/1000</f>
        <v>80</v>
      </c>
      <c r="CA45" s="63">
        <f>IFERROR(BY45*(1+H2_retrieval!$F$34)/Carrier_properties!$E$7+H2_retrieval!$F$38,"")</f>
        <v>4876.3682473220888</v>
      </c>
      <c r="CB45" s="149">
        <f>(FA_invest*(M45+1/FA_lifetime)/FA_prod+FA_opex+FA_e_demand*1000*$AU45/100+Carriers!$P$18/Carriers!$P$23*BD45+Carriers!$P$20/Carriers!$P$23*co2_liq_cost)*(CF45+FA_st_ab_losses)/1000000</f>
        <v>121787.82665148359</v>
      </c>
      <c r="CC45" s="86">
        <f>(FA_invest*(M45+1/FA_lifetime)/FA_prod+FA_opex+FA_e_demand*1000*$AU45/100+Carriers!$P$18/Carriers!$P$23*BD45+Carriers!$P$20/Carriers!$P$23*BP45)*(CF45+FA_st_ab_losses)/1000000</f>
        <v>154525.05627410609</v>
      </c>
      <c r="CD45" s="63">
        <f>FA_st_nl_cost*FA_st_nl_demand/1000000+(FA_st_invest*(M45+1/FA_st_lifetime+FA_st_opex)/(Storage!$I$63/1000000)+FA_st_e_demand*1000*$AU45/100)*(CF45+FA_st_ab_losses)/1000000+co2_st_nl_cost*Storage!$I$12*co2_density/FA_density/1000000+(co2_st_opex_lev+co2_st_invest_lev+co2_st_e_demand*1000*$AU45/100)*Storage!$I$12/1000000+co2_st_invest_lev*Storage!$I$12*co2_st_lifetime*M45/1000000+Carriers!$P$18/Carriers!$P$23*((CF45+FA_st_ab_losses)/365.25*short_st_duration_hrs/24)*(h2_short_st_invest*(1/gh2_short_st_lifetime+$M45+h2_short_st_opex)+h2_short_st_e_demand*1000*$AU45/100)/1000000+Carriers!$P$20/Carriers!$P$23*((CF45+FA_st_ab_losses)/365.25*short_st_duration_hrs/24)*(co2_short_st_invest*(1/co2_short_st_lifetime+$M45+co2_short_st_opex)+co2_short_st_e_demand*1000*$AU45/100)/1000000</f>
        <v>13044.970710815982</v>
      </c>
      <c r="CE45" s="63">
        <f>FA_st_nl_cost*FA_st_nl_demand/1000000+(FA_st_invest*(M45+1/FA_st_lifetime+FA_st_opex)/(Storage!$I$63/1000000)+FA_st_e_demand*1000*$AU45/100)*(CF45+FA_st_ab_losses)/1000000+Carriers!$P$18/Carriers!$P$23*((CF45+FA_st_ab_losses)/365.25*short_st_duration_hrs/24)*(h2_short_st_invest*(1/gh2_short_st_lifetime+$M45+h2_short_st_opex)+h2_short_st_e_demand*1000*$AU45/100)/1000000+Carriers!$P$20/Carriers!$P$23*((CF45+FA_st_ab_losses)/365.25*short_st_duration_hrs/24)*(co2_short_st_invest*(1/co2_short_st_lifetime+$M45+co2_short_st_opex)+co2_short_st_e_demand*1000*$AU45/100)/1000000</f>
        <v>5535.5977992783583</v>
      </c>
      <c r="CF45" s="63">
        <f>Storage!$I$57/((1-Shipping!$J$37)^($F45/24/Shipping!$J$44+0.5*Shipping!$J$59))</f>
        <v>310425396.82539684</v>
      </c>
      <c r="CG45" s="28">
        <f>IF($E45="","No Port",((F45/24/Shipping!$J$44+F45/24/Shipping!$J$50+Shipping!$J$59+Shipping!$J$64)*(Shipping!$J$22+wacc_nl*Shipping!$J$19/365.25*1000000+Shipping!$J$35)+(F45/24/Shipping!$J$44*Shipping!$J$45+Shipping!$J$64*Shipping!$J$65)*IF(bunker_choice="HFO",$H45,IF(bunker_choice="hydrogen",$BD45*hfo_e_density_lhv/h2_e_density_lhv,(CB45+CD45)*1000000/CF45*hfo_e_density_lhv/FA_e_density_lhv))+(F45/24/Shipping!$J$50*Shipping!$J$51+Shipping!$J$59*Shipping!$J$60)*IF(bunker_choice="HFO",bunker_price_ROT,IF(bunker_choice="hydrogen",$BD45*hfo_e_density_lhv/h2_e_density_lhv,(CB45+CD45)*1000000/CF45*hfo_e_density_lhv/FA_e_density_lhv))+Shipping!$J$73+IF(G45="Panama",Shipping!$J$55,0)+IF(G45="Suez",Shipping!$J$56,0))/Shipping!$J$31*CF45/1000000+IF(inland_transport_to_port="hv dc grid",$BM45/100*1000*CI45,IF(inland_transport_to_port="pipeline",$BN45,0)))</f>
        <v>12423.722665799442</v>
      </c>
      <c r="CH45" s="28">
        <f t="shared" si="36"/>
        <v>172484.37673918388</v>
      </c>
      <c r="CI45" s="29">
        <f>((Carriers!$P$18/Carriers!$P$23*alk_el_e_demand)+FA_e_demand)*(CF45+FA_st_ab_losses)/1000000+FA_st_e_demand*CF45/1000000</f>
        <v>1897.8881241622576</v>
      </c>
      <c r="CJ45" s="29">
        <f t="shared" si="80"/>
        <v>0.46563809523809524</v>
      </c>
      <c r="CK45" s="28">
        <f>IFERROR(CH45*1000000/Storage!$I$12,"")</f>
        <v>555.63874123417861</v>
      </c>
      <c r="CL45" s="28">
        <f>IF($E45="","No Port",((F45/24/Shipping!$J$44+F45/24/Shipping!$J$50+Shipping!$J$59+Shipping!$J$64)*Carriers!$P$39*wacc_nl))</f>
        <v>212.31038999304468</v>
      </c>
      <c r="CM45" s="29">
        <f>H2_retrieval!$H$25*h2_demand_kt/1000+(co2_liq_e_demand+co2_st_e_demand*2)*Storage!$I$12*co2_density/FA_density/1000000</f>
        <v>94.204253879484654</v>
      </c>
      <c r="CN45" s="28">
        <f>IFERROR((((CB45+CD45+CG45)*(1+H2_retrieval!$H$34)+CL45)*1000000/H2_retrieval!$H$8)+h2_regen_fa,"")</f>
        <v>10932.983722038429</v>
      </c>
      <c r="CO45" s="149">
        <f>(meoh_invest*(M45+1/meoh_lifetime)/meoh_prod+meoh_opex+meoh_e_demand*1000*$AU45/100+Carriers!$R$18/Carriers!$R$23*BD45+Carriers!$R$20/Carriers!$R$23*co2_liq_cost)*(CS45+meoh_st_ab_losses)/1000000</f>
        <v>64033.165640717838</v>
      </c>
      <c r="CP45" s="86">
        <f>(meoh_invest*(M45+1/meoh_lifetime)/meoh_prod+meoh_opex+meoh_e_demand*1000*$AU45/100+Carriers!$R$18/Carriers!$R$23*BD45+Carriers!$R$20/Carriers!$R$23*BP45)*(CS45+meoh_st_ab_losses)/1000000</f>
        <v>83250.930087595334</v>
      </c>
      <c r="CQ45" s="63">
        <f>meoh_st_nl_cost*meoh_st_nl_demand/1000000+(meoh_st_invest*(M45+1/meoh_st_lifetime+meoh_st_opex)/(Storage!$K$63/1000000)+meoh_st_e_demand*1000*$AU45/100)*(CS45+meoh_st_ab_losses)/1000000+co2_st_nl_cost*Storage!$K$12*co2_density/meoh_density/1000000+(co2_st_opex_lev+co2_st_invest_lev+co2_st_e_demand*1000*IFERROR(MIN(S45,AA45,AI45),S45)/100)*Storage!$K$12/1000000+co2_st_invest_lev*Storage!$K$12*co2_st_lifetime*M45/1000000+Carriers!$R$18/Carriers!$R$23*((CS45+meoh_st_ab_losses)/365.25*short_st_duration_hrs/24)*(h2_short_st_invest*(1/gh2_short_st_lifetime+$M45+h2_short_st_opex)+h2_short_st_e_demand*1000*$AU45/100)/1000000+Carriers!$R$20/Carriers!$R$23*((CF45+meoh_st_ab_losses)/365.25*short_st_duration_hrs/24)*(co2_short_st_invest*(1/co2_short_st_lifetime+$M45+co2_short_st_opex)+co2_short_st_e_demand*1000*$AU45/100)/1000000</f>
        <v>5243.3957291516381</v>
      </c>
      <c r="CR45" s="63">
        <f>meoh_st_nl_cost*meoh_st_nl_demand/1000000+(meoh_st_invest*(M45+1/meoh_st_lifetime+meoh_st_opex)/(Storage!$K$63/1000000)+meoh_st_e_demand*1000*$AU45/100)*(CS45+meoh_st_ab_losses)/1000000+Carriers!$R$18/Carriers!$R$23*((CS45+meoh_st_ab_losses)/365.25*short_st_duration_hrs/24)*(h2_short_st_invest*(1/gh2_short_st_lifetime+$M45+h2_short_st_opex)+h2_short_st_e_demand*1000*$AU45/100)/1000000+Carriers!$R$20/Carriers!$R$23*((CF45+meoh_st_ab_losses)/365.25*short_st_duration_hrs/24)*(co2_short_st_invest*(1/co2_short_st_lifetime+$M45+co2_short_st_opex)+co2_short_st_e_demand*1000*$AU45/100)/1000000</f>
        <v>2209.3555023205513</v>
      </c>
      <c r="CS45" s="63">
        <f>Storage!$K$57/((1-Shipping!$L$37)^($F45/24/Shipping!$L$44+0.5*Shipping!$L$59))</f>
        <v>108044444.44444443</v>
      </c>
      <c r="CT45" s="28">
        <f>IF($E45="","No Port",IF(AND(ship_choice="VLCC",G45="Panama"),"Ship cannot pass through Panama",IF(ship_choice="VLCC",((F45/24/Shipping!$AD$44+F45/24/Shipping!$AD$50+Shipping!$AD$59+Shipping!$AD$64)*(Shipping!$AD$22+wacc_nl*Shipping!$AD$19/365.25*1000000+Shipping!$AD$35)+(F45/24/Shipping!$AD$44*Shipping!$AD$45+Shipping!$AD$64*Shipping!$AD$65)*IF(bunker_choice="HFO",$H45,IF(bunker_choice="hydrogen",$BD45*hfo_e_density_lhv/h2_e_density_lhv,(CO45+CQ45)*1000000/CS45*hfo_e_density_lhv/meoh_e_density_lhv))+(F45/24/Shipping!$AD$50*Shipping!$AD$51+Shipping!$AD$59*Shipping!$AD$60)*IF(bunker_choice="HFO",bunker_price_ROT,IF(bunker_choice="hydrogen",$BD45*hfo_e_density_lhv/h2_e_density_lhv,(CO45+CQ45)*1000000/CS45*hfo_e_density_lhv/meoh_e_density_lhv))+Shipping!$AD$73+IF(G45="Panama",Shipping!$AD$55,0)+IF(G45="Suez",Shipping!$AD$56,0))/Shipping!$AD$31*CS45/1000000+IF(inland_transport_to_port="hv dc grid",$BM45/100*1000*CV45,IF(inland_transport_to_port="pipeline",$BN45,0)),((F45/24/Shipping!$L$44+F45/24/Shipping!$L$50+Shipping!$L$59+Shipping!$L$64)*(Shipping!$L$22+wacc_nl*Shipping!$L$19/365.25*1000000+Shipping!$L$35)+(F45/24/Shipping!$L$44*Shipping!$L$45+Shipping!$L$64*Shipping!$L$65)*IF(bunker_choice="HFO",$H45,IF(bunker_choice="hydrogen",$BD45*hfo_e_density_lhv/h2_e_density_lhv,(CO45+CQ45)*1000000/CS45*hfo_e_density_lhv/meoh_e_density_lhv))+(F45/24/Shipping!$L$50*Shipping!$L$51+Shipping!$L$59*Shipping!$L$60)*IF(bunker_choice="HFO",bunker_price_ROT,IF(bunker_choice="hydrogen",$BD45*hfo_e_density_lhv/h2_e_density_lhv,(CO45+CQ45)*1000000/CS45*hfo_e_density_lhv/meoh_e_density_lhv))+Shipping!$L$73+IF(G45="Panama",Shipping!$L$55,0)+IF(G45="Suez",Shipping!$L$56,0))/Shipping!$L$31*CS45/1000000+IF(inland_transport_to_port="hv dc grid",$BM45/100*1000*CV45,IF(inland_transport_to_port="pipeline",$BN45,0)))))</f>
        <v>4377.5886449048912</v>
      </c>
      <c r="CU45" s="28">
        <f t="shared" si="37"/>
        <v>89837.874234820774</v>
      </c>
      <c r="CV45" s="29">
        <f>((Carriers!$R$18/Carriers!$R$23*alk_el_e_demand)+meoh_e_demand)*(CS45+meoh_st_ab_losses)/1000000+meoh_st_e_demand*CS45/1000000</f>
        <v>1119.9789871111109</v>
      </c>
      <c r="CW45" s="29">
        <f t="shared" si="81"/>
        <v>0.16206666666666666</v>
      </c>
      <c r="CX45" s="28">
        <f>IFERROR(CU45*1000000/Storage!$K$12,"")</f>
        <v>831.48999188953826</v>
      </c>
      <c r="CY45" s="28">
        <f>IF($E45="","No Port",((F45/24/Shipping!$L$44+F45/24/Shipping!$L$50+Shipping!$L$59+Shipping!$L$64)*Carriers!$R$39*wacc_nl))</f>
        <v>75.906170639221543</v>
      </c>
      <c r="CZ45" s="29">
        <f>H2_retrieval!$J$25*h2_demand_kt/1000+(co2_liq_e_demand+co2_st_e_demand*2)*Storage!$K$12*co2_density/meoh_density/1000000</f>
        <v>251.05079059698966</v>
      </c>
      <c r="DA45" s="28">
        <f>IFERROR((((CO45+CQ45+CT45)*(1+H2_retrieval!$J$34)+CY45)*1000000/H2_retrieval!$J$8)+h2_regen_meoh,"")</f>
        <v>6591.4562038882914</v>
      </c>
      <c r="DB45" s="149">
        <f>(DBT_invest*(M45+1/DBT_lifetime)/DBT_prod+DBT_opex+DBT_e_demand*1000*$AU45/100+Carriers!$T$18/Carriers!$T$23*BD45)*(DD45+DBT_st_ab_losses)/1000000</f>
        <v>42786.982098892593</v>
      </c>
      <c r="DC45" s="28">
        <f>2*(DBT_st_nl_cost*DBT_st_nl_demand/1000000+(DBT_st_invest*(M45+1/DBT_st_lifetime+DBT_st_opex)/(Storage!$M$63/1000000)+DBT_st_e_demand*1000*$AU45/100)*(DD45+DBT_st_ab_losses)/1000000)+Carriers!$T$18/Carriers!$T$23*((DD45+DBT_st_ab_losses)/365.25*short_st_duration_hrs/24)*(h2_short_st_invest*(1/gh2_short_st_lifetime+$M45+h2_short_st_opex)+h2_short_st_e_demand*1000*$AU45/100)/1000000</f>
        <v>4498.3162669808798</v>
      </c>
      <c r="DD45" s="63">
        <f>Storage!$M$57/((1-Shipping!$N$37)^($F45/24/Shipping!$N$44+0.5*Shipping!$N$59))</f>
        <v>219354838.70967743</v>
      </c>
      <c r="DE45" s="28">
        <f>IF($E45="","No Port",IF(AND(ship_choice="VLCC",G45="Panama"),"Ship cannot pass through Panama",IF(ship_choice="VLCC",((F45/24/Shipping!$AD$44+F45/24/Shipping!$AD$50+Shipping!$AD$59+Shipping!$AD$64)*(Shipping!$AD$22+wacc_nl*Shipping!$AD$19/365.25*1000000+Shipping!$AD$35)+(F45/24/Shipping!$AD$44*Shipping!$AD$45+Shipping!$AD$64*Shipping!$AD$65)*IF(bunker_choice="HFO",$H45,IF(bunker_choice="hydrogen",$BD45*hfo_e_density_lhv/h2_e_density_lhv,(DB45+DC45)*1000000/DD45*hfo_e_density_lhv/DBT_e_density_lhv))+(F45/24/Shipping!$AD$50*Shipping!$AD$51+Shipping!$AD$59*Shipping!$AD$60)*IF(bunker_choice="HFO",bunker_price_ROT,IF(bunker_choice="hydrogen",$BD45*hfo_e_density_lhv/h2_e_density_lhv,(DB45+DC45)*1000000/DD45*hfo_e_density_lhv/DBT_e_density_lhv))+Shipping!$AD$73+IF(G45="Panama",Shipping!$AD$55,0)+IF(G45="Suez",Shipping!$AD$56,0))/Shipping!$AD$31*DD45/1000000+IF(inland_transport_to_port="hv dc grid",$BM45/100*1000*DG45,IF(inland_transport_to_port="pipeline",$BN45,0)),((F45/24/Shipping!$N$44+F45/24/Shipping!$N$50+Shipping!$N$59+Shipping!$N$64)*(Shipping!$N$22+wacc_nl*Shipping!$N$19/365.25*1000000+Shipping!$N$35)+(F45/24/Shipping!$N$44*Shipping!$N$45+Shipping!$N$64*Shipping!$N$65)*IF(bunker_choice="HFO",$H45,IF(bunker_choice="hydrogen",$BD45*hfo_e_density_lhv/h2_e_density_lhv,(DB45+DC45)*1000000/DD45*hfo_e_density_lhv/DBT_e_density_lhv))+(F45/24/Shipping!$N$50*Shipping!$N$51+Shipping!$N$59*Shipping!$N$60)*IF(bunker_choice="HFO",bunker_price_ROT,IF(bunker_choice="hydrogen",$BD45*hfo_e_density_lhv/h2_e_density_lhv,(DB45+DC45)*1000000/DD45*hfo_e_density_lhv/DBT_e_density_lhv))+Shipping!$N$73+IF(G45="Panama",Shipping!$N$55,0)+IF(G45="Suez",Shipping!$N$56,0))/Shipping!$N$31*Shipping!$N$86/1000000+IF(inland_transport_to_port="hv dc grid",$BM45/100*1000*DG45,IF(inland_transport_to_port="pipeline",$BN45,0)))))</f>
        <v>7830.3900257437299</v>
      </c>
      <c r="DF45" s="28">
        <f t="shared" si="82"/>
        <v>55115.688391617201</v>
      </c>
      <c r="DG45" s="29">
        <f>((Carriers!$T$18/Carriers!$T$23*alk_el_e_demand)+DBT_e_demand)*(DD45+DBT_st_ab_losses)/1000000+DBT_st_e_demand*DD45/1000000</f>
        <v>703.88335483870969</v>
      </c>
      <c r="DH45" s="29">
        <f t="shared" si="83"/>
        <v>0.21935483870967742</v>
      </c>
      <c r="DI45" s="28">
        <f>IFERROR(DF45*1000000/Storage!$M$12,"")</f>
        <v>251.26269707943135</v>
      </c>
      <c r="DJ45" s="28">
        <f>IF($E45="","No Port",((F45/24/Shipping!$N$44+F45/24/Shipping!$N$50+Shipping!$N$59+Shipping!$N$64)*Carriers!$T$39*wacc_nl))</f>
        <v>5528.4958065466535</v>
      </c>
      <c r="DK45" s="100">
        <f>H2_retrieval!$L$25*h2_demand_kt/1000+(co2_liq_e_demand+co2_st_e_demand*2)*Storage!$M$12*co2_density/DBT_density/1000000</f>
        <v>206.61934861671787</v>
      </c>
      <c r="DL45" s="28">
        <f>IFERROR(((DF45*(1+H2_retrieval!$L$34)+DJ45)*1000000/H2_retrieval!$L$8)+h2_regen_lohc,"")</f>
        <v>4929.7809716802549</v>
      </c>
      <c r="DM45" s="149">
        <f t="shared" si="84"/>
        <v>68283.258791552755</v>
      </c>
      <c r="DN45" s="16">
        <f>2*(nabh4_st_nl_cost*nabh4_st_nl_demand/1000000+(nabh4_st_invest*(M45+1/nabh4_st_lifetime+nabh4_st_opex)/(Storage!$O$63/1000000)+nabh4_st_e_demand*1000*$AU45/100)*(DO45+nabh4_st_ab_losses)/1000000)+(h2_demand_kt*1000/365.25*short_st_duration_hrs/24)*(h2_short_st_invest*(1/gh2_short_st_lifetime+$M45+h2_short_st_opex)+h2_short_st_e_demand*1000*$AU45/100)/1000000</f>
        <v>1610.717356654274</v>
      </c>
      <c r="DO45" s="63">
        <f>Storage!$O$57/((1-Shipping!$P$37)^($F45/24/Shipping!$P$44+0.5*Shipping!$P$59))</f>
        <v>63920000</v>
      </c>
      <c r="DP45" s="16">
        <f>IF($E45="","No Port",((F45/24/Shipping!$P$44+F45/24/Shipping!$P$50+Shipping!$P$59+Shipping!$P$64)*(Shipping!$P$22+wacc_nl*Shipping!$P$19/365.25*1000000+Shipping!$P$35)+(F45/24/Shipping!$P$44*Shipping!$P$45+Shipping!$P$64*Shipping!$P$65)*IF(bunker_choice="HFO",$H45,IF(bunker_choice="hydrogen",$BD45*hfo_e_density_lhv/h2_e_density_lhv,(DM45+DN45)*1000000/DO45*hfo_e_density_lhv/nabh4_e_density_lhv))+(F45/24/Shipping!$P$50*Shipping!$P$51+Shipping!$P$59*Shipping!$P$60)*IF(bunker_choice="HFO",bunker_price_ROT,IF(bunker_choice="hydrogen",$BD45*hfo_e_density_lhv/h2_e_density_lhv,(DM45+DN45)*1000000/DO45*hfo_e_density_lhv/nabh4_e_density_lhv))+Shipping!$P$73+IF(G45="Panama",Shipping!$P$55,0)+IF(G45="Suez",Shipping!$P$56,0))/Shipping!$P$31*(DO45+nabh4_st_ab_losses)/1000000+IF(inland_transport_to_port="hv dc grid",$BM45/100*1000*DR45,IF(inland_transport_to_port="pipeline",$BN45,0)))</f>
        <v>2335.5555127366861</v>
      </c>
      <c r="DQ45" s="28">
        <f t="shared" si="60"/>
        <v>72229.531660943714</v>
      </c>
      <c r="DR45" s="29">
        <f>((Carriers!$V$18/Carriers!$V$23*alk_el_e_demand)+nabh4_e_demand)*(DO45+nabh4_st_ab_losses)/1000000+nabh4_st_e_demand*DO45/1000000</f>
        <v>980.02139682539689</v>
      </c>
      <c r="DS45" s="28">
        <f t="shared" si="85"/>
        <v>3.1960000000000002</v>
      </c>
      <c r="DT45" s="28">
        <f>IFERROR(DQ45*1000000/Storage!$O$12,"")</f>
        <v>1129.9989308658278</v>
      </c>
      <c r="DU45" s="28">
        <f>IF($E45="","No Port",((F45/24/Shipping!$P$44+F45/24/Shipping!$P$50+Shipping!$P$59+Shipping!$P$64)*Carriers!$V$39*wacc_nl))</f>
        <v>517.32102469736208</v>
      </c>
      <c r="DV45" s="100">
        <f>H2_retrieval!$N$25*h2_demand_kt/1000+(co2_liq_e_demand+co2_st_e_demand*2)*Storage!$O$12*co2_density/nabh4_density/1000000</f>
        <v>18.783638728971958</v>
      </c>
      <c r="DW45" s="28">
        <f>IFERROR(((DQ45*(1+H2_retrieval!$N$34)+DU45)*1000000/H2_retrieval!$N$8)+h2_regen_nabh4,"")</f>
        <v>5462.1273956609302</v>
      </c>
      <c r="DX45" s="149">
        <f>(Dme_invest*(M45+1/Dme_lifetime)/Dme_prod+Dme_opex+Dme_e_demand*1000*$AU45/100+Carriers!$X$21/Carriers!$X$23*(CO45*1000000/CS45))*(EB45+Dme_st_ab_losses)/1000000</f>
        <v>90785.209193553281</v>
      </c>
      <c r="DY45" s="86">
        <f>(Dme_invest*(M45+1/Dme_lifetime)/Dme_prod+Dme_opex+Dme_e_demand*1000*$AU45/100+Carriers!$X$21/Carriers!$X$23*(CP45*1000000/CS45))*(EB45+Dme_st_ab_losses)/1000000</f>
        <v>116857.25860901031</v>
      </c>
      <c r="DZ45" s="63">
        <f>Dme_st_nl_cost*Dme_st_nl_demand/1000000+(Dme_st_invest*(M45+1/Dme_st_lifetime+Dme_st_opex)/(Storage!$Q$63/1000000)+Dme_st_e_demand*1000*$AU45/100)*(EB45+Dme_st_ab_losses)/1000000+co2_st_nl_cost*Storage!$Q$12*co2_density/Dme_density/1000000+(co2_st_opex_lev+co2_st_invest_lev+co2_st_e_demand*1000*$AU45/100)*Storage!$Q$12/1000000+co2_st_invest_lev*Storage!$Q$12*co2_st_lifetime*M45/1000000+(h2_demand_kt*1000/365.25*short_st_duration_hrs/24)*(h2_short_st_invest*(1/gh2_short_st_lifetime+$M45+h2_short_st_opex)+h2_short_st_e_demand*1000*$AU45/100)/1000000</f>
        <v>6494.0455267255193</v>
      </c>
      <c r="EA45" s="63">
        <f>Dme_st_nl_cost*Dme_st_nl_demand/1000000+(Dme_st_invest*(M45+1/Dme_st_lifetime+Dme_st_opex)/(Storage!$Q$63/1000000)+Dme_st_e_demand*1000*$AU45/100)*(EB45+Dme_st_ab_losses)/1000000+(h2_demand_kt*1000/365.25*short_st_duration_hrs/24)*(h2_short_st_invest*(1/gh2_short_st_lifetime+$M45+h2_short_st_opex)+h2_short_st_e_demand*1000*$AU45/100)/1000000</f>
        <v>3288.2156847692463</v>
      </c>
      <c r="EB45" s="63">
        <f>Storage!$Q$57/((1-Shipping!$R$37)^($F45/24/Shipping!$R$44+0.5*Shipping!$R$59))</f>
        <v>103547089.94708996</v>
      </c>
      <c r="EC45" s="153">
        <f>IF($E45="","No Port",IF(AND(ship_choice="VLCC",G45="Panama"),"Ship cannot pass through Panama",IF(ship_choice="VLCC",((F45/24/Shipping!$AD$44+F45/24/Shipping!$AD$50+Shipping!$AD$59+Shipping!$AD$64)*(Shipping!$AD$22+wacc_nl*Shipping!$AD$19/365.25*1000000+Shipping!$AD$35)+(F45/24/Shipping!$AD$44*Shipping!$AD$45+Shipping!$AD$64*Shipping!$AD$65)*IF(bunker_choice="HFO",$H45,IF(bunker_choice="hydrogen",$BD45*hfo_e_density_lhv/h2_e_density_lhv,(DX45+DZ45)*1000000/EB45*hfo_e_density_lhv/Dme_e_density_lhv))+(F45/24/Shipping!$AD$50*Shipping!$AD$51+Shipping!$AD$59*Shipping!$AD$60)*IF(bunker_choice="HFO",bunker_price_ROT,IF(bunker_choice="hydrogen",$BD45*hfo_e_density_lhv/h2_e_density_lhv,(DX45+DZ45)*1000000/EB45*hfo_e_density_lhv/Dme_e_density_lhv))+Shipping!$AD$73+IF(G45="Panama",Shipping!$AD$55,0)+IF(G45="Suez",Shipping!$AD$56,0))/Shipping!$AD$31*(EB45+Dme_st_ab_losses)/1000000+IF(inland_transport_to_port="hv dc grid",$BM45/100*1000*EE45,IF(inland_transport_to_port="pipeline",$BN45,0)),((F45/24/Shipping!$R$44+F45/24/Shipping!$R$50+Shipping!$R$59+Shipping!$R$64)*(Shipping!$R$22+wacc_nl*Shipping!$R$19/365.25*1000000+Shipping!$R$35)+(F45/24/Shipping!$R$44*Shipping!$R$45+Shipping!$R$64*Shipping!$R$65)*IF(bunker_choice="HFO",$H45,IF(bunker_choice="hydrogen",$BD45*hfo_e_density_lhv/h2_e_density_lhv,(DX45+DZ45)*1000000/EB45*hfo_e_density_lhv/Dme_e_density_lhv))+(F45/24/Shipping!$R$50*Shipping!$R$51+Shipping!$R$59*Shipping!$R$60)*IF(bunker_choice="HFO",bunker_price_ROT,IF(bunker_choice="hydrogen",$BD45*hfo_e_density_lhv/h2_e_density_lhv,(DX45+DZ45)*1000000/EB45*hfo_e_density_lhv/Dme_e_density_lhv))+Shipping!$R$73+IF(G45="Panama",Shipping!$R$55,0)+IF(G45="Suez",Shipping!$R$56,0))/Shipping!$R$31*(EB45+Dme_st_ab_losses)/1000000+IF(inland_transport_to_port="hv dc grid",$BM45/100*1000*EE45,IF(inland_transport_to_port="pipeline",$BN45,0)))))</f>
        <v>4427.2162046320082</v>
      </c>
      <c r="ED45" s="28">
        <f t="shared" si="39"/>
        <v>124572.69049841157</v>
      </c>
      <c r="EE45" s="29">
        <f>(Dme_e_demand)*(EB45+Dme_st_ab_losses)/1000000+Dme_st_e_demand*DZ45/1000000+$CV45*(Carriers!$X$21/Carriers!$X$23*EB45)/$CS45</f>
        <v>1550.2168251075111</v>
      </c>
      <c r="EF45" s="29">
        <f t="shared" si="86"/>
        <v>1.0354708994708997</v>
      </c>
      <c r="EG45" s="28">
        <f>IFERROR(ED45*1000000/Storage!$Q$12,"")</f>
        <v>1203.0535147058715</v>
      </c>
      <c r="EH45" s="28">
        <f>IF($E45="","No Port",((F45/24/Shipping!$R$44+F45/24/Shipping!$R$50+Shipping!$R$59+Shipping!$R$64)*Carriers!$X$39*wacc_nl))</f>
        <v>78.503791703632018</v>
      </c>
      <c r="EI45" s="100">
        <f>H2_retrieval!$P$25*h2_demand_kt/1000+(co2_liq_e_demand+co2_st_e_demand*2)*Storage!$Q$12*co2_density/Dme_density/1000000</f>
        <v>252.45335899349112</v>
      </c>
      <c r="EJ45" s="28">
        <f>IFERROR((((DX45+DZ45+EC45)*(1+H2_retrieval!$P$34)+EH45)*1000000/H2_retrieval!$P$8)+h2_regen_dme,"")</f>
        <v>8654.3178605942358</v>
      </c>
      <c r="EK45" s="149">
        <f>(ome_invest*(M45+1/ome_lifetime)/ome_prod+ome_opex+ome_e_demand*1000*$AU45/100+Carriers!$Z$21/Carriers!$Z$23*(CO45*1000000/CS45))*(EO45+ome_st_ab_losses)/1000000</f>
        <v>199372.28011728823</v>
      </c>
      <c r="EL45" s="86">
        <f>(ome_invest*(M45+1/ome_lifetime)/ome_prod+ome_opex+ome_e_demand*1000*$AU45/100+Carriers!$Z$21/Carriers!$Z$23*(CP45*1000000/CS45))*(EO45+ome_st_ab_losses)/1000000</f>
        <v>254102.58710455798</v>
      </c>
      <c r="EM45" s="63">
        <f>ome_st_nl_cost*ome_st_nl_demand/1000000+(ome_st_invest*(M45+1/ome_st_lifetime+ome_st_opex)/(Storage!$S$63/1000000)+ome_st_e_demand*1000*$AU45/100)*(EO45+ome_st_ab_losses)/1000000+co2_st_nl_cost*Storage!$S$12*co2_density/ome_density/1000000+(co2_st_opex_lev+co2_st_invest_lev+co2_st_e_demand*1000*$AU45/100)*Storage!$S$12/1000000+co2_st_invest_lev*Storage!$S$12*co2_st_lifetime*M45/1000000+(h2_demand_kt*1000/365.25*short_st_duration_hrs/24)*(h2_short_st_invest*(1/gh2_short_st_lifetime+$M45+h2_short_st_opex)+h2_short_st_e_demand*1000*$AU45/100)/1000000</f>
        <v>5613.5952344826492</v>
      </c>
      <c r="EN45" s="63">
        <f>ome_st_nl_cost*ome_st_nl_demand/1000000+(ome_st_invest*(M45+1/ome_st_lifetime+ome_st_opex)/(Storage!$S$63/1000000)+ome_st_e_demand*1000*$AU45/100)*(EO45+ome_st_ab_losses)/1000000+(h2_demand_kt*1000/365.25*short_st_duration_hrs/24)*(h2_short_st_invest*(1/gh2_short_st_lifetime+$M45+h2_short_st_opex)+h2_short_st_e_demand*1000*$AU45/100)/1000000</f>
        <v>1980.9208552535642</v>
      </c>
      <c r="EO45" s="63">
        <f>Storage!$S$57/((1-Shipping!$T$37)^($F45/24/Shipping!$T$44+0.5*Shipping!$T$59))</f>
        <v>128282539.68253967</v>
      </c>
      <c r="EP45" s="28">
        <f>IF($E45="","No Port",IF(AND(ship_choice="VLCC",G45="Panama"),"Ship cannot pass through Panama",IF(ship_choice="VLCC",((F45/24/Shipping!$AD$44+F45/24/Shipping!$AD$50+Shipping!$AD$59+Shipping!$AD$64)*(Shipping!$AD$22+wacc_nl*Shipping!$AD$19/365.25*1000000+Shipping!$AD$35)+(F45/24/Shipping!$AD$44*Shipping!$AD$45+Shipping!$AD$64*Shipping!$AD$65)*IF(bunker_choice="HFO",$H45,IF(bunker_choice="hydrogen",$BD45*hfo_e_density_lhv/h2_e_density_lhv,(EK45+EM45)*1000000/EO45*hfo_e_density_lhv/Dme_e_density_lhv))+(F45/24/Shipping!$AD$50*Shipping!$AD$51+Shipping!$AD$59*Shipping!$AD$60)*IF(bunker_choice="HFO",bunker_price_ROT,IF(bunker_choice="hydrogen",$BD45*hfo_e_density_lhv/h2_e_density_lhv,(EK45+EM45)*1000000/EO45*hfo_e_density_lhv/ome_e_density_lhv))+Shipping!$AD$73+IF(G45="Panama",Shipping!$AD$55,0)+IF(G45="Suez",Shipping!$AD$56,0))/Shipping!$AD$31*(EO45+ome_st_ab_losses)/1000000+IF(inland_transport_to_port="hv dc grid",$BM45/100*1000*ER45,IF(inland_transport_to_port="pipeline",$BN45,0)),((F45/24/Shipping!$T$44+F45/24/Shipping!$T$50+Shipping!$T$59+Shipping!$T$64)*(Shipping!$T$22+wacc_nl*Shipping!$T$19/365.25*1000000+Shipping!$T$35)+(F45/24/Shipping!$T$44*Shipping!$T$45+Shipping!$T$64*Shipping!$T$65)*IF(bunker_choice="HFO",$H45,IF(bunker_choice="hydrogen",$BD45*hfo_e_density_lhv/h2_e_density_lhv,(EK45+EM45)*1000000/EO45*hfo_e_density_lhv/Dme_e_density_lhv))+(F45/24/Shipping!$T$50*Shipping!$T$51+Shipping!$T$59*Shipping!$T$60)*IF(bunker_choice="HFO",bunker_price_ROT,IF(bunker_choice="hydrogen",$BD45*hfo_e_density_lhv/h2_e_density_lhv,(EK45+EM45)*1000000/EO45*hfo_e_density_lhv/ome_e_density_lhv))+Shipping!$T$73+IF(G45="Panama",Shipping!$T$55,0)+IF(G45="Suez",Shipping!$T$56,0))/Shipping!$T$31*(EO45+ome_st_ab_losses)/1000000+IF(inland_transport_to_port="hv dc grid",$BM45/100*1000*ER45,IF(inland_transport_to_port="pipeline",$BN45,0)))))</f>
        <v>4853.2908979992444</v>
      </c>
      <c r="EQ45" s="28">
        <f t="shared" si="40"/>
        <v>260936.79885781079</v>
      </c>
      <c r="ER45" s="29">
        <f>(ome_e_demand)*(EO45+ome_st_ab_losses)/1000000+ome_st_e_demand*EM45/1000000+$CV45*(Carriers!$Z$21/Carriers!$Z$23*EO45)/$CS45</f>
        <v>3352.0814585611761</v>
      </c>
      <c r="ES45" s="29">
        <f t="shared" si="87"/>
        <v>0.1924238095238095</v>
      </c>
      <c r="ET45" s="28">
        <f>IFERROR(EQ45*1000000/Storage!$S$12,"")</f>
        <v>2034.0788349182214</v>
      </c>
      <c r="EU45" s="28">
        <f>IF($E45="","No Port",((F45/24/Shipping!$T$44+F45/24/Shipping!$T$50+Shipping!$T$59+Shipping!$T$64)*Carriers!$Z$39*wacc_nl))</f>
        <v>90.124359445269548</v>
      </c>
      <c r="EV45" s="100">
        <f>H2_retrieval!$R$25*h2_demand_kt/1000+(co2_liq_e_demand+co2_st_e_demand*2)*Storage!$S$12*co2_density/ome_density/1000000</f>
        <v>254.51942895252085</v>
      </c>
      <c r="EW45" s="28">
        <f>IFERROR((((EK45+EM45+EP45)*(1+H2_retrieval!$R$34)+EU45)*1000000/H2_retrieval!$R$8)+h2_regen_ome,"")</f>
        <v>16606.105793873718</v>
      </c>
      <c r="EX45" s="149">
        <f>(sng_invest*(M45+1/sng_lifetime)/sng_prod+lng_invest*(M45+1/lng_lifetime)/lng_prod+sng_opex+lng_opex+(sng_e_demand+lng_e_demand)*1000*$AU45/100+Carriers!$AB$18/Carriers!$AB$23*BD45+Carriers!$AB$20/Carriers!$AB$23*co2_liq_cost)*(FB45+lng_st_ab_losses)/1000000</f>
        <v>70001.181937285684</v>
      </c>
      <c r="EY45" s="86">
        <f>(sng_invest*(M45+1/sng_lifetime)/sng_prod+lng_invest*(M45+1/lng_lifetime)/lng_prod+sng_opex+lng_opex+(sng_e_demand+lng_e_demand)*1000*$AU45/100+Carriers!$AB$18/Carriers!$AB$23*BD45+Carriers!$AB$20/Carriers!$AB$23*BP45)*(FB45+lng_st_ab_losses)/1000000</f>
        <v>84397.45752502649</v>
      </c>
      <c r="EZ45" s="63">
        <f>lng_st_nl_cost*lng_st_nl_demand/1000000+(lng_st_invest*(M45+1/lng_st_lifetime+lng_st_opex)/(Storage!$U$63/1000000)+lng_st_e_demand*1000*$AU45/100)*(FB45+lng_st_ab_losses)/1000000+co2_st_nl_cost*Storage!$U$12*co2_density/lng_density/1000000+(co2_st_opex_lev+co2_st_invest_lev+co2_st_e_demand*1000*$AU45/100)*Storage!$U$12/1000000+co2_st_invest_lev*Storage!$U$12*co2_st_lifetime*M45/1000000+Carriers!$AB$18/Carriers!$AB$23*((FB45+lng_st_ab_losses)/365.25*short_st_duration_hrs/24)*(h2_short_st_invest*(1/gh2_short_st_lifetime+$M45+h2_short_st_opex)+h2_short_st_e_demand*1000*$AU45/100)/1000000+Carriers!$AB$20/Carriers!$AB$23*((FB45+lng_st_ab_losses)/365.25*short_st_duration_hrs/24)*(co2_short_st_invest*(1/co2_short_st_lifetime+$M45+co2_short_st_opex)+co2_short_st_e_demand*1000*$AU45/100)/1000000</f>
        <v>6833.3575321145336</v>
      </c>
      <c r="FA45" s="63">
        <f>lng_st_nl_cost*lng_st_nl_demand/1000000+(lng_st_invest*(M45+1/lng_st_lifetime+lng_st_opex)/(Storage!$U$63/1000000)+lng_st_e_demand*1000*$AU45/100)*(FB45+lng_st_ab_losses)/1000000+Carriers!$AB$18/Carriers!$AB$23*((FB45+lng_st_ab_losses)/365.25*short_st_duration_hrs/24)*(h2_short_st_invest*(1/gh2_short_st_lifetime+$M45+h2_short_st_opex)+h2_short_st_e_demand*1000*$AU45/100)/1000000+Carriers!$AB$20/Carriers!$AB$23*((FB45+lng_st_ab_losses)/365.25*short_st_duration_hrs/24)*(co2_short_st_invest*(1/co2_short_st_lifetime+$M45+co2_short_st_opex)+co2_short_st_e_demand*1000*$AU45/100)/1000000</f>
        <v>5139.1799364536473</v>
      </c>
      <c r="FB45" s="63">
        <f>Storage!$U$57/((1-Shipping!$V$37)^($F45/24/Shipping!$V$44+0.5*Shipping!$V$59))</f>
        <v>41240146.598053619</v>
      </c>
      <c r="FC45" s="28">
        <f>IF($E45="","No Port",IF(G45="Panama","Ship cannot pass through Panama",((F45/24/Shipping!$V$44+F45/24/Shipping!$V$50+Shipping!$V$59+Shipping!$V$64)*(Shipping!$V$22+wacc_nl*Shipping!$V$19/365.25*1000000+Shipping!$V$35)+(F45/24/Shipping!$V$44*Shipping!$V$45+Shipping!$V$64*Shipping!$V$65)*IF(bunker_choice="HFO",$H45,IF(bunker_choice="hydrogen",$BD45*hfo_e_density_lhv/h2_e_density_lhv,(EX45+EZ45)*1000000/FB45*hfo_e_density_lhv/lng_e_density_lhv))+(F45/24/Shipping!$V$50*Shipping!$V$51+Shipping!$V$59*Shipping!$V$60)*IF(bunker_choice="HFO",bunker_price_ROT,IF(bunker_choice="hydrogen",$BD45*hfo_e_density_lhv/h2_e_density_lhv,(EX45+EZ45)*1000000/FB45*hfo_e_density_lhv/lng_e_density_lhv))+Shipping!$V$73+IF(G45="Panama",Shipping!$V$55,0)+IF(G45="Suez",Shipping!$V$56,0))/Shipping!$V$31*(FB45+lng_st_ab_losses)/1000000)+IF(inland_transport_to_port="hv dc grid",$BM45/100*1000*FE45,IF(inland_transport_to_port="pipeline",$BN45,0)))</f>
        <v>1929.1586909839818</v>
      </c>
      <c r="FD45" s="28">
        <f t="shared" si="41"/>
        <v>91465.796152464114</v>
      </c>
      <c r="FE45" s="29">
        <f>((Carriers!$AB$18/Carriers!$AB$23*alk_el_e_demand)+sng_e_demand+lng_e_demand)*(FB45+lng_st_ab_losses)/1000000+lng_st_e_demand*EZ45/1000000</f>
        <v>1106.0280527575967</v>
      </c>
      <c r="FF45" s="29">
        <f t="shared" si="88"/>
        <v>0.8126185861001558</v>
      </c>
      <c r="FG45" s="28">
        <f>IFERROR(FD45*1000000/Storage!$U$12,"")</f>
        <v>2253.7332437442269</v>
      </c>
      <c r="FH45" s="28">
        <f>IF($E45="","No Port",((F45/24/Shipping!$V$44+F45/24/Shipping!$V$50+Shipping!$V$59+Shipping!$V$64)*Carriers!$AB$39*wacc_nl))</f>
        <v>26.668705539349205</v>
      </c>
      <c r="FI45" s="100">
        <f>H2_retrieval!$T$25*h2_demand_kt/1000+(co2_liq_e_demand+co2_st_e_demand*2)*Storage!$U$12*co2_density/lng_density/1000000</f>
        <v>236.51371749646054</v>
      </c>
      <c r="FJ45" s="28">
        <f>IFERROR((((EX45+EZ45+FC45)*(1+H2_retrieval!$T$34)+FH45)*1000000/H2_retrieval!$T$8)+h2_regen_lng,"")</f>
        <v>6963.5378715728475</v>
      </c>
      <c r="FK45" s="149">
        <f>(lh2_invest*(M45+1/lh2_lifetime)/lh2_prod+lh2_opex+lh2_e_demand*1000*$AU45/100+Carriers!$AD$18/Carriers!$AD$23*BD45)*(FM45+lh2_st_ab_losses)/1000000</f>
        <v>56553.548965832211</v>
      </c>
      <c r="FL45" s="28">
        <f>lh2_st_nl_cost*lh2_st_nl_demand/1000000+(lh2_st_invest*(M45+1/lh2_st_lifetime+lh2_st_opex)/(Storage!$Y$63/1000000)+lh2_st_e_demand*1000*$AU45/100)*(FM45+lh2_st_ab_losses)/1000000+((FM45+lh2_st_ab_losses)/365.25*short_st_duration_hrs/24)*(h2_short_st_invest*(1/gh2_short_st_lifetime+$M45+h2_short_st_opex)+h2_short_st_e_demand*1000*$AU45/100)/1000000</f>
        <v>59180.799056085205</v>
      </c>
      <c r="FM45" s="63">
        <f>Storage!$Y$57/((1-Shipping!$Z$37)^($F45/24/Shipping!$Z$44+0.5*Shipping!$Z$59))</f>
        <v>13947340.426244443</v>
      </c>
      <c r="FN45" s="28">
        <f>IF($E45="","No Port",IF(G45="Panama","Ship cannot pass through Panama",((F45/24/Shipping!$Z$44+F45/24/Shipping!$Z$50+Shipping!$Z$59+Shipping!$Z$64)*(Shipping!$Z$22+wacc_nl*Shipping!$Z$19/365.25*1000000+Shipping!$Z$35)+(F45/24/Shipping!$Z$44*Shipping!$Z$45+Shipping!$Z$64*Shipping!$Z$65)*IF(bunker_choice="HFO",$H45,IF(bunker_choice="hydrogen",$BD45*hfo_e_density_lhv/h2_e_density_lhv,(FK45+FL45)*1000000/FM45*hfo_e_density_lhv/lh2_e_density_lhv))+(F45/24/Shipping!$Z$50*Shipping!$Z$51+Shipping!$Z$59*Shipping!$Z$60)*IF(bunker_choice="HFO",bunker_price_ROT,IF(bunker_choice="hydrogen",$BD45*hfo_e_density_lhv/h2_e_density_lhv,(FK45+FL45)*1000000/FM45*hfo_e_density_lhv/lh2_e_density_lhv))+Shipping!$Z$73+IF(G45="Panama",Shipping!$Z$55,0)+IF(G45="Suez",Shipping!$Z$56,0))/Shipping!$Z$31*(FM45+lh2_st_ab_losses)/1000000)+IF(inland_transport_to_port="hv dc grid",$BM45/100*1000*FP45,IF(inland_transport_to_port="pipeline",$BN45,0)))</f>
        <v>3118.3876418207083</v>
      </c>
      <c r="FO45" s="28">
        <f t="shared" si="42"/>
        <v>118852.73566373813</v>
      </c>
      <c r="FP45" s="29">
        <f>((Carriers!$AD$18/Carriers!$AD$23*alk_el_e_demand)+lh2_e_demand)*(FM45+lh2_st_ab_losses)/1000000+lh2_st_e_demand*FM45/1000000</f>
        <v>808.2316436167697</v>
      </c>
      <c r="FQ45" s="100">
        <f t="shared" si="89"/>
        <v>1.361902463475859</v>
      </c>
      <c r="FR45" s="28">
        <f>IFERROR(FO45*1000000/Storage!$Y$12,"")</f>
        <v>8739.171739980744</v>
      </c>
      <c r="FS45" s="100">
        <f>H2_retrieval!$V$25*h2_demand_kt/1000</f>
        <v>8.16</v>
      </c>
      <c r="FT45" s="28">
        <f>IFERROR(FR45*(1+H2_retrieval!$V$34)/Carrier_properties!$U$7+H2_retrieval!$V$38,"")</f>
        <v>8771.140465849212</v>
      </c>
      <c r="FU45" s="12"/>
      <c r="FV45" s="24">
        <f t="shared" si="90"/>
        <v>2.5266037546061662</v>
      </c>
      <c r="FW45" s="24">
        <f t="shared" si="57"/>
        <v>5.3579481389959476</v>
      </c>
      <c r="FX45" s="24">
        <f t="shared" si="58"/>
        <v>7.9149540238189608</v>
      </c>
      <c r="FY45" s="24">
        <f t="shared" si="45"/>
        <v>2.5266037546061662</v>
      </c>
      <c r="FZ45" s="28">
        <f t="shared" si="59"/>
        <v>2880.6754222632053</v>
      </c>
      <c r="GA45" s="28">
        <f t="shared" si="47"/>
        <v>682.41205102797346</v>
      </c>
      <c r="GB45" s="28">
        <f t="shared" si="48"/>
        <v>497.78483930237473</v>
      </c>
      <c r="GC45" s="28">
        <f t="shared" si="49"/>
        <v>770.52485683706095</v>
      </c>
      <c r="GD45" s="28">
        <f t="shared" si="50"/>
        <v>1128.5421798789471</v>
      </c>
      <c r="GE45" s="28">
        <f t="shared" si="51"/>
        <v>1980.8041510043745</v>
      </c>
      <c r="GF45" s="28">
        <f t="shared" si="52"/>
        <v>2046.4878155648878</v>
      </c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</row>
    <row r="46" spans="1:214" x14ac:dyDescent="0.2">
      <c r="A46" s="154" t="s">
        <v>52</v>
      </c>
      <c r="B46" s="12">
        <v>9724</v>
      </c>
      <c r="C46" s="12">
        <v>0.1</v>
      </c>
      <c r="D46" s="12">
        <f t="shared" si="61"/>
        <v>0.9</v>
      </c>
      <c r="E46" s="12" t="s">
        <v>716</v>
      </c>
      <c r="F46" s="12">
        <v>5677</v>
      </c>
      <c r="G46" s="12" t="s">
        <v>113</v>
      </c>
      <c r="H46" s="16">
        <f t="shared" si="62"/>
        <v>382.75862068965517</v>
      </c>
      <c r="I46" s="16">
        <v>248360</v>
      </c>
      <c r="J46" s="16">
        <f t="shared" si="31"/>
        <v>281.16799841483783</v>
      </c>
      <c r="K46" s="27">
        <f t="shared" si="32"/>
        <v>337.40159809780539</v>
      </c>
      <c r="L46" s="103">
        <v>0.14699999999999999</v>
      </c>
      <c r="M46" s="103">
        <f t="shared" si="63"/>
        <v>0.14537905670684062</v>
      </c>
      <c r="N46" s="122">
        <f t="shared" si="33"/>
        <v>0.85</v>
      </c>
      <c r="O46" s="46">
        <f t="shared" si="64"/>
        <v>40</v>
      </c>
      <c r="P46" s="70">
        <f t="array" ref="P46">SUMPRODUCT(IF(Solar_data!A$4:A$777=A46,Solar_data!C$4:C$777),IF(Solar_data!A$4:A$777=A46,Solar_data!I$4:I$777))/SUMIF(Solar_data!A$4:A$777,A46,Solar_data!I$4:I$777)</f>
        <v>1605.9472960767907</v>
      </c>
      <c r="Q46" s="16">
        <f t="array" ref="Q46">MAX(IF(Solar_data!$A$777:'Solar_data'!$A$4=Country_details!$A46,Solar_data!$C$4:'Solar_data'!$C$777))</f>
        <v>2281.25</v>
      </c>
      <c r="R46" s="16">
        <f t="array" ref="R46">MIN(IF(Solar_data!$A$777:'Solar_data'!$A$4=Country_details!A46,Solar_data!$C$4:'Solar_data'!$C$777))</f>
        <v>1368.75</v>
      </c>
      <c r="S46" s="24">
        <f t="shared" si="65"/>
        <v>3.3407621826758369</v>
      </c>
      <c r="T46" s="24">
        <f t="shared" si="66"/>
        <v>2.3518193946756636</v>
      </c>
      <c r="U46" s="24">
        <f t="shared" si="67"/>
        <v>3.9196989911261055</v>
      </c>
      <c r="V46" s="16">
        <f t="array" ref="V46">SUM(IF(Solar_data!$A$777:'Solar_data'!$A$4=Country_details!$A46,Solar_data!$I$4:'Solar_data'!$I$777))</f>
        <v>1546.0239555283181</v>
      </c>
      <c r="W46" s="148"/>
      <c r="X46" s="16">
        <f>IFERROR(INDEX(Onshore_wind_data!$J$5:'Onshore_wind_data'!$J$221,MATCH(A46,Onshore_wind_data!$B$5:'Onshore_wind_data'!$B$221,0)),"")</f>
        <v>3598.3632384381035</v>
      </c>
      <c r="Y46" s="16">
        <f>IFERROR(INDEX(Onshore_wind_data!$K$5:'Onshore_wind_data'!$K$221,MATCH(A46,Onshore_wind_data!$B$5:'Onshore_wind_data'!$B$221,0)),"")</f>
        <v>3971</v>
      </c>
      <c r="Z46" s="16">
        <f>IFERROR(INDEX(Onshore_wind_data!$L$5:'Onshore_wind_data'!$L$221,MATCH(A46,Onshore_wind_data!$B$5:'Onshore_wind_data'!$B$221,0)),"")</f>
        <v>2847.5</v>
      </c>
      <c r="AA46" s="24">
        <f t="shared" si="68"/>
        <v>4.4461960778610514</v>
      </c>
      <c r="AB46" s="24">
        <f t="shared" si="69"/>
        <v>4.0289671411389794</v>
      </c>
      <c r="AC46" s="24">
        <f t="shared" si="70"/>
        <v>5.6186228331739727</v>
      </c>
      <c r="AD46" s="16">
        <f>IFERROR(INDEX(Onshore_wind_data!$I$5:'Onshore_wind_data'!$I$221,MATCH(A46,Onshore_wind_data!$B$5:'Onshore_wind_data'!$B$221,0)),"")</f>
        <v>4121.6285845000002</v>
      </c>
      <c r="AE46" s="148"/>
      <c r="AF46" s="16">
        <f>INDEX(Offshore_wind_data!$AA$7:$AA$192,MATCH(Country_details!A46,Offshore_wind_data!$A$7:$A$192,0))</f>
        <v>3153.6</v>
      </c>
      <c r="AG46" s="16">
        <f>INDEX(Offshore_wind_data!$Y$7:$Y$192,MATCH(Country_details!A46,Offshore_wind_data!$A$7:$A$192,0))</f>
        <v>3153.6</v>
      </c>
      <c r="AH46" s="16">
        <f>INDEX(Offshore_wind_data!$Z$7:$Z$192,MATCH(Country_details!A46,Offshore_wind_data!$A$7:$A$192,0))</f>
        <v>3153.6</v>
      </c>
      <c r="AI46" s="24">
        <f t="shared" si="71"/>
        <v>9.5614751201666959</v>
      </c>
      <c r="AJ46" s="24">
        <f t="shared" si="72"/>
        <v>9.5614751201666959</v>
      </c>
      <c r="AK46" s="24">
        <f t="shared" si="73"/>
        <v>9.5614751201666959</v>
      </c>
      <c r="AL46" s="16">
        <f>INDEX(Offshore_wind_data!$W$7:$W$191,MATCH(A46,Offshore_wind_data!$A$7:$A$191,0))</f>
        <v>5.4241919999999997</v>
      </c>
      <c r="AM46" s="148"/>
      <c r="AN46" s="12">
        <v>16.600000000000001</v>
      </c>
      <c r="AO46" s="12">
        <v>23</v>
      </c>
      <c r="AP46" s="34">
        <f>0.9798*11.63</f>
        <v>11.395074000000001</v>
      </c>
      <c r="AQ46" s="15">
        <f t="shared" si="74"/>
        <v>50</v>
      </c>
      <c r="AR46" s="12">
        <f t="shared" si="34"/>
        <v>1150</v>
      </c>
      <c r="AS46" s="16">
        <f t="shared" si="35"/>
        <v>4523.0767320283185</v>
      </c>
      <c r="AT46" s="12"/>
      <c r="AU46" s="24">
        <f t="shared" si="75"/>
        <v>4.105081041932511</v>
      </c>
      <c r="AV46" s="16">
        <f t="shared" si="76"/>
        <v>5204.3105345148942</v>
      </c>
      <c r="AW46" s="149">
        <f>HV_DC_Grid!$E$3/(1-AX46)*AU46/100*1000</f>
        <v>5058.4152391508414</v>
      </c>
      <c r="AX46" s="31">
        <f>(1-(1-HV_DC_Grid!$E$25)^(B46*C46*HV_DC_Grid!$E$8/1000))+(1-(1-HV_DC_Grid!$E$26)^(B46*D46*HV_DC_Grid!$E$8/1000))+HV_DC_Grid!$E$35*HV_DC_Grid!$E$28</f>
        <v>0.18846499390555516</v>
      </c>
      <c r="AY46" s="28">
        <f>B46*nl_e_demand/IF(hv_dc_flh="electricity FLH",$AV46,hv_dc_custom)*1000*hv_dc_capacity_multiplier*hv_dc_length_multiplier*1000*(C46*hv_dc_overhead_invest*(hv_dc_overhead_opex+M46+1/hv_dc_lifetime)+D46*hv_dc_sea_invest*(hv_dc_sea_opex+M46+1/hv_dc_lifetime))/1000000+HV_DC_Grid!$E$10*1000*hv_dc_station_invest*hv_dc_station_number*(hv_dc_station_opex+M46+1/hv_dc_lifetime)/1000000</f>
        <v>27799.516617032728</v>
      </c>
      <c r="AZ46" s="24">
        <f>(AW46+AY46)/(HV_DC_Grid!$E$3*1000)*100</f>
        <v>32.857931856183569</v>
      </c>
      <c r="BA46" s="28">
        <f>MIN(((Carriers!$F$26+Carriers!$F$27)*(alk_el_opex+wacc_nl+1/alk_el_lifetime)+IF(hv_dc_flh="electricity FLH",$AV46,hv_dc_custom)*AZ46/100)/(IF(hv_dc_flh="electricity FLH",$AV46,hv_dc_custom)/alk_el_e_demand)*1000,((Carriers!$H$26+Carriers!$H$27)*(pem_el_opex+wacc_nl+1/pem_el_lifetime)+IF(hv_dc_flh="electricity FLH",$AV46,hv_dc_custom)*AZ46/100)/(IF(hv_dc_flh="electricity FLH",$AV46,hv_dc_custom)/pem_el_e_demand)*1000)</f>
        <v>16915.356158263585</v>
      </c>
      <c r="BB46" s="12"/>
      <c r="BC46" s="12"/>
      <c r="BD46" s="149">
        <f>MIN(((Carriers!$F$26+Carriers!$F$27)*(alk_el_opex+M46+1/alk_el_lifetime)+$AV46*$AU46/100)/($AV46/alk_el_e_demand)*1000,((Carriers!$H$26+Carriers!$H$27)*(pem_el_opex+M46+1/pem_el_lifetime)+$AV46*$AU46/100)/($AV46/pem_el_e_demand)*1000)</f>
        <v>2829.825578440797</v>
      </c>
      <c r="BE46" s="28">
        <f>Storage!$AC$50</f>
        <v>8.1664117557772418</v>
      </c>
      <c r="BF46" s="28">
        <f>((Pipeline!$D$22*Pipeline!$D$24*B46*(pipeline_opex+M46+1/pipeline_lifetime))*(Pipeline!$D$39/Pipeline!$D$3)+(Pipeline!$D$57*(pipeline_comp_opex+M46+1/pipeline_comp_lifetime)+Pipeline!$D$47*1000*Pipeline!$D$45*$AU46/100/1000000))*(Pipeline!$D$75/Pipeline!$D$45)</f>
        <v>24188.262559914569</v>
      </c>
      <c r="BG46" s="28">
        <f>BD46+(BE46+BF46)/Storage!$AC$12*1000000</f>
        <v>4608.9747675342051</v>
      </c>
      <c r="BH46" s="28"/>
      <c r="BI46" s="28"/>
      <c r="BJ46" s="28">
        <f>IF($E46="","No Port",BK46*HV_DC_Grid!$E$3*$AU46/100*1000)</f>
        <v>84.192000956879937</v>
      </c>
      <c r="BK46" s="31">
        <f>IFERROR((1-(1-HV_DC_Grid!$E$25)^(K46*HV_DC_Grid!$E$8/1000))+HV_DC_Grid!$E$35*HV_DC_Grid!$E$28,"")</f>
        <v>2.0509217746708761E-2</v>
      </c>
      <c r="BL46" s="28">
        <f>IFERROR(K46*nl_e_demand/IF(hv_dc_flh="electricity FLH",$AV46,hv_dc_custom)*1000*hv_dc_capacity_multiplier*hv_dc_length_multiplier*1000*(hv_dc_overhead_invest*(hv_dc_overhead_opex+M46+1/hv_dc_lifetime))/1000000+HV_DC_Grid!$E$10*1000*hv_dc_station_invest*hv_dc_station_number*(hv_dc_station_opex+M46+1/hv_dc_lifetime)/1000000,"")</f>
        <v>797.54247064632614</v>
      </c>
      <c r="BM46" s="29">
        <f>IFERROR((BJ46+BL46)/(HV_DC_Grid!$E$3*1000)*100,"")</f>
        <v>0.88173447160320617</v>
      </c>
      <c r="BN46" s="28">
        <f>IFERROR(((Pipeline!$D$22*Pipeline!$D$24*K46*(pipeline_opex+M46+1/pipeline_lifetime))*(Pipeline!$D$39/Pipeline!$D$3)+(Pipeline!$D$57*(pipeline_comp_opex+M46+1/pipeline_comp_lifetime)+Pipeline!$D$47*1000*Pipeline!$D$45*S46/100/1000000))*(Pipeline!$D$75/Pipeline!$D$45),"")</f>
        <v>942.03979232034078</v>
      </c>
      <c r="BO46" s="28"/>
      <c r="BP46" s="150">
        <f t="shared" si="77"/>
        <v>131.76747408404913</v>
      </c>
      <c r="BQ46" s="34">
        <f t="shared" si="78"/>
        <v>38.642465164602307</v>
      </c>
      <c r="BR46" s="151">
        <f>(nh3_invest*(M46+1/nh3_lifetime)/nh3_prod+nh3_opex+nh3_e_demand*1000*$AU46/100+Carriers!$N$18/Carriers!$N$23*BD46+Carriers!$N$19/Carriers!$N$23*BQ46)*(BT46+nh3_st_ab_losses)/1000000</f>
        <v>53392.845511726395</v>
      </c>
      <c r="BS46" s="63">
        <f>nh3_st_nl_cost*nh3_st_nl_demand/1000000+(nh3_st_invest*(M46+1/nh3_st_lifetime+nh3_st_opex)/(Storage!$G$63/1000000)+nh3_st_e_demand*1000*$AU46/100)*(BT46+nh3_st_ab_losses)/1000000+Carriers!$N$18/Carriers!$N$23*((BT46+nh3_st_ab_losses)/365.25*short_st_duration_hrs/24)*(h2_short_st_invest*(1/gh2_short_st_lifetime+$M46+h2_short_st_opex)+h2_short_st_e_demand*1000*$AU46/100)/1000000+Carriers!$N$19/Carriers!$N$23*((BT46+nh3_st_ab_losses)/365.25*short_st_duration_hrs/24)*(n2_short_st_invest*(1/n2_short_st_lifetime+$M46+n2_short_st_opex)+n2_short_st_e_demand*1000*$AU46/100)/1000000</f>
        <v>3709.5560067113133</v>
      </c>
      <c r="BT46" s="63">
        <f>Storage!$G$57/((1-Shipping!$H$37)^(F46/24/Shipping!$H$44+0.5*Shipping!$H$59))</f>
        <v>79664560.757226542</v>
      </c>
      <c r="BU46" s="63">
        <f>IF($E46="","No Port",((F46/24/Shipping!$H$44+F46/24/Shipping!$H$50+Shipping!$H$59+Shipping!$H$64)*(Shipping!$H$22+wacc_nl*Shipping!$H$19/365.25*1000000+Shipping!$H$35)+(F46/24/Shipping!$H$44*Shipping!$H$45+Shipping!$H$64*Shipping!$H$65)*IF(bunker_choice="HFO",H46,IF(bunker_choice="hydrogen",BD46*hfo_e_density_lhv/h2_e_density_lhv,(BR46+BS46)*1000000/BT46*hfo_e_density_lhv/nh3_e_density_lhv))+(F46/24/Shipping!$H$50*Shipping!$H$51+Shipping!$H$59*Shipping!$H$60)*IF(bunker_choice="HFO",bunker_price_ROT,IF(bunker_choice="hydrogen",BD46*hfo_e_density_lhv/h2_e_density_lhv,(BR46+BS46)*1000000/BT46*hfo_e_density_lhv/nh3_e_density_lhv))+Shipping!$H$73+IF(G46="Panama",Shipping!$H$55,0)+IF(G46="Suez",Shipping!$H$56,0))/Shipping!$H$31*BT46/1000000+IF(inland_transport_to_port="hv dc grid",$BM46/100*1000*BW46,IF(inland_transport_to_port="pipeline",$BN46,0)))</f>
        <v>5208.553282894628</v>
      </c>
      <c r="BV46" s="63">
        <f t="shared" si="91"/>
        <v>62310.954801332337</v>
      </c>
      <c r="BW46" s="33">
        <f>((Carriers!$N$18/Carriers!$N$23*alk_el_e_demand)+(Carriers!$N$19/Carriers!$N$23*n2_e_demand)+nh3_e_demand)*(BT46+nh3_st_ab_losses)/1000000+nh3_st_e_demand*BT46/1000000</f>
        <v>786.70266669624061</v>
      </c>
      <c r="BX46" s="33">
        <f t="shared" si="79"/>
        <v>0.76626754477640768</v>
      </c>
      <c r="BY46" s="63">
        <f>IFERROR(BV46*1000000/Storage!$G$12,"")</f>
        <v>813.85244757932128</v>
      </c>
      <c r="BZ46" s="63">
        <f>H2_retrieval!$F$25*h2_demand_kt/1000</f>
        <v>80</v>
      </c>
      <c r="CA46" s="63">
        <f>IFERROR(BY46*(1+H2_retrieval!$F$34)/Carrier_properties!$E$7+H2_retrieval!$F$38,"")</f>
        <v>4990.9138326828779</v>
      </c>
      <c r="CB46" s="149">
        <f>(FA_invest*(M46+1/FA_lifetime)/FA_prod+FA_opex+FA_e_demand*1000*$AU46/100+Carriers!$P$18/Carriers!$P$23*BD46+Carriers!$P$20/Carriers!$P$23*co2_liq_cost)*(CF46+FA_st_ab_losses)/1000000</f>
        <v>119645.70470649887</v>
      </c>
      <c r="CC46" s="86">
        <f>(FA_invest*(M46+1/FA_lifetime)/FA_prod+FA_opex+FA_e_demand*1000*$AU46/100+Carriers!$P$18/Carriers!$P$23*BD46+Carriers!$P$20/Carriers!$P$23*BP46)*(CF46+FA_st_ab_losses)/1000000</f>
        <v>151730.47140850531</v>
      </c>
      <c r="CD46" s="63">
        <f>FA_st_nl_cost*FA_st_nl_demand/1000000+(FA_st_invest*(M46+1/FA_st_lifetime+FA_st_opex)/(Storage!$I$63/1000000)+FA_st_e_demand*1000*$AU46/100)*(CF46+FA_st_ab_losses)/1000000+co2_st_nl_cost*Storage!$I$12*co2_density/FA_density/1000000+(co2_st_opex_lev+co2_st_invest_lev+co2_st_e_demand*1000*$AU46/100)*Storage!$I$12/1000000+co2_st_invest_lev*Storage!$I$12*co2_st_lifetime*M46/1000000+Carriers!$P$18/Carriers!$P$23*((CF46+FA_st_ab_losses)/365.25*short_st_duration_hrs/24)*(h2_short_st_invest*(1/gh2_short_st_lifetime+$M46+h2_short_st_opex)+h2_short_st_e_demand*1000*$AU46/100)/1000000+Carriers!$P$20/Carriers!$P$23*((CF46+FA_st_ab_losses)/365.25*short_st_duration_hrs/24)*(co2_short_st_invest*(1/co2_short_st_lifetime+$M46+co2_short_st_opex)+co2_short_st_e_demand*1000*$AU46/100)/1000000</f>
        <v>12884.745971671326</v>
      </c>
      <c r="CE46" s="63">
        <f>FA_st_nl_cost*FA_st_nl_demand/1000000+(FA_st_invest*(M46+1/FA_st_lifetime+FA_st_opex)/(Storage!$I$63/1000000)+FA_st_e_demand*1000*$AU46/100)*(CF46+FA_st_ab_losses)/1000000+Carriers!$P$18/Carriers!$P$23*((CF46+FA_st_ab_losses)/365.25*short_st_duration_hrs/24)*(h2_short_st_invest*(1/gh2_short_st_lifetime+$M46+h2_short_st_opex)+h2_short_st_e_demand*1000*$AU46/100)/1000000+Carriers!$P$20/Carriers!$P$23*((CF46+FA_st_ab_losses)/365.25*short_st_duration_hrs/24)*(co2_short_st_invest*(1/co2_short_st_lifetime+$M46+co2_short_st_opex)+co2_short_st_e_demand*1000*$AU46/100)/1000000</f>
        <v>5460.3201348651492</v>
      </c>
      <c r="CF46" s="63">
        <f>Storage!$I$57/((1-Shipping!$J$37)^($F46/24/Shipping!$J$44+0.5*Shipping!$J$59))</f>
        <v>310425396.82539684</v>
      </c>
      <c r="CG46" s="28">
        <f>IF($E46="","No Port",((F46/24/Shipping!$J$44+F46/24/Shipping!$J$50+Shipping!$J$59+Shipping!$J$64)*(Shipping!$J$22+wacc_nl*Shipping!$J$19/365.25*1000000+Shipping!$J$35)+(F46/24/Shipping!$J$44*Shipping!$J$45+Shipping!$J$64*Shipping!$J$65)*IF(bunker_choice="HFO",$H46,IF(bunker_choice="hydrogen",$BD46*hfo_e_density_lhv/h2_e_density_lhv,(CB46+CD46)*1000000/CF46*hfo_e_density_lhv/FA_e_density_lhv))+(F46/24/Shipping!$J$50*Shipping!$J$51+Shipping!$J$59*Shipping!$J$60)*IF(bunker_choice="HFO",bunker_price_ROT,IF(bunker_choice="hydrogen",$BD46*hfo_e_density_lhv/h2_e_density_lhv,(CB46+CD46)*1000000/CF46*hfo_e_density_lhv/FA_e_density_lhv))+Shipping!$J$73+IF(G46="Panama",Shipping!$J$55,0)+IF(G46="Suez",Shipping!$J$56,0))/Shipping!$J$31*CF46/1000000+IF(inland_transport_to_port="hv dc grid",$BM46/100*1000*CI46,IF(inland_transport_to_port="pipeline",$BN46,0)))</f>
        <v>18115.377572873982</v>
      </c>
      <c r="CH46" s="28">
        <f t="shared" si="36"/>
        <v>175306.16911624445</v>
      </c>
      <c r="CI46" s="29">
        <f>((Carriers!$P$18/Carriers!$P$23*alk_el_e_demand)+FA_e_demand)*(CF46+FA_st_ab_losses)/1000000+FA_st_e_demand*CF46/1000000</f>
        <v>1897.8881241622576</v>
      </c>
      <c r="CJ46" s="29">
        <f t="shared" si="80"/>
        <v>0.46563809523809524</v>
      </c>
      <c r="CK46" s="28">
        <f>IFERROR(CH46*1000000/Storage!$I$12,"")</f>
        <v>564.72882344368202</v>
      </c>
      <c r="CL46" s="28">
        <f>IF($E46="","No Port",((F46/24/Shipping!$J$44+F46/24/Shipping!$J$50+Shipping!$J$59+Shipping!$J$64)*Carriers!$P$39*wacc_nl))</f>
        <v>280.02758250693012</v>
      </c>
      <c r="CM46" s="29">
        <f>H2_retrieval!$H$25*h2_demand_kt/1000+(co2_liq_e_demand+co2_st_e_demand*2)*Storage!$I$12*co2_density/FA_density/1000000</f>
        <v>94.204253879484654</v>
      </c>
      <c r="CN46" s="28">
        <f>IFERROR((((CB46+CD46+CG46)*(1+H2_retrieval!$H$34)+CL46)*1000000/H2_retrieval!$H$8)+h2_regen_fa,"")</f>
        <v>11187.176767292773</v>
      </c>
      <c r="CO46" s="149">
        <f>(meoh_invest*(M46+1/meoh_lifetime)/meoh_prod+meoh_opex+meoh_e_demand*1000*$AU46/100+Carriers!$R$18/Carriers!$R$23*BD46+Carriers!$R$20/Carriers!$R$23*co2_liq_cost)*(CS46+meoh_st_ab_losses)/1000000</f>
        <v>62920.373759722323</v>
      </c>
      <c r="CP46" s="86">
        <f>(meoh_invest*(M46+1/meoh_lifetime)/meoh_prod+meoh_opex+meoh_e_demand*1000*$AU46/100+Carriers!$R$18/Carriers!$R$23*BD46+Carriers!$R$20/Carriers!$R$23*BP46)*(CS46+meoh_st_ab_losses)/1000000</f>
        <v>81755.122329469639</v>
      </c>
      <c r="CQ46" s="63">
        <f>meoh_st_nl_cost*meoh_st_nl_demand/1000000+(meoh_st_invest*(M46+1/meoh_st_lifetime+meoh_st_opex)/(Storage!$K$63/1000000)+meoh_st_e_demand*1000*$AU46/100)*(CS46+meoh_st_ab_losses)/1000000+co2_st_nl_cost*Storage!$K$12*co2_density/meoh_density/1000000+(co2_st_opex_lev+co2_st_invest_lev+co2_st_e_demand*1000*IFERROR(MIN(S46,AA46,AI46),S46)/100)*Storage!$K$12/1000000+co2_st_invest_lev*Storage!$K$12*co2_st_lifetime*M46/1000000+Carriers!$R$18/Carriers!$R$23*((CS46+meoh_st_ab_losses)/365.25*short_st_duration_hrs/24)*(h2_short_st_invest*(1/gh2_short_st_lifetime+$M46+h2_short_st_opex)+h2_short_st_e_demand*1000*$AU46/100)/1000000+Carriers!$R$20/Carriers!$R$23*((CF46+meoh_st_ab_losses)/365.25*short_st_duration_hrs/24)*(co2_short_st_invest*(1/co2_short_st_lifetime+$M46+co2_short_st_opex)+co2_short_st_e_demand*1000*$AU46/100)/1000000</f>
        <v>5275.3856966283911</v>
      </c>
      <c r="CR46" s="63">
        <f>meoh_st_nl_cost*meoh_st_nl_demand/1000000+(meoh_st_invest*(M46+1/meoh_st_lifetime+meoh_st_opex)/(Storage!$K$63/1000000)+meoh_st_e_demand*1000*$AU46/100)*(CS46+meoh_st_ab_losses)/1000000+Carriers!$R$18/Carriers!$R$23*((CS46+meoh_st_ab_losses)/365.25*short_st_duration_hrs/24)*(h2_short_st_invest*(1/gh2_short_st_lifetime+$M46+h2_short_st_opex)+h2_short_st_e_demand*1000*$AU46/100)/1000000+Carriers!$R$20/Carriers!$R$23*((CF46+meoh_st_ab_losses)/365.25*short_st_duration_hrs/24)*(co2_short_st_invest*(1/co2_short_st_lifetime+$M46+co2_short_st_opex)+co2_short_st_e_demand*1000*$AU46/100)/1000000</f>
        <v>2174.8760842393303</v>
      </c>
      <c r="CS46" s="63">
        <f>Storage!$K$57/((1-Shipping!$L$37)^($F46/24/Shipping!$L$44+0.5*Shipping!$L$59))</f>
        <v>108044444.44444443</v>
      </c>
      <c r="CT46" s="28">
        <f>IF($E46="","No Port",IF(AND(ship_choice="VLCC",G46="Panama"),"Ship cannot pass through Panama",IF(ship_choice="VLCC",((F46/24/Shipping!$AD$44+F46/24/Shipping!$AD$50+Shipping!$AD$59+Shipping!$AD$64)*(Shipping!$AD$22+wacc_nl*Shipping!$AD$19/365.25*1000000+Shipping!$AD$35)+(F46/24/Shipping!$AD$44*Shipping!$AD$45+Shipping!$AD$64*Shipping!$AD$65)*IF(bunker_choice="HFO",$H46,IF(bunker_choice="hydrogen",$BD46*hfo_e_density_lhv/h2_e_density_lhv,(CO46+CQ46)*1000000/CS46*hfo_e_density_lhv/meoh_e_density_lhv))+(F46/24/Shipping!$AD$50*Shipping!$AD$51+Shipping!$AD$59*Shipping!$AD$60)*IF(bunker_choice="HFO",bunker_price_ROT,IF(bunker_choice="hydrogen",$BD46*hfo_e_density_lhv/h2_e_density_lhv,(CO46+CQ46)*1000000/CS46*hfo_e_density_lhv/meoh_e_density_lhv))+Shipping!$AD$73+IF(G46="Panama",Shipping!$AD$55,0)+IF(G46="Suez",Shipping!$AD$56,0))/Shipping!$AD$31*CS46/1000000+IF(inland_transport_to_port="hv dc grid",$BM46/100*1000*CV46,IF(inland_transport_to_port="pipeline",$BN46,0)),((F46/24/Shipping!$L$44+F46/24/Shipping!$L$50+Shipping!$L$59+Shipping!$L$64)*(Shipping!$L$22+wacc_nl*Shipping!$L$19/365.25*1000000+Shipping!$L$35)+(F46/24/Shipping!$L$44*Shipping!$L$45+Shipping!$L$64*Shipping!$L$65)*IF(bunker_choice="HFO",$H46,IF(bunker_choice="hydrogen",$BD46*hfo_e_density_lhv/h2_e_density_lhv,(CO46+CQ46)*1000000/CS46*hfo_e_density_lhv/meoh_e_density_lhv))+(F46/24/Shipping!$L$50*Shipping!$L$51+Shipping!$L$59*Shipping!$L$60)*IF(bunker_choice="HFO",bunker_price_ROT,IF(bunker_choice="hydrogen",$BD46*hfo_e_density_lhv/h2_e_density_lhv,(CO46+CQ46)*1000000/CS46*hfo_e_density_lhv/meoh_e_density_lhv))+Shipping!$L$73+IF(G46="Panama",Shipping!$L$55,0)+IF(G46="Suez",Shipping!$L$56,0))/Shipping!$L$31*CS46/1000000+IF(inland_transport_to_port="hv dc grid",$BM46/100*1000*CV46,IF(inland_transport_to_port="pipeline",$BN46,0)))))</f>
        <v>6616.6376741612421</v>
      </c>
      <c r="CU46" s="28">
        <f t="shared" si="37"/>
        <v>90546.636087870211</v>
      </c>
      <c r="CV46" s="29">
        <f>((Carriers!$R$18/Carriers!$R$23*alk_el_e_demand)+meoh_e_demand)*(CS46+meoh_st_ab_losses)/1000000+meoh_st_e_demand*CS46/1000000</f>
        <v>1119.9789871111109</v>
      </c>
      <c r="CW46" s="29">
        <f t="shared" si="81"/>
        <v>0.16206666666666666</v>
      </c>
      <c r="CX46" s="28">
        <f>IFERROR(CU46*1000000/Storage!$K$12,"")</f>
        <v>838.0499020884738</v>
      </c>
      <c r="CY46" s="28">
        <f>IF($E46="","No Port",((F46/24/Shipping!$L$44+F46/24/Shipping!$L$50+Shipping!$L$59+Shipping!$L$64)*Carriers!$R$39*wacc_nl))</f>
        <v>100.28806228940593</v>
      </c>
      <c r="CZ46" s="29">
        <f>H2_retrieval!$J$25*h2_demand_kt/1000+(co2_liq_e_demand+co2_st_e_demand*2)*Storage!$K$12*co2_density/meoh_density/1000000</f>
        <v>251.05079059698966</v>
      </c>
      <c r="DA46" s="28">
        <f>IFERROR((((CO46+CQ46+CT46)*(1+H2_retrieval!$J$34)+CY46)*1000000/H2_retrieval!$J$8)+h2_regen_meoh,"")</f>
        <v>6678.4142191373921</v>
      </c>
      <c r="DB46" s="149">
        <f>(DBT_invest*(M46+1/DBT_lifetime)/DBT_prod+DBT_opex+DBT_e_demand*1000*$AU46/100+Carriers!$T$18/Carriers!$T$23*BD46)*(DD46+DBT_st_ab_losses)/1000000</f>
        <v>42045.066612046256</v>
      </c>
      <c r="DC46" s="28">
        <f>2*(DBT_st_nl_cost*DBT_st_nl_demand/1000000+(DBT_st_invest*(M46+1/DBT_st_lifetime+DBT_st_opex)/(Storage!$M$63/1000000)+DBT_st_e_demand*1000*$AU46/100)*(DD46+DBT_st_ab_losses)/1000000)+Carriers!$T$18/Carriers!$T$23*((DD46+DBT_st_ab_losses)/365.25*short_st_duration_hrs/24)*(h2_short_st_invest*(1/gh2_short_st_lifetime+$M46+h2_short_st_opex)+h2_short_st_e_demand*1000*$AU46/100)/1000000</f>
        <v>4437.6144159165906</v>
      </c>
      <c r="DD46" s="63">
        <f>Storage!$M$57/((1-Shipping!$N$37)^($F46/24/Shipping!$N$44+0.5*Shipping!$N$59))</f>
        <v>219354838.70967743</v>
      </c>
      <c r="DE46" s="28">
        <f>IF($E46="","No Port",IF(AND(ship_choice="VLCC",G46="Panama"),"Ship cannot pass through Panama",IF(ship_choice="VLCC",((F46/24/Shipping!$AD$44+F46/24/Shipping!$AD$50+Shipping!$AD$59+Shipping!$AD$64)*(Shipping!$AD$22+wacc_nl*Shipping!$AD$19/365.25*1000000+Shipping!$AD$35)+(F46/24/Shipping!$AD$44*Shipping!$AD$45+Shipping!$AD$64*Shipping!$AD$65)*IF(bunker_choice="HFO",$H46,IF(bunker_choice="hydrogen",$BD46*hfo_e_density_lhv/h2_e_density_lhv,(DB46+DC46)*1000000/DD46*hfo_e_density_lhv/DBT_e_density_lhv))+(F46/24/Shipping!$AD$50*Shipping!$AD$51+Shipping!$AD$59*Shipping!$AD$60)*IF(bunker_choice="HFO",bunker_price_ROT,IF(bunker_choice="hydrogen",$BD46*hfo_e_density_lhv/h2_e_density_lhv,(DB46+DC46)*1000000/DD46*hfo_e_density_lhv/DBT_e_density_lhv))+Shipping!$AD$73+IF(G46="Panama",Shipping!$AD$55,0)+IF(G46="Suez",Shipping!$AD$56,0))/Shipping!$AD$31*DD46/1000000+IF(inland_transport_to_port="hv dc grid",$BM46/100*1000*DG46,IF(inland_transport_to_port="pipeline",$BN46,0)),((F46/24/Shipping!$N$44+F46/24/Shipping!$N$50+Shipping!$N$59+Shipping!$N$64)*(Shipping!$N$22+wacc_nl*Shipping!$N$19/365.25*1000000+Shipping!$N$35)+(F46/24/Shipping!$N$44*Shipping!$N$45+Shipping!$N$64*Shipping!$N$65)*IF(bunker_choice="HFO",$H46,IF(bunker_choice="hydrogen",$BD46*hfo_e_density_lhv/h2_e_density_lhv,(DB46+DC46)*1000000/DD46*hfo_e_density_lhv/DBT_e_density_lhv))+(F46/24/Shipping!$N$50*Shipping!$N$51+Shipping!$N$59*Shipping!$N$60)*IF(bunker_choice="HFO",bunker_price_ROT,IF(bunker_choice="hydrogen",$BD46*hfo_e_density_lhv/h2_e_density_lhv,(DB46+DC46)*1000000/DD46*hfo_e_density_lhv/DBT_e_density_lhv))+Shipping!$N$73+IF(G46="Panama",Shipping!$N$55,0)+IF(G46="Suez",Shipping!$N$56,0))/Shipping!$N$31*Shipping!$N$86/1000000+IF(inland_transport_to_port="hv dc grid",$BM46/100*1000*DG46,IF(inland_transport_to_port="pipeline",$BN46,0)))))</f>
        <v>11624.546270142737</v>
      </c>
      <c r="DF46" s="28">
        <f t="shared" si="82"/>
        <v>58107.227298105587</v>
      </c>
      <c r="DG46" s="29">
        <f>((Carriers!$T$18/Carriers!$T$23*alk_el_e_demand)+DBT_e_demand)*(DD46+DBT_st_ab_losses)/1000000+DBT_st_e_demand*DD46/1000000</f>
        <v>703.88335483870969</v>
      </c>
      <c r="DH46" s="29">
        <f t="shared" si="83"/>
        <v>0.21935483870967742</v>
      </c>
      <c r="DI46" s="28">
        <f>IFERROR(DF46*1000000/Storage!$M$12,"")</f>
        <v>264.90059503548133</v>
      </c>
      <c r="DJ46" s="28">
        <f>IF($E46="","No Port",((F46/24/Shipping!$N$44+F46/24/Shipping!$N$50+Shipping!$N$59+Shipping!$N$64)*Carriers!$T$39*wacc_nl))</f>
        <v>7304.3090850796252</v>
      </c>
      <c r="DK46" s="100">
        <f>H2_retrieval!$L$25*h2_demand_kt/1000+(co2_liq_e_demand+co2_st_e_demand*2)*Storage!$M$12*co2_density/DBT_density/1000000</f>
        <v>206.61934861671787</v>
      </c>
      <c r="DL46" s="28">
        <f>IFERROR(((DF46*(1+H2_retrieval!$L$34)+DJ46)*1000000/H2_retrieval!$L$8)+h2_regen_lohc,"")</f>
        <v>5280.3215735200611</v>
      </c>
      <c r="DM46" s="149">
        <f t="shared" si="84"/>
        <v>67201.092273973016</v>
      </c>
      <c r="DN46" s="16">
        <f>2*(nabh4_st_nl_cost*nabh4_st_nl_demand/1000000+(nabh4_st_invest*(M46+1/nabh4_st_lifetime+nabh4_st_opex)/(Storage!$O$63/1000000)+nabh4_st_e_demand*1000*$AU46/100)*(DO46+nabh4_st_ab_losses)/1000000)+(h2_demand_kt*1000/365.25*short_st_duration_hrs/24)*(h2_short_st_invest*(1/gh2_short_st_lifetime+$M46+h2_short_st_opex)+h2_short_st_e_demand*1000*$AU46/100)/1000000</f>
        <v>1588.1120824882746</v>
      </c>
      <c r="DO46" s="63">
        <f>Storage!$O$57/((1-Shipping!$P$37)^($F46/24/Shipping!$P$44+0.5*Shipping!$P$59))</f>
        <v>63920000</v>
      </c>
      <c r="DP46" s="16">
        <f>IF($E46="","No Port",((F46/24/Shipping!$P$44+F46/24/Shipping!$P$50+Shipping!$P$59+Shipping!$P$64)*(Shipping!$P$22+wacc_nl*Shipping!$P$19/365.25*1000000+Shipping!$P$35)+(F46/24/Shipping!$P$44*Shipping!$P$45+Shipping!$P$64*Shipping!$P$65)*IF(bunker_choice="HFO",$H46,IF(bunker_choice="hydrogen",$BD46*hfo_e_density_lhv/h2_e_density_lhv,(DM46+DN46)*1000000/DO46*hfo_e_density_lhv/nabh4_e_density_lhv))+(F46/24/Shipping!$P$50*Shipping!$P$51+Shipping!$P$59*Shipping!$P$60)*IF(bunker_choice="HFO",bunker_price_ROT,IF(bunker_choice="hydrogen",$BD46*hfo_e_density_lhv/h2_e_density_lhv,(DM46+DN46)*1000000/DO46*hfo_e_density_lhv/nabh4_e_density_lhv))+Shipping!$P$73+IF(G46="Panama",Shipping!$P$55,0)+IF(G46="Suez",Shipping!$P$56,0))/Shipping!$P$31*(DO46+nabh4_st_ab_losses)/1000000+IF(inland_transport_to_port="hv dc grid",$BM46/100*1000*DR46,IF(inland_transport_to_port="pipeline",$BN46,0)))</f>
        <v>4426.254170512937</v>
      </c>
      <c r="DQ46" s="28">
        <f t="shared" si="60"/>
        <v>73215.458526974238</v>
      </c>
      <c r="DR46" s="29">
        <f>((Carriers!$V$18/Carriers!$V$23*alk_el_e_demand)+nabh4_e_demand)*(DO46+nabh4_st_ab_losses)/1000000+nabh4_st_e_demand*DO46/1000000</f>
        <v>980.02139682539689</v>
      </c>
      <c r="DS46" s="28">
        <f t="shared" si="85"/>
        <v>3.1960000000000002</v>
      </c>
      <c r="DT46" s="28">
        <f>IFERROR(DQ46*1000000/Storage!$O$12,"")</f>
        <v>1145.4233186322629</v>
      </c>
      <c r="DU46" s="28">
        <f>IF($E46="","No Port",((F46/24/Shipping!$P$44+F46/24/Shipping!$P$50+Shipping!$P$59+Shipping!$P$64)*Carriers!$V$39*wacc_nl))</f>
        <v>676.29017397247571</v>
      </c>
      <c r="DV46" s="100">
        <f>H2_retrieval!$N$25*h2_demand_kt/1000+(co2_liq_e_demand+co2_st_e_demand*2)*Storage!$O$12*co2_density/nabh4_density/1000000</f>
        <v>18.783638728971958</v>
      </c>
      <c r="DW46" s="28">
        <f>IFERROR(((DQ46*(1+H2_retrieval!$N$34)+DU46)*1000000/H2_retrieval!$N$8)+h2_regen_nabh4,"")</f>
        <v>5547.7608186481539</v>
      </c>
      <c r="DX46" s="149">
        <f>(Dme_invest*(M46+1/Dme_lifetime)/Dme_prod+Dme_opex+Dme_e_demand*1000*$AU46/100+Carriers!$X$21/Carriers!$X$23*(CO46*1000000/CS46))*(EB46+Dme_st_ab_losses)/1000000</f>
        <v>89204.023456083756</v>
      </c>
      <c r="DY46" s="86">
        <f>(Dme_invest*(M46+1/Dme_lifetime)/Dme_prod+Dme_opex+Dme_e_demand*1000*$AU46/100+Carriers!$X$21/Carriers!$X$23*(CP46*1000000/CS46))*(EB46+Dme_st_ab_losses)/1000000</f>
        <v>114756.44901502787</v>
      </c>
      <c r="DZ46" s="63">
        <f>Dme_st_nl_cost*Dme_st_nl_demand/1000000+(Dme_st_invest*(M46+1/Dme_st_lifetime+Dme_st_opex)/(Storage!$Q$63/1000000)+Dme_st_e_demand*1000*$AU46/100)*(EB46+Dme_st_ab_losses)/1000000+co2_st_nl_cost*Storage!$Q$12*co2_density/Dme_density/1000000+(co2_st_opex_lev+co2_st_invest_lev+co2_st_e_demand*1000*$AU46/100)*Storage!$Q$12/1000000+co2_st_invest_lev*Storage!$Q$12*co2_st_lifetime*M46/1000000+(h2_demand_kt*1000/365.25*short_st_duration_hrs/24)*(h2_short_st_invest*(1/gh2_short_st_lifetime+$M46+h2_short_st_opex)+h2_short_st_e_demand*1000*$AU46/100)/1000000</f>
        <v>6420.4025727990584</v>
      </c>
      <c r="EA46" s="63">
        <f>Dme_st_nl_cost*Dme_st_nl_demand/1000000+(Dme_st_invest*(M46+1/Dme_st_lifetime+Dme_st_opex)/(Storage!$Q$63/1000000)+Dme_st_e_demand*1000*$AU46/100)*(EB46+Dme_st_ab_losses)/1000000+(h2_demand_kt*1000/365.25*short_st_duration_hrs/24)*(h2_short_st_invest*(1/gh2_short_st_lifetime+$M46+h2_short_st_opex)+h2_short_st_e_demand*1000*$AU46/100)/1000000</f>
        <v>3242.9081134432849</v>
      </c>
      <c r="EB46" s="63">
        <f>Storage!$Q$57/((1-Shipping!$R$37)^($F46/24/Shipping!$R$44+0.5*Shipping!$R$59))</f>
        <v>103547089.94708996</v>
      </c>
      <c r="EC46" s="153">
        <f>IF($E46="","No Port",IF(AND(ship_choice="VLCC",G46="Panama"),"Ship cannot pass through Panama",IF(ship_choice="VLCC",((F46/24/Shipping!$AD$44+F46/24/Shipping!$AD$50+Shipping!$AD$59+Shipping!$AD$64)*(Shipping!$AD$22+wacc_nl*Shipping!$AD$19/365.25*1000000+Shipping!$AD$35)+(F46/24/Shipping!$AD$44*Shipping!$AD$45+Shipping!$AD$64*Shipping!$AD$65)*IF(bunker_choice="HFO",$H46,IF(bunker_choice="hydrogen",$BD46*hfo_e_density_lhv/h2_e_density_lhv,(DX46+DZ46)*1000000/EB46*hfo_e_density_lhv/Dme_e_density_lhv))+(F46/24/Shipping!$AD$50*Shipping!$AD$51+Shipping!$AD$59*Shipping!$AD$60)*IF(bunker_choice="HFO",bunker_price_ROT,IF(bunker_choice="hydrogen",$BD46*hfo_e_density_lhv/h2_e_density_lhv,(DX46+DZ46)*1000000/EB46*hfo_e_density_lhv/Dme_e_density_lhv))+Shipping!$AD$73+IF(G46="Panama",Shipping!$AD$55,0)+IF(G46="Suez",Shipping!$AD$56,0))/Shipping!$AD$31*(EB46+Dme_st_ab_losses)/1000000+IF(inland_transport_to_port="hv dc grid",$BM46/100*1000*EE46,IF(inland_transport_to_port="pipeline",$BN46,0)),((F46/24/Shipping!$R$44+F46/24/Shipping!$R$50+Shipping!$R$59+Shipping!$R$64)*(Shipping!$R$22+wacc_nl*Shipping!$R$19/365.25*1000000+Shipping!$R$35)+(F46/24/Shipping!$R$44*Shipping!$R$45+Shipping!$R$64*Shipping!$R$65)*IF(bunker_choice="HFO",$H46,IF(bunker_choice="hydrogen",$BD46*hfo_e_density_lhv/h2_e_density_lhv,(DX46+DZ46)*1000000/EB46*hfo_e_density_lhv/Dme_e_density_lhv))+(F46/24/Shipping!$R$50*Shipping!$R$51+Shipping!$R$59*Shipping!$R$60)*IF(bunker_choice="HFO",bunker_price_ROT,IF(bunker_choice="hydrogen",$BD46*hfo_e_density_lhv/h2_e_density_lhv,(DX46+DZ46)*1000000/EB46*hfo_e_density_lhv/Dme_e_density_lhv))+Shipping!$R$73+IF(G46="Panama",Shipping!$R$55,0)+IF(G46="Suez",Shipping!$R$56,0))/Shipping!$R$31*(EB46+Dme_st_ab_losses)/1000000+IF(inland_transport_to_port="hv dc grid",$BM46/100*1000*EE46,IF(inland_transport_to_port="pipeline",$BN46,0)))))</f>
        <v>6620.2371133731331</v>
      </c>
      <c r="ED46" s="28">
        <f t="shared" si="39"/>
        <v>124619.59424184429</v>
      </c>
      <c r="EE46" s="29">
        <f>(Dme_e_demand)*(EB46+Dme_st_ab_losses)/1000000+Dme_st_e_demand*DZ46/1000000+$CV46*(Carriers!$X$21/Carriers!$X$23*EB46)/$CS46</f>
        <v>1550.2168243710817</v>
      </c>
      <c r="EF46" s="29">
        <f t="shared" si="86"/>
        <v>1.0354708994708997</v>
      </c>
      <c r="EG46" s="28">
        <f>IFERROR(ED46*1000000/Storage!$Q$12,"")</f>
        <v>1203.5064848806651</v>
      </c>
      <c r="EH46" s="28">
        <f>IF($E46="","No Port",((F46/24/Shipping!$R$44+F46/24/Shipping!$R$50+Shipping!$R$59+Shipping!$R$64)*Carriers!$X$39*wacc_nl))</f>
        <v>104.19274024445282</v>
      </c>
      <c r="EI46" s="100">
        <f>H2_retrieval!$P$25*h2_demand_kt/1000+(co2_liq_e_demand+co2_st_e_demand*2)*Storage!$Q$12*co2_density/Dme_density/1000000</f>
        <v>252.45335899349112</v>
      </c>
      <c r="EJ46" s="28">
        <f>IFERROR((((DX46+DZ46+EC46)*(1+H2_retrieval!$P$34)+EH46)*1000000/H2_retrieval!$P$8)+h2_regen_dme,"")</f>
        <v>8695.7797110270276</v>
      </c>
      <c r="EK46" s="149">
        <f>(ome_invest*(M46+1/ome_lifetime)/ome_prod+ome_opex+ome_e_demand*1000*$AU46/100+Carriers!$Z$21/Carriers!$Z$23*(CO46*1000000/CS46))*(EO46+ome_st_ab_losses)/1000000</f>
        <v>195892.95076774521</v>
      </c>
      <c r="EL46" s="86">
        <f>(ome_invest*(M46+1/ome_lifetime)/ome_prod+ome_opex+ome_e_demand*1000*$AU46/100+Carriers!$Z$21/Carriers!$Z$23*(CP46*1000000/CS46))*(EO46+ome_st_ab_losses)/1000000</f>
        <v>249532.46612863825</v>
      </c>
      <c r="EM46" s="63">
        <f>ome_st_nl_cost*ome_st_nl_demand/1000000+(ome_st_invest*(M46+1/ome_st_lifetime+ome_st_opex)/(Storage!$S$63/1000000)+ome_st_e_demand*1000*$AU46/100)*(EO46+ome_st_ab_losses)/1000000+co2_st_nl_cost*Storage!$S$12*co2_density/ome_density/1000000+(co2_st_opex_lev+co2_st_invest_lev+co2_st_e_demand*1000*$AU46/100)*Storage!$S$12/1000000+co2_st_invest_lev*Storage!$S$12*co2_st_lifetime*M46/1000000+(h2_demand_kt*1000/365.25*short_st_duration_hrs/24)*(h2_short_st_invest*(1/gh2_short_st_lifetime+$M46+h2_short_st_opex)+h2_short_st_e_demand*1000*$AU46/100)/1000000</f>
        <v>5549.2849014130225</v>
      </c>
      <c r="EN46" s="63">
        <f>ome_st_nl_cost*ome_st_nl_demand/1000000+(ome_st_invest*(M46+1/ome_st_lifetime+ome_st_opex)/(Storage!$S$63/1000000)+ome_st_e_demand*1000*$AU46/100)*(EO46+ome_st_ab_losses)/1000000+(h2_demand_kt*1000/365.25*short_st_duration_hrs/24)*(h2_short_st_invest*(1/gh2_short_st_lifetime+$M46+h2_short_st_opex)+h2_short_st_e_demand*1000*$AU46/100)/1000000</f>
        <v>1951.7146940609623</v>
      </c>
      <c r="EO46" s="63">
        <f>Storage!$S$57/((1-Shipping!$T$37)^($F46/24/Shipping!$T$44+0.5*Shipping!$T$59))</f>
        <v>128282539.68253967</v>
      </c>
      <c r="EP46" s="28">
        <f>IF($E46="","No Port",IF(AND(ship_choice="VLCC",G46="Panama"),"Ship cannot pass through Panama",IF(ship_choice="VLCC",((F46/24/Shipping!$AD$44+F46/24/Shipping!$AD$50+Shipping!$AD$59+Shipping!$AD$64)*(Shipping!$AD$22+wacc_nl*Shipping!$AD$19/365.25*1000000+Shipping!$AD$35)+(F46/24/Shipping!$AD$44*Shipping!$AD$45+Shipping!$AD$64*Shipping!$AD$65)*IF(bunker_choice="HFO",$H46,IF(bunker_choice="hydrogen",$BD46*hfo_e_density_lhv/h2_e_density_lhv,(EK46+EM46)*1000000/EO46*hfo_e_density_lhv/Dme_e_density_lhv))+(F46/24/Shipping!$AD$50*Shipping!$AD$51+Shipping!$AD$59*Shipping!$AD$60)*IF(bunker_choice="HFO",bunker_price_ROT,IF(bunker_choice="hydrogen",$BD46*hfo_e_density_lhv/h2_e_density_lhv,(EK46+EM46)*1000000/EO46*hfo_e_density_lhv/ome_e_density_lhv))+Shipping!$AD$73+IF(G46="Panama",Shipping!$AD$55,0)+IF(G46="Suez",Shipping!$AD$56,0))/Shipping!$AD$31*(EO46+ome_st_ab_losses)/1000000+IF(inland_transport_to_port="hv dc grid",$BM46/100*1000*ER46,IF(inland_transport_to_port="pipeline",$BN46,0)),((F46/24/Shipping!$T$44+F46/24/Shipping!$T$50+Shipping!$T$59+Shipping!$T$64)*(Shipping!$T$22+wacc_nl*Shipping!$T$19/365.25*1000000+Shipping!$T$35)+(F46/24/Shipping!$T$44*Shipping!$T$45+Shipping!$T$64*Shipping!$T$65)*IF(bunker_choice="HFO",$H46,IF(bunker_choice="hydrogen",$BD46*hfo_e_density_lhv/h2_e_density_lhv,(EK46+EM46)*1000000/EO46*hfo_e_density_lhv/Dme_e_density_lhv))+(F46/24/Shipping!$T$50*Shipping!$T$51+Shipping!$T$59*Shipping!$T$60)*IF(bunker_choice="HFO",bunker_price_ROT,IF(bunker_choice="hydrogen",$BD46*hfo_e_density_lhv/h2_e_density_lhv,(EK46+EM46)*1000000/EO46*hfo_e_density_lhv/ome_e_density_lhv))+Shipping!$T$73+IF(G46="Panama",Shipping!$T$55,0)+IF(G46="Suez",Shipping!$T$56,0))/Shipping!$T$31*(EO46+ome_st_ab_losses)/1000000+IF(inland_transport_to_port="hv dc grid",$BM46/100*1000*ER46,IF(inland_transport_to_port="pipeline",$BN46,0)))))</f>
        <v>7298.615049126438</v>
      </c>
      <c r="EQ46" s="28">
        <f t="shared" si="40"/>
        <v>258782.79587182566</v>
      </c>
      <c r="ER46" s="29">
        <f>(ome_e_demand)*(EO46+ome_st_ab_losses)/1000000+ome_st_e_demand*EM46/1000000+$CV46*(Carriers!$Z$21/Carriers!$Z$23*EO46)/$CS46</f>
        <v>3352.081458464711</v>
      </c>
      <c r="ES46" s="29">
        <f t="shared" si="87"/>
        <v>0.1924238095238095</v>
      </c>
      <c r="ET46" s="28">
        <f>IFERROR(EQ46*1000000/Storage!$S$12,"")</f>
        <v>2017.2877502443785</v>
      </c>
      <c r="EU46" s="28">
        <f>IF($E46="","No Port",((F46/24/Shipping!$T$44+F46/24/Shipping!$T$50+Shipping!$T$59+Shipping!$T$64)*Carriers!$Z$39*wacc_nl))</f>
        <v>119.07328874221673</v>
      </c>
      <c r="EV46" s="100">
        <f>H2_retrieval!$R$25*h2_demand_kt/1000+(co2_liq_e_demand+co2_st_e_demand*2)*Storage!$S$12*co2_density/ome_density/1000000</f>
        <v>254.51942895252085</v>
      </c>
      <c r="EW46" s="28">
        <f>IFERROR((((EK46+EM46+EP46)*(1+H2_retrieval!$R$34)+EU46)*1000000/H2_retrieval!$R$8)+h2_regen_ome,"")</f>
        <v>16527.475896653974</v>
      </c>
      <c r="EX46" s="149">
        <f>(sng_invest*(M46+1/sng_lifetime)/sng_prod+lng_invest*(M46+1/lng_lifetime)/lng_prod+sng_opex+lng_opex+(sng_e_demand+lng_e_demand)*1000*$AU46/100+Carriers!$AB$18/Carriers!$AB$23*BD46+Carriers!$AB$20/Carriers!$AB$23*co2_liq_cost)*(FB46+lng_st_ab_losses)/1000000</f>
        <v>69140.826471433102</v>
      </c>
      <c r="EY46" s="86">
        <f>(sng_invest*(M46+1/sng_lifetime)/sng_prod+lng_invest*(M46+1/lng_lifetime)/lng_prod+sng_opex+lng_opex+(sng_e_demand+lng_e_demand)*1000*$AU46/100+Carriers!$AB$18/Carriers!$AB$23*BD46+Carriers!$AB$20/Carriers!$AB$23*BP46)*(FB46+lng_st_ab_losses)/1000000</f>
        <v>83324.458545628819</v>
      </c>
      <c r="EZ46" s="63">
        <f>lng_st_nl_cost*lng_st_nl_demand/1000000+(lng_st_invest*(M46+1/lng_st_lifetime+lng_st_opex)/(Storage!$U$63/1000000)+lng_st_e_demand*1000*$AU46/100)*(FB46+lng_st_ab_losses)/1000000+co2_st_nl_cost*Storage!$U$12*co2_density/lng_density/1000000+(co2_st_opex_lev+co2_st_invest_lev+co2_st_e_demand*1000*$AU46/100)*Storage!$U$12/1000000+co2_st_invest_lev*Storage!$U$12*co2_st_lifetime*M46/1000000+Carriers!$AB$18/Carriers!$AB$23*((FB46+lng_st_ab_losses)/365.25*short_st_duration_hrs/24)*(h2_short_st_invest*(1/gh2_short_st_lifetime+$M46+h2_short_st_opex)+h2_short_st_e_demand*1000*$AU46/100)/1000000+Carriers!$AB$20/Carriers!$AB$23*((FB46+lng_st_ab_losses)/365.25*short_st_duration_hrs/24)*(co2_short_st_invest*(1/co2_short_st_lifetime+$M46+co2_short_st_opex)+co2_short_st_e_demand*1000*$AU46/100)/1000000</f>
        <v>6769.4601945430186</v>
      </c>
      <c r="FA46" s="63">
        <f>lng_st_nl_cost*lng_st_nl_demand/1000000+(lng_st_invest*(M46+1/lng_st_lifetime+lng_st_opex)/(Storage!$U$63/1000000)+lng_st_e_demand*1000*$AU46/100)*(FB46+lng_st_ab_losses)/1000000+Carriers!$AB$18/Carriers!$AB$23*((FB46+lng_st_ab_losses)/365.25*short_st_duration_hrs/24)*(h2_short_st_invest*(1/gh2_short_st_lifetime+$M46+h2_short_st_opex)+h2_short_st_e_demand*1000*$AU46/100)/1000000+Carriers!$AB$20/Carriers!$AB$23*((FB46+lng_st_ab_losses)/365.25*short_st_duration_hrs/24)*(co2_short_st_invest*(1/co2_short_st_lifetime+$M46+co2_short_st_opex)+co2_short_st_e_demand*1000*$AU46/100)/1000000</f>
        <v>5086.3883360514737</v>
      </c>
      <c r="FB46" s="63">
        <f>Storage!$U$57/((1-Shipping!$V$37)^($F46/24/Shipping!$V$44+0.5*Shipping!$V$59))</f>
        <v>41457501.554247439</v>
      </c>
      <c r="FC46" s="28" t="e">
        <f>IF($E46="","No Port",IF(G46="Panama","Ship cannot pass through Panama",((F46/24/Shipping!$V$44+F46/24/Shipping!$V$50+Shipping!$V$59+Shipping!$V$64)*(Shipping!$V$22+wacc_nl*Shipping!$V$19/365.25*1000000+Shipping!$V$35)+(F46/24/Shipping!$V$44*Shipping!$V$45+Shipping!$V$64*Shipping!$V$65)*IF(bunker_choice="HFO",$H46,IF(bunker_choice="hydrogen",$BD46*hfo_e_density_lhv/h2_e_density_lhv,(EX46+EZ46)*1000000/FB46*hfo_e_density_lhv/lng_e_density_lhv))+(F46/24/Shipping!$V$50*Shipping!$V$51+Shipping!$V$59*Shipping!$V$60)*IF(bunker_choice="HFO",bunker_price_ROT,IF(bunker_choice="hydrogen",$BD46*hfo_e_density_lhv/h2_e_density_lhv,(EX46+EZ46)*1000000/FB46*hfo_e_density_lhv/lng_e_density_lhv))+Shipping!$V$73+IF(G46="Panama",Shipping!$V$55,0)+IF(G46="Suez",Shipping!$V$56,0))/Shipping!$V$31*(FB46+lng_st_ab_losses)/1000000)+IF(inland_transport_to_port="hv dc grid",$BM46/100*1000*FE46,IF(inland_transport_to_port="pipeline",$BN46,0)))</f>
        <v>#VALUE!</v>
      </c>
      <c r="FD46" s="28" t="str">
        <f t="shared" si="41"/>
        <v/>
      </c>
      <c r="FE46" s="29">
        <f>((Carriers!$AB$18/Carriers!$AB$23*alk_el_e_demand)+sng_e_demand+lng_e_demand)*(FB46+lng_st_ab_losses)/1000000+lng_st_e_demand*EZ46/1000000</f>
        <v>1111.8507304507455</v>
      </c>
      <c r="FF46" s="29">
        <f t="shared" si="88"/>
        <v>0.8126185861001558</v>
      </c>
      <c r="FG46" s="28" t="str">
        <f>IFERROR(FD46*1000000/Storage!$U$12,"")</f>
        <v/>
      </c>
      <c r="FH46" s="28">
        <f>IF($E46="","No Port",((F46/24/Shipping!$V$44+F46/24/Shipping!$V$50+Shipping!$V$59+Shipping!$V$64)*Carriers!$AB$39*wacc_nl))</f>
        <v>35.033712037467325</v>
      </c>
      <c r="FI46" s="100">
        <f>H2_retrieval!$T$25*h2_demand_kt/1000+(co2_liq_e_demand+co2_st_e_demand*2)*Storage!$U$12*co2_density/lng_density/1000000</f>
        <v>236.51371749646054</v>
      </c>
      <c r="FJ46" s="28" t="str">
        <f>IFERROR((((EX46+EZ46+FC46)*(1+H2_retrieval!$T$34)+FH46)*1000000/H2_retrieval!$T$8)+h2_regen_lng,"")</f>
        <v/>
      </c>
      <c r="FK46" s="149">
        <f>(lh2_invest*(M46+1/lh2_lifetime)/lh2_prod+lh2_opex+lh2_e_demand*1000*$AU46/100+Carriers!$AD$18/Carriers!$AD$23*BD46)*(FM46+lh2_st_ab_losses)/1000000</f>
        <v>55994.385541543823</v>
      </c>
      <c r="FL46" s="28">
        <f>lh2_st_nl_cost*lh2_st_nl_demand/1000000+(lh2_st_invest*(M46+1/lh2_st_lifetime+lh2_st_opex)/(Storage!$Y$63/1000000)+lh2_st_e_demand*1000*$AU46/100)*(FM46+lh2_st_ab_losses)/1000000+((FM46+lh2_st_ab_losses)/365.25*short_st_duration_hrs/24)*(h2_short_st_invest*(1/gh2_short_st_lifetime+$M46+h2_short_st_opex)+h2_short_st_e_demand*1000*$AU46/100)/1000000</f>
        <v>58737.731347508379</v>
      </c>
      <c r="FM46" s="63">
        <f>Storage!$Y$57/((1-Shipping!$Z$37)^($F46/24/Shipping!$Z$44+0.5*Shipping!$Z$59))</f>
        <v>14065185.153849512</v>
      </c>
      <c r="FN46" s="28" t="e">
        <f>IF($E46="","No Port",IF(G46="Panama","Ship cannot pass through Panama",((F46/24/Shipping!$Z$44+F46/24/Shipping!$Z$50+Shipping!$Z$59+Shipping!$Z$64)*(Shipping!$Z$22+wacc_nl*Shipping!$Z$19/365.25*1000000+Shipping!$Z$35)+(F46/24/Shipping!$Z$44*Shipping!$Z$45+Shipping!$Z$64*Shipping!$Z$65)*IF(bunker_choice="HFO",$H46,IF(bunker_choice="hydrogen",$BD46*hfo_e_density_lhv/h2_e_density_lhv,(FK46+FL46)*1000000/FM46*hfo_e_density_lhv/lh2_e_density_lhv))+(F46/24/Shipping!$Z$50*Shipping!$Z$51+Shipping!$Z$59*Shipping!$Z$60)*IF(bunker_choice="HFO",bunker_price_ROT,IF(bunker_choice="hydrogen",$BD46*hfo_e_density_lhv/h2_e_density_lhv,(FK46+FL46)*1000000/FM46*hfo_e_density_lhv/lh2_e_density_lhv))+Shipping!$Z$73+IF(G46="Panama",Shipping!$Z$55,0)+IF(G46="Suez",Shipping!$Z$56,0))/Shipping!$Z$31*(FM46+lh2_st_ab_losses)/1000000)+IF(inland_transport_to_port="hv dc grid",$BM46/100*1000*FP46,IF(inland_transport_to_port="pipeline",$BN46,0)))</f>
        <v>#VALUE!</v>
      </c>
      <c r="FO46" s="28" t="str">
        <f t="shared" si="42"/>
        <v/>
      </c>
      <c r="FP46" s="29">
        <f>((Carriers!$AD$18/Carriers!$AD$23*alk_el_e_demand)+lh2_e_demand)*(FM46+lh2_st_ab_losses)/1000000+lh2_st_e_demand*FM46/1000000</f>
        <v>815.05131800327501</v>
      </c>
      <c r="FQ46" s="100">
        <f t="shared" si="89"/>
        <v>1.361902463475859</v>
      </c>
      <c r="FR46" s="28" t="str">
        <f>IFERROR(FO46*1000000/Storage!$Y$12,"")</f>
        <v/>
      </c>
      <c r="FS46" s="100">
        <f>H2_retrieval!$V$25*h2_demand_kt/1000</f>
        <v>8.16</v>
      </c>
      <c r="FT46" s="28" t="str">
        <f>IFERROR(FR46*(1+H2_retrieval!$V$34)/Carrier_properties!$U$7+H2_retrieval!$V$38,"")</f>
        <v/>
      </c>
      <c r="FU46" s="12"/>
      <c r="FV46" s="24">
        <f t="shared" si="90"/>
        <v>3.3407621826758369</v>
      </c>
      <c r="FW46" s="24">
        <f t="shared" si="57"/>
        <v>4.4461960778610514</v>
      </c>
      <c r="FX46" s="24">
        <f t="shared" si="58"/>
        <v>9.5614751201666959</v>
      </c>
      <c r="FY46" s="24">
        <f t="shared" si="45"/>
        <v>3.3407621826758369</v>
      </c>
      <c r="FZ46" s="28">
        <f t="shared" si="59"/>
        <v>2829.825578440797</v>
      </c>
      <c r="GA46" s="28">
        <f t="shared" si="47"/>
        <v>670.22079836024216</v>
      </c>
      <c r="GB46" s="28">
        <f t="shared" si="48"/>
        <v>488.78240298698324</v>
      </c>
      <c r="GC46" s="28">
        <f t="shared" si="49"/>
        <v>756.68048227604561</v>
      </c>
      <c r="GD46" s="28">
        <f t="shared" si="50"/>
        <v>1108.2537333851258</v>
      </c>
      <c r="GE46" s="28">
        <f t="shared" si="51"/>
        <v>1945.1787183677166</v>
      </c>
      <c r="GF46" s="28">
        <f t="shared" si="52"/>
        <v>2009.8765102040256</v>
      </c>
      <c r="GG46" s="12"/>
      <c r="GH46" s="12"/>
      <c r="GI46" s="12"/>
      <c r="GJ46" s="12"/>
      <c r="GK46" s="12"/>
      <c r="GL46" s="12"/>
      <c r="GM46" s="12"/>
      <c r="GN46" s="12"/>
      <c r="GO46" s="12"/>
      <c r="GP46" s="12"/>
      <c r="GQ46" s="12"/>
      <c r="GR46" s="12"/>
      <c r="GS46" s="12"/>
      <c r="GT46" s="12"/>
      <c r="GU46" s="12"/>
      <c r="GV46" s="12"/>
      <c r="GW46" s="12"/>
      <c r="GX46" s="12"/>
      <c r="GY46" s="12"/>
      <c r="GZ46" s="12"/>
      <c r="HA46" s="12"/>
      <c r="HB46" s="12"/>
      <c r="HC46" s="12"/>
      <c r="HD46" s="12"/>
      <c r="HE46" s="12"/>
      <c r="HF46" s="12"/>
    </row>
    <row r="47" spans="1:214" x14ac:dyDescent="0.2">
      <c r="A47" s="154" t="s">
        <v>53</v>
      </c>
      <c r="B47" s="12">
        <v>3528</v>
      </c>
      <c r="C47" s="12">
        <v>0.9</v>
      </c>
      <c r="D47" s="12">
        <f t="shared" si="61"/>
        <v>9.9999999999999978E-2</v>
      </c>
      <c r="E47" s="12" t="s">
        <v>717</v>
      </c>
      <c r="F47" s="12">
        <v>3159</v>
      </c>
      <c r="G47" s="12"/>
      <c r="H47" s="16">
        <f t="shared" si="62"/>
        <v>382.75862068965517</v>
      </c>
      <c r="I47" s="16">
        <v>995450</v>
      </c>
      <c r="J47" s="16">
        <f t="shared" si="31"/>
        <v>562.90458889731428</v>
      </c>
      <c r="K47" s="27">
        <f t="shared" si="32"/>
        <v>675.48550667677716</v>
      </c>
      <c r="L47" s="103">
        <v>0.12</v>
      </c>
      <c r="M47" s="103">
        <f t="shared" si="63"/>
        <v>0.12628717361480385</v>
      </c>
      <c r="N47" s="122">
        <f t="shared" si="33"/>
        <v>0.75</v>
      </c>
      <c r="O47" s="46">
        <f t="shared" si="64"/>
        <v>40</v>
      </c>
      <c r="P47" s="70">
        <f t="array" ref="P47">SUMPRODUCT(IF(Solar_data!A$4:A$777=A47,Solar_data!C$4:C$777),IF(Solar_data!A$4:A$777=A47,Solar_data!I$4:I$777))/SUMIF(Solar_data!A$4:A$777,A47,Solar_data!I$4:I$777)</f>
        <v>2448.5369022481573</v>
      </c>
      <c r="Q47" s="16">
        <f t="array" ref="Q47">MAX(IF(Solar_data!$A$777:'Solar_data'!$A$4=Country_details!$A47,Solar_data!$C$4:'Solar_data'!$C$777))</f>
        <v>2646.25</v>
      </c>
      <c r="R47" s="16">
        <f t="array" ref="R47">MIN(IF(Solar_data!$A$777:'Solar_data'!$A$4=Country_details!A47,Solar_data!$C$4:'Solar_data'!$C$777))</f>
        <v>1916.25</v>
      </c>
      <c r="S47" s="24">
        <f t="shared" si="65"/>
        <v>2.2275422067593516</v>
      </c>
      <c r="T47" s="24">
        <f t="shared" si="66"/>
        <v>2.0611126290280835</v>
      </c>
      <c r="U47" s="24">
        <f t="shared" si="67"/>
        <v>2.8462983924673537</v>
      </c>
      <c r="V47" s="16">
        <f t="array" ref="V47">SUM(IF(Solar_data!$A$777:'Solar_data'!$A$4=Country_details!$A47,Solar_data!$I$4:'Solar_data'!$I$777))</f>
        <v>8299.5109849078726</v>
      </c>
      <c r="W47" s="148"/>
      <c r="X47" s="16" t="str">
        <f>IFERROR(INDEX(Onshore_wind_data!$J$5:'Onshore_wind_data'!$J$221,MATCH(A47,Onshore_wind_data!$B$5:'Onshore_wind_data'!$B$221,0)),"")</f>
        <v/>
      </c>
      <c r="Y47" s="16" t="str">
        <f>IFERROR(INDEX(Onshore_wind_data!$K$5:'Onshore_wind_data'!$K$221,MATCH(A47,Onshore_wind_data!$B$5:'Onshore_wind_data'!$B$221,0)),"")</f>
        <v/>
      </c>
      <c r="Z47" s="16" t="str">
        <f>IFERROR(INDEX(Onshore_wind_data!$L$5:'Onshore_wind_data'!$L$221,MATCH(A47,Onshore_wind_data!$B$5:'Onshore_wind_data'!$B$221,0)),"")</f>
        <v/>
      </c>
      <c r="AA47" s="24" t="str">
        <f t="shared" si="68"/>
        <v/>
      </c>
      <c r="AB47" s="24" t="str">
        <f t="shared" si="69"/>
        <v/>
      </c>
      <c r="AC47" s="24" t="str">
        <f t="shared" si="70"/>
        <v/>
      </c>
      <c r="AD47" s="16">
        <f>IFERROR(INDEX(Onshore_wind_data!$I$5:'Onshore_wind_data'!$I$221,MATCH(A47,Onshore_wind_data!$B$5:'Onshore_wind_data'!$B$221,0)),"")</f>
        <v>0</v>
      </c>
      <c r="AE47" s="148"/>
      <c r="AF47" s="16">
        <f>INDEX(Offshore_wind_data!$AA$7:$AA$192,MATCH(Country_details!A47,Offshore_wind_data!$A$7:$A$192,0))</f>
        <v>3494.3827003049623</v>
      </c>
      <c r="AG47" s="16">
        <f>INDEX(Offshore_wind_data!$Y$7:$Y$192,MATCH(Country_details!A47,Offshore_wind_data!$A$7:$A$192,0))</f>
        <v>3854.4</v>
      </c>
      <c r="AH47" s="16">
        <f>INDEX(Offshore_wind_data!$Z$7:$Z$192,MATCH(Country_details!A47,Offshore_wind_data!$A$7:$A$192,0))</f>
        <v>3153.6</v>
      </c>
      <c r="AI47" s="24">
        <f t="shared" si="71"/>
        <v>7.8641083884928467</v>
      </c>
      <c r="AJ47" s="24">
        <f t="shared" si="72"/>
        <v>7.1295673272292799</v>
      </c>
      <c r="AK47" s="24">
        <f t="shared" si="73"/>
        <v>8.7139156221691216</v>
      </c>
      <c r="AL47" s="16">
        <f>INDEX(Offshore_wind_data!$W$7:$W$191,MATCH(A47,Offshore_wind_data!$A$7:$A$191,0))</f>
        <v>252.08476799999997</v>
      </c>
      <c r="AM47" s="148"/>
      <c r="AN47" s="12">
        <v>97.6</v>
      </c>
      <c r="AO47" s="12">
        <v>153.4</v>
      </c>
      <c r="AP47" s="34">
        <f>0.885*11.63</f>
        <v>10.29255</v>
      </c>
      <c r="AQ47" s="15">
        <f t="shared" si="74"/>
        <v>50</v>
      </c>
      <c r="AR47" s="12">
        <f t="shared" si="34"/>
        <v>7670</v>
      </c>
      <c r="AS47" s="16">
        <f t="shared" si="35"/>
        <v>881.59575290787325</v>
      </c>
      <c r="AT47" s="12"/>
      <c r="AU47" s="24">
        <f t="shared" si="75"/>
        <v>2.2275422067593516</v>
      </c>
      <c r="AV47" s="16">
        <f t="shared" si="76"/>
        <v>2448.5369022481573</v>
      </c>
      <c r="AW47" s="149">
        <f>HV_DC_Grid!$E$3/(1-AX47)*AU47/100*1000</f>
        <v>2422.325569909427</v>
      </c>
      <c r="AX47" s="31">
        <f>(1-(1-HV_DC_Grid!$E$25)^(B47*C47*HV_DC_Grid!$E$8/1000))+(1-(1-HV_DC_Grid!$E$26)^(B47*D47*HV_DC_Grid!$E$8/1000))+HV_DC_Grid!$E$35*HV_DC_Grid!$E$28</f>
        <v>8.0411719039632942E-2</v>
      </c>
      <c r="AY47" s="28">
        <f>B47*nl_e_demand/IF(hv_dc_flh="electricity FLH",$AV47,hv_dc_custom)*1000*hv_dc_capacity_multiplier*hv_dc_length_multiplier*1000*(C47*hv_dc_overhead_invest*(hv_dc_overhead_opex+M47+1/hv_dc_lifetime)+D47*hv_dc_sea_invest*(hv_dc_sea_opex+M47+1/hv_dc_lifetime))/1000000+HV_DC_Grid!$E$10*1000*hv_dc_station_invest*hv_dc_station_number*(hv_dc_station_opex+M47+1/hv_dc_lifetime)/1000000</f>
        <v>4075.3803374599202</v>
      </c>
      <c r="AZ47" s="24">
        <f>(AW47+AY47)/(HV_DC_Grid!$E$3*1000)*100</f>
        <v>6.4977059073693475</v>
      </c>
      <c r="BA47" s="28">
        <f>MIN(((Carriers!$F$26+Carriers!$F$27)*(alk_el_opex+wacc_nl+1/alk_el_lifetime)+IF(hv_dc_flh="electricity FLH",$AV47,hv_dc_custom)*AZ47/100)/(IF(hv_dc_flh="electricity FLH",$AV47,hv_dc_custom)/alk_el_e_demand)*1000,((Carriers!$H$26+Carriers!$H$27)*(pem_el_opex+wacc_nl+1/pem_el_lifetime)+IF(hv_dc_flh="electricity FLH",$AV47,hv_dc_custom)*AZ47/100)/(IF(hv_dc_flh="electricity FLH",$AV47,hv_dc_custom)/pem_el_e_demand)*1000)</f>
        <v>3661.9179344827776</v>
      </c>
      <c r="BB47" s="12"/>
      <c r="BC47" s="12"/>
      <c r="BD47" s="149">
        <f>MIN(((Carriers!$F$26+Carriers!$F$27)*(alk_el_opex+M47+1/alk_el_lifetime)+$AV47*$AU47/100)/($AV47/alk_el_e_demand)*1000,((Carriers!$H$26+Carriers!$H$27)*(pem_el_opex+M47+1/pem_el_lifetime)+$AV47*$AU47/100)/($AV47/pem_el_e_demand)*1000)</f>
        <v>2536.6635685945944</v>
      </c>
      <c r="BE47" s="28">
        <f>Storage!$AC$50</f>
        <v>8.1664117557772418</v>
      </c>
      <c r="BF47" s="28">
        <f>((Pipeline!$D$22*Pipeline!$D$24*B47*(pipeline_opex+M47+1/pipeline_lifetime))*(Pipeline!$D$39/Pipeline!$D$3)+(Pipeline!$D$57*(pipeline_comp_opex+M47+1/pipeline_comp_lifetime)+Pipeline!$D$47*1000*Pipeline!$D$45*$AU47/100/1000000))*(Pipeline!$D$75/Pipeline!$D$45)</f>
        <v>8012.3024560507538</v>
      </c>
      <c r="BG47" s="28">
        <f>BD47+(BE47+BF47)/Storage!$AC$12*1000000</f>
        <v>3126.4039265215451</v>
      </c>
      <c r="BH47" s="28"/>
      <c r="BI47" s="28"/>
      <c r="BJ47" s="28">
        <f>IF($E47="","No Port",BK47*HV_DC_Grid!$E$3*$AU47/100*1000)</f>
        <v>60.119360311422476</v>
      </c>
      <c r="BK47" s="31">
        <f>IFERROR((1-(1-HV_DC_Grid!$E$25)^(K47*HV_DC_Grid!$E$8/1000))+HV_DC_Grid!$E$35*HV_DC_Grid!$E$28,"")</f>
        <v>2.6989100421529008E-2</v>
      </c>
      <c r="BL47" s="28">
        <f>IFERROR(K47*nl_e_demand/IF(hv_dc_flh="electricity FLH",$AV47,hv_dc_custom)*1000*hv_dc_capacity_multiplier*hv_dc_length_multiplier*1000*(hv_dc_overhead_invest*(hv_dc_overhead_opex+M47+1/hv_dc_lifetime))/1000000+HV_DC_Grid!$E$10*1000*hv_dc_station_invest*hv_dc_station_number*(hv_dc_station_opex+M47+1/hv_dc_lifetime)/1000000,"")</f>
        <v>1001.0390807844927</v>
      </c>
      <c r="BM47" s="29">
        <f>IFERROR((BJ47+BL47)/(HV_DC_Grid!$E$3*1000)*100,"")</f>
        <v>1.0611584410959152</v>
      </c>
      <c r="BN47" s="28">
        <f>IFERROR(((Pipeline!$D$22*Pipeline!$D$24*K47*(pipeline_opex+M47+1/pipeline_lifetime))*(Pipeline!$D$39/Pipeline!$D$3)+(Pipeline!$D$57*(pipeline_comp_opex+M47+1/pipeline_comp_lifetime)+Pipeline!$D$47*1000*Pipeline!$D$45*S47/100/1000000))*(Pipeline!$D$75/Pipeline!$D$45),"")</f>
        <v>1594.8757990565844</v>
      </c>
      <c r="BO47" s="28"/>
      <c r="BP47" s="150">
        <f t="shared" si="77"/>
        <v>111.89506894457837</v>
      </c>
      <c r="BQ47" s="34">
        <f t="shared" si="78"/>
        <v>33.614393608417608</v>
      </c>
      <c r="BR47" s="151">
        <f>(nh3_invest*(M47+1/nh3_lifetime)/nh3_prod+nh3_opex+nh3_e_demand*1000*$AU47/100+Carriers!$N$18/Carriers!$N$23*BD47+Carriers!$N$19/Carriers!$N$23*BQ47)*(BT47+nh3_st_ab_losses)/1000000</f>
        <v>46470.494391399254</v>
      </c>
      <c r="BS47" s="63">
        <f>nh3_st_nl_cost*nh3_st_nl_demand/1000000+(nh3_st_invest*(M47+1/nh3_st_lifetime+nh3_st_opex)/(Storage!$G$63/1000000)+nh3_st_e_demand*1000*$AU47/100)*(BT47+nh3_st_ab_losses)/1000000+Carriers!$N$18/Carriers!$N$23*((BT47+nh3_st_ab_losses)/365.25*short_st_duration_hrs/24)*(h2_short_st_invest*(1/gh2_short_st_lifetime+$M47+h2_short_st_opex)+h2_short_st_e_demand*1000*$AU47/100)/1000000+Carriers!$N$19/Carriers!$N$23*((BT47+nh3_st_ab_losses)/365.25*short_st_duration_hrs/24)*(n2_short_st_invest*(1/n2_short_st_lifetime+$M47+n2_short_st_opex)+n2_short_st_e_demand*1000*$AU47/100)/1000000</f>
        <v>3429.3723863602609</v>
      </c>
      <c r="BT47" s="63">
        <f>Storage!$G$57/((1-Shipping!$H$37)^(F47/24/Shipping!$H$44+0.5*Shipping!$H$59))</f>
        <v>78406940.213207379</v>
      </c>
      <c r="BU47" s="63">
        <f>IF($E47="","No Port",((F47/24/Shipping!$H$44+F47/24/Shipping!$H$50+Shipping!$H$59+Shipping!$H$64)*(Shipping!$H$22+wacc_nl*Shipping!$H$19/365.25*1000000+Shipping!$H$35)+(F47/24/Shipping!$H$44*Shipping!$H$45+Shipping!$H$64*Shipping!$H$65)*IF(bunker_choice="HFO",H47,IF(bunker_choice="hydrogen",BD47*hfo_e_density_lhv/h2_e_density_lhv,(BR47+BS47)*1000000/BT47*hfo_e_density_lhv/nh3_e_density_lhv))+(F47/24/Shipping!$H$50*Shipping!$H$51+Shipping!$H$59*Shipping!$H$60)*IF(bunker_choice="HFO",bunker_price_ROT,IF(bunker_choice="hydrogen",BD47*hfo_e_density_lhv/h2_e_density_lhv,(BR47+BS47)*1000000/BT47*hfo_e_density_lhv/nh3_e_density_lhv))+Shipping!$H$73+IF(G47="Panama",Shipping!$H$55,0)+IF(G47="Suez",Shipping!$H$56,0))/Shipping!$H$31*BT47/1000000+IF(inland_transport_to_port="hv dc grid",$BM47/100*1000*BW47,IF(inland_transport_to_port="pipeline",$BN47,0)))</f>
        <v>3737.0532334846757</v>
      </c>
      <c r="BV47" s="63">
        <f t="shared" si="91"/>
        <v>53636.92001124419</v>
      </c>
      <c r="BW47" s="33">
        <f>((Carriers!$N$18/Carriers!$N$23*alk_el_e_demand)+(Carriers!$N$19/Carriers!$N$23*n2_e_demand)+nh3_e_demand)*(BT47+nh3_st_ab_losses)/1000000+nh3_st_e_demand*BT47/1000000</f>
        <v>774.29335169430885</v>
      </c>
      <c r="BX47" s="33">
        <f t="shared" si="79"/>
        <v>0.76626754477640768</v>
      </c>
      <c r="BY47" s="63">
        <f>IFERROR(BV47*1000000/Storage!$G$12,"")</f>
        <v>700.55961701992703</v>
      </c>
      <c r="BZ47" s="63">
        <f>H2_retrieval!$F$25*h2_demand_kt/1000</f>
        <v>80</v>
      </c>
      <c r="CA47" s="63">
        <f>IFERROR(BY47*(1+H2_retrieval!$F$34)/Carrier_properties!$E$7+H2_retrieval!$F$38,"")</f>
        <v>4353.1171569411026</v>
      </c>
      <c r="CB47" s="149">
        <f>(FA_invest*(M47+1/FA_lifetime)/FA_prod+FA_opex+FA_e_demand*1000*$AU47/100+Carriers!$P$18/Carriers!$P$23*BD47+Carriers!$P$20/Carriers!$P$23*co2_liq_cost)*(CF47+FA_st_ab_losses)/1000000</f>
        <v>94116.897128703538</v>
      </c>
      <c r="CC47" s="86">
        <f>(FA_invest*(M47+1/FA_lifetime)/FA_prod+FA_opex+FA_e_demand*1000*$AU47/100+Carriers!$P$18/Carriers!$P$23*BD47+Carriers!$P$20/Carriers!$P$23*BP47)*(CF47+FA_st_ab_losses)/1000000</f>
        <v>121081.07425610541</v>
      </c>
      <c r="CD47" s="63">
        <f>FA_st_nl_cost*FA_st_nl_demand/1000000+(FA_st_invest*(M47+1/FA_st_lifetime+FA_st_opex)/(Storage!$I$63/1000000)+FA_st_e_demand*1000*$AU47/100)*(CF47+FA_st_ab_losses)/1000000+co2_st_nl_cost*Storage!$I$12*co2_density/FA_density/1000000+(co2_st_opex_lev+co2_st_invest_lev+co2_st_e_demand*1000*$AU47/100)*Storage!$I$12/1000000+co2_st_invest_lev*Storage!$I$12*co2_st_lifetime*M47/1000000+Carriers!$P$18/Carriers!$P$23*((CF47+FA_st_ab_losses)/365.25*short_st_duration_hrs/24)*(h2_short_st_invest*(1/gh2_short_st_lifetime+$M47+h2_short_st_opex)+h2_short_st_e_demand*1000*$AU47/100)/1000000+Carriers!$P$20/Carriers!$P$23*((CF47+FA_st_ab_losses)/365.25*short_st_duration_hrs/24)*(co2_short_st_invest*(1/co2_short_st_lifetime+$M47+co2_short_st_opex)+co2_short_st_e_demand*1000*$AU47/100)/1000000</f>
        <v>11677.672858835695</v>
      </c>
      <c r="CE47" s="63">
        <f>FA_st_nl_cost*FA_st_nl_demand/1000000+(FA_st_invest*(M47+1/FA_st_lifetime+FA_st_opex)/(Storage!$I$63/1000000)+FA_st_e_demand*1000*$AU47/100)*(CF47+FA_st_ab_losses)/1000000+Carriers!$P$18/Carriers!$P$23*((CF47+FA_st_ab_losses)/365.25*short_st_duration_hrs/24)*(h2_short_st_invest*(1/gh2_short_st_lifetime+$M47+h2_short_st_opex)+h2_short_st_e_demand*1000*$AU47/100)/1000000+Carriers!$P$20/Carriers!$P$23*((CF47+FA_st_ab_losses)/365.25*short_st_duration_hrs/24)*(co2_short_st_invest*(1/co2_short_st_lifetime+$M47+co2_short_st_opex)+co2_short_st_e_demand*1000*$AU47/100)/1000000</f>
        <v>5114.0048985076346</v>
      </c>
      <c r="CF47" s="63">
        <f>Storage!$I$57/((1-Shipping!$J$37)^($F47/24/Shipping!$J$44+0.5*Shipping!$J$59))</f>
        <v>310425396.82539684</v>
      </c>
      <c r="CG47" s="28">
        <f>IF($E47="","No Port",((F47/24/Shipping!$J$44+F47/24/Shipping!$J$50+Shipping!$J$59+Shipping!$J$64)*(Shipping!$J$22+wacc_nl*Shipping!$J$19/365.25*1000000+Shipping!$J$35)+(F47/24/Shipping!$J$44*Shipping!$J$45+Shipping!$J$64*Shipping!$J$65)*IF(bunker_choice="HFO",$H47,IF(bunker_choice="hydrogen",$BD47*hfo_e_density_lhv/h2_e_density_lhv,(CB47+CD47)*1000000/CF47*hfo_e_density_lhv/FA_e_density_lhv))+(F47/24/Shipping!$J$50*Shipping!$J$51+Shipping!$J$59*Shipping!$J$60)*IF(bunker_choice="HFO",bunker_price_ROT,IF(bunker_choice="hydrogen",$BD47*hfo_e_density_lhv/h2_e_density_lhv,(CB47+CD47)*1000000/CF47*hfo_e_density_lhv/FA_e_density_lhv))+Shipping!$J$73+IF(G47="Panama",Shipping!$J$55,0)+IF(G47="Suez",Shipping!$J$56,0))/Shipping!$J$31*CF47/1000000+IF(inland_transport_to_port="hv dc grid",$BM47/100*1000*CI47,IF(inland_transport_to_port="pipeline",$BN47,0)))</f>
        <v>10744.574080943541</v>
      </c>
      <c r="CH47" s="28">
        <f t="shared" si="36"/>
        <v>136939.65323555659</v>
      </c>
      <c r="CI47" s="29">
        <f>((Carriers!$P$18/Carriers!$P$23*alk_el_e_demand)+FA_e_demand)*(CF47+FA_st_ab_losses)/1000000+FA_st_e_demand*CF47/1000000</f>
        <v>1897.8881241622576</v>
      </c>
      <c r="CJ47" s="29">
        <f t="shared" si="80"/>
        <v>0.46563809523809524</v>
      </c>
      <c r="CK47" s="28">
        <f>IFERROR(CH47*1000000/Storage!$I$12,"")</f>
        <v>441.1354697005678</v>
      </c>
      <c r="CL47" s="28">
        <f>IF($E47="","No Port",((F47/24/Shipping!$J$44+F47/24/Shipping!$J$50+Shipping!$J$59+Shipping!$J$64)*Carriers!$P$39*wacc_nl))</f>
        <v>175.67514018749097</v>
      </c>
      <c r="CM47" s="29">
        <f>H2_retrieval!$H$25*h2_demand_kt/1000+(co2_liq_e_demand+co2_st_e_demand*2)*Storage!$I$12*co2_density/FA_density/1000000</f>
        <v>94.204253879484654</v>
      </c>
      <c r="CN47" s="28">
        <f>IFERROR((((CB47+CD47+CG47)*(1+H2_retrieval!$H$34)+CL47)*1000000/H2_retrieval!$H$8)+h2_regen_fa,"")</f>
        <v>8671.6593684044747</v>
      </c>
      <c r="CO47" s="149">
        <f>(meoh_invest*(M47+1/meoh_lifetime)/meoh_prod+meoh_opex+meoh_e_demand*1000*$AU47/100+Carriers!$R$18/Carriers!$R$23*BD47+Carriers!$R$20/Carriers!$R$23*co2_liq_cost)*(CS47+meoh_st_ab_losses)/1000000</f>
        <v>55821.764538462194</v>
      </c>
      <c r="CP47" s="86">
        <f>(meoh_invest*(M47+1/meoh_lifetime)/meoh_prod+meoh_opex+meoh_e_demand*1000*$AU47/100+Carriers!$R$18/Carriers!$R$23*BD47+Carriers!$R$20/Carriers!$R$23*BP47)*(CS47+meoh_st_ab_losses)/1000000</f>
        <v>71650.568945912863</v>
      </c>
      <c r="CQ47" s="63">
        <f>meoh_st_nl_cost*meoh_st_nl_demand/1000000+(meoh_st_invest*(M47+1/meoh_st_lifetime+meoh_st_opex)/(Storage!$K$63/1000000)+meoh_st_e_demand*1000*$AU47/100)*(CS47+meoh_st_ab_losses)/1000000+co2_st_nl_cost*Storage!$K$12*co2_density/meoh_density/1000000+(co2_st_opex_lev+co2_st_invest_lev+co2_st_e_demand*1000*IFERROR(MIN(S47,AA47,AI47),S47)/100)*Storage!$K$12/1000000+co2_st_invest_lev*Storage!$K$12*co2_st_lifetime*M47/1000000+Carriers!$R$18/Carriers!$R$23*((CS47+meoh_st_ab_losses)/365.25*short_st_duration_hrs/24)*(h2_short_st_invest*(1/gh2_short_st_lifetime+$M47+h2_short_st_opex)+h2_short_st_e_demand*1000*$AU47/100)/1000000+Carriers!$R$20/Carriers!$R$23*((CF47+meoh_st_ab_losses)/365.25*short_st_duration_hrs/24)*(co2_short_st_invest*(1/co2_short_st_lifetime+$M47+co2_short_st_opex)+co2_short_st_e_demand*1000*$AU47/100)/1000000</f>
        <v>4900.0806691457883</v>
      </c>
      <c r="CR47" s="63">
        <f>meoh_st_nl_cost*meoh_st_nl_demand/1000000+(meoh_st_invest*(M47+1/meoh_st_lifetime+meoh_st_opex)/(Storage!$K$63/1000000)+meoh_st_e_demand*1000*$AU47/100)*(CS47+meoh_st_ab_losses)/1000000+Carriers!$R$18/Carriers!$R$23*((CS47+meoh_st_ab_losses)/365.25*short_st_duration_hrs/24)*(h2_short_st_invest*(1/gh2_short_st_lifetime+$M47+h2_short_st_opex)+h2_short_st_e_demand*1000*$AU47/100)/1000000+Carriers!$R$20/Carriers!$R$23*((CF47+meoh_st_ab_losses)/365.25*short_st_duration_hrs/24)*(co2_short_st_invest*(1/co2_short_st_lifetime+$M47+co2_short_st_opex)+co2_short_st_e_demand*1000*$AU47/100)/1000000</f>
        <v>2016.5798833156703</v>
      </c>
      <c r="CS47" s="63">
        <f>Storage!$K$57/((1-Shipping!$L$37)^($F47/24/Shipping!$L$44+0.5*Shipping!$L$59))</f>
        <v>108044444.44444443</v>
      </c>
      <c r="CT47" s="28">
        <f>IF($E47="","No Port",IF(AND(ship_choice="VLCC",G47="Panama"),"Ship cannot pass through Panama",IF(ship_choice="VLCC",((F47/24/Shipping!$AD$44+F47/24/Shipping!$AD$50+Shipping!$AD$59+Shipping!$AD$64)*(Shipping!$AD$22+wacc_nl*Shipping!$AD$19/365.25*1000000+Shipping!$AD$35)+(F47/24/Shipping!$AD$44*Shipping!$AD$45+Shipping!$AD$64*Shipping!$AD$65)*IF(bunker_choice="HFO",$H47,IF(bunker_choice="hydrogen",$BD47*hfo_e_density_lhv/h2_e_density_lhv,(CO47+CQ47)*1000000/CS47*hfo_e_density_lhv/meoh_e_density_lhv))+(F47/24/Shipping!$AD$50*Shipping!$AD$51+Shipping!$AD$59*Shipping!$AD$60)*IF(bunker_choice="HFO",bunker_price_ROT,IF(bunker_choice="hydrogen",$BD47*hfo_e_density_lhv/h2_e_density_lhv,(CO47+CQ47)*1000000/CS47*hfo_e_density_lhv/meoh_e_density_lhv))+Shipping!$AD$73+IF(G47="Panama",Shipping!$AD$55,0)+IF(G47="Suez",Shipping!$AD$56,0))/Shipping!$AD$31*CS47/1000000+IF(inland_transport_to_port="hv dc grid",$BM47/100*1000*CV47,IF(inland_transport_to_port="pipeline",$BN47,0)),((F47/24/Shipping!$L$44+F47/24/Shipping!$L$50+Shipping!$L$59+Shipping!$L$64)*(Shipping!$L$22+wacc_nl*Shipping!$L$19/365.25*1000000+Shipping!$L$35)+(F47/24/Shipping!$L$44*Shipping!$L$45+Shipping!$L$64*Shipping!$L$65)*IF(bunker_choice="HFO",$H47,IF(bunker_choice="hydrogen",$BD47*hfo_e_density_lhv/h2_e_density_lhv,(CO47+CQ47)*1000000/CS47*hfo_e_density_lhv/meoh_e_density_lhv))+(F47/24/Shipping!$L$50*Shipping!$L$51+Shipping!$L$59*Shipping!$L$60)*IF(bunker_choice="HFO",bunker_price_ROT,IF(bunker_choice="hydrogen",$BD47*hfo_e_density_lhv/h2_e_density_lhv,(CO47+CQ47)*1000000/CS47*hfo_e_density_lhv/meoh_e_density_lhv))+Shipping!$L$73+IF(G47="Panama",Shipping!$L$55,0)+IF(G47="Suez",Shipping!$L$56,0))/Shipping!$L$31*CS47/1000000+IF(inland_transport_to_port="hv dc grid",$BM47/100*1000*CV47,IF(inland_transport_to_port="pipeline",$BN47,0)))))</f>
        <v>4585.3830904642655</v>
      </c>
      <c r="CU47" s="28">
        <f t="shared" si="37"/>
        <v>78252.531919692803</v>
      </c>
      <c r="CV47" s="29">
        <f>((Carriers!$R$18/Carriers!$R$23*alk_el_e_demand)+meoh_e_demand)*(CS47+meoh_st_ab_losses)/1000000+meoh_st_e_demand*CS47/1000000</f>
        <v>1119.9789871111109</v>
      </c>
      <c r="CW47" s="29">
        <f t="shared" si="81"/>
        <v>0.16206666666666666</v>
      </c>
      <c r="CX47" s="28">
        <f>IFERROR(CU47*1000000/Storage!$K$12,"")</f>
        <v>724.26243035503433</v>
      </c>
      <c r="CY47" s="28">
        <f>IF($E47="","No Port",((F47/24/Shipping!$L$44+F47/24/Shipping!$L$50+Shipping!$L$59+Shipping!$L$64)*Carriers!$R$39*wacc_nl))</f>
        <v>62.715477726881886</v>
      </c>
      <c r="CZ47" s="29">
        <f>H2_retrieval!$J$25*h2_demand_kt/1000+(co2_liq_e_demand+co2_st_e_demand*2)*Storage!$K$12*co2_density/meoh_density/1000000</f>
        <v>251.05079059698966</v>
      </c>
      <c r="DA47" s="28">
        <f>IFERROR((((CO47+CQ47+CT47)*(1+H2_retrieval!$J$34)+CY47)*1000000/H2_retrieval!$J$8)+h2_regen_meoh,"")</f>
        <v>5976.7420561225226</v>
      </c>
      <c r="DB47" s="149">
        <f>(DBT_invest*(M47+1/DBT_lifetime)/DBT_prod+DBT_opex+DBT_e_demand*1000*$AU47/100+Carriers!$T$18/Carriers!$T$23*BD47)*(DD47+DBT_st_ab_losses)/1000000</f>
        <v>37753.889754596334</v>
      </c>
      <c r="DC47" s="28">
        <f>2*(DBT_st_nl_cost*DBT_st_nl_demand/1000000+(DBT_st_invest*(M47+1/DBT_st_lifetime+DBT_st_opex)/(Storage!$M$63/1000000)+DBT_st_e_demand*1000*$AU47/100)*(DD47+DBT_st_ab_losses)/1000000)+Carriers!$T$18/Carriers!$T$23*((DD47+DBT_st_ab_losses)/365.25*short_st_duration_hrs/24)*(h2_short_st_invest*(1/gh2_short_st_lifetime+$M47+h2_short_st_opex)+h2_short_st_e_demand*1000*$AU47/100)/1000000</f>
        <v>4157.674594172453</v>
      </c>
      <c r="DD47" s="63">
        <f>Storage!$M$57/((1-Shipping!$N$37)^($F47/24/Shipping!$N$44+0.5*Shipping!$N$59))</f>
        <v>219354838.70967743</v>
      </c>
      <c r="DE47" s="28">
        <f>IF($E47="","No Port",IF(AND(ship_choice="VLCC",G47="Panama"),"Ship cannot pass through Panama",IF(ship_choice="VLCC",((F47/24/Shipping!$AD$44+F47/24/Shipping!$AD$50+Shipping!$AD$59+Shipping!$AD$64)*(Shipping!$AD$22+wacc_nl*Shipping!$AD$19/365.25*1000000+Shipping!$AD$35)+(F47/24/Shipping!$AD$44*Shipping!$AD$45+Shipping!$AD$64*Shipping!$AD$65)*IF(bunker_choice="HFO",$H47,IF(bunker_choice="hydrogen",$BD47*hfo_e_density_lhv/h2_e_density_lhv,(DB47+DC47)*1000000/DD47*hfo_e_density_lhv/DBT_e_density_lhv))+(F47/24/Shipping!$AD$50*Shipping!$AD$51+Shipping!$AD$59*Shipping!$AD$60)*IF(bunker_choice="HFO",bunker_price_ROT,IF(bunker_choice="hydrogen",$BD47*hfo_e_density_lhv/h2_e_density_lhv,(DB47+DC47)*1000000/DD47*hfo_e_density_lhv/DBT_e_density_lhv))+Shipping!$AD$73+IF(G47="Panama",Shipping!$AD$55,0)+IF(G47="Suez",Shipping!$AD$56,0))/Shipping!$AD$31*DD47/1000000+IF(inland_transport_to_port="hv dc grid",$BM47/100*1000*DG47,IF(inland_transport_to_port="pipeline",$BN47,0)),((F47/24/Shipping!$N$44+F47/24/Shipping!$N$50+Shipping!$N$59+Shipping!$N$64)*(Shipping!$N$22+wacc_nl*Shipping!$N$19/365.25*1000000+Shipping!$N$35)+(F47/24/Shipping!$N$44*Shipping!$N$45+Shipping!$N$64*Shipping!$N$65)*IF(bunker_choice="HFO",$H47,IF(bunker_choice="hydrogen",$BD47*hfo_e_density_lhv/h2_e_density_lhv,(DB47+DC47)*1000000/DD47*hfo_e_density_lhv/DBT_e_density_lhv))+(F47/24/Shipping!$N$50*Shipping!$N$51+Shipping!$N$59*Shipping!$N$60)*IF(bunker_choice="HFO",bunker_price_ROT,IF(bunker_choice="hydrogen",$BD47*hfo_e_density_lhv/h2_e_density_lhv,(DB47+DC47)*1000000/DD47*hfo_e_density_lhv/DBT_e_density_lhv))+Shipping!$N$73+IF(G47="Panama",Shipping!$N$55,0)+IF(G47="Suez",Shipping!$N$56,0))/Shipping!$N$31*Shipping!$N$86/1000000+IF(inland_transport_to_port="hv dc grid",$BM47/100*1000*DG47,IF(inland_transport_to_port="pipeline",$BN47,0)))))</f>
        <v>7201.7161046362753</v>
      </c>
      <c r="DF47" s="28">
        <f t="shared" si="82"/>
        <v>49113.280453405059</v>
      </c>
      <c r="DG47" s="29">
        <f>((Carriers!$T$18/Carriers!$T$23*alk_el_e_demand)+DBT_e_demand)*(DD47+DBT_st_ab_losses)/1000000+DBT_st_e_demand*DD47/1000000</f>
        <v>703.88335483870969</v>
      </c>
      <c r="DH47" s="29">
        <f t="shared" si="83"/>
        <v>0.21935483870967742</v>
      </c>
      <c r="DI47" s="28">
        <f>IFERROR(DF47*1000000/Storage!$M$12,"")</f>
        <v>223.89877853758188</v>
      </c>
      <c r="DJ47" s="28">
        <f>IF($E47="","No Port",((F47/24/Shipping!$N$44+F47/24/Shipping!$N$50+Shipping!$N$59+Shipping!$N$64)*Carriers!$T$39*wacc_nl))</f>
        <v>4567.7743021261222</v>
      </c>
      <c r="DK47" s="100">
        <f>H2_retrieval!$L$25*h2_demand_kt/1000+(co2_liq_e_demand+co2_st_e_demand*2)*Storage!$M$12*co2_density/DBT_density/1000000</f>
        <v>206.61934861671787</v>
      </c>
      <c r="DL47" s="28">
        <f>IFERROR(((DF47*(1+H2_retrieval!$L$34)+DJ47)*1000000/H2_retrieval!$L$8)+h2_regen_lohc,"")</f>
        <v>4417.7861597219699</v>
      </c>
      <c r="DM47" s="149">
        <f t="shared" si="84"/>
        <v>47274.356979325974</v>
      </c>
      <c r="DN47" s="16">
        <f>2*(nabh4_st_nl_cost*nabh4_st_nl_demand/1000000+(nabh4_st_invest*(M47+1/nabh4_st_lifetime+nabh4_st_opex)/(Storage!$O$63/1000000)+nabh4_st_e_demand*1000*$AU47/100)*(DO47+nabh4_st_ab_losses)/1000000)+(h2_demand_kt*1000/365.25*short_st_duration_hrs/24)*(h2_short_st_invest*(1/gh2_short_st_lifetime+$M47+h2_short_st_opex)+h2_short_st_e_demand*1000*$AU47/100)/1000000</f>
        <v>1387.841625121514</v>
      </c>
      <c r="DO47" s="63">
        <f>Storage!$O$57/((1-Shipping!$P$37)^($F47/24/Shipping!$P$44+0.5*Shipping!$P$59))</f>
        <v>63920000</v>
      </c>
      <c r="DP47" s="16">
        <f>IF($E47="","No Port",((F47/24/Shipping!$P$44+F47/24/Shipping!$P$50+Shipping!$P$59+Shipping!$P$64)*(Shipping!$P$22+wacc_nl*Shipping!$P$19/365.25*1000000+Shipping!$P$35)+(F47/24/Shipping!$P$44*Shipping!$P$45+Shipping!$P$64*Shipping!$P$65)*IF(bunker_choice="HFO",$H47,IF(bunker_choice="hydrogen",$BD47*hfo_e_density_lhv/h2_e_density_lhv,(DM47+DN47)*1000000/DO47*hfo_e_density_lhv/nabh4_e_density_lhv))+(F47/24/Shipping!$P$50*Shipping!$P$51+Shipping!$P$59*Shipping!$P$60)*IF(bunker_choice="HFO",bunker_price_ROT,IF(bunker_choice="hydrogen",$BD47*hfo_e_density_lhv/h2_e_density_lhv,(DM47+DN47)*1000000/DO47*hfo_e_density_lhv/nabh4_e_density_lhv))+Shipping!$P$73+IF(G47="Panama",Shipping!$P$55,0)+IF(G47="Suez",Shipping!$P$56,0))/Shipping!$P$31*(DO47+nabh4_st_ab_losses)/1000000+IF(inland_transport_to_port="hv dc grid",$BM47/100*1000*DR47,IF(inland_transport_to_port="pipeline",$BN47,0)))</f>
        <v>3004.3098291707447</v>
      </c>
      <c r="DQ47" s="28">
        <f t="shared" si="60"/>
        <v>51666.508433618234</v>
      </c>
      <c r="DR47" s="29">
        <f>((Carriers!$V$18/Carriers!$V$23*alk_el_e_demand)+nabh4_e_demand)*(DO47+nabh4_st_ab_losses)/1000000+nabh4_st_e_demand*DO47/1000000</f>
        <v>980.02139682539689</v>
      </c>
      <c r="DS47" s="28">
        <f t="shared" si="85"/>
        <v>3.1960000000000002</v>
      </c>
      <c r="DT47" s="28">
        <f>IFERROR(DQ47*1000000/Storage!$O$12,"")</f>
        <v>808.29956873620517</v>
      </c>
      <c r="DU47" s="28">
        <f>IF($E47="","No Port",((F47/24/Shipping!$P$44+F47/24/Shipping!$P$50+Shipping!$P$59+Shipping!$P$64)*Carriers!$V$39*wacc_nl))</f>
        <v>431.31813120947919</v>
      </c>
      <c r="DV47" s="100">
        <f>H2_retrieval!$N$25*h2_demand_kt/1000+(co2_liq_e_demand+co2_st_e_demand*2)*Storage!$O$12*co2_density/nabh4_density/1000000</f>
        <v>18.783638728971958</v>
      </c>
      <c r="DW47" s="28">
        <f>IFERROR(((DQ47*(1+H2_retrieval!$N$34)+DU47)*1000000/H2_retrieval!$N$8)+h2_regen_nabh4,"")</f>
        <v>3913.5769114432919</v>
      </c>
      <c r="DX47" s="149">
        <f>(Dme_invest*(M47+1/Dme_lifetime)/Dme_prod+Dme_opex+Dme_e_demand*1000*$AU47/100+Carriers!$X$21/Carriers!$X$23*(CO47*1000000/CS47))*(EB47+Dme_st_ab_losses)/1000000</f>
        <v>78758.532398353564</v>
      </c>
      <c r="DY47" s="86">
        <f>(Dme_invest*(M47+1/Dme_lifetime)/Dme_prod+Dme_opex+Dme_e_demand*1000*$AU47/100+Carriers!$X$21/Carriers!$X$23*(CP47*1000000/CS47))*(EB47+Dme_st_ab_losses)/1000000</f>
        <v>100232.90169034016</v>
      </c>
      <c r="DZ47" s="63">
        <f>Dme_st_nl_cost*Dme_st_nl_demand/1000000+(Dme_st_invest*(M47+1/Dme_st_lifetime+Dme_st_opex)/(Storage!$Q$63/1000000)+Dme_st_e_demand*1000*$AU47/100)*(EB47+Dme_st_ab_losses)/1000000+co2_st_nl_cost*Storage!$Q$12*co2_density/Dme_density/1000000+(co2_st_opex_lev+co2_st_invest_lev+co2_st_e_demand*1000*$AU47/100)*Storage!$Q$12/1000000+co2_st_invest_lev*Storage!$Q$12*co2_st_lifetime*M47/1000000+(h2_demand_kt*1000/365.25*short_st_duration_hrs/24)*(h2_short_st_invest*(1/gh2_short_st_lifetime+$M47+h2_short_st_opex)+h2_short_st_e_demand*1000*$AU47/100)/1000000</f>
        <v>5913.4067456038902</v>
      </c>
      <c r="EA47" s="63">
        <f>Dme_st_nl_cost*Dme_st_nl_demand/1000000+(Dme_st_invest*(M47+1/Dme_st_lifetime+Dme_st_opex)/(Storage!$Q$63/1000000)+Dme_st_e_demand*1000*$AU47/100)*(EB47+Dme_st_ab_losses)/1000000+(h2_demand_kt*1000/365.25*short_st_duration_hrs/24)*(h2_short_st_invest*(1/gh2_short_st_lifetime+$M47+h2_short_st_opex)+h2_short_st_e_demand*1000*$AU47/100)/1000000</f>
        <v>3023.0311050362488</v>
      </c>
      <c r="EB47" s="63">
        <f>Storage!$Q$57/((1-Shipping!$R$37)^($F47/24/Shipping!$R$44+0.5*Shipping!$R$59))</f>
        <v>103547089.94708996</v>
      </c>
      <c r="EC47" s="153">
        <f>IF($E47="","No Port",IF(AND(ship_choice="VLCC",G47="Panama"),"Ship cannot pass through Panama",IF(ship_choice="VLCC",((F47/24/Shipping!$AD$44+F47/24/Shipping!$AD$50+Shipping!$AD$59+Shipping!$AD$64)*(Shipping!$AD$22+wacc_nl*Shipping!$AD$19/365.25*1000000+Shipping!$AD$35)+(F47/24/Shipping!$AD$44*Shipping!$AD$45+Shipping!$AD$64*Shipping!$AD$65)*IF(bunker_choice="HFO",$H47,IF(bunker_choice="hydrogen",$BD47*hfo_e_density_lhv/h2_e_density_lhv,(DX47+DZ47)*1000000/EB47*hfo_e_density_lhv/Dme_e_density_lhv))+(F47/24/Shipping!$AD$50*Shipping!$AD$51+Shipping!$AD$59*Shipping!$AD$60)*IF(bunker_choice="HFO",bunker_price_ROT,IF(bunker_choice="hydrogen",$BD47*hfo_e_density_lhv/h2_e_density_lhv,(DX47+DZ47)*1000000/EB47*hfo_e_density_lhv/Dme_e_density_lhv))+Shipping!$AD$73+IF(G47="Panama",Shipping!$AD$55,0)+IF(G47="Suez",Shipping!$AD$56,0))/Shipping!$AD$31*(EB47+Dme_st_ab_losses)/1000000+IF(inland_transport_to_port="hv dc grid",$BM47/100*1000*EE47,IF(inland_transport_to_port="pipeline",$BN47,0)),((F47/24/Shipping!$R$44+F47/24/Shipping!$R$50+Shipping!$R$59+Shipping!$R$64)*(Shipping!$R$22+wacc_nl*Shipping!$R$19/365.25*1000000+Shipping!$R$35)+(F47/24/Shipping!$R$44*Shipping!$R$45+Shipping!$R$64*Shipping!$R$65)*IF(bunker_choice="HFO",$H47,IF(bunker_choice="hydrogen",$BD47*hfo_e_density_lhv/h2_e_density_lhv,(DX47+DZ47)*1000000/EB47*hfo_e_density_lhv/Dme_e_density_lhv))+(F47/24/Shipping!$R$50*Shipping!$R$51+Shipping!$R$59*Shipping!$R$60)*IF(bunker_choice="HFO",bunker_price_ROT,IF(bunker_choice="hydrogen",$BD47*hfo_e_density_lhv/h2_e_density_lhv,(DX47+DZ47)*1000000/EB47*hfo_e_density_lhv/Dme_e_density_lhv))+Shipping!$R$73+IF(G47="Panama",Shipping!$R$55,0)+IF(G47="Suez",Shipping!$R$56,0))/Shipping!$R$31*(EB47+Dme_st_ab_losses)/1000000+IF(inland_transport_to_port="hv dc grid",$BM47/100*1000*EE47,IF(inland_transport_to_port="pipeline",$BN47,0)))))</f>
        <v>4668.2504031902072</v>
      </c>
      <c r="ED47" s="28">
        <f t="shared" si="39"/>
        <v>107924.18319856662</v>
      </c>
      <c r="EE47" s="29">
        <f>(Dme_e_demand)*(EB47+Dme_st_ab_losses)/1000000+Dme_st_e_demand*DZ47/1000000+$CV47*(Carriers!$X$21/Carriers!$X$23*EB47)/$CS47</f>
        <v>1550.2168193011232</v>
      </c>
      <c r="EF47" s="29">
        <f t="shared" si="86"/>
        <v>1.0354708994708997</v>
      </c>
      <c r="EG47" s="28">
        <f>IFERROR(ED47*1000000/Storage!$Q$12,"")</f>
        <v>1042.2715235523592</v>
      </c>
      <c r="EH47" s="28">
        <f>IF($E47="","No Port",((F47/24/Shipping!$R$44+F47/24/Shipping!$R$50+Shipping!$R$59+Shipping!$R$64)*Carriers!$X$39*wacc_nl))</f>
        <v>64.605976213983539</v>
      </c>
      <c r="EI47" s="100">
        <f>H2_retrieval!$P$25*h2_demand_kt/1000+(co2_liq_e_demand+co2_st_e_demand*2)*Storage!$Q$12*co2_density/Dme_density/1000000</f>
        <v>252.45335899349112</v>
      </c>
      <c r="EJ47" s="28">
        <f>IFERROR((((DX47+DZ47+EC47)*(1+H2_retrieval!$P$34)+EH47)*1000000/H2_retrieval!$P$8)+h2_regen_dme,"")</f>
        <v>7744.0105669727063</v>
      </c>
      <c r="EK47" s="149">
        <f>(ome_invest*(M47+1/ome_lifetime)/ome_prod+ome_opex+ome_e_demand*1000*$AU47/100+Carriers!$Z$21/Carriers!$Z$23*(CO47*1000000/CS47))*(EO47+ome_st_ab_losses)/1000000</f>
        <v>171776.20283804272</v>
      </c>
      <c r="EL47" s="86">
        <f>(ome_invest*(M47+1/ome_lifetime)/ome_prod+ome_opex+ome_e_demand*1000*$AU47/100+Carriers!$Z$21/Carriers!$Z$23*(CP47*1000000/CS47))*(EO47+ome_st_ab_losses)/1000000</f>
        <v>216855.08424778871</v>
      </c>
      <c r="EM47" s="63">
        <f>ome_st_nl_cost*ome_st_nl_demand/1000000+(ome_st_invest*(M47+1/ome_st_lifetime+ome_st_opex)/(Storage!$S$63/1000000)+ome_st_e_demand*1000*$AU47/100)*(EO47+ome_st_ab_losses)/1000000+co2_st_nl_cost*Storage!$S$12*co2_density/ome_density/1000000+(co2_st_opex_lev+co2_st_invest_lev+co2_st_e_demand*1000*$AU47/100)*Storage!$S$12/1000000+co2_st_invest_lev*Storage!$S$12*co2_st_lifetime*M47/1000000+(h2_demand_kt*1000/365.25*short_st_duration_hrs/24)*(h2_short_st_invest*(1/gh2_short_st_lifetime+$M47+h2_short_st_opex)+h2_short_st_e_demand*1000*$AU47/100)/1000000</f>
        <v>5059.1658872832422</v>
      </c>
      <c r="EN47" s="63">
        <f>ome_st_nl_cost*ome_st_nl_demand/1000000+(ome_st_invest*(M47+1/ome_st_lifetime+ome_st_opex)/(Storage!$S$63/1000000)+ome_st_e_demand*1000*$AU47/100)*(EO47+ome_st_ab_losses)/1000000+(h2_demand_kt*1000/365.25*short_st_duration_hrs/24)*(h2_short_st_invest*(1/gh2_short_st_lifetime+$M47+h2_short_st_opex)+h2_short_st_e_demand*1000*$AU47/100)/1000000</f>
        <v>1817.3017773561605</v>
      </c>
      <c r="EO47" s="63">
        <f>Storage!$S$57/((1-Shipping!$T$37)^($F47/24/Shipping!$T$44+0.5*Shipping!$T$59))</f>
        <v>128282539.68253967</v>
      </c>
      <c r="EP47" s="28">
        <f>IF($E47="","No Port",IF(AND(ship_choice="VLCC",G47="Panama"),"Ship cannot pass through Panama",IF(ship_choice="VLCC",((F47/24/Shipping!$AD$44+F47/24/Shipping!$AD$50+Shipping!$AD$59+Shipping!$AD$64)*(Shipping!$AD$22+wacc_nl*Shipping!$AD$19/365.25*1000000+Shipping!$AD$35)+(F47/24/Shipping!$AD$44*Shipping!$AD$45+Shipping!$AD$64*Shipping!$AD$65)*IF(bunker_choice="HFO",$H47,IF(bunker_choice="hydrogen",$BD47*hfo_e_density_lhv/h2_e_density_lhv,(EK47+EM47)*1000000/EO47*hfo_e_density_lhv/Dme_e_density_lhv))+(F47/24/Shipping!$AD$50*Shipping!$AD$51+Shipping!$AD$59*Shipping!$AD$60)*IF(bunker_choice="HFO",bunker_price_ROT,IF(bunker_choice="hydrogen",$BD47*hfo_e_density_lhv/h2_e_density_lhv,(EK47+EM47)*1000000/EO47*hfo_e_density_lhv/ome_e_density_lhv))+Shipping!$AD$73+IF(G47="Panama",Shipping!$AD$55,0)+IF(G47="Suez",Shipping!$AD$56,0))/Shipping!$AD$31*(EO47+ome_st_ab_losses)/1000000+IF(inland_transport_to_port="hv dc grid",$BM47/100*1000*ER47,IF(inland_transport_to_port="pipeline",$BN47,0)),((F47/24/Shipping!$T$44+F47/24/Shipping!$T$50+Shipping!$T$59+Shipping!$T$64)*(Shipping!$T$22+wacc_nl*Shipping!$T$19/365.25*1000000+Shipping!$T$35)+(F47/24/Shipping!$T$44*Shipping!$T$45+Shipping!$T$64*Shipping!$T$65)*IF(bunker_choice="HFO",$H47,IF(bunker_choice="hydrogen",$BD47*hfo_e_density_lhv/h2_e_density_lhv,(EK47+EM47)*1000000/EO47*hfo_e_density_lhv/Dme_e_density_lhv))+(F47/24/Shipping!$T$50*Shipping!$T$51+Shipping!$T$59*Shipping!$T$60)*IF(bunker_choice="HFO",bunker_price_ROT,IF(bunker_choice="hydrogen",$BD47*hfo_e_density_lhv/h2_e_density_lhv,(EK47+EM47)*1000000/EO47*hfo_e_density_lhv/ome_e_density_lhv))+Shipping!$T$73+IF(G47="Panama",Shipping!$T$55,0)+IF(G47="Suez",Shipping!$T$56,0))/Shipping!$T$31*(EO47+ome_st_ab_losses)/1000000+IF(inland_transport_to_port="hv dc grid",$BM47/100*1000*ER47,IF(inland_transport_to_port="pipeline",$BN47,0)))))</f>
        <v>4942.1793586979265</v>
      </c>
      <c r="EQ47" s="28">
        <f t="shared" si="40"/>
        <v>223614.5653838428</v>
      </c>
      <c r="ER47" s="29">
        <f>(ome_e_demand)*(EO47+ome_st_ab_losses)/1000000+ome_st_e_demand*EM47/1000000+$CV47*(Carriers!$Z$21/Carriers!$Z$23*EO47)/$CS47</f>
        <v>3352.0814577295323</v>
      </c>
      <c r="ES47" s="29">
        <f t="shared" si="87"/>
        <v>0.1924238095238095</v>
      </c>
      <c r="ET47" s="28">
        <f>IFERROR(EQ47*1000000/Storage!$S$12,"")</f>
        <v>1743.1410848056248</v>
      </c>
      <c r="EU47" s="28">
        <f>IF($E47="","No Port",((F47/24/Shipping!$T$44+F47/24/Shipping!$T$50+Shipping!$T$59+Shipping!$T$64)*Carriers!$Z$39*wacc_nl))</f>
        <v>74.462882396003124</v>
      </c>
      <c r="EV47" s="100">
        <f>H2_retrieval!$R$25*h2_demand_kt/1000+(co2_liq_e_demand+co2_st_e_demand*2)*Storage!$S$12*co2_density/ome_density/1000000</f>
        <v>254.51942895252085</v>
      </c>
      <c r="EW47" s="28">
        <f>IFERROR((((EK47+EM47+EP47)*(1+H2_retrieval!$R$34)+EU47)*1000000/H2_retrieval!$R$8)+h2_regen_ome,"")</f>
        <v>14541.599937785815</v>
      </c>
      <c r="EX47" s="149">
        <f>(sng_invest*(M47+1/sng_lifetime)/sng_prod+lng_invest*(M47+1/lng_lifetime)/lng_prod+sng_opex+lng_opex+(sng_e_demand+lng_e_demand)*1000*$AU47/100+Carriers!$AB$18/Carriers!$AB$23*BD47+Carriers!$AB$20/Carriers!$AB$23*co2_liq_cost)*(FB47+lng_st_ab_losses)/1000000</f>
        <v>61163.076675239638</v>
      </c>
      <c r="EY47" s="86">
        <f>(sng_invest*(M47+1/sng_lifetime)/sng_prod+lng_invest*(M47+1/lng_lifetime)/lng_prod+sng_opex+lng_opex+(sng_e_demand+lng_e_demand)*1000*$AU47/100+Carriers!$AB$18/Carriers!$AB$23*BD47+Carriers!$AB$20/Carriers!$AB$23*BP47)*(FB47+lng_st_ab_losses)/1000000</f>
        <v>72987.003398652902</v>
      </c>
      <c r="EZ47" s="63">
        <f>lng_st_nl_cost*lng_st_nl_demand/1000000+(lng_st_invest*(M47+1/lng_st_lifetime+lng_st_opex)/(Storage!$U$63/1000000)+lng_st_e_demand*1000*$AU47/100)*(FB47+lng_st_ab_losses)/1000000+co2_st_nl_cost*Storage!$U$12*co2_density/lng_density/1000000+(co2_st_opex_lev+co2_st_invest_lev+co2_st_e_demand*1000*$AU47/100)*Storage!$U$12/1000000+co2_st_invest_lev*Storage!$U$12*co2_st_lifetime*M47/1000000+Carriers!$AB$18/Carriers!$AB$23*((FB47+lng_st_ab_losses)/365.25*short_st_duration_hrs/24)*(h2_short_st_invest*(1/gh2_short_st_lifetime+$M47+h2_short_st_opex)+h2_short_st_e_demand*1000*$AU47/100)/1000000+Carriers!$AB$20/Carriers!$AB$23*((FB47+lng_st_ab_losses)/365.25*short_st_duration_hrs/24)*(co2_short_st_invest*(1/co2_short_st_lifetime+$M47+co2_short_st_opex)+co2_short_st_e_demand*1000*$AU47/100)/1000000</f>
        <v>6298.1215373041141</v>
      </c>
      <c r="FA47" s="63">
        <f>lng_st_nl_cost*lng_st_nl_demand/1000000+(lng_st_invest*(M47+1/lng_st_lifetime+lng_st_opex)/(Storage!$U$63/1000000)+lng_st_e_demand*1000*$AU47/100)*(FB47+lng_st_ab_losses)/1000000+Carriers!$AB$18/Carriers!$AB$23*((FB47+lng_st_ab_losses)/365.25*short_st_duration_hrs/24)*(h2_short_st_invest*(1/gh2_short_st_lifetime+$M47+h2_short_st_opex)+h2_short_st_e_demand*1000*$AU47/100)/1000000+Carriers!$AB$20/Carriers!$AB$23*((FB47+lng_st_ab_losses)/365.25*short_st_duration_hrs/24)*(co2_short_st_invest*(1/co2_short_st_lifetime+$M47+co2_short_st_opex)+co2_short_st_e_demand*1000*$AU47/100)/1000000</f>
        <v>4727.5826974341862</v>
      </c>
      <c r="FB47" s="63">
        <f>Storage!$U$57/((1-Shipping!$V$37)^($F47/24/Shipping!$V$44+0.5*Shipping!$V$59))</f>
        <v>41123032.16817072</v>
      </c>
      <c r="FC47" s="28">
        <f>IF($E47="","No Port",IF(G47="Panama","Ship cannot pass through Panama",((F47/24/Shipping!$V$44+F47/24/Shipping!$V$50+Shipping!$V$59+Shipping!$V$64)*(Shipping!$V$22+wacc_nl*Shipping!$V$19/365.25*1000000+Shipping!$V$35)+(F47/24/Shipping!$V$44*Shipping!$V$45+Shipping!$V$64*Shipping!$V$65)*IF(bunker_choice="HFO",$H47,IF(bunker_choice="hydrogen",$BD47*hfo_e_density_lhv/h2_e_density_lhv,(EX47+EZ47)*1000000/FB47*hfo_e_density_lhv/lng_e_density_lhv))+(F47/24/Shipping!$V$50*Shipping!$V$51+Shipping!$V$59*Shipping!$V$60)*IF(bunker_choice="HFO",bunker_price_ROT,IF(bunker_choice="hydrogen",$BD47*hfo_e_density_lhv/h2_e_density_lhv,(EX47+EZ47)*1000000/FB47*hfo_e_density_lhv/lng_e_density_lhv))+Shipping!$V$73+IF(G47="Panama",Shipping!$V$55,0)+IF(G47="Suez",Shipping!$V$56,0))/Shipping!$V$31*(FB47+lng_st_ab_losses)/1000000)+IF(inland_transport_to_port="hv dc grid",$BM47/100*1000*FE47,IF(inland_transport_to_port="pipeline",$BN47,0)))</f>
        <v>2722.5191702997017</v>
      </c>
      <c r="FD47" s="28">
        <f t="shared" si="41"/>
        <v>80437.105266386789</v>
      </c>
      <c r="FE47" s="29">
        <f>((Carriers!$AB$18/Carriers!$AB$23*alk_el_e_demand)+sng_e_demand+lng_e_demand)*(FB47+lng_st_ab_losses)/1000000+lng_st_e_demand*EZ47/1000000</f>
        <v>1102.8906867331161</v>
      </c>
      <c r="FF47" s="29">
        <f t="shared" si="88"/>
        <v>0.8126185861001558</v>
      </c>
      <c r="FG47" s="28">
        <f>IFERROR(FD47*1000000/Storage!$U$12,"")</f>
        <v>1981.9843678748309</v>
      </c>
      <c r="FH47" s="28">
        <f>IF($E47="","No Port",((F47/24/Shipping!$V$44+F47/24/Shipping!$V$50+Shipping!$V$59+Shipping!$V$64)*Carriers!$AB$39*wacc_nl))</f>
        <v>22.143206307809159</v>
      </c>
      <c r="FI47" s="100">
        <f>H2_retrieval!$T$25*h2_demand_kt/1000+(co2_liq_e_demand+co2_st_e_demand*2)*Storage!$U$12*co2_density/lng_density/1000000</f>
        <v>236.51371749646054</v>
      </c>
      <c r="FJ47" s="28">
        <f>IFERROR((((EX47+EZ47+FC47)*(1+H2_retrieval!$T$34)+FH47)*1000000/H2_retrieval!$T$8)+h2_regen_lng,"")</f>
        <v>6332.3241747513557</v>
      </c>
      <c r="FK47" s="149">
        <f>(lh2_invest*(M47+1/lh2_lifetime)/lh2_prod+lh2_opex+lh2_e_demand*1000*$AU47/100+Carriers!$AD$18/Carriers!$AD$23*BD47)*(FM47+lh2_st_ab_losses)/1000000</f>
        <v>48404.435918705531</v>
      </c>
      <c r="FL47" s="28">
        <f>lh2_st_nl_cost*lh2_st_nl_demand/1000000+(lh2_st_invest*(M47+1/lh2_st_lifetime+lh2_st_opex)/(Storage!$Y$63/1000000)+lh2_st_e_demand*1000*$AU47/100)*(FM47+lh2_st_ab_losses)/1000000+((FM47+lh2_st_ab_losses)/365.25*short_st_duration_hrs/24)*(h2_short_st_invest*(1/gh2_short_st_lifetime+$M47+h2_short_st_opex)+h2_short_st_e_demand*1000*$AU47/100)/1000000</f>
        <v>54913.499040287243</v>
      </c>
      <c r="FM47" s="63">
        <f>Storage!$Y$57/((1-Shipping!$Z$37)^($F47/24/Shipping!$Z$44+0.5*Shipping!$Z$59))</f>
        <v>13883998.099879041</v>
      </c>
      <c r="FN47" s="28">
        <f>IF($E47="","No Port",IF(G47="Panama","Ship cannot pass through Panama",((F47/24/Shipping!$Z$44+F47/24/Shipping!$Z$50+Shipping!$Z$59+Shipping!$Z$64)*(Shipping!$Z$22+wacc_nl*Shipping!$Z$19/365.25*1000000+Shipping!$Z$35)+(F47/24/Shipping!$Z$44*Shipping!$Z$45+Shipping!$Z$64*Shipping!$Z$65)*IF(bunker_choice="HFO",$H47,IF(bunker_choice="hydrogen",$BD47*hfo_e_density_lhv/h2_e_density_lhv,(FK47+FL47)*1000000/FM47*hfo_e_density_lhv/lh2_e_density_lhv))+(F47/24/Shipping!$Z$50*Shipping!$Z$51+Shipping!$Z$59*Shipping!$Z$60)*IF(bunker_choice="HFO",bunker_price_ROT,IF(bunker_choice="hydrogen",$BD47*hfo_e_density_lhv/h2_e_density_lhv,(FK47+FL47)*1000000/FM47*hfo_e_density_lhv/lh2_e_density_lhv))+Shipping!$Z$73+IF(G47="Panama",Shipping!$Z$55,0)+IF(G47="Suez",Shipping!$Z$56,0))/Shipping!$Z$31*(FM47+lh2_st_ab_losses)/1000000)+IF(inland_transport_to_port="hv dc grid",$BM47/100*1000*FP47,IF(inland_transport_to_port="pipeline",$BN47,0)))</f>
        <v>3685.645012561642</v>
      </c>
      <c r="FO47" s="28">
        <f t="shared" si="42"/>
        <v>107003.57997155441</v>
      </c>
      <c r="FP47" s="29">
        <f>((Carriers!$AD$18/Carriers!$AD$23*alk_el_e_demand)+lh2_e_demand)*(FM47+lh2_st_ab_losses)/1000000+lh2_st_e_demand*FM47/1000000</f>
        <v>804.56602319000376</v>
      </c>
      <c r="FQ47" s="100">
        <f t="shared" si="89"/>
        <v>1.361902463475859</v>
      </c>
      <c r="FR47" s="28">
        <f>IFERROR(FO47*1000000/Storage!$Y$12,"")</f>
        <v>7867.9102920260593</v>
      </c>
      <c r="FS47" s="100">
        <f>H2_retrieval!$V$25*h2_demand_kt/1000</f>
        <v>8.16</v>
      </c>
      <c r="FT47" s="28">
        <f>IFERROR(FR47*(1+H2_retrieval!$V$34)/Carrier_properties!$U$7+H2_retrieval!$V$38,"")</f>
        <v>7899.8790178945264</v>
      </c>
      <c r="FU47" s="12"/>
      <c r="FV47" s="24">
        <f t="shared" si="90"/>
        <v>2.2275422067593516</v>
      </c>
      <c r="FW47" s="24" t="str">
        <f t="shared" si="57"/>
        <v/>
      </c>
      <c r="FX47" s="24">
        <f t="shared" si="58"/>
        <v>7.8641083884928467</v>
      </c>
      <c r="FY47" s="24">
        <f t="shared" si="45"/>
        <v>2.2275422067593516</v>
      </c>
      <c r="FZ47" s="28">
        <f t="shared" si="59"/>
        <v>2536.6635685945944</v>
      </c>
      <c r="GA47" s="28">
        <f t="shared" si="47"/>
        <v>592.68343165840645</v>
      </c>
      <c r="GB47" s="28">
        <f t="shared" si="48"/>
        <v>390.04886679490716</v>
      </c>
      <c r="GC47" s="28">
        <f t="shared" si="49"/>
        <v>663.15828929783606</v>
      </c>
      <c r="GD47" s="28">
        <f t="shared" si="50"/>
        <v>967.99341962730909</v>
      </c>
      <c r="GE47" s="28">
        <f t="shared" si="51"/>
        <v>1690.4489479584608</v>
      </c>
      <c r="GF47" s="28">
        <f t="shared" si="52"/>
        <v>1774.8448874143319</v>
      </c>
      <c r="GG47" s="12"/>
      <c r="GH47" s="12"/>
      <c r="GI47" s="12"/>
      <c r="GJ47" s="12"/>
      <c r="GK47" s="12"/>
      <c r="GL47" s="12"/>
      <c r="GM47" s="12"/>
      <c r="GN47" s="12"/>
      <c r="GO47" s="12"/>
      <c r="GP47" s="12"/>
      <c r="GQ47" s="12"/>
      <c r="GR47" s="12"/>
      <c r="GS47" s="12"/>
      <c r="GT47" s="12"/>
      <c r="GU47" s="12"/>
      <c r="GV47" s="12"/>
      <c r="GW47" s="12"/>
      <c r="GX47" s="12"/>
      <c r="GY47" s="12"/>
      <c r="GZ47" s="12"/>
      <c r="HA47" s="12"/>
      <c r="HB47" s="12"/>
      <c r="HC47" s="12"/>
      <c r="HD47" s="12"/>
      <c r="HE47" s="12"/>
      <c r="HF47" s="12"/>
    </row>
    <row r="48" spans="1:214" x14ac:dyDescent="0.2">
      <c r="A48" s="40" t="s">
        <v>54</v>
      </c>
      <c r="B48" s="12">
        <v>9082</v>
      </c>
      <c r="C48" s="12">
        <v>0</v>
      </c>
      <c r="D48" s="12">
        <f t="shared" si="61"/>
        <v>1</v>
      </c>
      <c r="E48" s="12" t="s">
        <v>718</v>
      </c>
      <c r="F48" s="12">
        <v>5670</v>
      </c>
      <c r="G48" s="12" t="s">
        <v>113</v>
      </c>
      <c r="H48" s="16">
        <f t="shared" si="62"/>
        <v>382.75862068965517</v>
      </c>
      <c r="I48" s="16">
        <v>20850</v>
      </c>
      <c r="J48" s="16">
        <f t="shared" si="31"/>
        <v>81.466318972517939</v>
      </c>
      <c r="K48" s="27">
        <f t="shared" si="32"/>
        <v>97.759582767021527</v>
      </c>
      <c r="L48" s="103">
        <v>0.13</v>
      </c>
      <c r="M48" s="103">
        <f t="shared" si="63"/>
        <v>0.13335824142666933</v>
      </c>
      <c r="N48" s="122">
        <f t="shared" si="33"/>
        <v>0.85</v>
      </c>
      <c r="O48" s="46">
        <f t="shared" si="64"/>
        <v>40</v>
      </c>
      <c r="P48" s="70">
        <f t="array" ref="P48">SUMPRODUCT(IF(Solar_data!A$4:A$777=A48,Solar_data!C$4:C$777),IF(Solar_data!A$4:A$777=A48,Solar_data!I$4:I$777))/SUMIF(Solar_data!A$4:A$777,A48,Solar_data!I$4:I$777)</f>
        <v>2229.5109326906045</v>
      </c>
      <c r="Q48" s="16">
        <f t="array" ref="Q48">MAX(IF(Solar_data!$A$777:'Solar_data'!$A$4=Country_details!$A48,Solar_data!$C$4:'Solar_data'!$C$777))</f>
        <v>2281.25</v>
      </c>
      <c r="R48" s="16">
        <f t="array" ref="R48">MIN(IF(Solar_data!$A$777:'Solar_data'!$A$4=Country_details!A48,Solar_data!$C$4:'Solar_data'!$C$777))</f>
        <v>2098.75</v>
      </c>
      <c r="S48" s="24">
        <f t="shared" si="65"/>
        <v>2.2503551717081112</v>
      </c>
      <c r="T48" s="24">
        <f t="shared" si="66"/>
        <v>2.1993168034016772</v>
      </c>
      <c r="U48" s="24">
        <f t="shared" si="67"/>
        <v>2.3905617428279102</v>
      </c>
      <c r="V48" s="16">
        <f t="array" ref="V48">SUM(IF(Solar_data!$A$777:'Solar_data'!$A$4=Country_details!$A48,Solar_data!$I$4:'Solar_data'!$I$777))</f>
        <v>167.49052674618562</v>
      </c>
      <c r="W48" s="148"/>
      <c r="X48" s="16">
        <f>IFERROR(INDEX(Onshore_wind_data!$J$5:'Onshore_wind_data'!$J$221,MATCH(A48,Onshore_wind_data!$B$5:'Onshore_wind_data'!$B$221,0)),"")</f>
        <v>3218.6954492415402</v>
      </c>
      <c r="Y48" s="16">
        <f>IFERROR(INDEX(Onshore_wind_data!$K$5:'Onshore_wind_data'!$K$221,MATCH(A48,Onshore_wind_data!$B$5:'Onshore_wind_data'!$B$221,0)),"")</f>
        <v>3971</v>
      </c>
      <c r="Z48" s="16">
        <f>IFERROR(INDEX(Onshore_wind_data!$L$5:'Onshore_wind_data'!$L$221,MATCH(A48,Onshore_wind_data!$B$5:'Onshore_wind_data'!$B$221,0)),"")</f>
        <v>2847.5</v>
      </c>
      <c r="AA48" s="24">
        <f t="shared" si="68"/>
        <v>4.6797242064908398</v>
      </c>
      <c r="AB48" s="24">
        <f t="shared" si="69"/>
        <v>3.7931521045423175</v>
      </c>
      <c r="AC48" s="24">
        <f t="shared" si="70"/>
        <v>5.2897654107594532</v>
      </c>
      <c r="AD48" s="16">
        <f>IFERROR(INDEX(Onshore_wind_data!$I$5:'Onshore_wind_data'!$I$221,MATCH(A48,Onshore_wind_data!$B$5:'Onshore_wind_data'!$B$221,0)),"")</f>
        <v>41.376330000000003</v>
      </c>
      <c r="AE48" s="148"/>
      <c r="AF48" s="16" t="str">
        <f>INDEX(Offshore_wind_data!$AA$7:$AA$192,MATCH(Country_details!A48,Offshore_wind_data!$A$7:$A$192,0))</f>
        <v/>
      </c>
      <c r="AG48" s="16" t="str">
        <f>INDEX(Offshore_wind_data!$Y$7:$Y$192,MATCH(Country_details!A48,Offshore_wind_data!$A$7:$A$192,0))</f>
        <v/>
      </c>
      <c r="AH48" s="16" t="str">
        <f>INDEX(Offshore_wind_data!$Z$7:$Z$192,MATCH(Country_details!A48,Offshore_wind_data!$A$7:$A$192,0))</f>
        <v/>
      </c>
      <c r="AI48" s="24" t="str">
        <f t="shared" si="71"/>
        <v/>
      </c>
      <c r="AJ48" s="24" t="str">
        <f t="shared" si="72"/>
        <v/>
      </c>
      <c r="AK48" s="24" t="str">
        <f t="shared" si="73"/>
        <v/>
      </c>
      <c r="AL48" s="16">
        <f>INDEX(Offshore_wind_data!$W$7:$W$191,MATCH(A48,Offshore_wind_data!$A$7:$A$191,0))</f>
        <v>0</v>
      </c>
      <c r="AM48" s="148"/>
      <c r="AN48" s="12">
        <v>6.4</v>
      </c>
      <c r="AO48" s="12">
        <v>7</v>
      </c>
      <c r="AP48" s="34">
        <f>0.6934*11.63</f>
        <v>8.0642420000000001</v>
      </c>
      <c r="AQ48" s="15">
        <f t="shared" si="74"/>
        <v>50</v>
      </c>
      <c r="AR48" s="12">
        <f t="shared" si="34"/>
        <v>350</v>
      </c>
      <c r="AS48" s="16">
        <f t="shared" si="35"/>
        <v>-141.13314325381438</v>
      </c>
      <c r="AT48" s="12"/>
      <c r="AU48" s="24">
        <f t="shared" si="75"/>
        <v>3.6855796306630637</v>
      </c>
      <c r="AV48" s="16">
        <f t="shared" si="76"/>
        <v>5448.2063819321447</v>
      </c>
      <c r="AW48" s="149">
        <f>HV_DC_Grid!$E$3/(1-AX48)*AU48/100*1000</f>
        <v>4468.4592182132774</v>
      </c>
      <c r="AX48" s="31">
        <f>(1-(1-HV_DC_Grid!$E$25)^(B48*C48*HV_DC_Grid!$E$8/1000))+(1-(1-HV_DC_Grid!$E$26)^(B48*D48*HV_DC_Grid!$E$8/1000))+HV_DC_Grid!$E$35*HV_DC_Grid!$E$28</f>
        <v>0.17520123812683008</v>
      </c>
      <c r="AY48" s="28">
        <f>B48*nl_e_demand/IF(hv_dc_flh="electricity FLH",$AV48,hv_dc_custom)*1000*hv_dc_capacity_multiplier*hv_dc_length_multiplier*1000*(C48*hv_dc_overhead_invest*(hv_dc_overhead_opex+M48+1/hv_dc_lifetime)+D48*hv_dc_sea_invest*(hv_dc_sea_opex+M48+1/hv_dc_lifetime))/1000000+HV_DC_Grid!$E$10*1000*hv_dc_station_invest*hv_dc_station_number*(hv_dc_station_opex+M48+1/hv_dc_lifetime)/1000000</f>
        <v>25916.797013377796</v>
      </c>
      <c r="AZ48" s="24">
        <f>(AW48+AY48)/(HV_DC_Grid!$E$3*1000)*100</f>
        <v>30.385256231591072</v>
      </c>
      <c r="BA48" s="28">
        <f>MIN(((Carriers!$F$26+Carriers!$F$27)*(alk_el_opex+wacc_nl+1/alk_el_lifetime)+IF(hv_dc_flh="electricity FLH",$AV48,hv_dc_custom)*AZ48/100)/(IF(hv_dc_flh="electricity FLH",$AV48,hv_dc_custom)/alk_el_e_demand)*1000,((Carriers!$H$26+Carriers!$H$27)*(pem_el_opex+wacc_nl+1/pem_el_lifetime)+IF(hv_dc_flh="electricity FLH",$AV48,hv_dc_custom)*AZ48/100)/(IF(hv_dc_flh="electricity FLH",$AV48,hv_dc_custom)/pem_el_e_demand)*1000)</f>
        <v>15682.974626966683</v>
      </c>
      <c r="BB48" s="12"/>
      <c r="BC48" s="12"/>
      <c r="BD48" s="149">
        <f>MIN(((Carriers!$F$26+Carriers!$F$27)*(alk_el_opex+M48+1/alk_el_lifetime)+$AV48*$AU48/100)/($AV48/alk_el_e_demand)*1000,((Carriers!$H$26+Carriers!$H$27)*(pem_el_opex+M48+1/pem_el_lifetime)+$AV48*$AU48/100)/($AV48/pem_el_e_demand)*1000)</f>
        <v>2542.379577570835</v>
      </c>
      <c r="BE48" s="28">
        <f>Storage!$AC$50</f>
        <v>8.1664117557772418</v>
      </c>
      <c r="BF48" s="28">
        <f>((Pipeline!$D$22*Pipeline!$D$24*B48*(pipeline_opex+M48+1/pipeline_lifetime))*(Pipeline!$D$39/Pipeline!$D$3)+(Pipeline!$D$57*(pipeline_comp_opex+M48+1/pipeline_comp_lifetime)+Pipeline!$D$47*1000*Pipeline!$D$45*$AU48/100/1000000))*(Pipeline!$D$75/Pipeline!$D$45)</f>
        <v>21303.39732281063</v>
      </c>
      <c r="BG48" s="28">
        <f>BD48+(BE48+BF48)/Storage!$AC$12*1000000</f>
        <v>4109.4063227595416</v>
      </c>
      <c r="BH48" s="28"/>
      <c r="BI48" s="28"/>
      <c r="BJ48" s="28">
        <f>IF($E48="","No Port",BK48*HV_DC_Grid!$E$3*$AU48/100*1000)</f>
        <v>58.565234932198891</v>
      </c>
      <c r="BK48" s="31">
        <f>IFERROR((1-(1-HV_DC_Grid!$E$25)^(K48*HV_DC_Grid!$E$8/1000))+HV_DC_Grid!$E$35*HV_DC_Grid!$E$28,"")</f>
        <v>1.5890372967375707E-2</v>
      </c>
      <c r="BL48" s="28">
        <f>IFERROR(K48*nl_e_demand/IF(hv_dc_flh="electricity FLH",$AV48,hv_dc_custom)*1000*hv_dc_capacity_multiplier*hv_dc_length_multiplier*1000*(hv_dc_overhead_invest*(hv_dc_overhead_opex+M48+1/hv_dc_lifetime))/1000000+HV_DC_Grid!$E$10*1000*hv_dc_station_invest*hv_dc_station_number*(hv_dc_station_opex+M48+1/hv_dc_lifetime)/1000000,"")</f>
        <v>531.36733135514339</v>
      </c>
      <c r="BM48" s="29">
        <f>IFERROR((BJ48+BL48)/(HV_DC_Grid!$E$3*1000)*100,"")</f>
        <v>0.58993256628734236</v>
      </c>
      <c r="BN48" s="28">
        <f>IFERROR(((Pipeline!$D$22*Pipeline!$D$24*K48*(pipeline_opex+M48+1/pipeline_lifetime))*(Pipeline!$D$39/Pipeline!$D$3)+(Pipeline!$D$57*(pipeline_comp_opex+M48+1/pipeline_comp_lifetime)+Pipeline!$D$47*1000*Pipeline!$D$45*S48/100/1000000))*(Pipeline!$D$75/Pipeline!$D$45),"")</f>
        <v>304.37006506923461</v>
      </c>
      <c r="BO48" s="28"/>
      <c r="BP48" s="150">
        <f t="shared" si="77"/>
        <v>123.44980868198152</v>
      </c>
      <c r="BQ48" s="34">
        <f t="shared" si="78"/>
        <v>36.301679805998404</v>
      </c>
      <c r="BR48" s="151">
        <f>(nh3_invest*(M48+1/nh3_lifetime)/nh3_prod+nh3_opex+nh3_e_demand*1000*$AU48/100+Carriers!$N$18/Carriers!$N$23*BD48+Carriers!$N$19/Carriers!$N$23*BQ48)*(BT48+nh3_st_ab_losses)/1000000</f>
        <v>48488.273480949931</v>
      </c>
      <c r="BS48" s="63">
        <f>nh3_st_nl_cost*nh3_st_nl_demand/1000000+(nh3_st_invest*(M48+1/nh3_st_lifetime+nh3_st_opex)/(Storage!$G$63/1000000)+nh3_st_e_demand*1000*$AU48/100)*(BT48+nh3_st_ab_losses)/1000000+Carriers!$N$18/Carriers!$N$23*((BT48+nh3_st_ab_losses)/365.25*short_st_duration_hrs/24)*(h2_short_st_invest*(1/gh2_short_st_lifetime+$M48+h2_short_st_opex)+h2_short_st_e_demand*1000*$AU48/100)/1000000+Carriers!$N$19/Carriers!$N$23*((BT48+nh3_st_ab_losses)/365.25*short_st_duration_hrs/24)*(n2_short_st_invest*(1/n2_short_st_lifetime+$M48+n2_short_st_opex)+n2_short_st_e_demand*1000*$AU48/100)/1000000</f>
        <v>3561.5904325634924</v>
      </c>
      <c r="BT48" s="63">
        <f>Storage!$G$57/((1-Shipping!$H$37)^(F48/24/Shipping!$H$44+0.5*Shipping!$H$59))</f>
        <v>79661036.780108377</v>
      </c>
      <c r="BU48" s="63">
        <f>IF($E48="","No Port",((F48/24/Shipping!$H$44+F48/24/Shipping!$H$50+Shipping!$H$59+Shipping!$H$64)*(Shipping!$H$22+wacc_nl*Shipping!$H$19/365.25*1000000+Shipping!$H$35)+(F48/24/Shipping!$H$44*Shipping!$H$45+Shipping!$H$64*Shipping!$H$65)*IF(bunker_choice="HFO",H48,IF(bunker_choice="hydrogen",BD48*hfo_e_density_lhv/h2_e_density_lhv,(BR48+BS48)*1000000/BT48*hfo_e_density_lhv/nh3_e_density_lhv))+(F48/24/Shipping!$H$50*Shipping!$H$51+Shipping!$H$59*Shipping!$H$60)*IF(bunker_choice="HFO",bunker_price_ROT,IF(bunker_choice="hydrogen",BD48*hfo_e_density_lhv/h2_e_density_lhv,(BR48+BS48)*1000000/BT48*hfo_e_density_lhv/nh3_e_density_lhv))+Shipping!$H$73+IF(G48="Panama",Shipping!$H$55,0)+IF(G48="Suez",Shipping!$H$56,0))/Shipping!$H$31*BT48/1000000+IF(inland_transport_to_port="hv dc grid",$BM48/100*1000*BW48,IF(inland_transport_to_port="pipeline",$BN48,0)))</f>
        <v>4423.4383440891006</v>
      </c>
      <c r="BV48" s="63">
        <f t="shared" si="91"/>
        <v>56473.302257602525</v>
      </c>
      <c r="BW48" s="33">
        <f>((Carriers!$N$18/Carriers!$N$23*alk_el_e_demand)+(Carriers!$N$19/Carriers!$N$23*n2_e_demand)+nh3_e_demand)*(BT48+nh3_st_ab_losses)/1000000+nh3_st_e_demand*BT48/1000000</f>
        <v>786.66789456856918</v>
      </c>
      <c r="BX48" s="33">
        <f t="shared" si="79"/>
        <v>0.76626754477640768</v>
      </c>
      <c r="BY48" s="63">
        <f>IFERROR(BV48*1000000/Storage!$G$12,"")</f>
        <v>737.60601826396476</v>
      </c>
      <c r="BZ48" s="63">
        <f>H2_retrieval!$F$25*h2_demand_kt/1000</f>
        <v>80</v>
      </c>
      <c r="CA48" s="63">
        <f>IFERROR(BY48*(1+H2_retrieval!$F$34)/Carrier_properties!$E$7+H2_retrieval!$F$38,"")</f>
        <v>4561.6746750556858</v>
      </c>
      <c r="CB48" s="149">
        <f>(FA_invest*(M48+1/FA_lifetime)/FA_prod+FA_opex+FA_e_demand*1000*$AU48/100+Carriers!$P$18/Carriers!$P$23*BD48+Carriers!$P$20/Carriers!$P$23*co2_liq_cost)*(CF48+FA_st_ab_losses)/1000000</f>
        <v>108960.34311873562</v>
      </c>
      <c r="CC48" s="86">
        <f>(FA_invest*(M48+1/FA_lifetime)/FA_prod+FA_opex+FA_e_demand*1000*$AU48/100+Carriers!$P$18/Carriers!$P$23*BD48+Carriers!$P$20/Carriers!$P$23*BP48)*(CF48+FA_st_ab_losses)/1000000</f>
        <v>138901.86895764785</v>
      </c>
      <c r="CD48" s="63">
        <f>FA_st_nl_cost*FA_st_nl_demand/1000000+(FA_st_invest*(M48+1/FA_st_lifetime+FA_st_opex)/(Storage!$I$63/1000000)+FA_st_e_demand*1000*$AU48/100)*(CF48+FA_st_ab_losses)/1000000+co2_st_nl_cost*Storage!$I$12*co2_density/FA_density/1000000+(co2_st_opex_lev+co2_st_invest_lev+co2_st_e_demand*1000*$AU48/100)*Storage!$I$12/1000000+co2_st_invest_lev*Storage!$I$12*co2_st_lifetime*M48/1000000+Carriers!$P$18/Carriers!$P$23*((CF48+FA_st_ab_losses)/365.25*short_st_duration_hrs/24)*(h2_short_st_invest*(1/gh2_short_st_lifetime+$M48+h2_short_st_opex)+h2_short_st_e_demand*1000*$AU48/100)/1000000+Carriers!$P$20/Carriers!$P$23*((CF48+FA_st_ab_losses)/365.25*short_st_duration_hrs/24)*(co2_short_st_invest*(1/co2_short_st_lifetime+$M48+co2_short_st_opex)+co2_short_st_e_demand*1000*$AU48/100)/1000000</f>
        <v>12365.227056974149</v>
      </c>
      <c r="CE48" s="63">
        <f>FA_st_nl_cost*FA_st_nl_demand/1000000+(FA_st_invest*(M48+1/FA_st_lifetime+FA_st_opex)/(Storage!$I$63/1000000)+FA_st_e_demand*1000*$AU48/100)*(CF48+FA_st_ab_losses)/1000000+Carriers!$P$18/Carriers!$P$23*((CF48+FA_st_ab_losses)/365.25*short_st_duration_hrs/24)*(h2_short_st_invest*(1/gh2_short_st_lifetime+$M48+h2_short_st_opex)+h2_short_st_e_demand*1000*$AU48/100)/1000000+Carriers!$P$20/Carriers!$P$23*((CF48+FA_st_ab_losses)/365.25*short_st_duration_hrs/24)*(co2_short_st_invest*(1/co2_short_st_lifetime+$M48+co2_short_st_opex)+co2_short_st_e_demand*1000*$AU48/100)/1000000</f>
        <v>5246.0131253687978</v>
      </c>
      <c r="CF48" s="63">
        <f>Storage!$I$57/((1-Shipping!$J$37)^($F48/24/Shipping!$J$44+0.5*Shipping!$J$59))</f>
        <v>310425396.82539684</v>
      </c>
      <c r="CG48" s="28">
        <f>IF($E48="","No Port",((F48/24/Shipping!$J$44+F48/24/Shipping!$J$50+Shipping!$J$59+Shipping!$J$64)*(Shipping!$J$22+wacc_nl*Shipping!$J$19/365.25*1000000+Shipping!$J$35)+(F48/24/Shipping!$J$44*Shipping!$J$45+Shipping!$J$64*Shipping!$J$65)*IF(bunker_choice="HFO",$H48,IF(bunker_choice="hydrogen",$BD48*hfo_e_density_lhv/h2_e_density_lhv,(CB48+CD48)*1000000/CF48*hfo_e_density_lhv/FA_e_density_lhv))+(F48/24/Shipping!$J$50*Shipping!$J$51+Shipping!$J$59*Shipping!$J$60)*IF(bunker_choice="HFO",bunker_price_ROT,IF(bunker_choice="hydrogen",$BD48*hfo_e_density_lhv/h2_e_density_lhv,(CB48+CD48)*1000000/CF48*hfo_e_density_lhv/FA_e_density_lhv))+Shipping!$J$73+IF(G48="Panama",Shipping!$J$55,0)+IF(G48="Suez",Shipping!$J$56,0))/Shipping!$J$31*CF48/1000000+IF(inland_transport_to_port="hv dc grid",$BM48/100*1000*CI48,IF(inland_transport_to_port="pipeline",$BN48,0)))</f>
        <v>16611.223425940763</v>
      </c>
      <c r="CH48" s="28">
        <f t="shared" si="36"/>
        <v>160759.10550895741</v>
      </c>
      <c r="CI48" s="29">
        <f>((Carriers!$P$18/Carriers!$P$23*alk_el_e_demand)+FA_e_demand)*(CF48+FA_st_ab_losses)/1000000+FA_st_e_demand*CF48/1000000</f>
        <v>1897.8881241622576</v>
      </c>
      <c r="CJ48" s="29">
        <f t="shared" si="80"/>
        <v>0.46563809523809524</v>
      </c>
      <c r="CK48" s="28">
        <f>IFERROR(CH48*1000000/Storage!$I$12,"")</f>
        <v>517.86711768102737</v>
      </c>
      <c r="CL48" s="28">
        <f>IF($E48="","No Port",((F48/24/Shipping!$J$44+F48/24/Shipping!$J$50+Shipping!$J$59+Shipping!$J$64)*Carriers!$P$39*wacc_nl))</f>
        <v>279.73748437498563</v>
      </c>
      <c r="CM48" s="29">
        <f>H2_retrieval!$H$25*h2_demand_kt/1000+(co2_liq_e_demand+co2_st_e_demand*2)*Storage!$I$12*co2_density/FA_density/1000000</f>
        <v>94.204253879484654</v>
      </c>
      <c r="CN48" s="28">
        <f>IFERROR((((CB48+CD48+CG48)*(1+H2_retrieval!$H$34)+CL48)*1000000/H2_retrieval!$H$8)+h2_regen_fa,"")</f>
        <v>10252.667594680595</v>
      </c>
      <c r="CO48" s="149">
        <f>(meoh_invest*(M48+1/meoh_lifetime)/meoh_prod+meoh_opex+meoh_e_demand*1000*$AU48/100+Carriers!$R$18/Carriers!$R$23*BD48+Carriers!$R$20/Carriers!$R$23*co2_liq_cost)*(CS48+meoh_st_ab_losses)/1000000</f>
        <v>56676.73223638317</v>
      </c>
      <c r="CP48" s="86">
        <f>(meoh_invest*(M48+1/meoh_lifetime)/meoh_prod+meoh_opex+meoh_e_demand*1000*$AU48/100+Carriers!$R$18/Carriers!$R$23*BD48+Carriers!$R$20/Carriers!$R$23*BP48)*(CS48+meoh_st_ab_losses)/1000000</f>
        <v>74253.332253712841</v>
      </c>
      <c r="CQ48" s="63">
        <f>meoh_st_nl_cost*meoh_st_nl_demand/1000000+(meoh_st_invest*(M48+1/meoh_st_lifetime+meoh_st_opex)/(Storage!$K$63/1000000)+meoh_st_e_demand*1000*$AU48/100)*(CS48+meoh_st_ab_losses)/1000000+co2_st_nl_cost*Storage!$K$12*co2_density/meoh_density/1000000+(co2_st_opex_lev+co2_st_invest_lev+co2_st_e_demand*1000*IFERROR(MIN(S48,AA48,AI48),S48)/100)*Storage!$K$12/1000000+co2_st_invest_lev*Storage!$K$12*co2_st_lifetime*M48/1000000+Carriers!$R$18/Carriers!$R$23*((CS48+meoh_st_ab_losses)/365.25*short_st_duration_hrs/24)*(h2_short_st_invest*(1/gh2_short_st_lifetime+$M48+h2_short_st_opex)+h2_short_st_e_demand*1000*$AU48/100)/1000000+Carriers!$R$20/Carriers!$R$23*((CF48+meoh_st_ab_losses)/365.25*short_st_duration_hrs/24)*(co2_short_st_invest*(1/co2_short_st_lifetime+$M48+co2_short_st_opex)+co2_short_st_e_demand*1000*$AU48/100)/1000000</f>
        <v>4998.5532237516563</v>
      </c>
      <c r="CR48" s="63">
        <f>meoh_st_nl_cost*meoh_st_nl_demand/1000000+(meoh_st_invest*(M48+1/meoh_st_lifetime+meoh_st_opex)/(Storage!$K$63/1000000)+meoh_st_e_demand*1000*$AU48/100)*(CS48+meoh_st_ab_losses)/1000000+Carriers!$R$18/Carriers!$R$23*((CS48+meoh_st_ab_losses)/365.25*short_st_duration_hrs/24)*(h2_short_st_invest*(1/gh2_short_st_lifetime+$M48+h2_short_st_opex)+h2_short_st_e_demand*1000*$AU48/100)/1000000+Carriers!$R$20/Carriers!$R$23*((CF48+meoh_st_ab_losses)/365.25*short_st_duration_hrs/24)*(co2_short_st_invest*(1/co2_short_st_lifetime+$M48+co2_short_st_opex)+co2_short_st_e_demand*1000*$AU48/100)/1000000</f>
        <v>2076.7611079765607</v>
      </c>
      <c r="CS48" s="63">
        <f>Storage!$K$57/((1-Shipping!$L$37)^($F48/24/Shipping!$L$44+0.5*Shipping!$L$59))</f>
        <v>108044444.44444443</v>
      </c>
      <c r="CT48" s="28">
        <f>IF($E48="","No Port",IF(AND(ship_choice="VLCC",G48="Panama"),"Ship cannot pass through Panama",IF(ship_choice="VLCC",((F48/24/Shipping!$AD$44+F48/24/Shipping!$AD$50+Shipping!$AD$59+Shipping!$AD$64)*(Shipping!$AD$22+wacc_nl*Shipping!$AD$19/365.25*1000000+Shipping!$AD$35)+(F48/24/Shipping!$AD$44*Shipping!$AD$45+Shipping!$AD$64*Shipping!$AD$65)*IF(bunker_choice="HFO",$H48,IF(bunker_choice="hydrogen",$BD48*hfo_e_density_lhv/h2_e_density_lhv,(CO48+CQ48)*1000000/CS48*hfo_e_density_lhv/meoh_e_density_lhv))+(F48/24/Shipping!$AD$50*Shipping!$AD$51+Shipping!$AD$59*Shipping!$AD$60)*IF(bunker_choice="HFO",bunker_price_ROT,IF(bunker_choice="hydrogen",$BD48*hfo_e_density_lhv/h2_e_density_lhv,(CO48+CQ48)*1000000/CS48*hfo_e_density_lhv/meoh_e_density_lhv))+Shipping!$AD$73+IF(G48="Panama",Shipping!$AD$55,0)+IF(G48="Suez",Shipping!$AD$56,0))/Shipping!$AD$31*CS48/1000000+IF(inland_transport_to_port="hv dc grid",$BM48/100*1000*CV48,IF(inland_transport_to_port="pipeline",$BN48,0)),((F48/24/Shipping!$L$44+F48/24/Shipping!$L$50+Shipping!$L$59+Shipping!$L$64)*(Shipping!$L$22+wacc_nl*Shipping!$L$19/365.25*1000000+Shipping!$L$35)+(F48/24/Shipping!$L$44*Shipping!$L$45+Shipping!$L$64*Shipping!$L$65)*IF(bunker_choice="HFO",$H48,IF(bunker_choice="hydrogen",$BD48*hfo_e_density_lhv/h2_e_density_lhv,(CO48+CQ48)*1000000/CS48*hfo_e_density_lhv/meoh_e_density_lhv))+(F48/24/Shipping!$L$50*Shipping!$L$51+Shipping!$L$59*Shipping!$L$60)*IF(bunker_choice="HFO",bunker_price_ROT,IF(bunker_choice="hydrogen",$BD48*hfo_e_density_lhv/h2_e_density_lhv,(CO48+CQ48)*1000000/CS48*hfo_e_density_lhv/meoh_e_density_lhv))+Shipping!$L$73+IF(G48="Panama",Shipping!$L$55,0)+IF(G48="Suez",Shipping!$L$56,0))/Shipping!$L$31*CS48/1000000+IF(inland_transport_to_port="hv dc grid",$BM48/100*1000*CV48,IF(inland_transport_to_port="pipeline",$BN48,0)))))</f>
        <v>5689.144139364631</v>
      </c>
      <c r="CU48" s="28">
        <f t="shared" si="37"/>
        <v>82019.237501054042</v>
      </c>
      <c r="CV48" s="29">
        <f>((Carriers!$R$18/Carriers!$R$23*alk_el_e_demand)+meoh_e_demand)*(CS48+meoh_st_ab_losses)/1000000+meoh_st_e_demand*CS48/1000000</f>
        <v>1119.9789871111109</v>
      </c>
      <c r="CW48" s="29">
        <f t="shared" si="81"/>
        <v>0.16206666666666666</v>
      </c>
      <c r="CX48" s="28">
        <f>IFERROR(CU48*1000000/Storage!$K$12,"")</f>
        <v>759.12498715496349</v>
      </c>
      <c r="CY48" s="28">
        <f>IF($E48="","No Port",((F48/24/Shipping!$L$44+F48/24/Shipping!$L$50+Shipping!$L$59+Shipping!$L$64)*Carriers!$R$39*wacc_nl))</f>
        <v>100.18361110118605</v>
      </c>
      <c r="CZ48" s="29">
        <f>H2_retrieval!$J$25*h2_demand_kt/1000+(co2_liq_e_demand+co2_st_e_demand*2)*Storage!$K$12*co2_density/meoh_density/1000000</f>
        <v>251.05079059698966</v>
      </c>
      <c r="DA48" s="28">
        <f>IFERROR((((CO48+CQ48+CT48)*(1+H2_retrieval!$J$34)+CY48)*1000000/H2_retrieval!$J$8)+h2_regen_meoh,"")</f>
        <v>6130.7618675049853</v>
      </c>
      <c r="DB48" s="149">
        <f>(DBT_invest*(M48+1/DBT_lifetime)/DBT_prod+DBT_opex+DBT_e_demand*1000*$AU48/100+Carriers!$T$18/Carriers!$T$23*BD48)*(DD48+DBT_st_ab_losses)/1000000</f>
        <v>37982.661019605395</v>
      </c>
      <c r="DC48" s="28">
        <f>2*(DBT_st_nl_cost*DBT_st_nl_demand/1000000+(DBT_st_invest*(M48+1/DBT_st_lifetime+DBT_st_opex)/(Storage!$M$63/1000000)+DBT_st_e_demand*1000*$AU48/100)*(DD48+DBT_st_ab_losses)/1000000)+Carriers!$T$18/Carriers!$T$23*((DD48+DBT_st_ab_losses)/365.25*short_st_duration_hrs/24)*(h2_short_st_invest*(1/gh2_short_st_lifetime+$M48+h2_short_st_opex)+h2_short_st_e_demand*1000*$AU48/100)/1000000</f>
        <v>4264.7113064346604</v>
      </c>
      <c r="DD48" s="63">
        <f>Storage!$M$57/((1-Shipping!$N$37)^($F48/24/Shipping!$N$44+0.5*Shipping!$N$59))</f>
        <v>219354838.70967743</v>
      </c>
      <c r="DE48" s="28">
        <f>IF($E48="","No Port",IF(AND(ship_choice="VLCC",G48="Panama"),"Ship cannot pass through Panama",IF(ship_choice="VLCC",((F48/24/Shipping!$AD$44+F48/24/Shipping!$AD$50+Shipping!$AD$59+Shipping!$AD$64)*(Shipping!$AD$22+wacc_nl*Shipping!$AD$19/365.25*1000000+Shipping!$AD$35)+(F48/24/Shipping!$AD$44*Shipping!$AD$45+Shipping!$AD$64*Shipping!$AD$65)*IF(bunker_choice="HFO",$H48,IF(bunker_choice="hydrogen",$BD48*hfo_e_density_lhv/h2_e_density_lhv,(DB48+DC48)*1000000/DD48*hfo_e_density_lhv/DBT_e_density_lhv))+(F48/24/Shipping!$AD$50*Shipping!$AD$51+Shipping!$AD$59*Shipping!$AD$60)*IF(bunker_choice="HFO",bunker_price_ROT,IF(bunker_choice="hydrogen",$BD48*hfo_e_density_lhv/h2_e_density_lhv,(DB48+DC48)*1000000/DD48*hfo_e_density_lhv/DBT_e_density_lhv))+Shipping!$AD$73+IF(G48="Panama",Shipping!$AD$55,0)+IF(G48="Suez",Shipping!$AD$56,0))/Shipping!$AD$31*DD48/1000000+IF(inland_transport_to_port="hv dc grid",$BM48/100*1000*DG48,IF(inland_transport_to_port="pipeline",$BN48,0)),((F48/24/Shipping!$N$44+F48/24/Shipping!$N$50+Shipping!$N$59+Shipping!$N$64)*(Shipping!$N$22+wacc_nl*Shipping!$N$19/365.25*1000000+Shipping!$N$35)+(F48/24/Shipping!$N$44*Shipping!$N$45+Shipping!$N$64*Shipping!$N$65)*IF(bunker_choice="HFO",$H48,IF(bunker_choice="hydrogen",$BD48*hfo_e_density_lhv/h2_e_density_lhv,(DB48+DC48)*1000000/DD48*hfo_e_density_lhv/DBT_e_density_lhv))+(F48/24/Shipping!$N$50*Shipping!$N$51+Shipping!$N$59*Shipping!$N$60)*IF(bunker_choice="HFO",bunker_price_ROT,IF(bunker_choice="hydrogen",$BD48*hfo_e_density_lhv/h2_e_density_lhv,(DB48+DC48)*1000000/DD48*hfo_e_density_lhv/DBT_e_density_lhv))+Shipping!$N$73+IF(G48="Panama",Shipping!$N$55,0)+IF(G48="Suez",Shipping!$N$56,0))/Shipping!$N$31*Shipping!$N$86/1000000+IF(inland_transport_to_port="hv dc grid",$BM48/100*1000*DG48,IF(inland_transport_to_port="pipeline",$BN48,0)))))</f>
        <v>10420.993906425943</v>
      </c>
      <c r="DF48" s="28">
        <f t="shared" si="82"/>
        <v>52668.366232466004</v>
      </c>
      <c r="DG48" s="29">
        <f>((Carriers!$T$18/Carriers!$T$23*alk_el_e_demand)+DBT_e_demand)*(DD48+DBT_st_ab_losses)/1000000+DBT_st_e_demand*DD48/1000000</f>
        <v>703.88335483870969</v>
      </c>
      <c r="DH48" s="29">
        <f t="shared" si="83"/>
        <v>0.21935483870967742</v>
      </c>
      <c r="DI48" s="28">
        <f>IFERROR(DF48*1000000/Storage!$M$12,"")</f>
        <v>240.10578723624207</v>
      </c>
      <c r="DJ48" s="28">
        <f>IF($E48="","No Port",((F48/24/Shipping!$N$44+F48/24/Shipping!$N$50+Shipping!$N$59+Shipping!$N$64)*Carriers!$T$39*wacc_nl))</f>
        <v>7296.7015618545747</v>
      </c>
      <c r="DK48" s="100">
        <f>H2_retrieval!$L$25*h2_demand_kt/1000+(co2_liq_e_demand+co2_st_e_demand*2)*Storage!$M$12*co2_density/DBT_density/1000000</f>
        <v>206.61934861671787</v>
      </c>
      <c r="DL48" s="28">
        <f>IFERROR(((DF48*(1+H2_retrieval!$L$34)+DJ48)*1000000/H2_retrieval!$L$8)+h2_regen_lohc,"")</f>
        <v>4879.8459419858964</v>
      </c>
      <c r="DM48" s="149">
        <f t="shared" si="84"/>
        <v>62104.414282130987</v>
      </c>
      <c r="DN48" s="16">
        <f>2*(nabh4_st_nl_cost*nabh4_st_nl_demand/1000000+(nabh4_st_invest*(M48+1/nabh4_st_lifetime+nabh4_st_opex)/(Storage!$O$63/1000000)+nabh4_st_e_demand*1000*$AU48/100)*(DO48+nabh4_st_ab_losses)/1000000)+(h2_demand_kt*1000/365.25*short_st_duration_hrs/24)*(h2_short_st_invest*(1/gh2_short_st_lifetime+$M48+h2_short_st_opex)+h2_short_st_e_demand*1000*$AU48/100)/1000000</f>
        <v>1510.7740929982028</v>
      </c>
      <c r="DO48" s="63">
        <f>Storage!$O$57/((1-Shipping!$P$37)^($F48/24/Shipping!$P$44+0.5*Shipping!$P$59))</f>
        <v>63920000</v>
      </c>
      <c r="DP48" s="16">
        <f>IF($E48="","No Port",((F48/24/Shipping!$P$44+F48/24/Shipping!$P$50+Shipping!$P$59+Shipping!$P$64)*(Shipping!$P$22+wacc_nl*Shipping!$P$19/365.25*1000000+Shipping!$P$35)+(F48/24/Shipping!$P$44*Shipping!$P$45+Shipping!$P$64*Shipping!$P$65)*IF(bunker_choice="HFO",$H48,IF(bunker_choice="hydrogen",$BD48*hfo_e_density_lhv/h2_e_density_lhv,(DM48+DN48)*1000000/DO48*hfo_e_density_lhv/nabh4_e_density_lhv))+(F48/24/Shipping!$P$50*Shipping!$P$51+Shipping!$P$59*Shipping!$P$60)*IF(bunker_choice="HFO",bunker_price_ROT,IF(bunker_choice="hydrogen",$BD48*hfo_e_density_lhv/h2_e_density_lhv,(DM48+DN48)*1000000/DO48*hfo_e_density_lhv/nabh4_e_density_lhv))+Shipping!$P$73+IF(G48="Panama",Shipping!$P$55,0)+IF(G48="Suez",Shipping!$P$56,0))/Shipping!$P$31*(DO48+nabh4_st_ab_losses)/1000000+IF(inland_transport_to_port="hv dc grid",$BM48/100*1000*DR48,IF(inland_transport_to_port="pipeline",$BN48,0)))</f>
        <v>3617.3801136016559</v>
      </c>
      <c r="DQ48" s="28">
        <f t="shared" si="60"/>
        <v>67232.568488730845</v>
      </c>
      <c r="DR48" s="29">
        <f>((Carriers!$V$18/Carriers!$V$23*alk_el_e_demand)+nabh4_e_demand)*(DO48+nabh4_st_ab_losses)/1000000+nabh4_st_e_demand*DO48/1000000</f>
        <v>980.02139682539689</v>
      </c>
      <c r="DS48" s="28">
        <f t="shared" si="85"/>
        <v>3.1960000000000002</v>
      </c>
      <c r="DT48" s="28">
        <f>IFERROR(DQ48*1000000/Storage!$O$12,"")</f>
        <v>1051.8236622141872</v>
      </c>
      <c r="DU48" s="28">
        <f>IF($E48="","No Port",((F48/24/Shipping!$P$44+F48/24/Shipping!$P$50+Shipping!$P$59+Shipping!$P$64)*Carriers!$V$39*wacc_nl))</f>
        <v>675.60915558512818</v>
      </c>
      <c r="DV48" s="100">
        <f>H2_retrieval!$N$25*h2_demand_kt/1000+(co2_liq_e_demand+co2_st_e_demand*2)*Storage!$O$12*co2_density/nabh4_density/1000000</f>
        <v>18.783638728971958</v>
      </c>
      <c r="DW48" s="28">
        <f>IFERROR(((DQ48*(1+H2_retrieval!$N$34)+DU48)*1000000/H2_retrieval!$N$8)+h2_regen_nabh4,"")</f>
        <v>5098.993990898477</v>
      </c>
      <c r="DX48" s="149">
        <f>(Dme_invest*(M48+1/Dme_lifetime)/Dme_prod+Dme_opex+Dme_e_demand*1000*$AU48/100+Carriers!$X$21/Carriers!$X$23*(CO48*1000000/CS48))*(EB48+Dme_st_ab_losses)/1000000</f>
        <v>80464.387299510781</v>
      </c>
      <c r="DY48" s="86">
        <f>(Dme_invest*(M48+1/Dme_lifetime)/Dme_prod+Dme_opex+Dme_e_demand*1000*$AU48/100+Carriers!$X$21/Carriers!$X$23*(CP48*1000000/CS48))*(EB48+Dme_st_ab_losses)/1000000</f>
        <v>104309.92799568684</v>
      </c>
      <c r="DZ48" s="63">
        <f>Dme_st_nl_cost*Dme_st_nl_demand/1000000+(Dme_st_invest*(M48+1/Dme_st_lifetime+Dme_st_opex)/(Storage!$Q$63/1000000)+Dme_st_e_demand*1000*$AU48/100)*(EB48+Dme_st_ab_losses)/1000000+co2_st_nl_cost*Storage!$Q$12*co2_density/Dme_density/1000000+(co2_st_opex_lev+co2_st_invest_lev+co2_st_e_demand*1000*$AU48/100)*Storage!$Q$12/1000000+co2_st_invest_lev*Storage!$Q$12*co2_st_lifetime*M48/1000000+(h2_demand_kt*1000/365.25*short_st_duration_hrs/24)*(h2_short_st_invest*(1/gh2_short_st_lifetime+$M48+h2_short_st_opex)+h2_short_st_e_demand*1000*$AU48/100)/1000000</f>
        <v>6188.0663107019172</v>
      </c>
      <c r="EA48" s="63">
        <f>Dme_st_nl_cost*Dme_st_nl_demand/1000000+(Dme_st_invest*(M48+1/Dme_st_lifetime+Dme_st_opex)/(Storage!$Q$63/1000000)+Dme_st_e_demand*1000*$AU48/100)*(EB48+Dme_st_ab_losses)/1000000+(h2_demand_kt*1000/365.25*short_st_duration_hrs/24)*(h2_short_st_invest*(1/gh2_short_st_lifetime+$M48+h2_short_st_opex)+h2_short_st_e_demand*1000*$AU48/100)/1000000</f>
        <v>3112.3799022464646</v>
      </c>
      <c r="EB48" s="63">
        <f>Storage!$Q$57/((1-Shipping!$R$37)^($F48/24/Shipping!$R$44+0.5*Shipping!$R$59))</f>
        <v>103547089.94708996</v>
      </c>
      <c r="EC48" s="153">
        <f>IF($E48="","No Port",IF(AND(ship_choice="VLCC",G48="Panama"),"Ship cannot pass through Panama",IF(ship_choice="VLCC",((F48/24/Shipping!$AD$44+F48/24/Shipping!$AD$50+Shipping!$AD$59+Shipping!$AD$64)*(Shipping!$AD$22+wacc_nl*Shipping!$AD$19/365.25*1000000+Shipping!$AD$35)+(F48/24/Shipping!$AD$44*Shipping!$AD$45+Shipping!$AD$64*Shipping!$AD$65)*IF(bunker_choice="HFO",$H48,IF(bunker_choice="hydrogen",$BD48*hfo_e_density_lhv/h2_e_density_lhv,(DX48+DZ48)*1000000/EB48*hfo_e_density_lhv/Dme_e_density_lhv))+(F48/24/Shipping!$AD$50*Shipping!$AD$51+Shipping!$AD$59*Shipping!$AD$60)*IF(bunker_choice="HFO",bunker_price_ROT,IF(bunker_choice="hydrogen",$BD48*hfo_e_density_lhv/h2_e_density_lhv,(DX48+DZ48)*1000000/EB48*hfo_e_density_lhv/Dme_e_density_lhv))+Shipping!$AD$73+IF(G48="Panama",Shipping!$AD$55,0)+IF(G48="Suez",Shipping!$AD$56,0))/Shipping!$AD$31*(EB48+Dme_st_ab_losses)/1000000+IF(inland_transport_to_port="hv dc grid",$BM48/100*1000*EE48,IF(inland_transport_to_port="pipeline",$BN48,0)),((F48/24/Shipping!$R$44+F48/24/Shipping!$R$50+Shipping!$R$59+Shipping!$R$64)*(Shipping!$R$22+wacc_nl*Shipping!$R$19/365.25*1000000+Shipping!$R$35)+(F48/24/Shipping!$R$44*Shipping!$R$45+Shipping!$R$64*Shipping!$R$65)*IF(bunker_choice="HFO",$H48,IF(bunker_choice="hydrogen",$BD48*hfo_e_density_lhv/h2_e_density_lhv,(DX48+DZ48)*1000000/EB48*hfo_e_density_lhv/Dme_e_density_lhv))+(F48/24/Shipping!$R$50*Shipping!$R$51+Shipping!$R$59*Shipping!$R$60)*IF(bunker_choice="HFO",bunker_price_ROT,IF(bunker_choice="hydrogen",$BD48*hfo_e_density_lhv/h2_e_density_lhv,(DX48+DZ48)*1000000/EB48*hfo_e_density_lhv/Dme_e_density_lhv))+Shipping!$R$73+IF(G48="Panama",Shipping!$R$55,0)+IF(G48="Suez",Shipping!$R$56,0))/Shipping!$R$31*(EB48+Dme_st_ab_losses)/1000000+IF(inland_transport_to_port="hv dc grid",$BM48/100*1000*EE48,IF(inland_transport_to_port="pipeline",$BN48,0)))))</f>
        <v>5741.8263321908998</v>
      </c>
      <c r="ED48" s="28">
        <f t="shared" si="39"/>
        <v>113164.13423012421</v>
      </c>
      <c r="EE48" s="29">
        <f>(Dme_e_demand)*(EB48+Dme_st_ab_losses)/1000000+Dme_st_e_demand*DZ48/1000000+$CV48*(Carriers!$X$21/Carriers!$X$23*EB48)/$CS48</f>
        <v>1550.216822047719</v>
      </c>
      <c r="EF48" s="29">
        <f t="shared" si="86"/>
        <v>1.0354708994708997</v>
      </c>
      <c r="EG48" s="28">
        <f>IFERROR(ED48*1000000/Storage!$Q$12,"")</f>
        <v>1092.8760459414971</v>
      </c>
      <c r="EH48" s="28">
        <f>IF($E48="","No Port",((F48/24/Shipping!$R$44+F48/24/Shipping!$R$50+Shipping!$R$59+Shipping!$R$64)*Carriers!$X$39*wacc_nl))</f>
        <v>104.08268966930855</v>
      </c>
      <c r="EI48" s="100">
        <f>H2_retrieval!$P$25*h2_demand_kt/1000+(co2_liq_e_demand+co2_st_e_demand*2)*Storage!$Q$12*co2_density/Dme_density/1000000</f>
        <v>252.45335899349112</v>
      </c>
      <c r="EJ48" s="28">
        <f>IFERROR((((DX48+DZ48+EC48)*(1+H2_retrieval!$P$34)+EH48)*1000000/H2_retrieval!$P$8)+h2_regen_dme,"")</f>
        <v>7971.4787367308882</v>
      </c>
      <c r="EK48" s="149">
        <f>(ome_invest*(M48+1/ome_lifetime)/ome_prod+ome_opex+ome_e_demand*1000*$AU48/100+Carriers!$Z$21/Carriers!$Z$23*(CO48*1000000/CS48))*(EO48+ome_st_ab_losses)/1000000</f>
        <v>176894.97926447543</v>
      </c>
      <c r="EL48" s="86">
        <f>(ome_invest*(M48+1/ome_lifetime)/ome_prod+ome_opex+ome_e_demand*1000*$AU48/100+Carriers!$Z$21/Carriers!$Z$23*(CP48*1000000/CS48))*(EO48+ome_st_ab_losses)/1000000</f>
        <v>226951.4110310332</v>
      </c>
      <c r="EM48" s="63">
        <f>ome_st_nl_cost*ome_st_nl_demand/1000000+(ome_st_invest*(M48+1/ome_st_lifetime+ome_st_opex)/(Storage!$S$63/1000000)+ome_st_e_demand*1000*$AU48/100)*(EO48+ome_st_ab_losses)/1000000+co2_st_nl_cost*Storage!$S$12*co2_density/ome_density/1000000+(co2_st_opex_lev+co2_st_invest_lev+co2_st_e_demand*1000*$AU48/100)*Storage!$S$12/1000000+co2_st_invest_lev*Storage!$S$12*co2_st_lifetime*M48/1000000+(h2_demand_kt*1000/365.25*short_st_duration_hrs/24)*(h2_short_st_invest*(1/gh2_short_st_lifetime+$M48+h2_short_st_opex)+h2_short_st_e_demand*1000*$AU48/100)/1000000</f>
        <v>5340.0034605464934</v>
      </c>
      <c r="EN48" s="63">
        <f>ome_st_nl_cost*ome_st_nl_demand/1000000+(ome_st_invest*(M48+1/ome_st_lifetime+ome_st_opex)/(Storage!$S$63/1000000)+ome_st_e_demand*1000*$AU48/100)*(EO48+ome_st_ab_losses)/1000000+(h2_demand_kt*1000/365.25*short_st_duration_hrs/24)*(h2_short_st_invest*(1/gh2_short_st_lifetime+$M48+h2_short_st_opex)+h2_short_st_e_demand*1000*$AU48/100)/1000000</f>
        <v>1868.5613301524236</v>
      </c>
      <c r="EO48" s="63">
        <f>Storage!$S$57/((1-Shipping!$T$37)^($F48/24/Shipping!$T$44+0.5*Shipping!$T$59))</f>
        <v>128282539.68253967</v>
      </c>
      <c r="EP48" s="28">
        <f>IF($E48="","No Port",IF(AND(ship_choice="VLCC",G48="Panama"),"Ship cannot pass through Panama",IF(ship_choice="VLCC",((F48/24/Shipping!$AD$44+F48/24/Shipping!$AD$50+Shipping!$AD$59+Shipping!$AD$64)*(Shipping!$AD$22+wacc_nl*Shipping!$AD$19/365.25*1000000+Shipping!$AD$35)+(F48/24/Shipping!$AD$44*Shipping!$AD$45+Shipping!$AD$64*Shipping!$AD$65)*IF(bunker_choice="HFO",$H48,IF(bunker_choice="hydrogen",$BD48*hfo_e_density_lhv/h2_e_density_lhv,(EK48+EM48)*1000000/EO48*hfo_e_density_lhv/Dme_e_density_lhv))+(F48/24/Shipping!$AD$50*Shipping!$AD$51+Shipping!$AD$59*Shipping!$AD$60)*IF(bunker_choice="HFO",bunker_price_ROT,IF(bunker_choice="hydrogen",$BD48*hfo_e_density_lhv/h2_e_density_lhv,(EK48+EM48)*1000000/EO48*hfo_e_density_lhv/ome_e_density_lhv))+Shipping!$AD$73+IF(G48="Panama",Shipping!$AD$55,0)+IF(G48="Suez",Shipping!$AD$56,0))/Shipping!$AD$31*(EO48+ome_st_ab_losses)/1000000+IF(inland_transport_to_port="hv dc grid",$BM48/100*1000*ER48,IF(inland_transport_to_port="pipeline",$BN48,0)),((F48/24/Shipping!$T$44+F48/24/Shipping!$T$50+Shipping!$T$59+Shipping!$T$64)*(Shipping!$T$22+wacc_nl*Shipping!$T$19/365.25*1000000+Shipping!$T$35)+(F48/24/Shipping!$T$44*Shipping!$T$45+Shipping!$T$64*Shipping!$T$65)*IF(bunker_choice="HFO",$H48,IF(bunker_choice="hydrogen",$BD48*hfo_e_density_lhv/h2_e_density_lhv,(EK48+EM48)*1000000/EO48*hfo_e_density_lhv/Dme_e_density_lhv))+(F48/24/Shipping!$T$50*Shipping!$T$51+Shipping!$T$59*Shipping!$T$60)*IF(bunker_choice="HFO",bunker_price_ROT,IF(bunker_choice="hydrogen",$BD48*hfo_e_density_lhv/h2_e_density_lhv,(EK48+EM48)*1000000/EO48*hfo_e_density_lhv/ome_e_density_lhv))+Shipping!$T$73+IF(G48="Panama",Shipping!$T$55,0)+IF(G48="Suez",Shipping!$T$56,0))/Shipping!$T$31*(EO48+ome_st_ab_losses)/1000000+IF(inland_transport_to_port="hv dc grid",$BM48/100*1000*ER48,IF(inland_transport_to_port="pipeline",$BN48,0)))))</f>
        <v>6329.8934811086092</v>
      </c>
      <c r="EQ48" s="28">
        <f t="shared" si="40"/>
        <v>235149.86584229424</v>
      </c>
      <c r="ER48" s="29">
        <f>(ome_e_demand)*(EO48+ome_st_ab_losses)/1000000+ome_st_e_demand*EM48/1000000+$CV48*(Carriers!$Z$21/Carriers!$Z$23*EO48)/$CS48</f>
        <v>3352.0814581507884</v>
      </c>
      <c r="ES48" s="29">
        <f t="shared" si="87"/>
        <v>0.1924238095238095</v>
      </c>
      <c r="ET48" s="28">
        <f>IFERROR(EQ48*1000000/Storage!$S$12,"")</f>
        <v>1833.062133196137</v>
      </c>
      <c r="EU48" s="28">
        <f>IF($E48="","No Port",((F48/24/Shipping!$T$44+F48/24/Shipping!$T$50+Shipping!$T$59+Shipping!$T$64)*Carriers!$Z$39*wacc_nl))</f>
        <v>118.94927252123838</v>
      </c>
      <c r="EV48" s="100">
        <f>H2_retrieval!$R$25*h2_demand_kt/1000+(co2_liq_e_demand+co2_st_e_demand*2)*Storage!$S$12*co2_density/ome_density/1000000</f>
        <v>254.51942895252085</v>
      </c>
      <c r="EW48" s="28">
        <f>IFERROR((((EK48+EM48+EP48)*(1+H2_retrieval!$R$34)+EU48)*1000000/H2_retrieval!$R$8)+h2_regen_ome,"")</f>
        <v>15043.939240155805</v>
      </c>
      <c r="EX48" s="149">
        <f>(sng_invest*(M48+1/sng_lifetime)/sng_prod+lng_invest*(M48+1/lng_lifetime)/lng_prod+sng_opex+lng_opex+(sng_e_demand+lng_e_demand)*1000*$AU48/100+Carriers!$AB$18/Carriers!$AB$23*BD48+Carriers!$AB$20/Carriers!$AB$23*co2_liq_cost)*(FB48+lng_st_ab_losses)/1000000</f>
        <v>62582.558652132582</v>
      </c>
      <c r="EY48" s="86">
        <f>(sng_invest*(M48+1/sng_lifetime)/sng_prod+lng_invest*(M48+1/lng_lifetime)/lng_prod+sng_opex+lng_opex+(sng_e_demand+lng_e_demand)*1000*$AU48/100+Carriers!$AB$18/Carriers!$AB$23*BD48+Carriers!$AB$20/Carriers!$AB$23*BP48)*(FB48+lng_st_ab_losses)/1000000</f>
        <v>75818.435902588739</v>
      </c>
      <c r="EZ48" s="63">
        <f>lng_st_nl_cost*lng_st_nl_demand/1000000+(lng_st_invest*(M48+1/lng_st_lifetime+lng_st_opex)/(Storage!$U$63/1000000)+lng_st_e_demand*1000*$AU48/100)*(FB48+lng_st_ab_losses)/1000000+co2_st_nl_cost*Storage!$U$12*co2_density/lng_density/1000000+(co2_st_opex_lev+co2_st_invest_lev+co2_st_e_demand*1000*$AU48/100)*Storage!$U$12/1000000+co2_st_invest_lev*Storage!$U$12*co2_st_lifetime*M48/1000000+Carriers!$AB$18/Carriers!$AB$23*((FB48+lng_st_ab_losses)/365.25*short_st_duration_hrs/24)*(h2_short_st_invest*(1/gh2_short_st_lifetime+$M48+h2_short_st_opex)+h2_short_st_e_demand*1000*$AU48/100)/1000000+Carriers!$AB$20/Carriers!$AB$23*((FB48+lng_st_ab_losses)/365.25*short_st_duration_hrs/24)*(co2_short_st_invest*(1/co2_short_st_lifetime+$M48+co2_short_st_opex)+co2_short_st_e_demand*1000*$AU48/100)/1000000</f>
        <v>6525.8327072584852</v>
      </c>
      <c r="FA48" s="63">
        <f>lng_st_nl_cost*lng_st_nl_demand/1000000+(lng_st_invest*(M48+1/lng_st_lifetime+lng_st_opex)/(Storage!$U$63/1000000)+lng_st_e_demand*1000*$AU48/100)*(FB48+lng_st_ab_losses)/1000000+Carriers!$AB$18/Carriers!$AB$23*((FB48+lng_st_ab_losses)/365.25*short_st_duration_hrs/24)*(h2_short_st_invest*(1/gh2_short_st_lifetime+$M48+h2_short_st_opex)+h2_short_st_e_demand*1000*$AU48/100)/1000000+Carriers!$AB$20/Carriers!$AB$23*((FB48+lng_st_ab_losses)/365.25*short_st_duration_hrs/24)*(co2_short_st_invest*(1/co2_short_st_lifetime+$M48+co2_short_st_opex)+co2_short_st_e_demand*1000*$AU48/100)/1000000</f>
        <v>4882.6633787931951</v>
      </c>
      <c r="FB48" s="63">
        <f>Storage!$U$57/((1-Shipping!$V$37)^($F48/24/Shipping!$V$44+0.5*Shipping!$V$59))</f>
        <v>41456567.974099703</v>
      </c>
      <c r="FC48" s="28" t="e">
        <f>IF($E48="","No Port",IF(G48="Panama","Ship cannot pass through Panama",((F48/24/Shipping!$V$44+F48/24/Shipping!$V$50+Shipping!$V$59+Shipping!$V$64)*(Shipping!$V$22+wacc_nl*Shipping!$V$19/365.25*1000000+Shipping!$V$35)+(F48/24/Shipping!$V$44*Shipping!$V$45+Shipping!$V$64*Shipping!$V$65)*IF(bunker_choice="HFO",$H48,IF(bunker_choice="hydrogen",$BD48*hfo_e_density_lhv/h2_e_density_lhv,(EX48+EZ48)*1000000/FB48*hfo_e_density_lhv/lng_e_density_lhv))+(F48/24/Shipping!$V$50*Shipping!$V$51+Shipping!$V$59*Shipping!$V$60)*IF(bunker_choice="HFO",bunker_price_ROT,IF(bunker_choice="hydrogen",$BD48*hfo_e_density_lhv/h2_e_density_lhv,(EX48+EZ48)*1000000/FB48*hfo_e_density_lhv/lng_e_density_lhv))+Shipping!$V$73+IF(G48="Panama",Shipping!$V$55,0)+IF(G48="Suez",Shipping!$V$56,0))/Shipping!$V$31*(FB48+lng_st_ab_losses)/1000000)+IF(inland_transport_to_port="hv dc grid",$BM48/100*1000*FE48,IF(inland_transport_to_port="pipeline",$BN48,0)))</f>
        <v>#VALUE!</v>
      </c>
      <c r="FD48" s="28" t="str">
        <f t="shared" si="41"/>
        <v/>
      </c>
      <c r="FE48" s="29">
        <f>((Carriers!$AB$18/Carriers!$AB$23*alk_el_e_demand)+sng_e_demand+lng_e_demand)*(FB48+lng_st_ab_losses)/1000000+lng_st_e_demand*EZ48/1000000</f>
        <v>1111.8257160840978</v>
      </c>
      <c r="FF48" s="29">
        <f t="shared" si="88"/>
        <v>0.8126185861001558</v>
      </c>
      <c r="FG48" s="28" t="str">
        <f>IFERROR(FD48*1000000/Storage!$U$12,"")</f>
        <v/>
      </c>
      <c r="FH48" s="28">
        <f>IF($E48="","No Port",((F48/24/Shipping!$V$44+F48/24/Shipping!$V$50+Shipping!$V$59+Shipping!$V$64)*Carriers!$AB$39*wacc_nl))</f>
        <v>34.997876636312604</v>
      </c>
      <c r="FI48" s="100">
        <f>H2_retrieval!$T$25*h2_demand_kt/1000+(co2_liq_e_demand+co2_st_e_demand*2)*Storage!$U$12*co2_density/lng_density/1000000</f>
        <v>236.51371749646054</v>
      </c>
      <c r="FJ48" s="28" t="str">
        <f>IFERROR((((EX48+EZ48+FC48)*(1+H2_retrieval!$T$34)+FH48)*1000000/H2_retrieval!$T$8)+h2_regen_lng,"")</f>
        <v/>
      </c>
      <c r="FK48" s="149">
        <f>(lh2_invest*(M48+1/lh2_lifetime)/lh2_prod+lh2_opex+lh2_e_demand*1000*$AU48/100+Carriers!$AD$18/Carriers!$AD$23*BD48)*(FM48+lh2_st_ab_losses)/1000000</f>
        <v>50849.588619756076</v>
      </c>
      <c r="FL48" s="28">
        <f>lh2_st_nl_cost*lh2_st_nl_demand/1000000+(lh2_st_invest*(M48+1/lh2_st_lifetime+lh2_st_opex)/(Storage!$Y$63/1000000)+lh2_st_e_demand*1000*$AU48/100)*(FM48+lh2_st_ab_losses)/1000000+((FM48+lh2_st_ab_losses)/365.25*short_st_duration_hrs/24)*(h2_short_st_invest*(1/gh2_short_st_lifetime+$M48+h2_short_st_opex)+h2_short_st_e_demand*1000*$AU48/100)/1000000</f>
        <v>56604.333595749442</v>
      </c>
      <c r="FM48" s="63">
        <f>Storage!$Y$57/((1-Shipping!$Z$37)^($F48/24/Shipping!$Z$44+0.5*Shipping!$Z$59))</f>
        <v>14064678.193418974</v>
      </c>
      <c r="FN48" s="28" t="e">
        <f>IF($E48="","No Port",IF(G48="Panama","Ship cannot pass through Panama",((F48/24/Shipping!$Z$44+F48/24/Shipping!$Z$50+Shipping!$Z$59+Shipping!$Z$64)*(Shipping!$Z$22+wacc_nl*Shipping!$Z$19/365.25*1000000+Shipping!$Z$35)+(F48/24/Shipping!$Z$44*Shipping!$Z$45+Shipping!$Z$64*Shipping!$Z$65)*IF(bunker_choice="HFO",$H48,IF(bunker_choice="hydrogen",$BD48*hfo_e_density_lhv/h2_e_density_lhv,(FK48+FL48)*1000000/FM48*hfo_e_density_lhv/lh2_e_density_lhv))+(F48/24/Shipping!$Z$50*Shipping!$Z$51+Shipping!$Z$59*Shipping!$Z$60)*IF(bunker_choice="HFO",bunker_price_ROT,IF(bunker_choice="hydrogen",$BD48*hfo_e_density_lhv/h2_e_density_lhv,(FK48+FL48)*1000000/FM48*hfo_e_density_lhv/lh2_e_density_lhv))+Shipping!$Z$73+IF(G48="Panama",Shipping!$Z$55,0)+IF(G48="Suez",Shipping!$Z$56,0))/Shipping!$Z$31*(FM48+lh2_st_ab_losses)/1000000)+IF(inland_transport_to_port="hv dc grid",$BM48/100*1000*FP48,IF(inland_transport_to_port="pipeline",$BN48,0)))</f>
        <v>#VALUE!</v>
      </c>
      <c r="FO48" s="28" t="str">
        <f t="shared" si="42"/>
        <v/>
      </c>
      <c r="FP48" s="29">
        <f>((Carriers!$AD$18/Carriers!$AD$23*alk_el_e_demand)+lh2_e_demand)*(FM48+lh2_st_ab_losses)/1000000+lh2_st_e_demand*FM48/1000000</f>
        <v>815.02198020315961</v>
      </c>
      <c r="FQ48" s="100">
        <f t="shared" si="89"/>
        <v>1.361902463475859</v>
      </c>
      <c r="FR48" s="28" t="str">
        <f>IFERROR(FO48*1000000/Storage!$Y$12,"")</f>
        <v/>
      </c>
      <c r="FS48" s="100">
        <f>H2_retrieval!$V$25*h2_demand_kt/1000</f>
        <v>8.16</v>
      </c>
      <c r="FT48" s="28" t="str">
        <f>IFERROR(FR48*(1+H2_retrieval!$V$34)/Carrier_properties!$U$7+H2_retrieval!$V$38,"")</f>
        <v/>
      </c>
      <c r="FU48" s="12"/>
      <c r="FV48" s="24">
        <f t="shared" si="90"/>
        <v>2.2503551717081112</v>
      </c>
      <c r="FW48" s="24">
        <f t="shared" si="57"/>
        <v>4.6797242064908398</v>
      </c>
      <c r="FX48" s="24" t="str">
        <f t="shared" si="58"/>
        <v/>
      </c>
      <c r="FY48" s="24">
        <f t="shared" si="45"/>
        <v>2.2503551717081112</v>
      </c>
      <c r="FZ48" s="28">
        <f t="shared" si="59"/>
        <v>2542.379577570835</v>
      </c>
      <c r="GA48" s="28">
        <f t="shared" si="47"/>
        <v>608.68243046841201</v>
      </c>
      <c r="GB48" s="28">
        <f t="shared" si="48"/>
        <v>447.4565237836361</v>
      </c>
      <c r="GC48" s="28">
        <f t="shared" si="49"/>
        <v>687.2480360792016</v>
      </c>
      <c r="GD48" s="28">
        <f t="shared" si="50"/>
        <v>1007.3670640960232</v>
      </c>
      <c r="GE48" s="28">
        <f t="shared" si="51"/>
        <v>1769.1527747475925</v>
      </c>
      <c r="GF48" s="28">
        <f t="shared" si="52"/>
        <v>1828.8642694676721</v>
      </c>
      <c r="GG48" s="12"/>
      <c r="GH48" s="12"/>
      <c r="GI48" s="12"/>
      <c r="GJ48" s="12"/>
      <c r="GK48" s="12"/>
      <c r="GL48" s="12"/>
      <c r="GM48" s="12"/>
      <c r="GN48" s="12"/>
      <c r="GO48" s="12"/>
      <c r="GP48" s="12"/>
      <c r="GQ48" s="12"/>
      <c r="GR48" s="12"/>
      <c r="GS48" s="12"/>
      <c r="GT48" s="12"/>
      <c r="GU48" s="12"/>
      <c r="GV48" s="12"/>
      <c r="GW48" s="12"/>
      <c r="GX48" s="12"/>
      <c r="GY48" s="12"/>
      <c r="GZ48" s="12"/>
      <c r="HA48" s="12"/>
      <c r="HB48" s="12"/>
      <c r="HC48" s="12"/>
      <c r="HD48" s="12"/>
      <c r="HE48" s="12"/>
      <c r="HF48" s="12"/>
    </row>
    <row r="49" spans="1:214" x14ac:dyDescent="0.2">
      <c r="A49" s="40" t="s">
        <v>55</v>
      </c>
      <c r="B49" s="12">
        <v>5112</v>
      </c>
      <c r="C49" s="12">
        <v>0.9</v>
      </c>
      <c r="D49" s="12">
        <f t="shared" si="61"/>
        <v>9.9999999999999978E-2</v>
      </c>
      <c r="E49" s="12" t="s">
        <v>719</v>
      </c>
      <c r="F49" s="12">
        <v>4334</v>
      </c>
      <c r="G49" s="12" t="s">
        <v>692</v>
      </c>
      <c r="H49" s="16">
        <f t="shared" si="62"/>
        <v>382.75862068965517</v>
      </c>
      <c r="I49" s="16">
        <v>101000</v>
      </c>
      <c r="J49" s="16">
        <f t="shared" si="31"/>
        <v>179.30225459977589</v>
      </c>
      <c r="K49" s="27">
        <f t="shared" si="32"/>
        <v>215.16270551973108</v>
      </c>
      <c r="L49" s="103">
        <v>0.14399999999999999</v>
      </c>
      <c r="M49" s="103">
        <f t="shared" si="63"/>
        <v>0.14325773636328099</v>
      </c>
      <c r="N49" s="122">
        <f t="shared" si="33"/>
        <v>0.8</v>
      </c>
      <c r="O49" s="46">
        <f t="shared" si="64"/>
        <v>40</v>
      </c>
      <c r="P49" s="70">
        <f t="array" ref="P49">SUMPRODUCT(IF(Solar_data!A$4:A$777=A49,Solar_data!C$4:C$777),IF(Solar_data!A$4:A$777=A49,Solar_data!I$4:I$777))/SUMIF(Solar_data!A$4:A$777,A49,Solar_data!I$4:I$777)</f>
        <v>2360.2225126656281</v>
      </c>
      <c r="Q49" s="16">
        <f t="array" ref="Q49">MAX(IF(Solar_data!$A$777:'Solar_data'!$A$4=Country_details!$A49,Solar_data!$C$4:'Solar_data'!$C$777))</f>
        <v>2463.75</v>
      </c>
      <c r="R49" s="16">
        <f t="array" ref="R49">MIN(IF(Solar_data!$A$777:'Solar_data'!$A$4=Country_details!A49,Solar_data!$C$4:'Solar_data'!$C$777))</f>
        <v>1916.25</v>
      </c>
      <c r="S49" s="24">
        <f t="shared" si="65"/>
        <v>2.3875610722848921</v>
      </c>
      <c r="T49" s="24">
        <f t="shared" si="66"/>
        <v>2.287235065721315</v>
      </c>
      <c r="U49" s="24">
        <f t="shared" si="67"/>
        <v>2.9407307987845481</v>
      </c>
      <c r="V49" s="16">
        <f t="array" ref="V49">SUM(IF(Solar_data!$A$777:'Solar_data'!$A$4=Country_details!$A49,Solar_data!$I$4:'Solar_data'!$I$777))</f>
        <v>1011.258765419426</v>
      </c>
      <c r="W49" s="148"/>
      <c r="X49" s="16" t="str">
        <f>IFERROR(INDEX(Onshore_wind_data!$J$5:'Onshore_wind_data'!$J$221,MATCH(A49,Onshore_wind_data!$B$5:'Onshore_wind_data'!$B$221,0)),"")</f>
        <v/>
      </c>
      <c r="Y49" s="16" t="str">
        <f>IFERROR(INDEX(Onshore_wind_data!$K$5:'Onshore_wind_data'!$K$221,MATCH(A49,Onshore_wind_data!$B$5:'Onshore_wind_data'!$B$221,0)),"")</f>
        <v/>
      </c>
      <c r="Z49" s="16" t="str">
        <f>IFERROR(INDEX(Onshore_wind_data!$L$5:'Onshore_wind_data'!$L$221,MATCH(A49,Onshore_wind_data!$B$5:'Onshore_wind_data'!$B$221,0)),"")</f>
        <v/>
      </c>
      <c r="AA49" s="24" t="str">
        <f t="shared" si="68"/>
        <v/>
      </c>
      <c r="AB49" s="24" t="str">
        <f t="shared" si="69"/>
        <v/>
      </c>
      <c r="AC49" s="24" t="str">
        <f t="shared" si="70"/>
        <v/>
      </c>
      <c r="AD49" s="16">
        <f>IFERROR(INDEX(Onshore_wind_data!$I$5:'Onshore_wind_data'!$I$221,MATCH(A49,Onshore_wind_data!$B$5:'Onshore_wind_data'!$B$221,0)),"")</f>
        <v>0</v>
      </c>
      <c r="AE49" s="148"/>
      <c r="AF49" s="16">
        <f>INDEX(Offshore_wind_data!$AA$7:$AA$192,MATCH(Country_details!A49,Offshore_wind_data!$A$7:$A$192,0))</f>
        <v>3459.4593586005831</v>
      </c>
      <c r="AG49" s="16">
        <f>INDEX(Offshore_wind_data!$Y$7:$Y$192,MATCH(Country_details!A49,Offshore_wind_data!$A$7:$A$192,0))</f>
        <v>3854.4</v>
      </c>
      <c r="AH49" s="16">
        <f>INDEX(Offshore_wind_data!$Z$7:$Z$192,MATCH(Country_details!A49,Offshore_wind_data!$A$7:$A$192,0))</f>
        <v>3153.6</v>
      </c>
      <c r="AI49" s="24">
        <f t="shared" si="71"/>
        <v>8.6302742700630226</v>
      </c>
      <c r="AJ49" s="24">
        <f t="shared" si="72"/>
        <v>7.7459742348638798</v>
      </c>
      <c r="AK49" s="24">
        <f t="shared" si="73"/>
        <v>9.4673018426114108</v>
      </c>
      <c r="AL49" s="16">
        <f>INDEX(Offshore_wind_data!$W$7:$W$191,MATCH(A49,Offshore_wind_data!$A$7:$A$191,0))</f>
        <v>118.65945599999999</v>
      </c>
      <c r="AM49" s="148"/>
      <c r="AN49" s="12">
        <v>5.0999999999999996</v>
      </c>
      <c r="AO49" s="12">
        <v>9.6</v>
      </c>
      <c r="AP49" s="34">
        <f>0.141*11.63</f>
        <v>1.6398299999999999</v>
      </c>
      <c r="AQ49" s="15">
        <f t="shared" si="74"/>
        <v>50</v>
      </c>
      <c r="AR49" s="12">
        <f t="shared" si="34"/>
        <v>480</v>
      </c>
      <c r="AS49" s="16">
        <f t="shared" si="35"/>
        <v>649.91822141942612</v>
      </c>
      <c r="AT49" s="12"/>
      <c r="AU49" s="24">
        <f t="shared" si="75"/>
        <v>2.3875610722848921</v>
      </c>
      <c r="AV49" s="16">
        <f t="shared" si="76"/>
        <v>2360.2225126656281</v>
      </c>
      <c r="AW49" s="149">
        <f>HV_DC_Grid!$E$3/(1-AX49)*AU49/100*1000</f>
        <v>2679.7788646109425</v>
      </c>
      <c r="AX49" s="31">
        <f>(1-(1-HV_DC_Grid!$E$25)^(B49*C49*HV_DC_Grid!$E$8/1000))+(1-(1-HV_DC_Grid!$E$26)^(B49*D49*HV_DC_Grid!$E$8/1000))+HV_DC_Grid!$E$35*HV_DC_Grid!$E$28</f>
        <v>0.10904548736653895</v>
      </c>
      <c r="AY49" s="28">
        <f>B49*nl_e_demand/IF(hv_dc_flh="electricity FLH",$AV49,hv_dc_custom)*1000*hv_dc_capacity_multiplier*hv_dc_length_multiplier*1000*(C49*hv_dc_overhead_invest*(hv_dc_overhead_opex+M49+1/hv_dc_lifetime)+D49*hv_dc_sea_invest*(hv_dc_sea_opex+M49+1/hv_dc_lifetime))/1000000+HV_DC_Grid!$E$10*1000*hv_dc_station_invest*hv_dc_station_number*(hv_dc_station_opex+M49+1/hv_dc_lifetime)/1000000</f>
        <v>6323.7094504576298</v>
      </c>
      <c r="AZ49" s="24">
        <f>(AW49+AY49)/(HV_DC_Grid!$E$3*1000)*100</f>
        <v>9.0034883150685729</v>
      </c>
      <c r="BA49" s="28">
        <f>MIN(((Carriers!$F$26+Carriers!$F$27)*(alk_el_opex+wacc_nl+1/alk_el_lifetime)+IF(hv_dc_flh="electricity FLH",$AV49,hv_dc_custom)*AZ49/100)/(IF(hv_dc_flh="electricity FLH",$AV49,hv_dc_custom)/alk_el_e_demand)*1000,((Carriers!$H$26+Carriers!$H$27)*(pem_el_opex+wacc_nl+1/pem_el_lifetime)+IF(hv_dc_flh="electricity FLH",$AV49,hv_dc_custom)*AZ49/100)/(IF(hv_dc_flh="electricity FLH",$AV49,hv_dc_custom)/pem_el_e_demand)*1000)</f>
        <v>4949.13835731787</v>
      </c>
      <c r="BB49" s="12"/>
      <c r="BC49" s="12"/>
      <c r="BD49" s="149">
        <f>MIN(((Carriers!$F$26+Carriers!$F$27)*(alk_el_opex+M49+1/alk_el_lifetime)+$AV49*$AU49/100)/($AV49/alk_el_e_demand)*1000,((Carriers!$H$26+Carriers!$H$27)*(pem_el_opex+M49+1/pem_el_lifetime)+$AV49*$AU49/100)/($AV49/pem_el_e_demand)*1000)</f>
        <v>2800.24179992155</v>
      </c>
      <c r="BE49" s="28">
        <f>Storage!$AC$50</f>
        <v>8.1664117557772418</v>
      </c>
      <c r="BF49" s="28">
        <f>((Pipeline!$D$22*Pipeline!$D$24*B49*(pipeline_opex+M49+1/pipeline_lifetime))*(Pipeline!$D$39/Pipeline!$D$3)+(Pipeline!$D$57*(pipeline_comp_opex+M49+1/pipeline_comp_lifetime)+Pipeline!$D$47*1000*Pipeline!$D$45*$AU49/100/1000000))*(Pipeline!$D$75/Pipeline!$D$45)</f>
        <v>12601.757084491765</v>
      </c>
      <c r="BG49" s="28">
        <f>BD49+(BE49+BF49)/Storage!$AC$12*1000000</f>
        <v>3727.442056998575</v>
      </c>
      <c r="BH49" s="28"/>
      <c r="BI49" s="28"/>
      <c r="BJ49" s="28">
        <f>IF($E49="","No Port",BK49*HV_DC_Grid!$E$3*$AU49/100*1000)</f>
        <v>43.348248723708167</v>
      </c>
      <c r="BK49" s="31">
        <f>IFERROR((1-(1-HV_DC_Grid!$E$25)^(K49*HV_DC_Grid!$E$8/1000))+HV_DC_Grid!$E$35*HV_DC_Grid!$E$28,"")</f>
        <v>1.8155870116538617E-2</v>
      </c>
      <c r="BL49" s="28">
        <f>IFERROR(K49*nl_e_demand/IF(hv_dc_flh="electricity FLH",$AV49,hv_dc_custom)*1000*hv_dc_capacity_multiplier*hv_dc_length_multiplier*1000*(hv_dc_overhead_invest*(hv_dc_overhead_opex+M49+1/hv_dc_lifetime))/1000000+HV_DC_Grid!$E$10*1000*hv_dc_station_invest*hv_dc_station_number*(hv_dc_station_opex+M49+1/hv_dc_lifetime)/1000000,"")</f>
        <v>673.11174489180326</v>
      </c>
      <c r="BM49" s="29">
        <f>IFERROR((BJ49+BL49)/(HV_DC_Grid!$E$3*1000)*100,"")</f>
        <v>0.71645999361551138</v>
      </c>
      <c r="BN49" s="28">
        <f>IFERROR(((Pipeline!$D$22*Pipeline!$D$24*K49*(pipeline_opex+M49+1/pipeline_lifetime))*(Pipeline!$D$39/Pipeline!$D$3)+(Pipeline!$D$57*(pipeline_comp_opex+M49+1/pipeline_comp_lifetime)+Pipeline!$D$47*1000*Pipeline!$D$45*S49/100/1000000))*(Pipeline!$D$75/Pipeline!$D$45),"")</f>
        <v>607.75771521437741</v>
      </c>
      <c r="BO49" s="28"/>
      <c r="BP49" s="150">
        <f t="shared" si="77"/>
        <v>121.26045407920741</v>
      </c>
      <c r="BQ49" s="34">
        <f t="shared" si="78"/>
        <v>36.451457979052705</v>
      </c>
      <c r="BR49" s="151">
        <f>(nh3_invest*(M49+1/nh3_lifetime)/nh3_prod+nh3_opex+nh3_e_demand*1000*$AU49/100+Carriers!$N$18/Carriers!$N$23*BD49+Carriers!$N$19/Carriers!$N$23*BQ49)*(BT49+nh3_st_ab_losses)/1000000</f>
        <v>51431.907980793621</v>
      </c>
      <c r="BS49" s="63">
        <f>nh3_st_nl_cost*nh3_st_nl_demand/1000000+(nh3_st_invest*(M49+1/nh3_st_lifetime+nh3_st_opex)/(Storage!$G$63/1000000)+nh3_st_e_demand*1000*$AU49/100)*(BT49+nh3_st_ab_losses)/1000000+Carriers!$N$18/Carriers!$N$23*((BT49+nh3_st_ab_losses)/365.25*short_st_duration_hrs/24)*(h2_short_st_invest*(1/gh2_short_st_lifetime+$M49+h2_short_st_opex)+h2_short_st_e_demand*1000*$AU49/100)/1000000+Carriers!$N$19/Carriers!$N$23*((BT49+nh3_st_ab_losses)/365.25*short_st_duration_hrs/24)*(n2_short_st_invest*(1/n2_short_st_lifetime+$M49+n2_short_st_opex)+n2_short_st_e_demand*1000*$AU49/100)/1000000</f>
        <v>3649.4488649052082</v>
      </c>
      <c r="BT49" s="63">
        <f>Storage!$G$57/((1-Shipping!$H$37)^(F49/24/Shipping!$H$44+0.5*Shipping!$H$59))</f>
        <v>78991306.625265628</v>
      </c>
      <c r="BU49" s="63">
        <f>IF($E49="","No Port",((F49/24/Shipping!$H$44+F49/24/Shipping!$H$50+Shipping!$H$59+Shipping!$H$64)*(Shipping!$H$22+wacc_nl*Shipping!$H$19/365.25*1000000+Shipping!$H$35)+(F49/24/Shipping!$H$44*Shipping!$H$45+Shipping!$H$64*Shipping!$H$65)*IF(bunker_choice="HFO",H49,IF(bunker_choice="hydrogen",BD49*hfo_e_density_lhv/h2_e_density_lhv,(BR49+BS49)*1000000/BT49*hfo_e_density_lhv/nh3_e_density_lhv))+(F49/24/Shipping!$H$50*Shipping!$H$51+Shipping!$H$59*Shipping!$H$60)*IF(bunker_choice="HFO",bunker_price_ROT,IF(bunker_choice="hydrogen",BD49*hfo_e_density_lhv/h2_e_density_lhv,(BR49+BS49)*1000000/BT49*hfo_e_density_lhv/nh3_e_density_lhv))+Shipping!$H$73+IF(G49="Panama",Shipping!$H$55,0)+IF(G49="Suez",Shipping!$H$56,0))/Shipping!$H$31*BT49/1000000+IF(inland_transport_to_port="hv dc grid",$BM49/100*1000*BW49,IF(inland_transport_to_port="pipeline",$BN49,0)))</f>
        <v>4026.0990161427635</v>
      </c>
      <c r="BV49" s="63">
        <f t="shared" si="91"/>
        <v>59107.45586184159</v>
      </c>
      <c r="BW49" s="33">
        <f>((Carriers!$N$18/Carriers!$N$23*alk_el_e_demand)+(Carriers!$N$19/Carriers!$N$23*n2_e_demand)+nh3_e_demand)*(BT49+nh3_st_ab_losses)/1000000+nh3_st_e_demand*BT49/1000000</f>
        <v>780.05946844412313</v>
      </c>
      <c r="BX49" s="33">
        <f t="shared" si="79"/>
        <v>0.76626754477640768</v>
      </c>
      <c r="BY49" s="63">
        <f>IFERROR(BV49*1000000/Storage!$G$12,"")</f>
        <v>772.01108178682409</v>
      </c>
      <c r="BZ49" s="63">
        <f>H2_retrieval!$F$25*h2_demand_kt/1000</f>
        <v>80</v>
      </c>
      <c r="CA49" s="63">
        <f>IFERROR(BY49*(1+H2_retrieval!$F$34)/Carrier_properties!$E$7+H2_retrieval!$F$38,"")</f>
        <v>4755.3624400732642</v>
      </c>
      <c r="CB49" s="149">
        <f>(FA_invest*(M49+1/FA_lifetime)/FA_prod+FA_opex+FA_e_demand*1000*$AU49/100+Carriers!$P$18/Carriers!$P$23*BD49+Carriers!$P$20/Carriers!$P$23*co2_liq_cost)*(CF49+FA_st_ab_losses)/1000000</f>
        <v>102466.42257797741</v>
      </c>
      <c r="CC49" s="86">
        <f>(FA_invest*(M49+1/FA_lifetime)/FA_prod+FA_opex+FA_e_demand*1000*$AU49/100+Carriers!$P$18/Carriers!$P$23*BD49+Carriers!$P$20/Carriers!$P$23*BP49)*(CF49+FA_st_ab_losses)/1000000</f>
        <v>131843.81004131827</v>
      </c>
      <c r="CD49" s="63">
        <f>FA_st_nl_cost*FA_st_nl_demand/1000000+(FA_st_invest*(M49+1/FA_st_lifetime+FA_st_opex)/(Storage!$I$63/1000000)+FA_st_e_demand*1000*$AU49/100)*(CF49+FA_st_ab_losses)/1000000+co2_st_nl_cost*Storage!$I$12*co2_density/FA_density/1000000+(co2_st_opex_lev+co2_st_invest_lev+co2_st_e_demand*1000*$AU49/100)*Storage!$I$12/1000000+co2_st_invest_lev*Storage!$I$12*co2_st_lifetime*M49/1000000+Carriers!$P$18/Carriers!$P$23*((CF49+FA_st_ab_losses)/365.25*short_st_duration_hrs/24)*(h2_short_st_invest*(1/gh2_short_st_lifetime+$M49+h2_short_st_opex)+h2_short_st_e_demand*1000*$AU49/100)/1000000+Carriers!$P$20/Carriers!$P$23*((CF49+FA_st_ab_losses)/365.25*short_st_duration_hrs/24)*(co2_short_st_invest*(1/co2_short_st_lifetime+$M49+co2_short_st_opex)+co2_short_st_e_demand*1000*$AU49/100)/1000000</f>
        <v>12274.818296159179</v>
      </c>
      <c r="CE49" s="63">
        <f>FA_st_nl_cost*FA_st_nl_demand/1000000+(FA_st_invest*(M49+1/FA_st_lifetime+FA_st_opex)/(Storage!$I$63/1000000)+FA_st_e_demand*1000*$AU49/100)*(CF49+FA_st_ab_losses)/1000000+Carriers!$P$18/Carriers!$P$23*((CF49+FA_st_ab_losses)/365.25*short_st_duration_hrs/24)*(h2_short_st_invest*(1/gh2_short_st_lifetime+$M49+h2_short_st_opex)+h2_short_st_e_demand*1000*$AU49/100)/1000000+Carriers!$P$20/Carriers!$P$23*((CF49+FA_st_ab_losses)/365.25*short_st_duration_hrs/24)*(co2_short_st_invest*(1/co2_short_st_lifetime+$M49+co2_short_st_opex)+co2_short_st_e_demand*1000*$AU49/100)/1000000</f>
        <v>5414.4345150991203</v>
      </c>
      <c r="CF49" s="63">
        <f>Storage!$I$57/((1-Shipping!$J$37)^($F49/24/Shipping!$J$44+0.5*Shipping!$J$59))</f>
        <v>310425396.82539684</v>
      </c>
      <c r="CG49" s="28">
        <f>IF($E49="","No Port",((F49/24/Shipping!$J$44+F49/24/Shipping!$J$50+Shipping!$J$59+Shipping!$J$64)*(Shipping!$J$22+wacc_nl*Shipping!$J$19/365.25*1000000+Shipping!$J$35)+(F49/24/Shipping!$J$44*Shipping!$J$45+Shipping!$J$64*Shipping!$J$65)*IF(bunker_choice="HFO",$H49,IF(bunker_choice="hydrogen",$BD49*hfo_e_density_lhv/h2_e_density_lhv,(CB49+CD49)*1000000/CF49*hfo_e_density_lhv/FA_e_density_lhv))+(F49/24/Shipping!$J$50*Shipping!$J$51+Shipping!$J$59*Shipping!$J$60)*IF(bunker_choice="HFO",bunker_price_ROT,IF(bunker_choice="hydrogen",$BD49*hfo_e_density_lhv/h2_e_density_lhv,(CB49+CD49)*1000000/CF49*hfo_e_density_lhv/FA_e_density_lhv))+Shipping!$J$73+IF(G49="Panama",Shipping!$J$55,0)+IF(G49="Suez",Shipping!$J$56,0))/Shipping!$J$31*CF49/1000000+IF(inland_transport_to_port="hv dc grid",$BM49/100*1000*CI49,IF(inland_transport_to_port="pipeline",$BN49,0)))</f>
        <v>15500.345301610876</v>
      </c>
      <c r="CH49" s="28">
        <f t="shared" si="36"/>
        <v>152758.58985802828</v>
      </c>
      <c r="CI49" s="29">
        <f>((Carriers!$P$18/Carriers!$P$23*alk_el_e_demand)+FA_e_demand)*(CF49+FA_st_ab_losses)/1000000+FA_st_e_demand*CF49/1000000</f>
        <v>1897.8881241622576</v>
      </c>
      <c r="CJ49" s="29">
        <f t="shared" si="80"/>
        <v>0.46563809523809524</v>
      </c>
      <c r="CK49" s="28">
        <f>IFERROR(CH49*1000000/Storage!$I$12,"")</f>
        <v>492.09436927594402</v>
      </c>
      <c r="CL49" s="28">
        <f>IF($E49="","No Port",((F49/24/Shipping!$J$44+F49/24/Shipping!$J$50+Shipping!$J$59+Shipping!$J$64)*Carriers!$P$39*wacc_nl))</f>
        <v>224.37018376387741</v>
      </c>
      <c r="CM49" s="29">
        <f>H2_retrieval!$H$25*h2_demand_kt/1000+(co2_liq_e_demand+co2_st_e_demand*2)*Storage!$I$12*co2_density/FA_density/1000000</f>
        <v>94.204253879484654</v>
      </c>
      <c r="CN49" s="28">
        <f>IFERROR((((CB49+CD49+CG49)*(1+H2_retrieval!$H$34)+CL49)*1000000/H2_retrieval!$H$8)+h2_regen_fa,"")</f>
        <v>9682.7723942016146</v>
      </c>
      <c r="CO49" s="149">
        <f>(meoh_invest*(M49+1/meoh_lifetime)/meoh_prod+meoh_opex+meoh_e_demand*1000*$AU49/100+Carriers!$R$18/Carriers!$R$23*BD49+Carriers!$R$20/Carriers!$R$23*co2_liq_cost)*(CS49+meoh_st_ab_losses)/1000000</f>
        <v>61460.35459374747</v>
      </c>
      <c r="CP49" s="86">
        <f>(meoh_invest*(M49+1/meoh_lifetime)/meoh_prod+meoh_opex+meoh_e_demand*1000*$AU49/100+Carriers!$R$18/Carriers!$R$23*BD49+Carriers!$R$20/Carriers!$R$23*BP49)*(CS49+meoh_st_ab_losses)/1000000</f>
        <v>78705.787968629083</v>
      </c>
      <c r="CQ49" s="63">
        <f>meoh_st_nl_cost*meoh_st_nl_demand/1000000+(meoh_st_invest*(M49+1/meoh_st_lifetime+meoh_st_opex)/(Storage!$K$63/1000000)+meoh_st_e_demand*1000*$AU49/100)*(CS49+meoh_st_ab_losses)/1000000+co2_st_nl_cost*Storage!$K$12*co2_density/meoh_density/1000000+(co2_st_opex_lev+co2_st_invest_lev+co2_st_e_demand*1000*IFERROR(MIN(S49,AA49,AI49),S49)/100)*Storage!$K$12/1000000+co2_st_invest_lev*Storage!$K$12*co2_st_lifetime*M49/1000000+Carriers!$R$18/Carriers!$R$23*((CS49+meoh_st_ab_losses)/365.25*short_st_duration_hrs/24)*(h2_short_st_invest*(1/gh2_short_st_lifetime+$M49+h2_short_st_opex)+h2_short_st_e_demand*1000*$AU49/100)/1000000+Carriers!$R$20/Carriers!$R$23*((CF49+meoh_st_ab_losses)/365.25*short_st_duration_hrs/24)*(co2_short_st_invest*(1/co2_short_st_lifetime+$M49+co2_short_st_opex)+co2_short_st_e_demand*1000*$AU49/100)/1000000</f>
        <v>5140.9885837141237</v>
      </c>
      <c r="CR49" s="63">
        <f>meoh_st_nl_cost*meoh_st_nl_demand/1000000+(meoh_st_invest*(M49+1/meoh_st_lifetime+meoh_st_opex)/(Storage!$K$63/1000000)+meoh_st_e_demand*1000*$AU49/100)*(CS49+meoh_st_ab_losses)/1000000+Carriers!$R$18/Carriers!$R$23*((CS49+meoh_st_ab_losses)/365.25*short_st_duration_hrs/24)*(h2_short_st_invest*(1/gh2_short_st_lifetime+$M49+h2_short_st_opex)+h2_short_st_e_demand*1000*$AU49/100)/1000000+Carriers!$R$20/Carriers!$R$23*((CF49+meoh_st_ab_losses)/365.25*short_st_duration_hrs/24)*(co2_short_st_invest*(1/co2_short_st_lifetime+$M49+co2_short_st_opex)+co2_short_st_e_demand*1000*$AU49/100)/1000000</f>
        <v>2154.2150104873672</v>
      </c>
      <c r="CS49" s="63">
        <f>Storage!$K$57/((1-Shipping!$L$37)^($F49/24/Shipping!$L$44+0.5*Shipping!$L$59))</f>
        <v>108044444.44444443</v>
      </c>
      <c r="CT49" s="28">
        <f>IF($E49="","No Port",IF(AND(ship_choice="VLCC",G49="Panama"),"Ship cannot pass through Panama",IF(ship_choice="VLCC",((F49/24/Shipping!$AD$44+F49/24/Shipping!$AD$50+Shipping!$AD$59+Shipping!$AD$64)*(Shipping!$AD$22+wacc_nl*Shipping!$AD$19/365.25*1000000+Shipping!$AD$35)+(F49/24/Shipping!$AD$44*Shipping!$AD$45+Shipping!$AD$64*Shipping!$AD$65)*IF(bunker_choice="HFO",$H49,IF(bunker_choice="hydrogen",$BD49*hfo_e_density_lhv/h2_e_density_lhv,(CO49+CQ49)*1000000/CS49*hfo_e_density_lhv/meoh_e_density_lhv))+(F49/24/Shipping!$AD$50*Shipping!$AD$51+Shipping!$AD$59*Shipping!$AD$60)*IF(bunker_choice="HFO",bunker_price_ROT,IF(bunker_choice="hydrogen",$BD49*hfo_e_density_lhv/h2_e_density_lhv,(CO49+CQ49)*1000000/CS49*hfo_e_density_lhv/meoh_e_density_lhv))+Shipping!$AD$73+IF(G49="Panama",Shipping!$AD$55,0)+IF(G49="Suez",Shipping!$AD$56,0))/Shipping!$AD$31*CS49/1000000+IF(inland_transport_to_port="hv dc grid",$BM49/100*1000*CV49,IF(inland_transport_to_port="pipeline",$BN49,0)),((F49/24/Shipping!$L$44+F49/24/Shipping!$L$50+Shipping!$L$59+Shipping!$L$64)*(Shipping!$L$22+wacc_nl*Shipping!$L$19/365.25*1000000+Shipping!$L$35)+(F49/24/Shipping!$L$44*Shipping!$L$45+Shipping!$L$64*Shipping!$L$65)*IF(bunker_choice="HFO",$H49,IF(bunker_choice="hydrogen",$BD49*hfo_e_density_lhv/h2_e_density_lhv,(CO49+CQ49)*1000000/CS49*hfo_e_density_lhv/meoh_e_density_lhv))+(F49/24/Shipping!$L$50*Shipping!$L$51+Shipping!$L$59*Shipping!$L$60)*IF(bunker_choice="HFO",bunker_price_ROT,IF(bunker_choice="hydrogen",$BD49*hfo_e_density_lhv/h2_e_density_lhv,(CO49+CQ49)*1000000/CS49*hfo_e_density_lhv/meoh_e_density_lhv))+Shipping!$L$73+IF(G49="Panama",Shipping!$L$55,0)+IF(G49="Suez",Shipping!$L$56,0))/Shipping!$L$31*CS49/1000000+IF(inland_transport_to_port="hv dc grid",$BM49/100*1000*CV49,IF(inland_transport_to_port="pipeline",$BN49,0)))))</f>
        <v>5581.1025290952475</v>
      </c>
      <c r="CU49" s="28">
        <f t="shared" si="37"/>
        <v>86441.105508211709</v>
      </c>
      <c r="CV49" s="29">
        <f>((Carriers!$R$18/Carriers!$R$23*alk_el_e_demand)+meoh_e_demand)*(CS49+meoh_st_ab_losses)/1000000+meoh_st_e_demand*CS49/1000000</f>
        <v>1119.9789871111109</v>
      </c>
      <c r="CW49" s="29">
        <f t="shared" si="81"/>
        <v>0.16206666666666666</v>
      </c>
      <c r="CX49" s="28">
        <f>IFERROR(CU49*1000000/Storage!$K$12,"")</f>
        <v>800.05136731170865</v>
      </c>
      <c r="CY49" s="28">
        <f>IF($E49="","No Port",((F49/24/Shipping!$L$44+F49/24/Shipping!$L$50+Shipping!$L$59+Shipping!$L$64)*Carriers!$R$39*wacc_nl))</f>
        <v>80.248355749505308</v>
      </c>
      <c r="CZ49" s="29">
        <f>H2_retrieval!$J$25*h2_demand_kt/1000+(co2_liq_e_demand+co2_st_e_demand*2)*Storage!$K$12*co2_density/meoh_density/1000000</f>
        <v>251.05079059698966</v>
      </c>
      <c r="DA49" s="28">
        <f>IFERROR((((CO49+CQ49+CT49)*(1+H2_retrieval!$J$34)+CY49)*1000000/H2_retrieval!$J$8)+h2_regen_meoh,"")</f>
        <v>6483.561930130405</v>
      </c>
      <c r="DB49" s="149">
        <f>(DBT_invest*(M49+1/DBT_lifetime)/DBT_prod+DBT_opex+DBT_e_demand*1000*$AU49/100+Carriers!$T$18/Carriers!$T$23*BD49)*(DD49+DBT_st_ab_losses)/1000000</f>
        <v>41533.002089383423</v>
      </c>
      <c r="DC49" s="28">
        <f>2*(DBT_st_nl_cost*DBT_st_nl_demand/1000000+(DBT_st_invest*(M49+1/DBT_st_lifetime+DBT_st_opex)/(Storage!$M$63/1000000)+DBT_st_e_demand*1000*$AU49/100)*(DD49+DBT_st_ab_losses)/1000000)+Carriers!$T$18/Carriers!$T$23*((DD49+DBT_st_ab_losses)/365.25*short_st_duration_hrs/24)*(h2_short_st_invest*(1/gh2_short_st_lifetime+$M49+h2_short_st_opex)+h2_short_st_e_demand*1000*$AU49/100)/1000000</f>
        <v>4399.8715531180242</v>
      </c>
      <c r="DD49" s="63">
        <f>Storage!$M$57/((1-Shipping!$N$37)^($F49/24/Shipping!$N$44+0.5*Shipping!$N$59))</f>
        <v>219354838.70967743</v>
      </c>
      <c r="DE49" s="28">
        <f>IF($E49="","No Port",IF(AND(ship_choice="VLCC",G49="Panama"),"Ship cannot pass through Panama",IF(ship_choice="VLCC",((F49/24/Shipping!$AD$44+F49/24/Shipping!$AD$50+Shipping!$AD$59+Shipping!$AD$64)*(Shipping!$AD$22+wacc_nl*Shipping!$AD$19/365.25*1000000+Shipping!$AD$35)+(F49/24/Shipping!$AD$44*Shipping!$AD$45+Shipping!$AD$64*Shipping!$AD$65)*IF(bunker_choice="HFO",$H49,IF(bunker_choice="hydrogen",$BD49*hfo_e_density_lhv/h2_e_density_lhv,(DB49+DC49)*1000000/DD49*hfo_e_density_lhv/DBT_e_density_lhv))+(F49/24/Shipping!$AD$50*Shipping!$AD$51+Shipping!$AD$59*Shipping!$AD$60)*IF(bunker_choice="HFO",bunker_price_ROT,IF(bunker_choice="hydrogen",$BD49*hfo_e_density_lhv/h2_e_density_lhv,(DB49+DC49)*1000000/DD49*hfo_e_density_lhv/DBT_e_density_lhv))+Shipping!$AD$73+IF(G49="Panama",Shipping!$AD$55,0)+IF(G49="Suez",Shipping!$AD$56,0))/Shipping!$AD$31*DD49/1000000+IF(inland_transport_to_port="hv dc grid",$BM49/100*1000*DG49,IF(inland_transport_to_port="pipeline",$BN49,0)),((F49/24/Shipping!$N$44+F49/24/Shipping!$N$50+Shipping!$N$59+Shipping!$N$64)*(Shipping!$N$22+wacc_nl*Shipping!$N$19/365.25*1000000+Shipping!$N$35)+(F49/24/Shipping!$N$44*Shipping!$N$45+Shipping!$N$64*Shipping!$N$65)*IF(bunker_choice="HFO",$H49,IF(bunker_choice="hydrogen",$BD49*hfo_e_density_lhv/h2_e_density_lhv,(DB49+DC49)*1000000/DD49*hfo_e_density_lhv/DBT_e_density_lhv))+(F49/24/Shipping!$N$50*Shipping!$N$51+Shipping!$N$59*Shipping!$N$60)*IF(bunker_choice="HFO",bunker_price_ROT,IF(bunker_choice="hydrogen",$BD49*hfo_e_density_lhv/h2_e_density_lhv,(DB49+DC49)*1000000/DD49*hfo_e_density_lhv/DBT_e_density_lhv))+Shipping!$N$73+IF(G49="Panama",Shipping!$N$55,0)+IF(G49="Suez",Shipping!$N$56,0))/Shipping!$N$31*Shipping!$N$86/1000000+IF(inland_transport_to_port="hv dc grid",$BM49/100*1000*DG49,IF(inland_transport_to_port="pipeline",$BN49,0)))))</f>
        <v>9959.6385620466463</v>
      </c>
      <c r="DF49" s="28">
        <f t="shared" si="82"/>
        <v>55892.512204548097</v>
      </c>
      <c r="DG49" s="29">
        <f>((Carriers!$T$18/Carriers!$T$23*alk_el_e_demand)+DBT_e_demand)*(DD49+DBT_st_ab_losses)/1000000+DBT_st_e_demand*DD49/1000000</f>
        <v>703.88335483870969</v>
      </c>
      <c r="DH49" s="29">
        <f t="shared" si="83"/>
        <v>0.21935483870967742</v>
      </c>
      <c r="DI49" s="28">
        <f>IFERROR(DF49*1000000/Storage!$M$12,"")</f>
        <v>254.80409975602808</v>
      </c>
      <c r="DJ49" s="28">
        <f>IF($E49="","No Port",((F49/24/Shipping!$N$44+F49/24/Shipping!$N$50+Shipping!$N$59+Shipping!$N$64)*Carriers!$T$39*wacc_nl))</f>
        <v>5844.7514149022809</v>
      </c>
      <c r="DK49" s="100">
        <f>H2_retrieval!$L$25*h2_demand_kt/1000+(co2_liq_e_demand+co2_st_e_demand*2)*Storage!$M$12*co2_density/DBT_density/1000000</f>
        <v>206.61934861671787</v>
      </c>
      <c r="DL49" s="28">
        <f>IFERROR(((DF49*(1+H2_retrieval!$L$34)+DJ49)*1000000/H2_retrieval!$L$8)+h2_regen_lohc,"")</f>
        <v>5010.1544585395586</v>
      </c>
      <c r="DM49" s="149">
        <f t="shared" si="84"/>
        <v>50247.647779638784</v>
      </c>
      <c r="DN49" s="16">
        <f>2*(nabh4_st_nl_cost*nabh4_st_nl_demand/1000000+(nabh4_st_invest*(M49+1/nabh4_st_lifetime+nabh4_st_opex)/(Storage!$O$63/1000000)+nabh4_st_e_demand*1000*$AU49/100)*(DO49+nabh4_st_ab_losses)/1000000)+(h2_demand_kt*1000/365.25*short_st_duration_hrs/24)*(h2_short_st_invest*(1/gh2_short_st_lifetime+$M49+h2_short_st_opex)+h2_short_st_e_demand*1000*$AU49/100)/1000000</f>
        <v>1469.3919031210019</v>
      </c>
      <c r="DO49" s="63">
        <f>Storage!$O$57/((1-Shipping!$P$37)^($F49/24/Shipping!$P$44+0.5*Shipping!$P$59))</f>
        <v>63920000</v>
      </c>
      <c r="DP49" s="16">
        <f>IF($E49="","No Port",((F49/24/Shipping!$P$44+F49/24/Shipping!$P$50+Shipping!$P$59+Shipping!$P$64)*(Shipping!$P$22+wacc_nl*Shipping!$P$19/365.25*1000000+Shipping!$P$35)+(F49/24/Shipping!$P$44*Shipping!$P$45+Shipping!$P$64*Shipping!$P$65)*IF(bunker_choice="HFO",$H49,IF(bunker_choice="hydrogen",$BD49*hfo_e_density_lhv/h2_e_density_lhv,(DM49+DN49)*1000000/DO49*hfo_e_density_lhv/nabh4_e_density_lhv))+(F49/24/Shipping!$P$50*Shipping!$P$51+Shipping!$P$59*Shipping!$P$60)*IF(bunker_choice="HFO",bunker_price_ROT,IF(bunker_choice="hydrogen",$BD49*hfo_e_density_lhv/h2_e_density_lhv,(DM49+DN49)*1000000/DO49*hfo_e_density_lhv/nabh4_e_density_lhv))+Shipping!$P$73+IF(G49="Panama",Shipping!$P$55,0)+IF(G49="Suez",Shipping!$P$56,0))/Shipping!$P$31*(DO49+nabh4_st_ab_losses)/1000000+IF(inland_transport_to_port="hv dc grid",$BM49/100*1000*DR49,IF(inland_transport_to_port="pipeline",$BN49,0)))</f>
        <v>2843.2646527059196</v>
      </c>
      <c r="DQ49" s="28">
        <f t="shared" si="60"/>
        <v>54560.304335465706</v>
      </c>
      <c r="DR49" s="29">
        <f>((Carriers!$V$18/Carriers!$V$23*alk_el_e_demand)+nabh4_e_demand)*(DO49+nabh4_st_ab_losses)/1000000+nabh4_st_e_demand*DO49/1000000</f>
        <v>980.02139682539689</v>
      </c>
      <c r="DS49" s="28">
        <f t="shared" si="85"/>
        <v>3.1960000000000002</v>
      </c>
      <c r="DT49" s="28">
        <f>IFERROR(DQ49*1000000/Storage!$O$12,"")</f>
        <v>853.57171989151607</v>
      </c>
      <c r="DU49" s="28">
        <f>IF($E49="","No Port",((F49/24/Shipping!$P$44+F49/24/Shipping!$P$50+Shipping!$P$59+Shipping!$P$64)*Carriers!$V$39*wacc_nl))</f>
        <v>545.63193194280768</v>
      </c>
      <c r="DV49" s="100">
        <f>H2_retrieval!$N$25*h2_demand_kt/1000+(co2_liq_e_demand+co2_st_e_demand*2)*Storage!$O$12*co2_density/nabh4_density/1000000</f>
        <v>18.783638728971958</v>
      </c>
      <c r="DW49" s="28">
        <f>IFERROR(((DQ49*(1+H2_retrieval!$N$34)+DU49)*1000000/H2_retrieval!$N$8)+h2_regen_nabh4,"")</f>
        <v>4139.0170306063619</v>
      </c>
      <c r="DX49" s="149">
        <f>(Dme_invest*(M49+1/Dme_lifetime)/Dme_prod+Dme_opex+Dme_e_demand*1000*$AU49/100+Carriers!$X$21/Carriers!$X$23*(CO49*1000000/CS49))*(EB49+Dme_st_ab_losses)/1000000</f>
        <v>86649.802902117372</v>
      </c>
      <c r="DY49" s="86">
        <f>(Dme_invest*(M49+1/Dme_lifetime)/Dme_prod+Dme_opex+Dme_e_demand*1000*$AU49/100+Carriers!$X$21/Carriers!$X$23*(CP49*1000000/CS49))*(EB49+Dme_st_ab_losses)/1000000</f>
        <v>110046.06173252159</v>
      </c>
      <c r="DZ49" s="63">
        <f>Dme_st_nl_cost*Dme_st_nl_demand/1000000+(Dme_st_invest*(M49+1/Dme_st_lifetime+Dme_st_opex)/(Storage!$Q$63/1000000)+Dme_st_e_demand*1000*$AU49/100)*(EB49+Dme_st_ab_losses)/1000000+co2_st_nl_cost*Storage!$Q$12*co2_density/Dme_density/1000000+(co2_st_opex_lev+co2_st_invest_lev+co2_st_e_demand*1000*$AU49/100)*Storage!$Q$12/1000000+co2_st_invest_lev*Storage!$Q$12*co2_st_lifetime*M49/1000000+(h2_demand_kt*1000/365.25*short_st_duration_hrs/24)*(h2_short_st_invest*(1/gh2_short_st_lifetime+$M49+h2_short_st_opex)+h2_short_st_e_demand*1000*$AU49/100)/1000000</f>
        <v>6192.1714580028811</v>
      </c>
      <c r="EA49" s="63">
        <f>Dme_st_nl_cost*Dme_st_nl_demand/1000000+(Dme_st_invest*(M49+1/Dme_st_lifetime+Dme_st_opex)/(Storage!$Q$63/1000000)+Dme_st_e_demand*1000*$AU49/100)*(EB49+Dme_st_ab_losses)/1000000+(h2_demand_kt*1000/365.25*short_st_duration_hrs/24)*(h2_short_st_invest*(1/gh2_short_st_lifetime+$M49+h2_short_st_opex)+h2_short_st_e_demand*1000*$AU49/100)/1000000</f>
        <v>3202.8217641127212</v>
      </c>
      <c r="EB49" s="63">
        <f>Storage!$Q$57/((1-Shipping!$R$37)^($F49/24/Shipping!$R$44+0.5*Shipping!$R$59))</f>
        <v>103547089.94708996</v>
      </c>
      <c r="EC49" s="153">
        <f>IF($E49="","No Port",IF(AND(ship_choice="VLCC",G49="Panama"),"Ship cannot pass through Panama",IF(ship_choice="VLCC",((F49/24/Shipping!$AD$44+F49/24/Shipping!$AD$50+Shipping!$AD$59+Shipping!$AD$64)*(Shipping!$AD$22+wacc_nl*Shipping!$AD$19/365.25*1000000+Shipping!$AD$35)+(F49/24/Shipping!$AD$44*Shipping!$AD$45+Shipping!$AD$64*Shipping!$AD$65)*IF(bunker_choice="HFO",$H49,IF(bunker_choice="hydrogen",$BD49*hfo_e_density_lhv/h2_e_density_lhv,(DX49+DZ49)*1000000/EB49*hfo_e_density_lhv/Dme_e_density_lhv))+(F49/24/Shipping!$AD$50*Shipping!$AD$51+Shipping!$AD$59*Shipping!$AD$60)*IF(bunker_choice="HFO",bunker_price_ROT,IF(bunker_choice="hydrogen",$BD49*hfo_e_density_lhv/h2_e_density_lhv,(DX49+DZ49)*1000000/EB49*hfo_e_density_lhv/Dme_e_density_lhv))+Shipping!$AD$73+IF(G49="Panama",Shipping!$AD$55,0)+IF(G49="Suez",Shipping!$AD$56,0))/Shipping!$AD$31*(EB49+Dme_st_ab_losses)/1000000+IF(inland_transport_to_port="hv dc grid",$BM49/100*1000*EE49,IF(inland_transport_to_port="pipeline",$BN49,0)),((F49/24/Shipping!$R$44+F49/24/Shipping!$R$50+Shipping!$R$59+Shipping!$R$64)*(Shipping!$R$22+wacc_nl*Shipping!$R$19/365.25*1000000+Shipping!$R$35)+(F49/24/Shipping!$R$44*Shipping!$R$45+Shipping!$R$64*Shipping!$R$65)*IF(bunker_choice="HFO",$H49,IF(bunker_choice="hydrogen",$BD49*hfo_e_density_lhv/h2_e_density_lhv,(DX49+DZ49)*1000000/EB49*hfo_e_density_lhv/Dme_e_density_lhv))+(F49/24/Shipping!$R$50*Shipping!$R$51+Shipping!$R$59*Shipping!$R$60)*IF(bunker_choice="HFO",bunker_price_ROT,IF(bunker_choice="hydrogen",$BD49*hfo_e_density_lhv/h2_e_density_lhv,(DX49+DZ49)*1000000/EB49*hfo_e_density_lhv/Dme_e_density_lhv))+Shipping!$R$73+IF(G49="Panama",Shipping!$R$55,0)+IF(G49="Suez",Shipping!$R$56,0))/Shipping!$R$31*(EB49+Dme_st_ab_losses)/1000000+IF(inland_transport_to_port="hv dc grid",$BM49/100*1000*EE49,IF(inland_transport_to_port="pipeline",$BN49,0)))))</f>
        <v>5534.427687843925</v>
      </c>
      <c r="ED49" s="28">
        <f t="shared" si="39"/>
        <v>118783.31118447824</v>
      </c>
      <c r="EE49" s="29">
        <f>(Dme_e_demand)*(EB49+Dme_st_ab_losses)/1000000+Dme_st_e_demand*DZ49/1000000+$CV49*(Carriers!$X$21/Carriers!$X$23*EB49)/$CS49</f>
        <v>1550.2168220887704</v>
      </c>
      <c r="EF49" s="29">
        <f t="shared" si="86"/>
        <v>1.0354708994708997</v>
      </c>
      <c r="EG49" s="28">
        <f>IFERROR(ED49*1000000/Storage!$Q$12,"")</f>
        <v>1147.1429206284176</v>
      </c>
      <c r="EH49" s="28">
        <f>IF($E49="","No Port",((F49/24/Shipping!$R$44+F49/24/Shipping!$R$50+Shipping!$R$59+Shipping!$R$64)*Carriers!$X$39*wacc_nl))</f>
        <v>83.07875132748687</v>
      </c>
      <c r="EI49" s="100">
        <f>H2_retrieval!$P$25*h2_demand_kt/1000+(co2_liq_e_demand+co2_st_e_demand*2)*Storage!$Q$12*co2_density/Dme_density/1000000</f>
        <v>252.45335899349112</v>
      </c>
      <c r="EJ49" s="28">
        <f>IFERROR((((DX49+DZ49+EC49)*(1+H2_retrieval!$P$34)+EH49)*1000000/H2_retrieval!$P$8)+h2_regen_dme,"")</f>
        <v>8409.7962490263835</v>
      </c>
      <c r="EK49" s="149">
        <f>(ome_invest*(M49+1/ome_lifetime)/ome_prod+ome_opex+ome_e_demand*1000*$AU49/100+Carriers!$Z$21/Carriers!$Z$23*(CO49*1000000/CS49))*(EO49+ome_st_ab_losses)/1000000</f>
        <v>188849.72150474472</v>
      </c>
      <c r="EL49" s="86">
        <f>(ome_invest*(M49+1/ome_lifetime)/ome_prod+ome_opex+ome_e_demand*1000*$AU49/100+Carriers!$Z$21/Carriers!$Z$23*(CP49*1000000/CS49))*(EO49+ome_st_ab_losses)/1000000</f>
        <v>237963.02317647662</v>
      </c>
      <c r="EM49" s="63">
        <f>ome_st_nl_cost*ome_st_nl_demand/1000000+(ome_st_invest*(M49+1/ome_st_lifetime+ome_st_opex)/(Storage!$S$63/1000000)+ome_st_e_demand*1000*$AU49/100)*(EO49+ome_st_ab_losses)/1000000+co2_st_nl_cost*Storage!$S$12*co2_density/ome_density/1000000+(co2_st_opex_lev+co2_st_invest_lev+co2_st_e_demand*1000*$AU49/100)*Storage!$S$12/1000000+co2_st_invest_lev*Storage!$S$12*co2_st_lifetime*M49/1000000+(h2_demand_kt*1000/365.25*short_st_duration_hrs/24)*(h2_short_st_invest*(1/gh2_short_st_lifetime+$M49+h2_short_st_opex)+h2_short_st_e_demand*1000*$AU49/100)/1000000</f>
        <v>5298.3389066858508</v>
      </c>
      <c r="EN49" s="63">
        <f>ome_st_nl_cost*ome_st_nl_demand/1000000+(ome_st_invest*(M49+1/ome_st_lifetime+ome_st_opex)/(Storage!$S$63/1000000)+ome_st_e_demand*1000*$AU49/100)*(EO49+ome_st_ab_losses)/1000000+(h2_demand_kt*1000/365.25*short_st_duration_hrs/24)*(h2_short_st_invest*(1/gh2_short_st_lifetime+$M49+h2_short_st_opex)+h2_short_st_e_demand*1000*$AU49/100)/1000000</f>
        <v>1933.857706028595</v>
      </c>
      <c r="EO49" s="63">
        <f>Storage!$S$57/((1-Shipping!$T$37)^($F49/24/Shipping!$T$44+0.5*Shipping!$T$59))</f>
        <v>128282539.68253967</v>
      </c>
      <c r="EP49" s="28">
        <f>IF($E49="","No Port",IF(AND(ship_choice="VLCC",G49="Panama"),"Ship cannot pass through Panama",IF(ship_choice="VLCC",((F49/24/Shipping!$AD$44+F49/24/Shipping!$AD$50+Shipping!$AD$59+Shipping!$AD$64)*(Shipping!$AD$22+wacc_nl*Shipping!$AD$19/365.25*1000000+Shipping!$AD$35)+(F49/24/Shipping!$AD$44*Shipping!$AD$45+Shipping!$AD$64*Shipping!$AD$65)*IF(bunker_choice="HFO",$H49,IF(bunker_choice="hydrogen",$BD49*hfo_e_density_lhv/h2_e_density_lhv,(EK49+EM49)*1000000/EO49*hfo_e_density_lhv/Dme_e_density_lhv))+(F49/24/Shipping!$AD$50*Shipping!$AD$51+Shipping!$AD$59*Shipping!$AD$60)*IF(bunker_choice="HFO",bunker_price_ROT,IF(bunker_choice="hydrogen",$BD49*hfo_e_density_lhv/h2_e_density_lhv,(EK49+EM49)*1000000/EO49*hfo_e_density_lhv/ome_e_density_lhv))+Shipping!$AD$73+IF(G49="Panama",Shipping!$AD$55,0)+IF(G49="Suez",Shipping!$AD$56,0))/Shipping!$AD$31*(EO49+ome_st_ab_losses)/1000000+IF(inland_transport_to_port="hv dc grid",$BM49/100*1000*ER49,IF(inland_transport_to_port="pipeline",$BN49,0)),((F49/24/Shipping!$T$44+F49/24/Shipping!$T$50+Shipping!$T$59+Shipping!$T$64)*(Shipping!$T$22+wacc_nl*Shipping!$T$19/365.25*1000000+Shipping!$T$35)+(F49/24/Shipping!$T$44*Shipping!$T$45+Shipping!$T$64*Shipping!$T$65)*IF(bunker_choice="HFO",$H49,IF(bunker_choice="hydrogen",$BD49*hfo_e_density_lhv/h2_e_density_lhv,(EK49+EM49)*1000000/EO49*hfo_e_density_lhv/Dme_e_density_lhv))+(F49/24/Shipping!$T$50*Shipping!$T$51+Shipping!$T$59*Shipping!$T$60)*IF(bunker_choice="HFO",bunker_price_ROT,IF(bunker_choice="hydrogen",$BD49*hfo_e_density_lhv/h2_e_density_lhv,(EK49+EM49)*1000000/EO49*hfo_e_density_lhv/ome_e_density_lhv))+Shipping!$T$73+IF(G49="Panama",Shipping!$T$55,0)+IF(G49="Suez",Shipping!$T$56,0))/Shipping!$T$31*(EO49+ome_st_ab_losses)/1000000+IF(inland_transport_to_port="hv dc grid",$BM49/100*1000*ER49,IF(inland_transport_to_port="pipeline",$BN49,0)))))</f>
        <v>6164.327587770892</v>
      </c>
      <c r="EQ49" s="28">
        <f t="shared" si="40"/>
        <v>246061.20847027609</v>
      </c>
      <c r="ER49" s="29">
        <f>(ome_e_demand)*(EO49+ome_st_ab_losses)/1000000+ome_st_e_demand*EM49/1000000+$CV49*(Carriers!$Z$21/Carriers!$Z$23*EO49)/$CS49</f>
        <v>3352.0814580882916</v>
      </c>
      <c r="ES49" s="29">
        <f t="shared" si="87"/>
        <v>0.1924238095238095</v>
      </c>
      <c r="ET49" s="28">
        <f>IFERROR(EQ49*1000000/Storage!$S$12,"")</f>
        <v>1918.1192473987719</v>
      </c>
      <c r="EU49" s="28">
        <f>IF($E49="","No Port",((F49/24/Shipping!$T$44+F49/24/Shipping!$T$50+Shipping!$T$59+Shipping!$T$64)*Carriers!$Z$39*wacc_nl))</f>
        <v>95.279890917369698</v>
      </c>
      <c r="EV49" s="100">
        <f>H2_retrieval!$R$25*h2_demand_kt/1000+(co2_liq_e_demand+co2_st_e_demand*2)*Storage!$S$12*co2_density/ome_density/1000000</f>
        <v>254.51942895252085</v>
      </c>
      <c r="EW49" s="28">
        <f>IFERROR((((EK49+EM49+EP49)*(1+H2_retrieval!$R$34)+EU49)*1000000/H2_retrieval!$R$8)+h2_regen_ome,"")</f>
        <v>15905.986476293087</v>
      </c>
      <c r="EX49" s="149">
        <f>(sng_invest*(M49+1/sng_lifetime)/sng_prod+lng_invest*(M49+1/lng_lifetime)/lng_prod+sng_opex+lng_opex+(sng_e_demand+lng_e_demand)*1000*$AU49/100+Carriers!$AB$18/Carriers!$AB$23*BD49+Carriers!$AB$20/Carriers!$AB$23*co2_liq_cost)*(FB49+lng_st_ab_losses)/1000000</f>
        <v>67485.221222497858</v>
      </c>
      <c r="EY49" s="86">
        <f>(sng_invest*(M49+1/sng_lifetime)/sng_prod+lng_invest*(M49+1/lng_lifetime)/lng_prod+sng_opex+lng_opex+(sng_e_demand+lng_e_demand)*1000*$AU49/100+Carriers!$AB$18/Carriers!$AB$23*BD49+Carriers!$AB$20/Carriers!$AB$23*BP49)*(FB49+lng_st_ab_losses)/1000000</f>
        <v>80416.084067006726</v>
      </c>
      <c r="EZ49" s="63">
        <f>lng_st_nl_cost*lng_st_nl_demand/1000000+(lng_st_invest*(M49+1/lng_st_lifetime+lng_st_opex)/(Storage!$U$63/1000000)+lng_st_e_demand*1000*$AU49/100)*(FB49+lng_st_ab_losses)/1000000+co2_st_nl_cost*Storage!$U$12*co2_density/lng_density/1000000+(co2_st_opex_lev+co2_st_invest_lev+co2_st_e_demand*1000*$AU49/100)*Storage!$U$12/1000000+co2_st_invest_lev*Storage!$U$12*co2_st_lifetime*M49/1000000+Carriers!$AB$18/Carriers!$AB$23*((FB49+lng_st_ab_losses)/365.25*short_st_duration_hrs/24)*(h2_short_st_invest*(1/gh2_short_st_lifetime+$M49+h2_short_st_opex)+h2_short_st_e_demand*1000*$AU49/100)/1000000+Carriers!$AB$20/Carriers!$AB$23*((FB49+lng_st_ab_losses)/365.25*short_st_duration_hrs/24)*(co2_short_st_invest*(1/co2_short_st_lifetime+$M49+co2_short_st_opex)+co2_short_st_e_demand*1000*$AU49/100)/1000000</f>
        <v>6631.2713930190203</v>
      </c>
      <c r="FA49" s="63">
        <f>lng_st_nl_cost*lng_st_nl_demand/1000000+(lng_st_invest*(M49+1/lng_st_lifetime+lng_st_opex)/(Storage!$U$63/1000000)+lng_st_e_demand*1000*$AU49/100)*(FB49+lng_st_ab_losses)/1000000+Carriers!$AB$18/Carriers!$AB$23*((FB49+lng_st_ab_losses)/365.25*short_st_duration_hrs/24)*(h2_short_st_invest*(1/gh2_short_st_lifetime+$M49+h2_short_st_opex)+h2_short_st_e_demand*1000*$AU49/100)/1000000+Carriers!$AB$20/Carriers!$AB$23*((FB49+lng_st_ab_losses)/365.25*short_st_duration_hrs/24)*(co2_short_st_invest*(1/co2_short_st_lifetime+$M49+co2_short_st_opex)+co2_short_st_e_demand*1000*$AU49/100)/1000000</f>
        <v>5021.9407768642413</v>
      </c>
      <c r="FB49" s="63">
        <f>Storage!$U$57/((1-Shipping!$V$37)^($F49/24/Shipping!$V$44+0.5*Shipping!$V$59))</f>
        <v>41278771.894113943</v>
      </c>
      <c r="FC49" s="28">
        <f>IF($E49="","No Port",IF(G49="Panama","Ship cannot pass through Panama",((F49/24/Shipping!$V$44+F49/24/Shipping!$V$50+Shipping!$V$59+Shipping!$V$64)*(Shipping!$V$22+wacc_nl*Shipping!$V$19/365.25*1000000+Shipping!$V$35)+(F49/24/Shipping!$V$44*Shipping!$V$45+Shipping!$V$64*Shipping!$V$65)*IF(bunker_choice="HFO",$H49,IF(bunker_choice="hydrogen",$BD49*hfo_e_density_lhv/h2_e_density_lhv,(EX49+EZ49)*1000000/FB49*hfo_e_density_lhv/lng_e_density_lhv))+(F49/24/Shipping!$V$50*Shipping!$V$51+Shipping!$V$59*Shipping!$V$60)*IF(bunker_choice="HFO",bunker_price_ROT,IF(bunker_choice="hydrogen",$BD49*hfo_e_density_lhv/h2_e_density_lhv,(EX49+EZ49)*1000000/FB49*hfo_e_density_lhv/lng_e_density_lhv))+Shipping!$V$73+IF(G49="Panama",Shipping!$V$55,0)+IF(G49="Suez",Shipping!$V$56,0))/Shipping!$V$31*(FB49+lng_st_ab_losses)/1000000)+IF(inland_transport_to_port="hv dc grid",$BM49/100*1000*FE49,IF(inland_transport_to_port="pipeline",$BN49,0)))</f>
        <v>2403.8513153950516</v>
      </c>
      <c r="FD49" s="28">
        <f t="shared" si="41"/>
        <v>87841.876159266016</v>
      </c>
      <c r="FE49" s="29">
        <f>((Carriers!$AB$18/Carriers!$AB$23*alk_el_e_demand)+sng_e_demand+lng_e_demand)*(FB49+lng_st_ab_losses)/1000000+lng_st_e_demand*EZ49/1000000</f>
        <v>1107.0627741394901</v>
      </c>
      <c r="FF49" s="29">
        <f t="shared" si="88"/>
        <v>0.8126185861001558</v>
      </c>
      <c r="FG49" s="28">
        <f>IFERROR(FD49*1000000/Storage!$U$12,"")</f>
        <v>2164.4392201321025</v>
      </c>
      <c r="FH49" s="28">
        <f>IF($E49="","No Port",((F49/24/Shipping!$V$44+F49/24/Shipping!$V$50+Shipping!$V$59+Shipping!$V$64)*Carriers!$AB$39*wacc_nl))</f>
        <v>28.158434358781498</v>
      </c>
      <c r="FI49" s="100">
        <f>H2_retrieval!$T$25*h2_demand_kt/1000+(co2_liq_e_demand+co2_st_e_demand*2)*Storage!$U$12*co2_density/lng_density/1000000</f>
        <v>236.51371749646054</v>
      </c>
      <c r="FJ49" s="28">
        <f>IFERROR((((EX49+EZ49+FC49)*(1+H2_retrieval!$T$34)+FH49)*1000000/H2_retrieval!$T$8)+h2_regen_lng,"")</f>
        <v>6798.6948935836681</v>
      </c>
      <c r="FK49" s="149">
        <f>(lh2_invest*(M49+1/lh2_lifetime)/lh2_prod+lh2_opex+lh2_e_demand*1000*$AU49/100+Carriers!$AD$18/Carriers!$AD$23*BD49)*(FM49+lh2_st_ab_losses)/1000000</f>
        <v>53532.174956943214</v>
      </c>
      <c r="FL49" s="28">
        <f>lh2_st_nl_cost*lh2_st_nl_demand/1000000+(lh2_st_invest*(M49+1/lh2_st_lifetime+lh2_st_opex)/(Storage!$Y$63/1000000)+lh2_st_e_demand*1000*$AU49/100)*(FM49+lh2_st_ab_losses)/1000000+((FM49+lh2_st_ab_losses)/365.25*short_st_duration_hrs/24)*(h2_short_st_invest*(1/gh2_short_st_lifetime+$M49+h2_short_st_opex)+h2_short_st_e_demand*1000*$AU49/100)/1000000</f>
        <v>58092.526256556113</v>
      </c>
      <c r="FM49" s="63">
        <f>Storage!$Y$57/((1-Shipping!$Z$37)^($F49/24/Shipping!$Z$44+0.5*Shipping!$Z$59))</f>
        <v>13968254.960765941</v>
      </c>
      <c r="FN49" s="28">
        <f>IF($E49="","No Port",IF(G49="Panama","Ship cannot pass through Panama",((F49/24/Shipping!$Z$44+F49/24/Shipping!$Z$50+Shipping!$Z$59+Shipping!$Z$64)*(Shipping!$Z$22+wacc_nl*Shipping!$Z$19/365.25*1000000+Shipping!$Z$35)+(F49/24/Shipping!$Z$44*Shipping!$Z$45+Shipping!$Z$64*Shipping!$Z$65)*IF(bunker_choice="HFO",$H49,IF(bunker_choice="hydrogen",$BD49*hfo_e_density_lhv/h2_e_density_lhv,(FK49+FL49)*1000000/FM49*hfo_e_density_lhv/lh2_e_density_lhv))+(F49/24/Shipping!$Z$50*Shipping!$Z$51+Shipping!$Z$59*Shipping!$Z$60)*IF(bunker_choice="HFO",bunker_price_ROT,IF(bunker_choice="hydrogen",$BD49*hfo_e_density_lhv/h2_e_density_lhv,(FK49+FL49)*1000000/FM49*hfo_e_density_lhv/lh2_e_density_lhv))+Shipping!$Z$73+IF(G49="Panama",Shipping!$Z$55,0)+IF(G49="Suez",Shipping!$Z$56,0))/Shipping!$Z$31*(FM49+lh2_st_ab_losses)/1000000)+IF(inland_transport_to_port="hv dc grid",$BM49/100*1000*FP49,IF(inland_transport_to_port="pipeline",$BN49,0)))</f>
        <v>3940.1898822573921</v>
      </c>
      <c r="FO49" s="28">
        <f t="shared" si="42"/>
        <v>115564.89109575671</v>
      </c>
      <c r="FP49" s="29">
        <f>((Carriers!$AD$18/Carriers!$AD$23*alk_el_e_demand)+lh2_e_demand)*(FM49+lh2_st_ab_losses)/1000000+lh2_st_e_demand*FM49/1000000</f>
        <v>809.44196772952876</v>
      </c>
      <c r="FQ49" s="100">
        <f t="shared" si="89"/>
        <v>1.361902463475859</v>
      </c>
      <c r="FR49" s="28">
        <f>IFERROR(FO49*1000000/Storage!$Y$12,"")</f>
        <v>8497.4184629232877</v>
      </c>
      <c r="FS49" s="100">
        <f>H2_retrieval!$V$25*h2_demand_kt/1000</f>
        <v>8.16</v>
      </c>
      <c r="FT49" s="28">
        <f>IFERROR(FR49*(1+H2_retrieval!$V$34)/Carrier_properties!$U$7+H2_retrieval!$V$38,"")</f>
        <v>8529.3871887917558</v>
      </c>
      <c r="FU49" s="12"/>
      <c r="FV49" s="24">
        <f t="shared" si="90"/>
        <v>2.3875610722848921</v>
      </c>
      <c r="FW49" s="24" t="str">
        <f t="shared" si="57"/>
        <v/>
      </c>
      <c r="FX49" s="24">
        <f t="shared" si="58"/>
        <v>8.6302742700630226</v>
      </c>
      <c r="FY49" s="24">
        <f t="shared" si="45"/>
        <v>2.3875610722848921</v>
      </c>
      <c r="FZ49" s="28">
        <f t="shared" si="59"/>
        <v>2800.24179992155</v>
      </c>
      <c r="GA49" s="28">
        <f t="shared" si="47"/>
        <v>651.10845962817586</v>
      </c>
      <c r="GB49" s="28">
        <f t="shared" si="48"/>
        <v>424.719792225878</v>
      </c>
      <c r="GC49" s="28">
        <f t="shared" si="49"/>
        <v>728.45751924893239</v>
      </c>
      <c r="GD49" s="28">
        <f t="shared" si="50"/>
        <v>1062.7634421088264</v>
      </c>
      <c r="GE49" s="28">
        <f t="shared" si="51"/>
        <v>1854.9915192306205</v>
      </c>
      <c r="GF49" s="28">
        <f t="shared" si="52"/>
        <v>1948.1220098622528</v>
      </c>
      <c r="GG49" s="12"/>
      <c r="GH49" s="12"/>
      <c r="GI49" s="12"/>
      <c r="GJ49" s="12"/>
      <c r="GK49" s="12"/>
      <c r="GL49" s="12"/>
      <c r="GM49" s="12"/>
      <c r="GN49" s="12"/>
      <c r="GO49" s="12"/>
      <c r="GP49" s="12"/>
      <c r="GQ49" s="12"/>
      <c r="GR49" s="12"/>
      <c r="GS49" s="12"/>
      <c r="GT49" s="12"/>
      <c r="GU49" s="12"/>
      <c r="GV49" s="12"/>
      <c r="GW49" s="12"/>
      <c r="GX49" s="12"/>
      <c r="GY49" s="12"/>
      <c r="GZ49" s="12"/>
      <c r="HA49" s="12"/>
      <c r="HB49" s="12"/>
      <c r="HC49" s="12"/>
      <c r="HD49" s="12"/>
      <c r="HE49" s="12"/>
      <c r="HF49" s="12"/>
    </row>
    <row r="50" spans="1:214" x14ac:dyDescent="0.2">
      <c r="A50" s="40" t="s">
        <v>56</v>
      </c>
      <c r="B50" s="12">
        <v>5741</v>
      </c>
      <c r="C50" s="12">
        <v>0.9</v>
      </c>
      <c r="D50" s="12">
        <f t="shared" si="61"/>
        <v>9.9999999999999978E-2</v>
      </c>
      <c r="E50" s="12"/>
      <c r="F50" s="12"/>
      <c r="G50" s="12"/>
      <c r="H50" s="16">
        <f t="shared" si="62"/>
        <v>382.75862068965517</v>
      </c>
      <c r="I50" s="16">
        <v>1000000</v>
      </c>
      <c r="J50" s="16">
        <f t="shared" si="31"/>
        <v>564.18958354775634</v>
      </c>
      <c r="K50" s="16" t="str">
        <f t="shared" si="32"/>
        <v/>
      </c>
      <c r="L50" s="103">
        <v>0.11</v>
      </c>
      <c r="M50" s="103">
        <f t="shared" si="63"/>
        <v>0.11921610580293837</v>
      </c>
      <c r="N50" s="122">
        <f t="shared" si="33"/>
        <v>0.8</v>
      </c>
      <c r="O50" s="46">
        <f t="shared" si="64"/>
        <v>40</v>
      </c>
      <c r="P50" s="70">
        <f t="array" ref="P50">SUMPRODUCT(IF(Solar_data!A$4:A$777=A50,Solar_data!C$4:C$777),IF(Solar_data!A$4:A$777=A50,Solar_data!I$4:I$777))/SUMIF(Solar_data!A$4:A$777,A50,Solar_data!I$4:I$777)</f>
        <v>2241.3458411682705</v>
      </c>
      <c r="Q50" s="16">
        <f t="array" ref="Q50">MAX(IF(Solar_data!$A$777:'Solar_data'!$A$4=Country_details!$A50,Solar_data!$C$4:'Solar_data'!$C$777))</f>
        <v>2463.75</v>
      </c>
      <c r="R50" s="16">
        <f t="array" ref="R50">MIN(IF(Solar_data!$A$777:'Solar_data'!$A$4=Country_details!A50,Solar_data!$C$4:'Solar_data'!$C$777))</f>
        <v>1916.25</v>
      </c>
      <c r="S50" s="24">
        <f t="shared" si="65"/>
        <v>2.1843551153571359</v>
      </c>
      <c r="T50" s="24">
        <f t="shared" si="66"/>
        <v>1.9871720967794437</v>
      </c>
      <c r="U50" s="24">
        <f t="shared" si="67"/>
        <v>2.5549355530021418</v>
      </c>
      <c r="V50" s="16">
        <f t="array" ref="V50">SUM(IF(Solar_data!$A$777:'Solar_data'!$A$4=Country_details!$A50,Solar_data!$I$4:'Solar_data'!$I$777))</f>
        <v>9119.1683377966947</v>
      </c>
      <c r="W50" s="148"/>
      <c r="X50" s="16" t="str">
        <f>IFERROR(INDEX(Onshore_wind_data!$J$5:'Onshore_wind_data'!$J$221,MATCH(A50,Onshore_wind_data!$B$5:'Onshore_wind_data'!$B$221,0)),"")</f>
        <v/>
      </c>
      <c r="Y50" s="16" t="str">
        <f>IFERROR(INDEX(Onshore_wind_data!$K$5:'Onshore_wind_data'!$K$221,MATCH(A50,Onshore_wind_data!$B$5:'Onshore_wind_data'!$B$221,0)),"")</f>
        <v/>
      </c>
      <c r="Z50" s="16" t="str">
        <f>IFERROR(INDEX(Onshore_wind_data!$L$5:'Onshore_wind_data'!$L$221,MATCH(A50,Onshore_wind_data!$B$5:'Onshore_wind_data'!$B$221,0)),"")</f>
        <v/>
      </c>
      <c r="AA50" s="24" t="str">
        <f t="shared" si="68"/>
        <v/>
      </c>
      <c r="AB50" s="24" t="str">
        <f t="shared" si="69"/>
        <v/>
      </c>
      <c r="AC50" s="24" t="str">
        <f t="shared" si="70"/>
        <v/>
      </c>
      <c r="AD50" s="16">
        <f>IFERROR(INDEX(Onshore_wind_data!$I$5:'Onshore_wind_data'!$I$221,MATCH(A50,Onshore_wind_data!$B$5:'Onshore_wind_data'!$B$221,0)),"")</f>
        <v>0</v>
      </c>
      <c r="AE50" s="148"/>
      <c r="AF50" s="16" t="str">
        <f>INDEX(Offshore_wind_data!$AA$7:$AA$192,MATCH(Country_details!A50,Offshore_wind_data!$A$7:$A$192,0))</f>
        <v/>
      </c>
      <c r="AG50" s="16" t="str">
        <f>INDEX(Offshore_wind_data!$Y$7:$Y$192,MATCH(Country_details!A50,Offshore_wind_data!$A$7:$A$192,0))</f>
        <v/>
      </c>
      <c r="AH50" s="16" t="str">
        <f>INDEX(Offshore_wind_data!$Z$7:$Z$192,MATCH(Country_details!A50,Offshore_wind_data!$A$7:$A$192,0))</f>
        <v/>
      </c>
      <c r="AI50" s="24" t="str">
        <f t="shared" si="71"/>
        <v/>
      </c>
      <c r="AJ50" s="24" t="str">
        <f t="shared" si="72"/>
        <v/>
      </c>
      <c r="AK50" s="24" t="str">
        <f t="shared" si="73"/>
        <v/>
      </c>
      <c r="AL50" s="16">
        <f>INDEX(Offshore_wind_data!$W$7:$W$191,MATCH(A50,Offshore_wind_data!$A$7:$A$191,0))</f>
        <v>0</v>
      </c>
      <c r="AM50" s="148"/>
      <c r="AN50" s="12">
        <v>105</v>
      </c>
      <c r="AO50" s="12">
        <v>190.9</v>
      </c>
      <c r="AP50" s="34">
        <f>0.507*11.63</f>
        <v>5.8964100000000004</v>
      </c>
      <c r="AQ50" s="15">
        <f t="shared" si="74"/>
        <v>50</v>
      </c>
      <c r="AR50" s="12">
        <f t="shared" si="34"/>
        <v>9545</v>
      </c>
      <c r="AS50" s="16">
        <f t="shared" si="35"/>
        <v>-425.83166220330531</v>
      </c>
      <c r="AT50" s="12"/>
      <c r="AU50" s="24">
        <f t="shared" si="75"/>
        <v>2.1843551153571359</v>
      </c>
      <c r="AV50" s="16">
        <f t="shared" si="76"/>
        <v>2241.3458411682705</v>
      </c>
      <c r="AW50" s="149">
        <f>HV_DC_Grid!$E$3/(1-AX50)*AU50/100*1000</f>
        <v>2482.8395406109416</v>
      </c>
      <c r="AX50" s="31">
        <f>(1-(1-HV_DC_Grid!$E$25)^(B50*C50*HV_DC_Grid!$E$8/1000))+(1-(1-HV_DC_Grid!$E$26)^(B50*D50*HV_DC_Grid!$E$8/1000))+HV_DC_Grid!$E$35*HV_DC_Grid!$E$28</f>
        <v>0.12021897523847179</v>
      </c>
      <c r="AY50" s="28">
        <f>B50*nl_e_demand/IF(hv_dc_flh="electricity FLH",$AV50,hv_dc_custom)*1000*hv_dc_capacity_multiplier*hv_dc_length_multiplier*1000*(C50*hv_dc_overhead_invest*(hv_dc_overhead_opex+M50+1/hv_dc_lifetime)+D50*hv_dc_sea_invest*(hv_dc_sea_opex+M50+1/hv_dc_lifetime))/1000000+HV_DC_Grid!$E$10*1000*hv_dc_station_invest*hv_dc_station_number*(hv_dc_station_opex+M50+1/hv_dc_lifetime)/1000000</f>
        <v>6081.6226474760833</v>
      </c>
      <c r="AZ50" s="24">
        <f>(AW50+AY50)/(HV_DC_Grid!$E$3*1000)*100</f>
        <v>8.5644621880870258</v>
      </c>
      <c r="BA50" s="28">
        <f>MIN(((Carriers!$F$26+Carriers!$F$27)*(alk_el_opex+wacc_nl+1/alk_el_lifetime)+IF(hv_dc_flh="electricity FLH",$AV50,hv_dc_custom)*AZ50/100)/(IF(hv_dc_flh="electricity FLH",$AV50,hv_dc_custom)/alk_el_e_demand)*1000,((Carriers!$H$26+Carriers!$H$27)*(pem_el_opex+wacc_nl+1/pem_el_lifetime)+IF(hv_dc_flh="electricity FLH",$AV50,hv_dc_custom)*AZ50/100)/(IF(hv_dc_flh="electricity FLH",$AV50,hv_dc_custom)/pem_el_e_demand)*1000)</f>
        <v>4723.6106358874486</v>
      </c>
      <c r="BB50" s="12"/>
      <c r="BC50" s="12"/>
      <c r="BD50" s="149">
        <f>MIN(((Carriers!$F$26+Carriers!$F$27)*(alk_el_opex+M50+1/alk_el_lifetime)+$AV50*$AU50/100)/($AV50/alk_el_e_demand)*1000,((Carriers!$H$26+Carriers!$H$27)*(pem_el_opex+M50+1/pem_el_lifetime)+$AV50*$AU50/100)/($AV50/pem_el_e_demand)*1000)</f>
        <v>2586.4678828954002</v>
      </c>
      <c r="BE50" s="28">
        <f>Storage!$AC$50</f>
        <v>8.1664117557772418</v>
      </c>
      <c r="BF50" s="28">
        <f>((Pipeline!$D$22*Pipeline!$D$24*B50*(pipeline_opex+M50+1/pipeline_lifetime))*(Pipeline!$D$39/Pipeline!$D$3)+(Pipeline!$D$57*(pipeline_comp_opex+M50+1/pipeline_comp_lifetime)+Pipeline!$D$47*1000*Pipeline!$D$45*$AU50/100/1000000))*(Pipeline!$D$75/Pipeline!$D$45)</f>
        <v>12511.882238430981</v>
      </c>
      <c r="BG50" s="28">
        <f>BD50+(BE50+BF50)/Storage!$AC$12*1000000</f>
        <v>3507.0596954091325</v>
      </c>
      <c r="BH50" s="28"/>
      <c r="BI50" s="28"/>
      <c r="BJ50" s="28" t="str">
        <f>IF($E50="","No Port",BK50*HV_DC_Grid!$E$3*$AU50/100*1000)</f>
        <v>No Port</v>
      </c>
      <c r="BK50" s="31" t="str">
        <f>IFERROR((1-(1-HV_DC_Grid!$E$25)^(K50*HV_DC_Grid!$E$8/1000))+HV_DC_Grid!$E$35*HV_DC_Grid!$E$28,"")</f>
        <v/>
      </c>
      <c r="BL50" s="28" t="str">
        <f>IFERROR(K50*nl_e_demand/IF(hv_dc_flh="electricity FLH",$AV50,hv_dc_custom)*1000*hv_dc_capacity_multiplier*hv_dc_length_multiplier*1000*(hv_dc_overhead_invest*(hv_dc_overhead_opex+M50+1/hv_dc_lifetime))/1000000+HV_DC_Grid!$E$10*1000*hv_dc_station_invest*hv_dc_station_number*(hv_dc_station_opex+M50+1/hv_dc_lifetime)/1000000,"")</f>
        <v/>
      </c>
      <c r="BM50" s="29" t="str">
        <f>IFERROR((BJ50+BL50)/(HV_DC_Grid!$E$3*1000)*100,"")</f>
        <v/>
      </c>
      <c r="BN50" s="28" t="str">
        <f>IFERROR(((Pipeline!$D$22*Pipeline!$D$24*K50*(pipeline_opex+M50+1/pipeline_lifetime))*(Pipeline!$D$39/Pipeline!$D$3)+(Pipeline!$D$57*(pipeline_comp_opex+M50+1/pipeline_comp_lifetime)+Pipeline!$D$47*1000*Pipeline!$D$45*S50/100/1000000))*(Pipeline!$D$75/Pipeline!$D$45),"")</f>
        <v/>
      </c>
      <c r="BO50" s="28"/>
      <c r="BP50" s="150">
        <f t="shared" si="77"/>
        <v>108.12200603593344</v>
      </c>
      <c r="BQ50" s="34">
        <f t="shared" si="78"/>
        <v>32.457692156430646</v>
      </c>
      <c r="BR50" s="151">
        <f>(nh3_invest*(M50+1/nh3_lifetime)/nh3_prod+nh3_opex+nh3_e_demand*1000*$AU50/100+Carriers!$N$18/Carriers!$N$23*BD50+Carriers!$N$19/Carriers!$N$23*BQ50)*(BT50+nh3_st_ab_losses)/1000000</f>
        <v>45876.3230051149</v>
      </c>
      <c r="BS50" s="63">
        <f>nh3_st_nl_cost*nh3_st_nl_demand/1000000+(nh3_st_invest*(M50+1/nh3_st_lifetime+nh3_st_opex)/(Storage!$G$63/1000000)+nh3_st_e_demand*1000*$AU50/100)*(BT50+nh3_st_ab_losses)/1000000+Carriers!$N$18/Carriers!$N$23*((BT50+nh3_st_ab_losses)/365.25*short_st_duration_hrs/24)*(h2_short_st_invest*(1/gh2_short_st_lifetime+$M50+h2_short_st_opex)+h2_short_st_e_demand*1000*$AU50/100)/1000000+Carriers!$N$19/Carriers!$N$23*((BT50+nh3_st_ab_losses)/365.25*short_st_duration_hrs/24)*(n2_short_st_invest*(1/n2_short_st_lifetime+$M50+n2_short_st_opex)+n2_short_st_e_demand*1000*$AU50/100)/1000000</f>
        <v>3303.1698676272754</v>
      </c>
      <c r="BT50" s="63">
        <f>Storage!$G$57/((1-Shipping!$H$37)^(F50/24/Shipping!$H$44+0.5*Shipping!$H$59))</f>
        <v>76857210.785724297</v>
      </c>
      <c r="BU50" s="63" t="str">
        <f>IF($E50="","No Port",((F50/24/Shipping!$H$44+F50/24/Shipping!$H$50+Shipping!$H$59+Shipping!$H$64)*(Shipping!$H$22+wacc_nl*Shipping!$H$19/365.25*1000000+Shipping!$H$35)+(F50/24/Shipping!$H$44*Shipping!$H$45+Shipping!$H$64*Shipping!$H$65)*IF(bunker_choice="HFO",H50,IF(bunker_choice="hydrogen",BD50*hfo_e_density_lhv/h2_e_density_lhv,(BR50+BS50)*1000000/BT50*hfo_e_density_lhv/nh3_e_density_lhv))+(F50/24/Shipping!$H$50*Shipping!$H$51+Shipping!$H$59*Shipping!$H$60)*IF(bunker_choice="HFO",bunker_price_ROT,IF(bunker_choice="hydrogen",BD50*hfo_e_density_lhv/h2_e_density_lhv,(BR50+BS50)*1000000/BT50*hfo_e_density_lhv/nh3_e_density_lhv))+Shipping!$H$73+IF(G50="Panama",Shipping!$H$55,0)+IF(G50="Suez",Shipping!$H$56,0))/Shipping!$H$31*BT50/1000000+IF(inland_transport_to_port="hv dc grid",$BM50/100*1000*BW50,IF(inland_transport_to_port="pipeline",$BN50,0)))</f>
        <v>No Port</v>
      </c>
      <c r="BV50" s="63" t="str">
        <f t="shared" si="91"/>
        <v/>
      </c>
      <c r="BW50" s="33">
        <f>((Carriers!$N$18/Carriers!$N$23*alk_el_e_demand)+(Carriers!$N$19/Carriers!$N$23*n2_e_demand)+nh3_e_demand)*(BT50+nh3_st_ab_losses)/1000000+nh3_st_e_demand*BT50/1000000</f>
        <v>759.00171168026975</v>
      </c>
      <c r="BX50" s="33">
        <f t="shared" si="79"/>
        <v>0.76626754477640768</v>
      </c>
      <c r="BY50" s="63" t="str">
        <f>IFERROR(BV50*1000000/Storage!$G$12,"")</f>
        <v/>
      </c>
      <c r="BZ50" s="63">
        <f>H2_retrieval!$F$25*h2_demand_kt/1000</f>
        <v>80</v>
      </c>
      <c r="CA50" s="63" t="str">
        <f>IFERROR(BY50*(1+H2_retrieval!$F$34)/Carrier_properties!$E$7+H2_retrieval!$F$38,"")</f>
        <v/>
      </c>
      <c r="CB50" s="149">
        <f>(FA_invest*(M50+1/FA_lifetime)/FA_prod+FA_opex+FA_e_demand*1000*$AU50/100+Carriers!$P$18/Carriers!$P$23*BD50+Carriers!$P$20/Carriers!$P$23*co2_liq_cost)*(CF50+FA_st_ab_losses)/1000000</f>
        <v>93793.10251094772</v>
      </c>
      <c r="CC50" s="86">
        <f>(FA_invest*(M50+1/FA_lifetime)/FA_prod+FA_opex+FA_e_demand*1000*$AU50/100+Carriers!$P$18/Carriers!$P$23*BD50+Carriers!$P$20/Carriers!$P$23*BP50)*(CF50+FA_st_ab_losses)/1000000</f>
        <v>119785.06180871406</v>
      </c>
      <c r="CD50" s="63">
        <f>FA_st_nl_cost*FA_st_nl_demand/1000000+(FA_st_invest*(M50+1/FA_st_lifetime+FA_st_opex)/(Storage!$I$63/1000000)+FA_st_e_demand*1000*$AU50/100)*(CF50+FA_st_ab_losses)/1000000+co2_st_nl_cost*Storage!$I$12*co2_density/FA_density/1000000+(co2_st_opex_lev+co2_st_invest_lev+co2_st_e_demand*1000*$AU50/100)*Storage!$I$12/1000000+co2_st_invest_lev*Storage!$I$12*co2_st_lifetime*M50/1000000+Carriers!$P$18/Carriers!$P$23*((CF50+FA_st_ab_losses)/365.25*short_st_duration_hrs/24)*(h2_short_st_invest*(1/gh2_short_st_lifetime+$M50+h2_short_st_opex)+h2_short_st_e_demand*1000*$AU50/100)/1000000+Carriers!$P$20/Carriers!$P$23*((CF50+FA_st_ab_losses)/365.25*short_st_duration_hrs/24)*(co2_short_st_invest*(1/co2_short_st_lifetime+$M50+co2_short_st_opex)+co2_short_st_e_demand*1000*$AU50/100)/1000000</f>
        <v>11436.268639831542</v>
      </c>
      <c r="CE50" s="63">
        <f>FA_st_nl_cost*FA_st_nl_demand/1000000+(FA_st_invest*(M50+1/FA_st_lifetime+FA_st_opex)/(Storage!$I$63/1000000)+FA_st_e_demand*1000*$AU50/100)*(CF50+FA_st_ab_losses)/1000000+Carriers!$P$18/Carriers!$P$23*((CF50+FA_st_ab_losses)/365.25*short_st_duration_hrs/24)*(h2_short_st_invest*(1/gh2_short_st_lifetime+$M50+h2_short_st_opex)+h2_short_st_e_demand*1000*$AU50/100)/1000000+Carriers!$P$20/Carriers!$P$23*((CF50+FA_st_ab_losses)/365.25*short_st_duration_hrs/24)*(co2_short_st_invest*(1/co2_short_st_lifetime+$M50+co2_short_st_opex)+co2_short_st_e_demand*1000*$AU50/100)/1000000</f>
        <v>4988.9411748654502</v>
      </c>
      <c r="CF50" s="63">
        <f>Storage!$I$57/((1-Shipping!$J$37)^($F50/24/Shipping!$J$44+0.5*Shipping!$J$59))</f>
        <v>310425396.82539684</v>
      </c>
      <c r="CG50" s="28" t="str">
        <f>IF($E50="","No Port",((F50/24/Shipping!$J$44+F50/24/Shipping!$J$50+Shipping!$J$59+Shipping!$J$64)*(Shipping!$J$22+wacc_nl*Shipping!$J$19/365.25*1000000+Shipping!$J$35)+(F50/24/Shipping!$J$44*Shipping!$J$45+Shipping!$J$64*Shipping!$J$65)*IF(bunker_choice="HFO",$H50,IF(bunker_choice="hydrogen",$BD50*hfo_e_density_lhv/h2_e_density_lhv,(CB50+CD50)*1000000/CF50*hfo_e_density_lhv/FA_e_density_lhv))+(F50/24/Shipping!$J$50*Shipping!$J$51+Shipping!$J$59*Shipping!$J$60)*IF(bunker_choice="HFO",bunker_price_ROT,IF(bunker_choice="hydrogen",$BD50*hfo_e_density_lhv/h2_e_density_lhv,(CB50+CD50)*1000000/CF50*hfo_e_density_lhv/FA_e_density_lhv))+Shipping!$J$73+IF(G50="Panama",Shipping!$J$55,0)+IF(G50="Suez",Shipping!$J$56,0))/Shipping!$J$31*CF50/1000000+IF(inland_transport_to_port="hv dc grid",$BM50/100*1000*CI50,IF(inland_transport_to_port="pipeline",$BN50,0)))</f>
        <v>No Port</v>
      </c>
      <c r="CH50" s="28" t="str">
        <f t="shared" si="36"/>
        <v/>
      </c>
      <c r="CI50" s="29">
        <f>((Carriers!$P$18/Carriers!$P$23*alk_el_e_demand)+FA_e_demand)*(CF50+FA_st_ab_losses)/1000000+FA_st_e_demand*CF50/1000000</f>
        <v>1897.8881241622576</v>
      </c>
      <c r="CJ50" s="29">
        <f t="shared" si="80"/>
        <v>0.46563809523809524</v>
      </c>
      <c r="CK50" s="28" t="str">
        <f>IFERROR(CH50*1000000/Storage!$I$12,"")</f>
        <v/>
      </c>
      <c r="CL50" s="28" t="str">
        <f>IF($E50="","No Port",((F50/24/Shipping!$J$44+F50/24/Shipping!$J$50+Shipping!$J$59+Shipping!$J$64)*Carriers!$P$39*wacc_nl))</f>
        <v>No Port</v>
      </c>
      <c r="CM50" s="29">
        <f>H2_retrieval!$H$25*h2_demand_kt/1000+(co2_liq_e_demand+co2_st_e_demand*2)*Storage!$I$12*co2_density/FA_density/1000000</f>
        <v>94.204253879484654</v>
      </c>
      <c r="CN50" s="28" t="str">
        <f>IFERROR((((CB50+CD50+CG50)*(1+H2_retrieval!$H$34)+CL50)*1000000/H2_retrieval!$H$8)+h2_regen_fa,"")</f>
        <v/>
      </c>
      <c r="CO50" s="149">
        <f>(meoh_invest*(M50+1/meoh_lifetime)/meoh_prod+meoh_opex+meoh_e_demand*1000*$AU50/100+Carriers!$R$18/Carriers!$R$23*BD50+Carriers!$R$20/Carriers!$R$23*co2_liq_cost)*(CS50+meoh_st_ab_losses)/1000000</f>
        <v>56812.438931585435</v>
      </c>
      <c r="CP50" s="86">
        <f>(meoh_invest*(M50+1/meoh_lifetime)/meoh_prod+meoh_opex+meoh_e_demand*1000*$AU50/100+Carriers!$R$18/Carriers!$R$23*BD50+Carriers!$R$20/Carriers!$R$23*BP50)*(CS50+meoh_st_ab_losses)/1000000</f>
        <v>72070.521458890231</v>
      </c>
      <c r="CQ50" s="63">
        <f>meoh_st_nl_cost*meoh_st_nl_demand/1000000+(meoh_st_invest*(M50+1/meoh_st_lifetime+meoh_st_opex)/(Storage!$K$63/1000000)+meoh_st_e_demand*1000*$AU50/100)*(CS50+meoh_st_ab_losses)/1000000+co2_st_nl_cost*Storage!$K$12*co2_density/meoh_density/1000000+(co2_st_opex_lev+co2_st_invest_lev+co2_st_e_demand*1000*IFERROR(MIN(S50,AA50,AI50),S50)/100)*Storage!$K$12/1000000+co2_st_invest_lev*Storage!$K$12*co2_st_lifetime*M50/1000000+Carriers!$R$18/Carriers!$R$23*((CS50+meoh_st_ab_losses)/365.25*short_st_duration_hrs/24)*(h2_short_st_invest*(1/gh2_short_st_lifetime+$M50+h2_short_st_opex)+h2_short_st_e_demand*1000*$AU50/100)/1000000+Carriers!$R$20/Carriers!$R$23*((CF50+meoh_st_ab_losses)/365.25*short_st_duration_hrs/24)*(co2_short_st_invest*(1/co2_short_st_lifetime+$M50+co2_short_st_opex)+co2_short_st_e_demand*1000*$AU50/100)/1000000</f>
        <v>4802.2878862218213</v>
      </c>
      <c r="CR50" s="63">
        <f>meoh_st_nl_cost*meoh_st_nl_demand/1000000+(meoh_st_invest*(M50+1/meoh_st_lifetime+meoh_st_opex)/(Storage!$K$63/1000000)+meoh_st_e_demand*1000*$AU50/100)*(CS50+meoh_st_ab_losses)/1000000+Carriers!$R$18/Carriers!$R$23*((CS50+meoh_st_ab_losses)/365.25*short_st_duration_hrs/24)*(h2_short_st_invest*(1/gh2_short_st_lifetime+$M50+h2_short_st_opex)+h2_short_st_e_demand*1000*$AU50/100)/1000000+Carriers!$R$20/Carriers!$R$23*((CF50+meoh_st_ab_losses)/365.25*short_st_duration_hrs/24)*(co2_short_st_invest*(1/co2_short_st_lifetime+$M50+co2_short_st_opex)+co2_short_st_e_demand*1000*$AU50/100)/1000000</f>
        <v>1959.2797415103853</v>
      </c>
      <c r="CS50" s="63">
        <f>Storage!$K$57/((1-Shipping!$L$37)^($F50/24/Shipping!$L$44+0.5*Shipping!$L$59))</f>
        <v>108044444.44444443</v>
      </c>
      <c r="CT50" s="28" t="str">
        <f>IF($E50="","No Port",IF(AND(ship_choice="VLCC",G50="Panama"),"Ship cannot pass through Panama",IF(ship_choice="VLCC",((F50/24/Shipping!$AD$44+F50/24/Shipping!$AD$50+Shipping!$AD$59+Shipping!$AD$64)*(Shipping!$AD$22+wacc_nl*Shipping!$AD$19/365.25*1000000+Shipping!$AD$35)+(F50/24/Shipping!$AD$44*Shipping!$AD$45+Shipping!$AD$64*Shipping!$AD$65)*IF(bunker_choice="HFO",$H50,IF(bunker_choice="hydrogen",$BD50*hfo_e_density_lhv/h2_e_density_lhv,(CO50+CQ50)*1000000/CS50*hfo_e_density_lhv/meoh_e_density_lhv))+(F50/24/Shipping!$AD$50*Shipping!$AD$51+Shipping!$AD$59*Shipping!$AD$60)*IF(bunker_choice="HFO",bunker_price_ROT,IF(bunker_choice="hydrogen",$BD50*hfo_e_density_lhv/h2_e_density_lhv,(CO50+CQ50)*1000000/CS50*hfo_e_density_lhv/meoh_e_density_lhv))+Shipping!$AD$73+IF(G50="Panama",Shipping!$AD$55,0)+IF(G50="Suez",Shipping!$AD$56,0))/Shipping!$AD$31*CS50/1000000+IF(inland_transport_to_port="hv dc grid",$BM50/100*1000*CV50,IF(inland_transport_to_port="pipeline",$BN50,0)),((F50/24/Shipping!$L$44+F50/24/Shipping!$L$50+Shipping!$L$59+Shipping!$L$64)*(Shipping!$L$22+wacc_nl*Shipping!$L$19/365.25*1000000+Shipping!$L$35)+(F50/24/Shipping!$L$44*Shipping!$L$45+Shipping!$L$64*Shipping!$L$65)*IF(bunker_choice="HFO",$H50,IF(bunker_choice="hydrogen",$BD50*hfo_e_density_lhv/h2_e_density_lhv,(CO50+CQ50)*1000000/CS50*hfo_e_density_lhv/meoh_e_density_lhv))+(F50/24/Shipping!$L$50*Shipping!$L$51+Shipping!$L$59*Shipping!$L$60)*IF(bunker_choice="HFO",bunker_price_ROT,IF(bunker_choice="hydrogen",$BD50*hfo_e_density_lhv/h2_e_density_lhv,(CO50+CQ50)*1000000/CS50*hfo_e_density_lhv/meoh_e_density_lhv))+Shipping!$L$73+IF(G50="Panama",Shipping!$L$55,0)+IF(G50="Suez",Shipping!$L$56,0))/Shipping!$L$31*CS50/1000000+IF(inland_transport_to_port="hv dc grid",$BM50/100*1000*CV50,IF(inland_transport_to_port="pipeline",$BN50,0)))))</f>
        <v>No Port</v>
      </c>
      <c r="CU50" s="28" t="str">
        <f t="shared" si="37"/>
        <v/>
      </c>
      <c r="CV50" s="29">
        <f>((Carriers!$R$18/Carriers!$R$23*alk_el_e_demand)+meoh_e_demand)*(CS50+meoh_st_ab_losses)/1000000+meoh_st_e_demand*CS50/1000000</f>
        <v>1119.9789871111109</v>
      </c>
      <c r="CW50" s="29">
        <f t="shared" si="81"/>
        <v>0.16206666666666666</v>
      </c>
      <c r="CX50" s="28" t="str">
        <f>IFERROR(CU50*1000000/Storage!$K$12,"")</f>
        <v/>
      </c>
      <c r="CY50" s="28" t="str">
        <f>IF($E50="","No Port",((F50/24/Shipping!$L$44+F50/24/Shipping!$L$50+Shipping!$L$59+Shipping!$L$64)*Carriers!$R$39*wacc_nl))</f>
        <v>No Port</v>
      </c>
      <c r="CZ50" s="29">
        <f>H2_retrieval!$J$25*h2_demand_kt/1000+(co2_liq_e_demand+co2_st_e_demand*2)*Storage!$K$12*co2_density/meoh_density/1000000</f>
        <v>251.05079059698966</v>
      </c>
      <c r="DA50" s="28" t="str">
        <f>IFERROR((((CO50+CQ50+CT50)*(1+H2_retrieval!$J$34)+CY50)*1000000/H2_retrieval!$J$8)+h2_regen_meoh,"")</f>
        <v/>
      </c>
      <c r="DB50" s="149">
        <f>(DBT_invest*(M50+1/DBT_lifetime)/DBT_prod+DBT_opex+DBT_e_demand*1000*$AU50/100+Carriers!$T$18/Carriers!$T$23*BD50)*(DD50+DBT_st_ab_losses)/1000000</f>
        <v>38351.390154886583</v>
      </c>
      <c r="DC50" s="28">
        <f>2*(DBT_st_nl_cost*DBT_st_nl_demand/1000000+(DBT_st_invest*(M50+1/DBT_st_lifetime+DBT_st_opex)/(Storage!$M$63/1000000)+DBT_st_e_demand*1000*$AU50/100)*(DD50+DBT_st_ab_losses)/1000000)+Carriers!$T$18/Carriers!$T$23*((DD50+DBT_st_ab_losses)/365.25*short_st_duration_hrs/24)*(h2_short_st_invest*(1/gh2_short_st_lifetime+$M50+h2_short_st_opex)+h2_short_st_e_demand*1000*$AU50/100)/1000000</f>
        <v>4056.862527782499</v>
      </c>
      <c r="DD50" s="63">
        <f>Storage!$M$57/((1-Shipping!$N$37)^($F50/24/Shipping!$N$44+0.5*Shipping!$N$59))</f>
        <v>219354838.70967743</v>
      </c>
      <c r="DE50" s="28" t="str">
        <f>IF($E50="","No Port",IF(AND(ship_choice="VLCC",G50="Panama"),"Ship cannot pass through Panama",IF(ship_choice="VLCC",((F50/24/Shipping!$AD$44+F50/24/Shipping!$AD$50+Shipping!$AD$59+Shipping!$AD$64)*(Shipping!$AD$22+wacc_nl*Shipping!$AD$19/365.25*1000000+Shipping!$AD$35)+(F50/24/Shipping!$AD$44*Shipping!$AD$45+Shipping!$AD$64*Shipping!$AD$65)*IF(bunker_choice="HFO",$H50,IF(bunker_choice="hydrogen",$BD50*hfo_e_density_lhv/h2_e_density_lhv,(DB50+DC50)*1000000/DD50*hfo_e_density_lhv/DBT_e_density_lhv))+(F50/24/Shipping!$AD$50*Shipping!$AD$51+Shipping!$AD$59*Shipping!$AD$60)*IF(bunker_choice="HFO",bunker_price_ROT,IF(bunker_choice="hydrogen",$BD50*hfo_e_density_lhv/h2_e_density_lhv,(DB50+DC50)*1000000/DD50*hfo_e_density_lhv/DBT_e_density_lhv))+Shipping!$AD$73+IF(G50="Panama",Shipping!$AD$55,0)+IF(G50="Suez",Shipping!$AD$56,0))/Shipping!$AD$31*DD50/1000000+IF(inland_transport_to_port="hv dc grid",$BM50/100*1000*DG50,IF(inland_transport_to_port="pipeline",$BN50,0)),((F50/24/Shipping!$N$44+F50/24/Shipping!$N$50+Shipping!$N$59+Shipping!$N$64)*(Shipping!$N$22+wacc_nl*Shipping!$N$19/365.25*1000000+Shipping!$N$35)+(F50/24/Shipping!$N$44*Shipping!$N$45+Shipping!$N$64*Shipping!$N$65)*IF(bunker_choice="HFO",$H50,IF(bunker_choice="hydrogen",$BD50*hfo_e_density_lhv/h2_e_density_lhv,(DB50+DC50)*1000000/DD50*hfo_e_density_lhv/DBT_e_density_lhv))+(F50/24/Shipping!$N$50*Shipping!$N$51+Shipping!$N$59*Shipping!$N$60)*IF(bunker_choice="HFO",bunker_price_ROT,IF(bunker_choice="hydrogen",$BD50*hfo_e_density_lhv/h2_e_density_lhv,(DB50+DC50)*1000000/DD50*hfo_e_density_lhv/DBT_e_density_lhv))+Shipping!$N$73+IF(G50="Panama",Shipping!$N$55,0)+IF(G50="Suez",Shipping!$N$56,0))/Shipping!$N$31*Shipping!$N$86/1000000+IF(inland_transport_to_port="hv dc grid",$BM50/100*1000*DG50,IF(inland_transport_to_port="pipeline",$BN50,0)))))</f>
        <v>No Port</v>
      </c>
      <c r="DF50" s="28" t="str">
        <f t="shared" si="82"/>
        <v/>
      </c>
      <c r="DG50" s="29">
        <f>((Carriers!$T$18/Carriers!$T$23*alk_el_e_demand)+DBT_e_demand)*(DD50+DBT_st_ab_losses)/1000000+DBT_st_e_demand*DD50/1000000</f>
        <v>703.88335483870969</v>
      </c>
      <c r="DH50" s="29">
        <f t="shared" si="83"/>
        <v>0.21935483870967742</v>
      </c>
      <c r="DI50" s="28" t="str">
        <f>IFERROR(DF50*1000000/Storage!$M$12,"")</f>
        <v/>
      </c>
      <c r="DJ50" s="28" t="str">
        <f>IF($E50="","No Port",((F50/24/Shipping!$N$44+F50/24/Shipping!$N$50+Shipping!$N$59+Shipping!$N$64)*Carriers!$T$39*wacc_nl))</f>
        <v>No Port</v>
      </c>
      <c r="DK50" s="100">
        <f>H2_retrieval!$L$25*h2_demand_kt/1000+(co2_liq_e_demand+co2_st_e_demand*2)*Storage!$M$12*co2_density/DBT_density/1000000</f>
        <v>206.61934861671787</v>
      </c>
      <c r="DL50" s="28" t="str">
        <f>IFERROR(((DF50*(1+H2_retrieval!$L$34)+DJ50)*1000000/H2_retrieval!$L$8)+h2_regen_lohc,"")</f>
        <v/>
      </c>
      <c r="DM50" s="149">
        <f t="shared" si="84"/>
        <v>46264.917051464166</v>
      </c>
      <c r="DN50" s="16">
        <f>2*(nabh4_st_nl_cost*nabh4_st_nl_demand/1000000+(nabh4_st_invest*(M50+1/nabh4_st_lifetime+nabh4_st_opex)/(Storage!$O$63/1000000)+nabh4_st_e_demand*1000*$AU50/100)*(DO50+nabh4_st_ab_losses)/1000000)+(h2_demand_kt*1000/365.25*short_st_duration_hrs/24)*(h2_short_st_invest*(1/gh2_short_st_lifetime+$M50+h2_short_st_opex)+h2_short_st_e_demand*1000*$AU50/100)/1000000</f>
        <v>1355.3639510408912</v>
      </c>
      <c r="DO50" s="63">
        <f>Storage!$O$57/((1-Shipping!$P$37)^($F50/24/Shipping!$P$44+0.5*Shipping!$P$59))</f>
        <v>63920000</v>
      </c>
      <c r="DP50" s="16" t="str">
        <f>IF($E50="","No Port",((F50/24/Shipping!$P$44+F50/24/Shipping!$P$50+Shipping!$P$59+Shipping!$P$64)*(Shipping!$P$22+wacc_nl*Shipping!$P$19/365.25*1000000+Shipping!$P$35)+(F50/24/Shipping!$P$44*Shipping!$P$45+Shipping!$P$64*Shipping!$P$65)*IF(bunker_choice="HFO",$H50,IF(bunker_choice="hydrogen",$BD50*hfo_e_density_lhv/h2_e_density_lhv,(DM50+DN50)*1000000/DO50*hfo_e_density_lhv/nabh4_e_density_lhv))+(F50/24/Shipping!$P$50*Shipping!$P$51+Shipping!$P$59*Shipping!$P$60)*IF(bunker_choice="HFO",bunker_price_ROT,IF(bunker_choice="hydrogen",$BD50*hfo_e_density_lhv/h2_e_density_lhv,(DM50+DN50)*1000000/DO50*hfo_e_density_lhv/nabh4_e_density_lhv))+Shipping!$P$73+IF(G50="Panama",Shipping!$P$55,0)+IF(G50="Suez",Shipping!$P$56,0))/Shipping!$P$31*(DO50+nabh4_st_ab_losses)/1000000+IF(inland_transport_to_port="hv dc grid",$BM50/100*1000*DR50,IF(inland_transport_to_port="pipeline",$BN50,0)))</f>
        <v>No Port</v>
      </c>
      <c r="DQ50" s="28" t="str">
        <f t="shared" si="60"/>
        <v/>
      </c>
      <c r="DR50" s="29">
        <f>((Carriers!$V$18/Carriers!$V$23*alk_el_e_demand)+nabh4_e_demand)*(DO50+nabh4_st_ab_losses)/1000000+nabh4_st_e_demand*DO50/1000000</f>
        <v>980.02139682539689</v>
      </c>
      <c r="DS50" s="28">
        <f t="shared" si="85"/>
        <v>3.1960000000000002</v>
      </c>
      <c r="DT50" s="28" t="str">
        <f>IFERROR(DQ50*1000000/Storage!$O$12,"")</f>
        <v/>
      </c>
      <c r="DU50" s="28" t="str">
        <f>IF($E50="","No Port",((F50/24/Shipping!$P$44+F50/24/Shipping!$P$50+Shipping!$P$59+Shipping!$P$64)*Carriers!$V$39*wacc_nl))</f>
        <v>No Port</v>
      </c>
      <c r="DV50" s="100">
        <f>H2_retrieval!$N$25*h2_demand_kt/1000+(co2_liq_e_demand+co2_st_e_demand*2)*Storage!$O$12*co2_density/nabh4_density/1000000</f>
        <v>18.783638728971958</v>
      </c>
      <c r="DW50" s="28" t="str">
        <f>IFERROR(((DQ50*(1+H2_retrieval!$N$34)+DU50)*1000000/H2_retrieval!$N$8)+h2_regen_nabh4,"")</f>
        <v/>
      </c>
      <c r="DX50" s="149">
        <f>(Dme_invest*(M50+1/Dme_lifetime)/Dme_prod+Dme_opex+Dme_e_demand*1000*$AU50/100+Carriers!$X$21/Carriers!$X$23*(CO50*1000000/CS50))*(EB50+Dme_st_ab_losses)/1000000</f>
        <v>80009.395542893995</v>
      </c>
      <c r="DY50" s="86">
        <f>(Dme_invest*(M50+1/Dme_lifetime)/Dme_prod+Dme_opex+Dme_e_demand*1000*$AU50/100+Carriers!$X$21/Carriers!$X$23*(CP50*1000000/CS50))*(EB50+Dme_st_ab_losses)/1000000</f>
        <v>100709.48699924696</v>
      </c>
      <c r="DZ50" s="63">
        <f>Dme_st_nl_cost*Dme_st_nl_demand/1000000+(Dme_st_invest*(M50+1/Dme_st_lifetime+Dme_st_opex)/(Storage!$Q$63/1000000)+Dme_st_e_demand*1000*$AU50/100)*(EB50+Dme_st_ab_losses)/1000000+co2_st_nl_cost*Storage!$Q$12*co2_density/Dme_density/1000000+(co2_st_opex_lev+co2_st_invest_lev+co2_st_e_demand*1000*$AU50/100)*Storage!$Q$12/1000000+co2_st_invest_lev*Storage!$Q$12*co2_st_lifetime*M50/1000000+(h2_demand_kt*1000/365.25*short_st_duration_hrs/24)*(h2_short_st_invest*(1/gh2_short_st_lifetime+$M50+h2_short_st_opex)+h2_short_st_e_demand*1000*$AU50/100)/1000000</f>
        <v>5799.9305305674279</v>
      </c>
      <c r="EA50" s="63">
        <f>Dme_st_nl_cost*Dme_st_nl_demand/1000000+(Dme_st_invest*(M50+1/Dme_st_lifetime+Dme_st_opex)/(Storage!$Q$63/1000000)+Dme_st_e_demand*1000*$AU50/100)*(EB50+Dme_st_ab_losses)/1000000+(h2_demand_kt*1000/365.25*short_st_duration_hrs/24)*(h2_short_st_invest*(1/gh2_short_st_lifetime+$M50+h2_short_st_opex)+h2_short_st_e_demand*1000*$AU50/100)/1000000</f>
        <v>2948.3620232463973</v>
      </c>
      <c r="EB50" s="63">
        <f>Storage!$Q$57/((1-Shipping!$R$37)^($F50/24/Shipping!$R$44+0.5*Shipping!$R$59))</f>
        <v>103547089.94708996</v>
      </c>
      <c r="EC50" s="153" t="str">
        <f>IF($E50="","No Port",IF(AND(ship_choice="VLCC",G50="Panama"),"Ship cannot pass through Panama",IF(ship_choice="VLCC",((F50/24/Shipping!$AD$44+F50/24/Shipping!$AD$50+Shipping!$AD$59+Shipping!$AD$64)*(Shipping!$AD$22+wacc_nl*Shipping!$AD$19/365.25*1000000+Shipping!$AD$35)+(F50/24/Shipping!$AD$44*Shipping!$AD$45+Shipping!$AD$64*Shipping!$AD$65)*IF(bunker_choice="HFO",$H50,IF(bunker_choice="hydrogen",$BD50*hfo_e_density_lhv/h2_e_density_lhv,(DX50+DZ50)*1000000/EB50*hfo_e_density_lhv/Dme_e_density_lhv))+(F50/24/Shipping!$AD$50*Shipping!$AD$51+Shipping!$AD$59*Shipping!$AD$60)*IF(bunker_choice="HFO",bunker_price_ROT,IF(bunker_choice="hydrogen",$BD50*hfo_e_density_lhv/h2_e_density_lhv,(DX50+DZ50)*1000000/EB50*hfo_e_density_lhv/Dme_e_density_lhv))+Shipping!$AD$73+IF(G50="Panama",Shipping!$AD$55,0)+IF(G50="Suez",Shipping!$AD$56,0))/Shipping!$AD$31*(EB50+Dme_st_ab_losses)/1000000+IF(inland_transport_to_port="hv dc grid",$BM50/100*1000*EE50,IF(inland_transport_to_port="pipeline",$BN50,0)),((F50/24/Shipping!$R$44+F50/24/Shipping!$R$50+Shipping!$R$59+Shipping!$R$64)*(Shipping!$R$22+wacc_nl*Shipping!$R$19/365.25*1000000+Shipping!$R$35)+(F50/24/Shipping!$R$44*Shipping!$R$45+Shipping!$R$64*Shipping!$R$65)*IF(bunker_choice="HFO",$H50,IF(bunker_choice="hydrogen",$BD50*hfo_e_density_lhv/h2_e_density_lhv,(DX50+DZ50)*1000000/EB50*hfo_e_density_lhv/Dme_e_density_lhv))+(F50/24/Shipping!$R$50*Shipping!$R$51+Shipping!$R$59*Shipping!$R$60)*IF(bunker_choice="HFO",bunker_price_ROT,IF(bunker_choice="hydrogen",$BD50*hfo_e_density_lhv/h2_e_density_lhv,(DX50+DZ50)*1000000/EB50*hfo_e_density_lhv/Dme_e_density_lhv))+Shipping!$R$73+IF(G50="Panama",Shipping!$R$55,0)+IF(G50="Suez",Shipping!$R$56,0))/Shipping!$R$31*(EB50+Dme_st_ab_losses)/1000000+IF(inland_transport_to_port="hv dc grid",$BM50/100*1000*EE50,IF(inland_transport_to_port="pipeline",$BN50,0)))))</f>
        <v>No Port</v>
      </c>
      <c r="ED50" s="28" t="str">
        <f t="shared" si="39"/>
        <v/>
      </c>
      <c r="EE50" s="29">
        <f>(Dme_e_demand)*(EB50+Dme_st_ab_losses)/1000000+Dme_st_e_demand*DZ50/1000000+$CV50*(Carriers!$X$21/Carriers!$X$23*EB50)/$CS50</f>
        <v>1550.2168181663612</v>
      </c>
      <c r="EF50" s="29">
        <f t="shared" si="86"/>
        <v>1.0354708994708997</v>
      </c>
      <c r="EG50" s="28" t="str">
        <f>IFERROR(ED50*1000000/Storage!$Q$12,"")</f>
        <v/>
      </c>
      <c r="EH50" s="28" t="str">
        <f>IF($E50="","No Port",((F50/24/Shipping!$R$44+F50/24/Shipping!$R$50+Shipping!$R$59+Shipping!$R$64)*Carriers!$X$39*wacc_nl))</f>
        <v>No Port</v>
      </c>
      <c r="EI50" s="100">
        <f>H2_retrieval!$P$25*h2_demand_kt/1000+(co2_liq_e_demand+co2_st_e_demand*2)*Storage!$Q$12*co2_density/Dme_density/1000000</f>
        <v>252.45335899349112</v>
      </c>
      <c r="EJ50" s="28" t="str">
        <f>IFERROR((((DX50+DZ50+EC50)*(1+H2_retrieval!$P$34)+EH50)*1000000/H2_retrieval!$P$8)+h2_regen_dme,"")</f>
        <v/>
      </c>
      <c r="EK50" s="149">
        <f>(ome_invest*(M50+1/ome_lifetime)/ome_prod+ome_opex+ome_e_demand*1000*$AU50/100+Carriers!$Z$21/Carriers!$Z$23*(CO50*1000000/CS50))*(EO50+ome_st_ab_losses)/1000000</f>
        <v>174212.64146652207</v>
      </c>
      <c r="EL50" s="86">
        <f>(ome_invest*(M50+1/ome_lifetime)/ome_prod+ome_opex+ome_e_demand*1000*$AU50/100+Carriers!$Z$21/Carriers!$Z$23*(CP50*1000000/CS50))*(EO50+ome_st_ab_losses)/1000000</f>
        <v>217666.16297600087</v>
      </c>
      <c r="EM50" s="63">
        <f>ome_st_nl_cost*ome_st_nl_demand/1000000+(ome_st_invest*(M50+1/ome_st_lifetime+ome_st_opex)/(Storage!$S$63/1000000)+ome_st_e_demand*1000*$AU50/100)*(EO50+ome_st_ab_losses)/1000000+co2_st_nl_cost*Storage!$S$12*co2_density/ome_density/1000000+(co2_st_opex_lev+co2_st_invest_lev+co2_st_e_demand*1000*$AU50/100)*Storage!$S$12/1000000+co2_st_invest_lev*Storage!$S$12*co2_st_lifetime*M50/1000000+(h2_demand_kt*1000/365.25*short_st_duration_hrs/24)*(h2_short_st_invest*(1/gh2_short_st_lifetime+$M50+h2_short_st_opex)+h2_short_st_e_demand*1000*$AU50/100)/1000000</f>
        <v>4962.5689773953982</v>
      </c>
      <c r="EN50" s="63">
        <f>ome_st_nl_cost*ome_st_nl_demand/1000000+(ome_st_invest*(M50+1/ome_st_lifetime+ome_st_opex)/(Storage!$S$63/1000000)+ome_st_e_demand*1000*$AU50/100)*(EO50+ome_st_ab_losses)/1000000+(h2_demand_kt*1000/365.25*short_st_duration_hrs/24)*(h2_short_st_invest*(1/gh2_short_st_lifetime+$M50+h2_short_st_opex)+h2_short_st_e_demand*1000*$AU50/100)/1000000</f>
        <v>1768.7822940113281</v>
      </c>
      <c r="EO50" s="63">
        <f>Storage!$S$57/((1-Shipping!$T$37)^($F50/24/Shipping!$T$44+0.5*Shipping!$T$59))</f>
        <v>128282539.68253967</v>
      </c>
      <c r="EP50" s="28" t="str">
        <f>IF($E50="","No Port",IF(AND(ship_choice="VLCC",G50="Panama"),"Ship cannot pass through Panama",IF(ship_choice="VLCC",((F50/24/Shipping!$AD$44+F50/24/Shipping!$AD$50+Shipping!$AD$59+Shipping!$AD$64)*(Shipping!$AD$22+wacc_nl*Shipping!$AD$19/365.25*1000000+Shipping!$AD$35)+(F50/24/Shipping!$AD$44*Shipping!$AD$45+Shipping!$AD$64*Shipping!$AD$65)*IF(bunker_choice="HFO",$H50,IF(bunker_choice="hydrogen",$BD50*hfo_e_density_lhv/h2_e_density_lhv,(EK50+EM50)*1000000/EO50*hfo_e_density_lhv/Dme_e_density_lhv))+(F50/24/Shipping!$AD$50*Shipping!$AD$51+Shipping!$AD$59*Shipping!$AD$60)*IF(bunker_choice="HFO",bunker_price_ROT,IF(bunker_choice="hydrogen",$BD50*hfo_e_density_lhv/h2_e_density_lhv,(EK50+EM50)*1000000/EO50*hfo_e_density_lhv/ome_e_density_lhv))+Shipping!$AD$73+IF(G50="Panama",Shipping!$AD$55,0)+IF(G50="Suez",Shipping!$AD$56,0))/Shipping!$AD$31*(EO50+ome_st_ab_losses)/1000000+IF(inland_transport_to_port="hv dc grid",$BM50/100*1000*ER50,IF(inland_transport_to_port="pipeline",$BN50,0)),((F50/24/Shipping!$T$44+F50/24/Shipping!$T$50+Shipping!$T$59+Shipping!$T$64)*(Shipping!$T$22+wacc_nl*Shipping!$T$19/365.25*1000000+Shipping!$T$35)+(F50/24/Shipping!$T$44*Shipping!$T$45+Shipping!$T$64*Shipping!$T$65)*IF(bunker_choice="HFO",$H50,IF(bunker_choice="hydrogen",$BD50*hfo_e_density_lhv/h2_e_density_lhv,(EK50+EM50)*1000000/EO50*hfo_e_density_lhv/Dme_e_density_lhv))+(F50/24/Shipping!$T$50*Shipping!$T$51+Shipping!$T$59*Shipping!$T$60)*IF(bunker_choice="HFO",bunker_price_ROT,IF(bunker_choice="hydrogen",$BD50*hfo_e_density_lhv/h2_e_density_lhv,(EK50+EM50)*1000000/EO50*hfo_e_density_lhv/ome_e_density_lhv))+Shipping!$T$73+IF(G50="Panama",Shipping!$T$55,0)+IF(G50="Suez",Shipping!$T$56,0))/Shipping!$T$31*(EO50+ome_st_ab_losses)/1000000+IF(inland_transport_to_port="hv dc grid",$BM50/100*1000*ER50,IF(inland_transport_to_port="pipeline",$BN50,0)))))</f>
        <v>No Port</v>
      </c>
      <c r="EQ50" s="28" t="str">
        <f t="shared" si="40"/>
        <v/>
      </c>
      <c r="ER50" s="29">
        <f>(ome_e_demand)*(EO50+ome_st_ab_losses)/1000000+ome_st_e_demand*EM50/1000000+$CV50*(Carriers!$Z$21/Carriers!$Z$23*EO50)/$CS50</f>
        <v>3352.0814575846371</v>
      </c>
      <c r="ES50" s="29">
        <f t="shared" si="87"/>
        <v>0.1924238095238095</v>
      </c>
      <c r="ET50" s="28" t="str">
        <f>IFERROR(EQ50*1000000/Storage!$S$12,"")</f>
        <v/>
      </c>
      <c r="EU50" s="28" t="str">
        <f>IF($E50="","No Port",((F50/24/Shipping!$T$44+F50/24/Shipping!$T$50+Shipping!$T$59+Shipping!$T$64)*Carriers!$Z$39*wacc_nl))</f>
        <v>No Port</v>
      </c>
      <c r="EV50" s="100">
        <f>H2_retrieval!$R$25*h2_demand_kt/1000+(co2_liq_e_demand+co2_st_e_demand*2)*Storage!$S$12*co2_density/ome_density/1000000</f>
        <v>254.51942895252085</v>
      </c>
      <c r="EW50" s="28" t="str">
        <f>IFERROR((((EK50+EM50+EP50)*(1+H2_retrieval!$R$34)+EU50)*1000000/H2_retrieval!$R$8)+h2_regen_ome,"")</f>
        <v/>
      </c>
      <c r="EX50" s="149">
        <f>(sng_invest*(M50+1/sng_lifetime)/sng_prod+lng_invest*(M50+1/lng_lifetime)/lng_prod+sng_opex+lng_opex+(sng_e_demand+lng_e_demand)*1000*$AU50/100+Carriers!$AB$18/Carriers!$AB$23*BD50+Carriers!$AB$20/Carriers!$AB$23*co2_liq_cost)*(FB50+lng_st_ab_losses)/1000000</f>
        <v>61323.953049426913</v>
      </c>
      <c r="EY50" s="86">
        <f>(sng_invest*(M50+1/sng_lifetime)/sng_prod+lng_invest*(M50+1/lng_lifetime)/lng_prod+sng_opex+lng_opex+(sng_e_demand+lng_e_demand)*1000*$AU50/100+Carriers!$AB$18/Carriers!$AB$23*BD50+Carriers!$AB$20/Carriers!$AB$23*BP50)*(FB50+lng_st_ab_losses)/1000000</f>
        <v>72606.445641866972</v>
      </c>
      <c r="EZ50" s="63">
        <f>lng_st_nl_cost*lng_st_nl_demand/1000000+(lng_st_invest*(M50+1/lng_st_lifetime+lng_st_opex)/(Storage!$U$63/1000000)+lng_st_e_demand*1000*$AU50/100)*(FB50+lng_st_ab_losses)/1000000+co2_st_nl_cost*Storage!$U$12*co2_density/lng_density/1000000+(co2_st_opex_lev+co2_st_invest_lev+co2_st_e_demand*1000*$AU50/100)*Storage!$U$12/1000000+co2_st_invest_lev*Storage!$U$12*co2_st_lifetime*M50/1000000+Carriers!$AB$18/Carriers!$AB$23*((FB50+lng_st_ab_losses)/365.25*short_st_duration_hrs/24)*(h2_short_st_invest*(1/gh2_short_st_lifetime+$M50+h2_short_st_opex)+h2_short_st_e_demand*1000*$AU50/100)/1000000+Carriers!$AB$20/Carriers!$AB$23*((FB50+lng_st_ab_losses)/365.25*short_st_duration_hrs/24)*(co2_short_st_invest*(1/co2_short_st_lifetime+$M50+co2_short_st_opex)+co2_short_st_e_demand*1000*$AU50/100)/1000000</f>
        <v>6135.6939095618245</v>
      </c>
      <c r="FA50" s="63">
        <f>lng_st_nl_cost*lng_st_nl_demand/1000000+(lng_st_invest*(M50+1/lng_st_lifetime+lng_st_opex)/(Storage!$U$63/1000000)+lng_st_e_demand*1000*$AU50/100)*(FB50+lng_st_ab_losses)/1000000+Carriers!$AB$18/Carriers!$AB$23*((FB50+lng_st_ab_losses)/365.25*short_st_duration_hrs/24)*(h2_short_st_invest*(1/gh2_short_st_lifetime+$M50+h2_short_st_opex)+h2_short_st_e_demand*1000*$AU50/100)/1000000+Carriers!$AB$20/Carriers!$AB$23*((FB50+lng_st_ab_losses)/365.25*short_st_duration_hrs/24)*(co2_short_st_invest*(1/co2_short_st_lifetime+$M50+co2_short_st_opex)+co2_short_st_e_demand*1000*$AU50/100)/1000000</f>
        <v>4580.365092729483</v>
      </c>
      <c r="FB50" s="63">
        <f>Storage!$U$57/((1-Shipping!$V$37)^($F50/24/Shipping!$V$44+0.5*Shipping!$V$59))</f>
        <v>40707231.50721889</v>
      </c>
      <c r="FC50" s="28" t="str">
        <f>IF($E50="","No Port",IF(G50="Panama","Ship cannot pass through Panama",((F50/24/Shipping!$V$44+F50/24/Shipping!$V$50+Shipping!$V$59+Shipping!$V$64)*(Shipping!$V$22+wacc_nl*Shipping!$V$19/365.25*1000000+Shipping!$V$35)+(F50/24/Shipping!$V$44*Shipping!$V$45+Shipping!$V$64*Shipping!$V$65)*IF(bunker_choice="HFO",$H50,IF(bunker_choice="hydrogen",$BD50*hfo_e_density_lhv/h2_e_density_lhv,(EX50+EZ50)*1000000/FB50*hfo_e_density_lhv/lng_e_density_lhv))+(F50/24/Shipping!$V$50*Shipping!$V$51+Shipping!$V$59*Shipping!$V$60)*IF(bunker_choice="HFO",bunker_price_ROT,IF(bunker_choice="hydrogen",$BD50*hfo_e_density_lhv/h2_e_density_lhv,(EX50+EZ50)*1000000/FB50*hfo_e_density_lhv/lng_e_density_lhv))+Shipping!$V$73+IF(G50="Panama",Shipping!$V$55,0)+IF(G50="Suez",Shipping!$V$56,0))/Shipping!$V$31*(FB50+lng_st_ab_losses)/1000000)+IF(inland_transport_to_port="hv dc grid",$BM50/100*1000*FE50,IF(inland_transport_to_port="pipeline",$BN50,0)))</f>
        <v>No Port</v>
      </c>
      <c r="FD50" s="28" t="str">
        <f t="shared" si="41"/>
        <v/>
      </c>
      <c r="FE50" s="29">
        <f>((Carriers!$AB$18/Carriers!$AB$23*alk_el_e_demand)+sng_e_demand+lng_e_demand)*(FB50+lng_st_ab_losses)/1000000+lng_st_e_demand*EZ50/1000000</f>
        <v>1091.7518817425275</v>
      </c>
      <c r="FF50" s="29">
        <f t="shared" si="88"/>
        <v>0.8126185861001558</v>
      </c>
      <c r="FG50" s="28" t="str">
        <f>IFERROR(FD50*1000000/Storage!$U$12,"")</f>
        <v/>
      </c>
      <c r="FH50" s="28" t="str">
        <f>IF($E50="","No Port",((F50/24/Shipping!$V$44+F50/24/Shipping!$V$50+Shipping!$V$59+Shipping!$V$64)*Carriers!$AB$39*wacc_nl))</f>
        <v>No Port</v>
      </c>
      <c r="FI50" s="100">
        <f>H2_retrieval!$T$25*h2_demand_kt/1000+(co2_liq_e_demand+co2_st_e_demand*2)*Storage!$U$12*co2_density/lng_density/1000000</f>
        <v>236.51371749646054</v>
      </c>
      <c r="FJ50" s="28" t="str">
        <f>IFERROR((((EX50+EZ50+FC50)*(1+H2_retrieval!$T$34)+FH50)*1000000/H2_retrieval!$T$8)+h2_regen_lng,"")</f>
        <v/>
      </c>
      <c r="FK50" s="149">
        <f>(lh2_invest*(M50+1/lh2_lifetime)/lh2_prod+lh2_opex+lh2_e_demand*1000*$AU50/100+Carriers!$AD$18/Carriers!$AD$23*BD50)*(FM50+lh2_st_ab_losses)/1000000</f>
        <v>47858.701392014475</v>
      </c>
      <c r="FL50" s="28">
        <f>lh2_st_nl_cost*lh2_st_nl_demand/1000000+(lh2_st_invest*(M50+1/lh2_st_lifetime+lh2_st_opex)/(Storage!$Y$63/1000000)+lh2_st_e_demand*1000*$AU50/100)*(FM50+lh2_st_ab_losses)/1000000+((FM50+lh2_st_ab_losses)/365.25*short_st_duration_hrs/24)*(h2_short_st_invest*(1/gh2_short_st_lifetime+$M50+h2_short_st_opex)+h2_short_st_e_demand*1000*$AU50/100)/1000000</f>
        <v>53177.932938309757</v>
      </c>
      <c r="FM50" s="63">
        <f>Storage!$Y$57/((1-Shipping!$Z$37)^($F50/24/Shipping!$Z$44+0.5*Shipping!$Z$59))</f>
        <v>13659984.090217989</v>
      </c>
      <c r="FN50" s="28" t="str">
        <f>IF($E50="","No Port",IF(G50="Panama","Ship cannot pass through Panama",((F50/24/Shipping!$Z$44+F50/24/Shipping!$Z$50+Shipping!$Z$59+Shipping!$Z$64)*(Shipping!$Z$22+wacc_nl*Shipping!$Z$19/365.25*1000000+Shipping!$Z$35)+(F50/24/Shipping!$Z$44*Shipping!$Z$45+Shipping!$Z$64*Shipping!$Z$65)*IF(bunker_choice="HFO",$H50,IF(bunker_choice="hydrogen",$BD50*hfo_e_density_lhv/h2_e_density_lhv,(FK50+FL50)*1000000/FM50*hfo_e_density_lhv/lh2_e_density_lhv))+(F50/24/Shipping!$Z$50*Shipping!$Z$51+Shipping!$Z$59*Shipping!$Z$60)*IF(bunker_choice="HFO",bunker_price_ROT,IF(bunker_choice="hydrogen",$BD50*hfo_e_density_lhv/h2_e_density_lhv,(FK50+FL50)*1000000/FM50*hfo_e_density_lhv/lh2_e_density_lhv))+Shipping!$Z$73+IF(G50="Panama",Shipping!$Z$55,0)+IF(G50="Suez",Shipping!$Z$56,0))/Shipping!$Z$31*(FM50+lh2_st_ab_losses)/1000000)+IF(inland_transport_to_port="hv dc grid",$BM50/100*1000*FP50,IF(inland_transport_to_port="pipeline",$BN50,0)))</f>
        <v>No Port</v>
      </c>
      <c r="FO50" s="28" t="str">
        <f t="shared" si="42"/>
        <v/>
      </c>
      <c r="FP50" s="29">
        <f>((Carriers!$AD$18/Carriers!$AD$23*alk_el_e_demand)+lh2_e_demand)*(FM50+lh2_st_ab_losses)/1000000+lh2_st_e_demand*FM50/1000000</f>
        <v>791.60233245091877</v>
      </c>
      <c r="FQ50" s="100">
        <f t="shared" si="89"/>
        <v>1.361902463475859</v>
      </c>
      <c r="FR50" s="28" t="str">
        <f>IFERROR(FO50*1000000/Storage!$Y$12,"")</f>
        <v/>
      </c>
      <c r="FS50" s="100">
        <f>H2_retrieval!$V$25*h2_demand_kt/1000</f>
        <v>8.16</v>
      </c>
      <c r="FT50" s="28" t="str">
        <f>IFERROR(FR50*(1+H2_retrieval!$V$34)/Carrier_properties!$U$7+H2_retrieval!$V$38,"")</f>
        <v/>
      </c>
      <c r="FU50" s="12"/>
      <c r="FV50" s="24">
        <f t="shared" si="90"/>
        <v>2.1843551153571359</v>
      </c>
      <c r="FW50" s="24" t="str">
        <f t="shared" si="57"/>
        <v/>
      </c>
      <c r="FX50" s="24" t="str">
        <f t="shared" si="58"/>
        <v/>
      </c>
      <c r="FY50" s="24">
        <f t="shared" si="45"/>
        <v>2.1843551153571359</v>
      </c>
      <c r="FZ50" s="28">
        <f t="shared" si="59"/>
        <v>2586.4678828954002</v>
      </c>
      <c r="GA50" s="28">
        <f t="shared" si="47"/>
        <v>596.9033033610441</v>
      </c>
      <c r="GB50" s="28">
        <f t="shared" si="48"/>
        <v>385.87391055535596</v>
      </c>
      <c r="GC50" s="28">
        <f t="shared" si="49"/>
        <v>667.04513896545882</v>
      </c>
      <c r="GD50" s="28">
        <f t="shared" si="50"/>
        <v>972.59601453509765</v>
      </c>
      <c r="GE50" s="28">
        <f t="shared" si="51"/>
        <v>1696.7715443945724</v>
      </c>
      <c r="GF50" s="28">
        <f t="shared" si="52"/>
        <v>1783.6252418440979</v>
      </c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  <c r="GR50" s="12"/>
      <c r="GS50" s="12"/>
      <c r="GT50" s="12"/>
      <c r="GU50" s="12"/>
      <c r="GV50" s="12"/>
      <c r="GW50" s="12"/>
      <c r="GX50" s="12"/>
      <c r="GY50" s="12"/>
      <c r="GZ50" s="12"/>
      <c r="HA50" s="12"/>
      <c r="HB50" s="12"/>
      <c r="HC50" s="12"/>
      <c r="HD50" s="12"/>
      <c r="HE50" s="12"/>
      <c r="HF50" s="12"/>
    </row>
    <row r="51" spans="1:214" x14ac:dyDescent="0.2">
      <c r="A51" s="40" t="s">
        <v>57</v>
      </c>
      <c r="B51" s="12">
        <v>16136</v>
      </c>
      <c r="C51" s="12">
        <v>0.4</v>
      </c>
      <c r="D51" s="12">
        <f t="shared" si="61"/>
        <v>0.6</v>
      </c>
      <c r="E51" s="12" t="s">
        <v>720</v>
      </c>
      <c r="F51" s="12">
        <v>11152</v>
      </c>
      <c r="G51" s="14" t="s">
        <v>113</v>
      </c>
      <c r="H51" s="16">
        <f t="shared" si="62"/>
        <v>382.75862068965517</v>
      </c>
      <c r="I51" s="16">
        <v>18270</v>
      </c>
      <c r="J51" s="16">
        <f t="shared" si="31"/>
        <v>76.259567403558336</v>
      </c>
      <c r="K51" s="27">
        <f t="shared" si="32"/>
        <v>91.51148088427</v>
      </c>
      <c r="L51" s="103">
        <v>0.104</v>
      </c>
      <c r="M51" s="103">
        <f t="shared" si="63"/>
        <v>0.11497346511581907</v>
      </c>
      <c r="N51" s="122">
        <f t="shared" si="33"/>
        <v>0.9</v>
      </c>
      <c r="O51" s="46">
        <f t="shared" si="64"/>
        <v>40</v>
      </c>
      <c r="P51" s="70">
        <f t="array" ref="P51">SUMPRODUCT(IF(Solar_data!A$4:A$777=A51,Solar_data!C$4:C$777),IF(Solar_data!A$4:A$777=A51,Solar_data!I$4:I$777))/SUMIF(Solar_data!A$4:A$777,A51,Solar_data!I$4:I$777)</f>
        <v>1960.8856316351571</v>
      </c>
      <c r="Q51" s="16">
        <f t="array" ref="Q51">MAX(IF(Solar_data!$A$777:'Solar_data'!$A$4=Country_details!$A51,Solar_data!$C$4:'Solar_data'!$C$777))</f>
        <v>2098.75</v>
      </c>
      <c r="R51" s="16">
        <f t="array" ref="R51">MIN(IF(Solar_data!$A$777:'Solar_data'!$A$4=Country_details!A51,Solar_data!$C$4:'Solar_data'!$C$777))</f>
        <v>1733.75</v>
      </c>
      <c r="S51" s="24">
        <f t="shared" si="65"/>
        <v>2.1602184806158689</v>
      </c>
      <c r="T51" s="24">
        <f t="shared" si="66"/>
        <v>2.0183163215401487</v>
      </c>
      <c r="U51" s="24">
        <f t="shared" si="67"/>
        <v>2.443225020811759</v>
      </c>
      <c r="V51" s="16">
        <f t="array" ref="V51">SUM(IF(Solar_data!$A$777:'Solar_data'!$A$4=Country_details!$A51,Solar_data!$I$4:'Solar_data'!$I$777))</f>
        <v>142.98655335353857</v>
      </c>
      <c r="W51" s="148"/>
      <c r="X51" s="16" t="str">
        <f>IFERROR(INDEX(Onshore_wind_data!$J$5:'Onshore_wind_data'!$J$221,MATCH(A51,Onshore_wind_data!$B$5:'Onshore_wind_data'!$B$221,0)),"")</f>
        <v/>
      </c>
      <c r="Y51" s="16" t="str">
        <f>IFERROR(INDEX(Onshore_wind_data!$K$5:'Onshore_wind_data'!$K$221,MATCH(A51,Onshore_wind_data!$B$5:'Onshore_wind_data'!$B$221,0)),"")</f>
        <v/>
      </c>
      <c r="Z51" s="16" t="str">
        <f>IFERROR(INDEX(Onshore_wind_data!$L$5:'Onshore_wind_data'!$L$221,MATCH(A51,Onshore_wind_data!$B$5:'Onshore_wind_data'!$B$221,0)),"")</f>
        <v/>
      </c>
      <c r="AA51" s="24" t="str">
        <f t="shared" si="68"/>
        <v/>
      </c>
      <c r="AB51" s="24" t="str">
        <f t="shared" si="69"/>
        <v/>
      </c>
      <c r="AC51" s="24" t="str">
        <f t="shared" si="70"/>
        <v/>
      </c>
      <c r="AD51" s="16">
        <f>IFERROR(INDEX(Onshore_wind_data!$I$5:'Onshore_wind_data'!$I$221,MATCH(A51,Onshore_wind_data!$B$5:'Onshore_wind_data'!$B$221,0)),"")</f>
        <v>0</v>
      </c>
      <c r="AE51" s="148"/>
      <c r="AF51" s="16">
        <f>INDEX(Offshore_wind_data!$AA$7:$AA$192,MATCH(Country_details!A51,Offshore_wind_data!$A$7:$A$192,0))</f>
        <v>3692.7512570548993</v>
      </c>
      <c r="AG51" s="16">
        <f>INDEX(Offshore_wind_data!$Y$7:$Y$192,MATCH(Country_details!A51,Offshore_wind_data!$A$7:$A$192,0))</f>
        <v>3854.4</v>
      </c>
      <c r="AH51" s="16">
        <f>INDEX(Offshore_wind_data!$Z$7:$Z$192,MATCH(Country_details!A51,Offshore_wind_data!$A$7:$A$192,0))</f>
        <v>3153.6</v>
      </c>
      <c r="AI51" s="24">
        <f t="shared" si="71"/>
        <v>7.012734764287341</v>
      </c>
      <c r="AJ51" s="24">
        <f t="shared" si="72"/>
        <v>6.718629388806213</v>
      </c>
      <c r="AK51" s="24">
        <f t="shared" si="73"/>
        <v>8.2116581418742616</v>
      </c>
      <c r="AL51" s="16">
        <f>INDEX(Offshore_wind_data!$W$7:$W$191,MATCH(A51,Offshore_wind_data!$A$7:$A$191,0))</f>
        <v>1151.547552</v>
      </c>
      <c r="AM51" s="148"/>
      <c r="AN51" s="12">
        <v>0.9</v>
      </c>
      <c r="AO51" s="12">
        <v>1</v>
      </c>
      <c r="AP51" s="34"/>
      <c r="AQ51" s="15">
        <f t="shared" si="74"/>
        <v>50</v>
      </c>
      <c r="AR51" s="12">
        <f t="shared" si="34"/>
        <v>50</v>
      </c>
      <c r="AS51" s="16">
        <f t="shared" si="35"/>
        <v>1244.5341053535385</v>
      </c>
      <c r="AT51" s="12"/>
      <c r="AU51" s="24">
        <f t="shared" si="75"/>
        <v>2.1602184806158689</v>
      </c>
      <c r="AV51" s="16">
        <f t="shared" si="76"/>
        <v>1960.8856316351571</v>
      </c>
      <c r="AW51" s="149">
        <f>HV_DC_Grid!$E$3/(1-AX51)*AU51/100*1000</f>
        <v>3096.2789607167497</v>
      </c>
      <c r="AX51" s="31">
        <f>(1-(1-HV_DC_Grid!$E$25)^(B51*C51*HV_DC_Grid!$E$8/1000))+(1-(1-HV_DC_Grid!$E$26)^(B51*D51*HV_DC_Grid!$E$8/1000))+HV_DC_Grid!$E$35*HV_DC_Grid!$E$28</f>
        <v>0.30231787638546448</v>
      </c>
      <c r="AY51" s="28">
        <f>B51*nl_e_demand/IF(hv_dc_flh="electricity FLH",$AV51,hv_dc_custom)*1000*hv_dc_capacity_multiplier*hv_dc_length_multiplier*1000*(C51*hv_dc_overhead_invest*(hv_dc_overhead_opex+M51+1/hv_dc_lifetime)+D51*hv_dc_sea_invest*(hv_dc_sea_opex+M51+1/hv_dc_lifetime))/1000000+HV_DC_Grid!$E$10*1000*hv_dc_station_invest*hv_dc_station_number*(hv_dc_station_opex+M51+1/hv_dc_lifetime)/1000000</f>
        <v>29528.2475770612</v>
      </c>
      <c r="AZ51" s="24">
        <f>(AW51+AY51)/(HV_DC_Grid!$E$3*1000)*100</f>
        <v>32.624526537777946</v>
      </c>
      <c r="BA51" s="28">
        <f>MIN(((Carriers!$F$26+Carriers!$F$27)*(alk_el_opex+wacc_nl+1/alk_el_lifetime)+IF(hv_dc_flh="electricity FLH",$AV51,hv_dc_custom)*AZ51/100)/(IF(hv_dc_flh="electricity FLH",$AV51,hv_dc_custom)/alk_el_e_demand)*1000,((Carriers!$H$26+Carriers!$H$27)*(pem_el_opex+wacc_nl+1/pem_el_lifetime)+IF(hv_dc_flh="electricity FLH",$AV51,hv_dc_custom)*AZ51/100)/(IF(hv_dc_flh="electricity FLH",$AV51,hv_dc_custom)/pem_el_e_demand)*1000)</f>
        <v>16799.026947570223</v>
      </c>
      <c r="BB51" s="12"/>
      <c r="BC51" s="12"/>
      <c r="BD51" s="149">
        <f>MIN(((Carriers!$F$26+Carriers!$F$27)*(alk_el_opex+M51+1/alk_el_lifetime)+$AV51*$AU51/100)/($AV51/alk_el_e_demand)*1000,((Carriers!$H$26+Carriers!$H$27)*(pem_el_opex+M51+1/pem_el_lifetime)+$AV51*$AU51/100)/($AV51/pem_el_e_demand)*1000)</f>
        <v>2744.6119665064616</v>
      </c>
      <c r="BE51" s="28">
        <f>Storage!$AC$50</f>
        <v>8.1664117557772418</v>
      </c>
      <c r="BF51" s="28">
        <f>((Pipeline!$D$22*Pipeline!$D$24*B51*(pipeline_opex+M51+1/pipeline_lifetime))*(Pipeline!$D$39/Pipeline!$D$3)+(Pipeline!$D$57*(pipeline_comp_opex+M51+1/pipeline_comp_lifetime)+Pipeline!$D$47*1000*Pipeline!$D$45*$AU51/100/1000000))*(Pipeline!$D$75/Pipeline!$D$45)</f>
        <v>34227.382105145974</v>
      </c>
      <c r="BG51" s="28">
        <f>BD51+(BE51+BF51)/Storage!$AC$12*1000000</f>
        <v>5261.9317103962958</v>
      </c>
      <c r="BH51" s="28"/>
      <c r="BI51" s="28"/>
      <c r="BJ51" s="28">
        <f>IF($E51="","No Port",BK51*HV_DC_Grid!$E$3*$AU51/100*1000)</f>
        <v>34.065912373851312</v>
      </c>
      <c r="BK51" s="31">
        <f>IFERROR((1-(1-HV_DC_Grid!$E$25)^(K51*HV_DC_Grid!$E$8/1000))+HV_DC_Grid!$E$35*HV_DC_Grid!$E$28,"")</f>
        <v>1.5769660652166659E-2</v>
      </c>
      <c r="BL51" s="28">
        <f>IFERROR(K51*nl_e_demand/IF(hv_dc_flh="electricity FLH",$AV51,hv_dc_custom)*1000*hv_dc_capacity_multiplier*hv_dc_length_multiplier*1000*(hv_dc_overhead_invest*(hv_dc_overhead_opex+M51+1/hv_dc_lifetime))/1000000+HV_DC_Grid!$E$10*1000*hv_dc_station_invest*hv_dc_station_number*(hv_dc_station_opex+M51+1/hv_dc_lifetime)/1000000,"")</f>
        <v>468.3942196243388</v>
      </c>
      <c r="BM51" s="29">
        <f>IFERROR((BJ51+BL51)/(HV_DC_Grid!$E$3*1000)*100,"")</f>
        <v>0.50246013199819017</v>
      </c>
      <c r="BN51" s="28">
        <f>IFERROR(((Pipeline!$D$22*Pipeline!$D$24*K51*(pipeline_opex+M51+1/pipeline_lifetime))*(Pipeline!$D$39/Pipeline!$D$3)+(Pipeline!$D$57*(pipeline_comp_opex+M51+1/pipeline_comp_lifetime)+Pipeline!$D$47*1000*Pipeline!$D$45*S51/100/1000000))*(Pipeline!$D$75/Pipeline!$D$45),"")</f>
        <v>266.29691320820268</v>
      </c>
      <c r="BO51" s="28"/>
      <c r="BP51" s="150">
        <f t="shared" si="77"/>
        <v>105.8679342012968</v>
      </c>
      <c r="BQ51" s="34">
        <f t="shared" si="78"/>
        <v>31.765592150630866</v>
      </c>
      <c r="BR51" s="151">
        <f>(nh3_invest*(M51+1/nh3_lifetime)/nh3_prod+nh3_opex+nh3_e_demand*1000*$AU51/100+Carriers!$N$18/Carriers!$N$23*BD51+Carriers!$N$19/Carriers!$N$23*BQ51)*(BT51+nh3_st_ab_losses)/1000000</f>
        <v>51313.434143921913</v>
      </c>
      <c r="BS51" s="63">
        <f>nh3_st_nl_cost*nh3_st_nl_demand/1000000+(nh3_st_invest*(M51+1/nh3_st_lifetime+nh3_st_opex)/(Storage!$G$63/1000000)+nh3_st_e_demand*1000*$AU51/100)*(BT51+nh3_st_ab_losses)/1000000+Carriers!$N$18/Carriers!$N$23*((BT51+nh3_st_ab_losses)/365.25*short_st_duration_hrs/24)*(h2_short_st_invest*(1/gh2_short_st_lifetime+$M51+h2_short_st_opex)+h2_short_st_e_demand*1000*$AU51/100)/1000000+Carriers!$N$19/Carriers!$N$23*((BT51+nh3_st_ab_losses)/365.25*short_st_duration_hrs/24)*(n2_short_st_invest*(1/n2_short_st_lifetime+$M51+n2_short_st_opex)+n2_short_st_e_demand*1000*$AU51/100)/1000000</f>
        <v>3403.0282857450879</v>
      </c>
      <c r="BT51" s="63">
        <f>Storage!$G$57/((1-Shipping!$H$37)^(F51/24/Shipping!$H$44+0.5*Shipping!$H$59))</f>
        <v>82469112.837662101</v>
      </c>
      <c r="BU51" s="63">
        <f>IF($E51="","No Port",((F51/24/Shipping!$H$44+F51/24/Shipping!$H$50+Shipping!$H$59+Shipping!$H$64)*(Shipping!$H$22+wacc_nl*Shipping!$H$19/365.25*1000000+Shipping!$H$35)+(F51/24/Shipping!$H$44*Shipping!$H$45+Shipping!$H$64*Shipping!$H$65)*IF(bunker_choice="HFO",H51,IF(bunker_choice="hydrogen",BD51*hfo_e_density_lhv/h2_e_density_lhv,(BR51+BS51)*1000000/BT51*hfo_e_density_lhv/nh3_e_density_lhv))+(F51/24/Shipping!$H$50*Shipping!$H$51+Shipping!$H$59*Shipping!$H$60)*IF(bunker_choice="HFO",bunker_price_ROT,IF(bunker_choice="hydrogen",BD51*hfo_e_density_lhv/h2_e_density_lhv,(BR51+BS51)*1000000/BT51*hfo_e_density_lhv/nh3_e_density_lhv))+Shipping!$H$73+IF(G51="Panama",Shipping!$H$55,0)+IF(G51="Suez",Shipping!$H$56,0))/Shipping!$H$31*BT51/1000000+IF(inland_transport_to_port="hv dc grid",$BM51/100*1000*BW51,IF(inland_transport_to_port="pipeline",$BN51,0)))</f>
        <v>7824.3119605808661</v>
      </c>
      <c r="BV51" s="63">
        <f t="shared" si="91"/>
        <v>62540.774390247869</v>
      </c>
      <c r="BW51" s="33">
        <f>((Carriers!$N$18/Carriers!$N$23*alk_el_e_demand)+(Carriers!$N$19/Carriers!$N$23*n2_e_demand)+nh3_e_demand)*(BT51+nh3_st_ab_losses)/1000000+nh3_st_e_demand*BT51/1000000</f>
        <v>814.37601409101546</v>
      </c>
      <c r="BX51" s="33">
        <f t="shared" si="79"/>
        <v>0.76626754477640768</v>
      </c>
      <c r="BY51" s="63">
        <f>IFERROR(BV51*1000000/Storage!$G$12,"")</f>
        <v>816.85415467138762</v>
      </c>
      <c r="BZ51" s="63">
        <f>H2_retrieval!$F$25*h2_demand_kt/1000</f>
        <v>80</v>
      </c>
      <c r="CA51" s="63">
        <f>IFERROR(BY51*(1+H2_retrieval!$F$34)/Carrier_properties!$E$7+H2_retrieval!$F$38,"")</f>
        <v>5007.8123318678436</v>
      </c>
      <c r="CB51" s="149">
        <f>(FA_invest*(M51+1/FA_lifetime)/FA_prod+FA_opex+FA_e_demand*1000*$AU51/100+Carriers!$P$18/Carriers!$P$23*BD51+Carriers!$P$20/Carriers!$P$23*co2_liq_cost)*(CF51+FA_st_ab_losses)/1000000</f>
        <v>95970.875588351846</v>
      </c>
      <c r="CC51" s="86">
        <f>(FA_invest*(M51+1/FA_lifetime)/FA_prod+FA_opex+FA_e_demand*1000*$AU51/100+Carriers!$P$18/Carriers!$P$23*BD51+Carriers!$P$20/Carriers!$P$23*BP51)*(CF51+FA_st_ab_losses)/1000000</f>
        <v>121382.02060340586</v>
      </c>
      <c r="CD51" s="63">
        <f>FA_st_nl_cost*FA_st_nl_demand/1000000+(FA_st_invest*(M51+1/FA_st_lifetime+FA_st_opex)/(Storage!$I$63/1000000)+FA_st_e_demand*1000*$AU51/100)*(CF51+FA_st_ab_losses)/1000000+co2_st_nl_cost*Storage!$I$12*co2_density/FA_density/1000000+(co2_st_opex_lev+co2_st_invest_lev+co2_st_e_demand*1000*$AU51/100)*Storage!$I$12/1000000+co2_st_invest_lev*Storage!$I$12*co2_st_lifetime*M51/1000000+Carriers!$P$18/Carriers!$P$23*((CF51+FA_st_ab_losses)/365.25*short_st_duration_hrs/24)*(h2_short_st_invest*(1/gh2_short_st_lifetime+$M51+h2_short_st_opex)+h2_short_st_e_demand*1000*$AU51/100)/1000000+Carriers!$P$20/Carriers!$P$23*((CF51+FA_st_ab_losses)/365.25*short_st_duration_hrs/24)*(co2_short_st_invest*(1/co2_short_st_lifetime+$M51+co2_short_st_opex)+co2_short_st_e_demand*1000*$AU51/100)/1000000</f>
        <v>11291.98602127099</v>
      </c>
      <c r="CE51" s="63">
        <f>FA_st_nl_cost*FA_st_nl_demand/1000000+(FA_st_invest*(M51+1/FA_st_lifetime+FA_st_opex)/(Storage!$I$63/1000000)+FA_st_e_demand*1000*$AU51/100)*(CF51+FA_st_ab_losses)/1000000+Carriers!$P$18/Carriers!$P$23*((CF51+FA_st_ab_losses)/365.25*short_st_duration_hrs/24)*(h2_short_st_invest*(1/gh2_short_st_lifetime+$M51+h2_short_st_opex)+h2_short_st_e_demand*1000*$AU51/100)/1000000+Carriers!$P$20/Carriers!$P$23*((CF51+FA_st_ab_losses)/365.25*short_st_duration_hrs/24)*(co2_short_st_invest*(1/co2_short_st_lifetime+$M51+co2_short_st_opex)+co2_short_st_e_demand*1000*$AU51/100)/1000000</f>
        <v>4913.911655947908</v>
      </c>
      <c r="CF51" s="63">
        <f>Storage!$I$57/((1-Shipping!$J$37)^($F51/24/Shipping!$J$44+0.5*Shipping!$J$59))</f>
        <v>310425396.82539684</v>
      </c>
      <c r="CG51" s="28">
        <f>IF($E51="","No Port",((F51/24/Shipping!$J$44+F51/24/Shipping!$J$50+Shipping!$J$59+Shipping!$J$64)*(Shipping!$J$22+wacc_nl*Shipping!$J$19/365.25*1000000+Shipping!$J$35)+(F51/24/Shipping!$J$44*Shipping!$J$45+Shipping!$J$64*Shipping!$J$65)*IF(bunker_choice="HFO",$H51,IF(bunker_choice="hydrogen",$BD51*hfo_e_density_lhv/h2_e_density_lhv,(CB51+CD51)*1000000/CF51*hfo_e_density_lhv/FA_e_density_lhv))+(F51/24/Shipping!$J$50*Shipping!$J$51+Shipping!$J$59*Shipping!$J$60)*IF(bunker_choice="HFO",bunker_price_ROT,IF(bunker_choice="hydrogen",$BD51*hfo_e_density_lhv/h2_e_density_lhv,(CB51+CD51)*1000000/CF51*hfo_e_density_lhv/FA_e_density_lhv))+Shipping!$J$73+IF(G51="Panama",Shipping!$J$55,0)+IF(G51="Suez",Shipping!$J$56,0))/Shipping!$J$31*CF51/1000000+IF(inland_transport_to_port="hv dc grid",$BM51/100*1000*CI51,IF(inland_transport_to_port="pipeline",$BN51,0)))</f>
        <v>30673.546223930891</v>
      </c>
      <c r="CH51" s="28">
        <f t="shared" si="36"/>
        <v>156969.47848328468</v>
      </c>
      <c r="CI51" s="29">
        <f>((Carriers!$P$18/Carriers!$P$23*alk_el_e_demand)+FA_e_demand)*(CF51+FA_st_ab_losses)/1000000+FA_st_e_demand*CF51/1000000</f>
        <v>1897.8881241622576</v>
      </c>
      <c r="CJ51" s="29">
        <f t="shared" si="80"/>
        <v>0.46563809523809524</v>
      </c>
      <c r="CK51" s="28">
        <f>IFERROR(CH51*1000000/Storage!$I$12,"")</f>
        <v>505.6592665695274</v>
      </c>
      <c r="CL51" s="28">
        <f>IF($E51="","No Port",((F51/24/Shipping!$J$44+F51/24/Shipping!$J$50+Shipping!$J$59+Shipping!$J$64)*Carriers!$P$39*wacc_nl))</f>
        <v>506.92576427775174</v>
      </c>
      <c r="CM51" s="29">
        <f>H2_retrieval!$H$25*h2_demand_kt/1000+(co2_liq_e_demand+co2_st_e_demand*2)*Storage!$I$12*co2_density/FA_density/1000000</f>
        <v>94.204253879484654</v>
      </c>
      <c r="CN51" s="28">
        <f>IFERROR((((CB51+CD51+CG51)*(1+H2_retrieval!$H$34)+CL51)*1000000/H2_retrieval!$H$8)+h2_regen_fa,"")</f>
        <v>10269.344249960446</v>
      </c>
      <c r="CO51" s="149">
        <f>(meoh_invest*(M51+1/meoh_lifetime)/meoh_prod+meoh_opex+meoh_e_demand*1000*$AU51/100+Carriers!$R$18/Carriers!$R$23*BD51+Carriers!$R$20/Carriers!$R$23*co2_liq_cost)*(CS51+meoh_st_ab_losses)/1000000</f>
        <v>60082.289674971202</v>
      </c>
      <c r="CP51" s="86">
        <f>(meoh_invest*(M51+1/meoh_lifetime)/meoh_prod+meoh_opex+meoh_e_demand*1000*$AU51/100+Carriers!$R$18/Carriers!$R$23*BD51+Carriers!$R$20/Carriers!$R$23*BP51)*(CS51+meoh_st_ab_losses)/1000000</f>
        <v>74999.416287520333</v>
      </c>
      <c r="CQ51" s="63">
        <f>meoh_st_nl_cost*meoh_st_nl_demand/1000000+(meoh_st_invest*(M51+1/meoh_st_lifetime+meoh_st_opex)/(Storage!$K$63/1000000)+meoh_st_e_demand*1000*$AU51/100)*(CS51+meoh_st_ab_losses)/1000000+co2_st_nl_cost*Storage!$K$12*co2_density/meoh_density/1000000+(co2_st_opex_lev+co2_st_invest_lev+co2_st_e_demand*1000*IFERROR(MIN(S51,AA51,AI51),S51)/100)*Storage!$K$12/1000000+co2_st_invest_lev*Storage!$K$12*co2_st_lifetime*M51/1000000+Carriers!$R$18/Carriers!$R$23*((CS51+meoh_st_ab_losses)/365.25*short_st_duration_hrs/24)*(h2_short_st_invest*(1/gh2_short_st_lifetime+$M51+h2_short_st_opex)+h2_short_st_e_demand*1000*$AU51/100)/1000000+Carriers!$R$20/Carriers!$R$23*((CF51+meoh_st_ab_losses)/365.25*short_st_duration_hrs/24)*(co2_short_st_invest*(1/co2_short_st_lifetime+$M51+co2_short_st_opex)+co2_short_st_e_demand*1000*$AU51/100)/1000000</f>
        <v>4743.8076780789252</v>
      </c>
      <c r="CR51" s="63">
        <f>meoh_st_nl_cost*meoh_st_nl_demand/1000000+(meoh_st_invest*(M51+1/meoh_st_lifetime+meoh_st_opex)/(Storage!$K$63/1000000)+meoh_st_e_demand*1000*$AU51/100)*(CS51+meoh_st_ab_losses)/1000000+Carriers!$R$18/Carriers!$R$23*((CS51+meoh_st_ab_losses)/365.25*short_st_duration_hrs/24)*(h2_short_st_invest*(1/gh2_short_st_lifetime+$M51+h2_short_st_opex)+h2_short_st_e_demand*1000*$AU51/100)/1000000+Carriers!$R$20/Carriers!$R$23*((CF51+meoh_st_ab_losses)/365.25*short_st_duration_hrs/24)*(co2_short_st_invest*(1/co2_short_st_lifetime+$M51+co2_short_st_opex)+co2_short_st_e_demand*1000*$AU51/100)/1000000</f>
        <v>1924.9032721514438</v>
      </c>
      <c r="CS51" s="63">
        <f>Storage!$K$57/((1-Shipping!$L$37)^($F51/24/Shipping!$L$44+0.5*Shipping!$L$59))</f>
        <v>108044444.44444443</v>
      </c>
      <c r="CT51" s="28">
        <f>IF($E51="","No Port",IF(AND(ship_choice="VLCC",G51="Panama"),"Ship cannot pass through Panama",IF(ship_choice="VLCC",((F51/24/Shipping!$AD$44+F51/24/Shipping!$AD$50+Shipping!$AD$59+Shipping!$AD$64)*(Shipping!$AD$22+wacc_nl*Shipping!$AD$19/365.25*1000000+Shipping!$AD$35)+(F51/24/Shipping!$AD$44*Shipping!$AD$45+Shipping!$AD$64*Shipping!$AD$65)*IF(bunker_choice="HFO",$H51,IF(bunker_choice="hydrogen",$BD51*hfo_e_density_lhv/h2_e_density_lhv,(CO51+CQ51)*1000000/CS51*hfo_e_density_lhv/meoh_e_density_lhv))+(F51/24/Shipping!$AD$50*Shipping!$AD$51+Shipping!$AD$59*Shipping!$AD$60)*IF(bunker_choice="HFO",bunker_price_ROT,IF(bunker_choice="hydrogen",$BD51*hfo_e_density_lhv/h2_e_density_lhv,(CO51+CQ51)*1000000/CS51*hfo_e_density_lhv/meoh_e_density_lhv))+Shipping!$AD$73+IF(G51="Panama",Shipping!$AD$55,0)+IF(G51="Suez",Shipping!$AD$56,0))/Shipping!$AD$31*CS51/1000000+IF(inland_transport_to_port="hv dc grid",$BM51/100*1000*CV51,IF(inland_transport_to_port="pipeline",$BN51,0)),((F51/24/Shipping!$L$44+F51/24/Shipping!$L$50+Shipping!$L$59+Shipping!$L$64)*(Shipping!$L$22+wacc_nl*Shipping!$L$19/365.25*1000000+Shipping!$L$35)+(F51/24/Shipping!$L$44*Shipping!$L$45+Shipping!$L$64*Shipping!$L$65)*IF(bunker_choice="HFO",$H51,IF(bunker_choice="hydrogen",$BD51*hfo_e_density_lhv/h2_e_density_lhv,(CO51+CQ51)*1000000/CS51*hfo_e_density_lhv/meoh_e_density_lhv))+(F51/24/Shipping!$L$50*Shipping!$L$51+Shipping!$L$59*Shipping!$L$60)*IF(bunker_choice="HFO",bunker_price_ROT,IF(bunker_choice="hydrogen",$BD51*hfo_e_density_lhv/h2_e_density_lhv,(CO51+CQ51)*1000000/CS51*hfo_e_density_lhv/meoh_e_density_lhv))+Shipping!$L$73+IF(G51="Panama",Shipping!$L$55,0)+IF(G51="Suez",Shipping!$L$56,0))/Shipping!$L$31*CS51/1000000+IF(inland_transport_to_port="hv dc grid",$BM51/100*1000*CV51,IF(inland_transport_to_port="pipeline",$BN51,0)))))</f>
        <v>10277.02405960744</v>
      </c>
      <c r="CU51" s="28">
        <f t="shared" si="37"/>
        <v>87201.343619279214</v>
      </c>
      <c r="CV51" s="29">
        <f>((Carriers!$R$18/Carriers!$R$23*alk_el_e_demand)+meoh_e_demand)*(CS51+meoh_st_ab_losses)/1000000+meoh_st_e_demand*CS51/1000000</f>
        <v>1119.9789871111109</v>
      </c>
      <c r="CW51" s="29">
        <f t="shared" si="81"/>
        <v>0.16206666666666666</v>
      </c>
      <c r="CX51" s="28">
        <f>IFERROR(CU51*1000000/Storage!$K$12,"")</f>
        <v>807.0877134651513</v>
      </c>
      <c r="CY51" s="28">
        <f>IF($E51="","No Port",((F51/24/Shipping!$L$44+F51/24/Shipping!$L$50+Shipping!$L$59+Shipping!$L$64)*Carriers!$R$39*wacc_nl))</f>
        <v>181.98381307567249</v>
      </c>
      <c r="CZ51" s="29">
        <f>H2_retrieval!$J$25*h2_demand_kt/1000+(co2_liq_e_demand+co2_st_e_demand*2)*Storage!$K$12*co2_density/meoh_density/1000000</f>
        <v>251.05079059698966</v>
      </c>
      <c r="DA51" s="28">
        <f>IFERROR((((CO51+CQ51+CT51)*(1+H2_retrieval!$J$34)+CY51)*1000000/H2_retrieval!$J$8)+h2_regen_meoh,"")</f>
        <v>6705.7980450882651</v>
      </c>
      <c r="DB51" s="149">
        <f>(DBT_invest*(M51+1/DBT_lifetime)/DBT_prod+DBT_opex+DBT_e_demand*1000*$AU51/100+Carriers!$T$18/Carriers!$T$23*BD51)*(DD51+DBT_st_ab_losses)/1000000</f>
        <v>40454.336076680032</v>
      </c>
      <c r="DC51" s="28">
        <f>2*(DBT_st_nl_cost*DBT_st_nl_demand/1000000+(DBT_st_invest*(M51+1/DBT_st_lifetime+DBT_st_opex)/(Storage!$M$63/1000000)+DBT_st_e_demand*1000*$AU51/100)*(DD51+DBT_st_ab_losses)/1000000)+Carriers!$T$18/Carriers!$T$23*((DD51+DBT_st_ab_losses)/365.25*short_st_duration_hrs/24)*(h2_short_st_invest*(1/gh2_short_st_lifetime+$M51+h2_short_st_opex)+h2_short_st_e_demand*1000*$AU51/100)/1000000</f>
        <v>3996.3830998040094</v>
      </c>
      <c r="DD51" s="63">
        <f>Storage!$M$57/((1-Shipping!$N$37)^($F51/24/Shipping!$N$44+0.5*Shipping!$N$59))</f>
        <v>219354838.70967743</v>
      </c>
      <c r="DE51" s="28">
        <f>IF($E51="","No Port",IF(AND(ship_choice="VLCC",G51="Panama"),"Ship cannot pass through Panama",IF(ship_choice="VLCC",((F51/24/Shipping!$AD$44+F51/24/Shipping!$AD$50+Shipping!$AD$59+Shipping!$AD$64)*(Shipping!$AD$22+wacc_nl*Shipping!$AD$19/365.25*1000000+Shipping!$AD$35)+(F51/24/Shipping!$AD$44*Shipping!$AD$45+Shipping!$AD$64*Shipping!$AD$65)*IF(bunker_choice="HFO",$H51,IF(bunker_choice="hydrogen",$BD51*hfo_e_density_lhv/h2_e_density_lhv,(DB51+DC51)*1000000/DD51*hfo_e_density_lhv/DBT_e_density_lhv))+(F51/24/Shipping!$AD$50*Shipping!$AD$51+Shipping!$AD$59*Shipping!$AD$60)*IF(bunker_choice="HFO",bunker_price_ROT,IF(bunker_choice="hydrogen",$BD51*hfo_e_density_lhv/h2_e_density_lhv,(DB51+DC51)*1000000/DD51*hfo_e_density_lhv/DBT_e_density_lhv))+Shipping!$AD$73+IF(G51="Panama",Shipping!$AD$55,0)+IF(G51="Suez",Shipping!$AD$56,0))/Shipping!$AD$31*DD51/1000000+IF(inland_transport_to_port="hv dc grid",$BM51/100*1000*DG51,IF(inland_transport_to_port="pipeline",$BN51,0)),((F51/24/Shipping!$N$44+F51/24/Shipping!$N$50+Shipping!$N$59+Shipping!$N$64)*(Shipping!$N$22+wacc_nl*Shipping!$N$19/365.25*1000000+Shipping!$N$35)+(F51/24/Shipping!$N$44*Shipping!$N$45+Shipping!$N$64*Shipping!$N$65)*IF(bunker_choice="HFO",$H51,IF(bunker_choice="hydrogen",$BD51*hfo_e_density_lhv/h2_e_density_lhv,(DB51+DC51)*1000000/DD51*hfo_e_density_lhv/DBT_e_density_lhv))+(F51/24/Shipping!$N$50*Shipping!$N$51+Shipping!$N$59*Shipping!$N$60)*IF(bunker_choice="HFO",bunker_price_ROT,IF(bunker_choice="hydrogen",$BD51*hfo_e_density_lhv/h2_e_density_lhv,(DB51+DC51)*1000000/DD51*hfo_e_density_lhv/DBT_e_density_lhv))+Shipping!$N$73+IF(G51="Panama",Shipping!$N$55,0)+IF(G51="Suez",Shipping!$N$56,0))/Shipping!$N$31*Shipping!$N$86/1000000+IF(inland_transport_to_port="hv dc grid",$BM51/100*1000*DG51,IF(inland_transport_to_port="pipeline",$BN51,0)))))</f>
        <v>19128.535025593861</v>
      </c>
      <c r="DF51" s="28">
        <f t="shared" si="82"/>
        <v>63579.2542020779</v>
      </c>
      <c r="DG51" s="29">
        <f>((Carriers!$T$18/Carriers!$T$23*alk_el_e_demand)+DBT_e_demand)*(DD51+DBT_st_ab_losses)/1000000+DBT_st_e_demand*DD51/1000000</f>
        <v>703.88335483870969</v>
      </c>
      <c r="DH51" s="29">
        <f t="shared" si="83"/>
        <v>0.21935483870967742</v>
      </c>
      <c r="DI51" s="28">
        <f>IFERROR(DF51*1000000/Storage!$M$12,"")</f>
        <v>289.84660003888456</v>
      </c>
      <c r="DJ51" s="28">
        <f>IF($E51="","No Port",((F51/24/Shipping!$N$44+F51/24/Shipping!$N$50+Shipping!$N$59+Shipping!$N$64)*Carriers!$T$39*wacc_nl))</f>
        <v>13254.479036100447</v>
      </c>
      <c r="DK51" s="100">
        <f>H2_retrieval!$L$25*h2_demand_kt/1000+(co2_liq_e_demand+co2_st_e_demand*2)*Storage!$M$12*co2_density/DBT_density/1000000</f>
        <v>206.61934861671787</v>
      </c>
      <c r="DL51" s="28">
        <f>IFERROR(((DF51*(1+H2_retrieval!$L$34)+DJ51)*1000000/H2_retrieval!$L$8)+h2_regen_lohc,"")</f>
        <v>6120.1889893283796</v>
      </c>
      <c r="DM51" s="149">
        <f t="shared" si="84"/>
        <v>45676.597802835626</v>
      </c>
      <c r="DN51" s="16">
        <f>2*(nabh4_st_nl_cost*nabh4_st_nl_demand/1000000+(nabh4_st_invest*(M51+1/nabh4_st_lifetime+nabh4_st_opex)/(Storage!$O$63/1000000)+nabh4_st_e_demand*1000*$AU51/100)*(DO51+nabh4_st_ab_losses)/1000000)+(h2_demand_kt*1000/365.25*short_st_duration_hrs/24)*(h2_short_st_invest*(1/gh2_short_st_lifetime+$M51+h2_short_st_opex)+h2_short_st_e_demand*1000*$AU51/100)/1000000</f>
        <v>1335.9908662675825</v>
      </c>
      <c r="DO51" s="63">
        <f>Storage!$O$57/((1-Shipping!$P$37)^($F51/24/Shipping!$P$44+0.5*Shipping!$P$59))</f>
        <v>63920000</v>
      </c>
      <c r="DP51" s="16">
        <f>IF($E51="","No Port",((F51/24/Shipping!$P$44+F51/24/Shipping!$P$50+Shipping!$P$59+Shipping!$P$64)*(Shipping!$P$22+wacc_nl*Shipping!$P$19/365.25*1000000+Shipping!$P$35)+(F51/24/Shipping!$P$44*Shipping!$P$45+Shipping!$P$64*Shipping!$P$65)*IF(bunker_choice="HFO",$H51,IF(bunker_choice="hydrogen",$BD51*hfo_e_density_lhv/h2_e_density_lhv,(DM51+DN51)*1000000/DO51*hfo_e_density_lhv/nabh4_e_density_lhv))+(F51/24/Shipping!$P$50*Shipping!$P$51+Shipping!$P$59*Shipping!$P$60)*IF(bunker_choice="HFO",bunker_price_ROT,IF(bunker_choice="hydrogen",$BD51*hfo_e_density_lhv/h2_e_density_lhv,(DM51+DN51)*1000000/DO51*hfo_e_density_lhv/nabh4_e_density_lhv))+Shipping!$P$73+IF(G51="Panama",Shipping!$P$55,0)+IF(G51="Suez",Shipping!$P$56,0))/Shipping!$P$31*(DO51+nabh4_st_ab_losses)/1000000+IF(inland_transport_to_port="hv dc grid",$BM51/100*1000*DR51,IF(inland_transport_to_port="pipeline",$BN51,0)))</f>
        <v>5800.3538394857742</v>
      </c>
      <c r="DQ51" s="28">
        <f t="shared" si="60"/>
        <v>52812.942508588982</v>
      </c>
      <c r="DR51" s="29">
        <f>((Carriers!$V$18/Carriers!$V$23*alk_el_e_demand)+nabh4_e_demand)*(DO51+nabh4_st_ab_losses)/1000000+nabh4_st_e_demand*DO51/1000000</f>
        <v>980.02139682539689</v>
      </c>
      <c r="DS51" s="28">
        <f t="shared" si="85"/>
        <v>3.1960000000000002</v>
      </c>
      <c r="DT51" s="28">
        <f>IFERROR(DQ51*1000000/Storage!$O$12,"")</f>
        <v>826.23502047229317</v>
      </c>
      <c r="DU51" s="28">
        <f>IF($E51="","No Port",((F51/24/Shipping!$P$44+F51/24/Shipping!$P$50+Shipping!$P$59+Shipping!$P$64)*Carriers!$V$39*wacc_nl))</f>
        <v>1208.9438412192615</v>
      </c>
      <c r="DV51" s="100">
        <f>H2_retrieval!$N$25*h2_demand_kt/1000+(co2_liq_e_demand+co2_st_e_demand*2)*Storage!$O$12*co2_density/nabh4_density/1000000</f>
        <v>18.783638728971958</v>
      </c>
      <c r="DW51" s="28">
        <f>IFERROR(((DQ51*(1+H2_retrieval!$N$34)+DU51)*1000000/H2_retrieval!$N$8)+h2_regen_nabh4,"")</f>
        <v>4056.7378280962294</v>
      </c>
      <c r="DX51" s="149">
        <f>(Dme_invest*(M51+1/Dme_lifetime)/Dme_prod+Dme_opex+Dme_e_demand*1000*$AU51/100+Carriers!$X$21/Carriers!$X$23*(CO51*1000000/CS51))*(EB51+Dme_st_ab_losses)/1000000</f>
        <v>84390.163140474877</v>
      </c>
      <c r="DY51" s="86">
        <f>(Dme_invest*(M51+1/Dme_lifetime)/Dme_prod+Dme_opex+Dme_e_demand*1000*$AU51/100+Carriers!$X$21/Carriers!$X$23*(CP51*1000000/CS51))*(EB51+Dme_st_ab_losses)/1000000</f>
        <v>104627.69197761299</v>
      </c>
      <c r="DZ51" s="63">
        <f>Dme_st_nl_cost*Dme_st_nl_demand/1000000+(Dme_st_invest*(M51+1/Dme_st_lifetime+Dme_st_opex)/(Storage!$Q$63/1000000)+Dme_st_e_demand*1000*$AU51/100)*(EB51+Dme_st_ab_losses)/1000000+co2_st_nl_cost*Storage!$Q$12*co2_density/Dme_density/1000000+(co2_st_opex_lev+co2_st_invest_lev+co2_st_e_demand*1000*$AU51/100)*Storage!$Q$12/1000000+co2_st_invest_lev*Storage!$Q$12*co2_st_lifetime*M51/1000000+(h2_demand_kt*1000/365.25*short_st_duration_hrs/24)*(h2_short_st_invest*(1/gh2_short_st_lifetime+$M51+h2_short_st_opex)+h2_short_st_e_demand*1000*$AU51/100)/1000000</f>
        <v>5732.0470847055367</v>
      </c>
      <c r="EA51" s="63">
        <f>Dme_st_nl_cost*Dme_st_nl_demand/1000000+(Dme_st_invest*(M51+1/Dme_st_lifetime+Dme_st_opex)/(Storage!$Q$63/1000000)+Dme_st_e_demand*1000*$AU51/100)*(EB51+Dme_st_ab_losses)/1000000+(h2_demand_kt*1000/365.25*short_st_duration_hrs/24)*(h2_short_st_invest*(1/gh2_short_st_lifetime+$M51+h2_short_st_opex)+h2_short_st_e_demand*1000*$AU51/100)/1000000</f>
        <v>2903.5789970382584</v>
      </c>
      <c r="EB51" s="63">
        <f>Storage!$Q$57/((1-Shipping!$R$37)^($F51/24/Shipping!$R$44+0.5*Shipping!$R$59))</f>
        <v>103547089.94708996</v>
      </c>
      <c r="EC51" s="153">
        <f>IF($E51="","No Port",IF(AND(ship_choice="VLCC",G51="Panama"),"Ship cannot pass through Panama",IF(ship_choice="VLCC",((F51/24/Shipping!$AD$44+F51/24/Shipping!$AD$50+Shipping!$AD$59+Shipping!$AD$64)*(Shipping!$AD$22+wacc_nl*Shipping!$AD$19/365.25*1000000+Shipping!$AD$35)+(F51/24/Shipping!$AD$44*Shipping!$AD$45+Shipping!$AD$64*Shipping!$AD$65)*IF(bunker_choice="HFO",$H51,IF(bunker_choice="hydrogen",$BD51*hfo_e_density_lhv/h2_e_density_lhv,(DX51+DZ51)*1000000/EB51*hfo_e_density_lhv/Dme_e_density_lhv))+(F51/24/Shipping!$AD$50*Shipping!$AD$51+Shipping!$AD$59*Shipping!$AD$60)*IF(bunker_choice="HFO",bunker_price_ROT,IF(bunker_choice="hydrogen",$BD51*hfo_e_density_lhv/h2_e_density_lhv,(DX51+DZ51)*1000000/EB51*hfo_e_density_lhv/Dme_e_density_lhv))+Shipping!$AD$73+IF(G51="Panama",Shipping!$AD$55,0)+IF(G51="Suez",Shipping!$AD$56,0))/Shipping!$AD$31*(EB51+Dme_st_ab_losses)/1000000+IF(inland_transport_to_port="hv dc grid",$BM51/100*1000*EE51,IF(inland_transport_to_port="pipeline",$BN51,0)),((F51/24/Shipping!$R$44+F51/24/Shipping!$R$50+Shipping!$R$59+Shipping!$R$64)*(Shipping!$R$22+wacc_nl*Shipping!$R$19/365.25*1000000+Shipping!$R$35)+(F51/24/Shipping!$R$44*Shipping!$R$45+Shipping!$R$64*Shipping!$R$65)*IF(bunker_choice="HFO",$H51,IF(bunker_choice="hydrogen",$BD51*hfo_e_density_lhv/h2_e_density_lhv,(DX51+DZ51)*1000000/EB51*hfo_e_density_lhv/Dme_e_density_lhv))+(F51/24/Shipping!$R$50*Shipping!$R$51+Shipping!$R$59*Shipping!$R$60)*IF(bunker_choice="HFO",bunker_price_ROT,IF(bunker_choice="hydrogen",$BD51*hfo_e_density_lhv/h2_e_density_lhv,(DX51+DZ51)*1000000/EB51*hfo_e_density_lhv/Dme_e_density_lhv))+Shipping!$R$73+IF(G51="Panama",Shipping!$R$55,0)+IF(G51="Suez",Shipping!$R$56,0))/Shipping!$R$31*(EB51+Dme_st_ab_losses)/1000000+IF(inland_transport_to_port="hv dc grid",$BM51/100*1000*EE51,IF(inland_transport_to_port="pipeline",$BN51,0)))))</f>
        <v>10318.07713052052</v>
      </c>
      <c r="ED51" s="28">
        <f t="shared" si="39"/>
        <v>117849.34810517178</v>
      </c>
      <c r="EE51" s="29">
        <f>(Dme_e_demand)*(EB51+Dme_st_ab_losses)/1000000+Dme_st_e_demand*DZ51/1000000+$CV51*(Carriers!$X$21/Carriers!$X$23*EB51)/$CS51</f>
        <v>1550.2168174875267</v>
      </c>
      <c r="EF51" s="29">
        <f t="shared" si="86"/>
        <v>1.0354708994708997</v>
      </c>
      <c r="EG51" s="28">
        <f>IFERROR(ED51*1000000/Storage!$Q$12,"")</f>
        <v>1138.1232264990733</v>
      </c>
      <c r="EH51" s="28">
        <f>IF($E51="","No Port",((F51/24/Shipping!$R$44+F51/24/Shipping!$R$50+Shipping!$R$59+Shipping!$R$64)*Carriers!$X$39*wacc_nl))</f>
        <v>190.26801151801098</v>
      </c>
      <c r="EI51" s="100">
        <f>H2_retrieval!$P$25*h2_demand_kt/1000+(co2_liq_e_demand+co2_st_e_demand*2)*Storage!$Q$12*co2_density/Dme_density/1000000</f>
        <v>252.45335899349112</v>
      </c>
      <c r="EJ51" s="28">
        <f>IFERROR((((DX51+DZ51+EC51)*(1+H2_retrieval!$P$34)+EH51)*1000000/H2_retrieval!$P$8)+h2_regen_dme,"")</f>
        <v>8569.4340849033924</v>
      </c>
      <c r="EK51" s="149">
        <f>(ome_invest*(M51+1/ome_lifetime)/ome_prod+ome_opex+ome_e_demand*1000*$AU51/100+Carriers!$Z$21/Carriers!$Z$23*(CO51*1000000/CS51))*(EO51+ome_st_ab_losses)/1000000</f>
        <v>183296.79779868474</v>
      </c>
      <c r="EL51" s="86">
        <f>(ome_invest*(M51+1/ome_lifetime)/ome_prod+ome_opex+ome_e_demand*1000*$AU51/100+Carriers!$Z$21/Carriers!$Z$23*(CP51*1000000/CS51))*(EO51+ome_st_ab_losses)/1000000</f>
        <v>225779.31032658901</v>
      </c>
      <c r="EM51" s="63">
        <f>ome_st_nl_cost*ome_st_nl_demand/1000000+(ome_st_invest*(M51+1/ome_st_lifetime+ome_st_opex)/(Storage!$S$63/1000000)+ome_st_e_demand*1000*$AU51/100)*(EO51+ome_st_ab_losses)/1000000+co2_st_nl_cost*Storage!$S$12*co2_density/ome_density/1000000+(co2_st_opex_lev+co2_st_invest_lev+co2_st_e_demand*1000*$AU51/100)*Storage!$S$12/1000000+co2_st_invest_lev*Storage!$S$12*co2_st_lifetime*M51/1000000+(h2_demand_kt*1000/365.25*short_st_duration_hrs/24)*(h2_short_st_invest*(1/gh2_short_st_lifetime+$M51+h2_short_st_opex)+h2_short_st_e_demand*1000*$AU51/100)/1000000</f>
        <v>4904.842051272748</v>
      </c>
      <c r="EN51" s="63">
        <f>ome_st_nl_cost*ome_st_nl_demand/1000000+(ome_st_invest*(M51+1/ome_st_lifetime+ome_st_opex)/(Storage!$S$63/1000000)+ome_st_e_demand*1000*$AU51/100)*(EO51+ome_st_ab_losses)/1000000+(h2_demand_kt*1000/365.25*short_st_duration_hrs/24)*(h2_short_st_invest*(1/gh2_short_st_lifetime+$M51+h2_short_st_opex)+h2_short_st_e_demand*1000*$AU51/100)/1000000</f>
        <v>1739.6740427585369</v>
      </c>
      <c r="EO51" s="63">
        <f>Storage!$S$57/((1-Shipping!$T$37)^($F51/24/Shipping!$T$44+0.5*Shipping!$T$59))</f>
        <v>128282539.68253967</v>
      </c>
      <c r="EP51" s="28">
        <f>IF($E51="","No Port",IF(AND(ship_choice="VLCC",G51="Panama"),"Ship cannot pass through Panama",IF(ship_choice="VLCC",((F51/24/Shipping!$AD$44+F51/24/Shipping!$AD$50+Shipping!$AD$59+Shipping!$AD$64)*(Shipping!$AD$22+wacc_nl*Shipping!$AD$19/365.25*1000000+Shipping!$AD$35)+(F51/24/Shipping!$AD$44*Shipping!$AD$45+Shipping!$AD$64*Shipping!$AD$65)*IF(bunker_choice="HFO",$H51,IF(bunker_choice="hydrogen",$BD51*hfo_e_density_lhv/h2_e_density_lhv,(EK51+EM51)*1000000/EO51*hfo_e_density_lhv/Dme_e_density_lhv))+(F51/24/Shipping!$AD$50*Shipping!$AD$51+Shipping!$AD$59*Shipping!$AD$60)*IF(bunker_choice="HFO",bunker_price_ROT,IF(bunker_choice="hydrogen",$BD51*hfo_e_density_lhv/h2_e_density_lhv,(EK51+EM51)*1000000/EO51*hfo_e_density_lhv/ome_e_density_lhv))+Shipping!$AD$73+IF(G51="Panama",Shipping!$AD$55,0)+IF(G51="Suez",Shipping!$AD$56,0))/Shipping!$AD$31*(EO51+ome_st_ab_losses)/1000000+IF(inland_transport_to_port="hv dc grid",$BM51/100*1000*ER51,IF(inland_transport_to_port="pipeline",$BN51,0)),((F51/24/Shipping!$T$44+F51/24/Shipping!$T$50+Shipping!$T$59+Shipping!$T$64)*(Shipping!$T$22+wacc_nl*Shipping!$T$19/365.25*1000000+Shipping!$T$35)+(F51/24/Shipping!$T$44*Shipping!$T$45+Shipping!$T$64*Shipping!$T$65)*IF(bunker_choice="HFO",$H51,IF(bunker_choice="hydrogen",$BD51*hfo_e_density_lhv/h2_e_density_lhv,(EK51+EM51)*1000000/EO51*hfo_e_density_lhv/Dme_e_density_lhv))+(F51/24/Shipping!$T$50*Shipping!$T$51+Shipping!$T$59*Shipping!$T$60)*IF(bunker_choice="HFO",bunker_price_ROT,IF(bunker_choice="hydrogen",$BD51*hfo_e_density_lhv/h2_e_density_lhv,(EK51+EM51)*1000000/EO51*hfo_e_density_lhv/ome_e_density_lhv))+Shipping!$T$73+IF(G51="Panama",Shipping!$T$55,0)+IF(G51="Suez",Shipping!$T$56,0))/Shipping!$T$31*(EO51+ome_st_ab_losses)/1000000+IF(inland_transport_to_port="hv dc grid",$BM51/100*1000*ER51,IF(inland_transport_to_port="pipeline",$BN51,0)))))</f>
        <v>11495.525583381104</v>
      </c>
      <c r="EQ51" s="28">
        <f t="shared" si="40"/>
        <v>239014.50995272864</v>
      </c>
      <c r="ER51" s="29">
        <f>(ome_e_demand)*(EO51+ome_st_ab_losses)/1000000+ome_st_e_demand*EM51/1000000+$CV51*(Carriers!$Z$21/Carriers!$Z$23*EO51)/$CS51</f>
        <v>3352.0814574980463</v>
      </c>
      <c r="ES51" s="29">
        <f t="shared" si="87"/>
        <v>0.1924238095238095</v>
      </c>
      <c r="ET51" s="28">
        <f>IFERROR(EQ51*1000000/Storage!$S$12,"")</f>
        <v>1863.1881668714773</v>
      </c>
      <c r="EU51" s="28">
        <f>IF($E51="","No Port",((F51/24/Shipping!$T$44+F51/24/Shipping!$T$50+Shipping!$T$59+Shipping!$T$64)*Carriers!$Z$39*wacc_nl))</f>
        <v>216.07169015028646</v>
      </c>
      <c r="EV51" s="100">
        <f>H2_retrieval!$R$25*h2_demand_kt/1000+(co2_liq_e_demand+co2_st_e_demand*2)*Storage!$S$12*co2_density/ome_density/1000000</f>
        <v>254.51942895252085</v>
      </c>
      <c r="EW51" s="28">
        <f>IFERROR((((EK51+EM51+EP51)*(1+H2_retrieval!$R$34)+EU51)*1000000/H2_retrieval!$R$8)+h2_regen_ome,"")</f>
        <v>15869.631272864413</v>
      </c>
      <c r="EX51" s="149">
        <f>(sng_invest*(M51+1/sng_lifetime)/sng_prod+lng_invest*(M51+1/lng_lifetime)/lng_prod+sng_opex+lng_opex+(sng_e_demand+lng_e_demand)*1000*$AU51/100+Carriers!$AB$18/Carriers!$AB$23*BD51+Carriers!$AB$20/Carriers!$AB$23*co2_liq_cost)*(FB51+lng_st_ab_losses)/1000000</f>
        <v>66771.485669352202</v>
      </c>
      <c r="EY51" s="86">
        <f>(sng_invest*(M51+1/sng_lifetime)/sng_prod+lng_invest*(M51+1/lng_lifetime)/lng_prod+sng_opex+lng_opex+(sng_e_demand+lng_e_demand)*1000*$AU51/100+Carriers!$AB$18/Carriers!$AB$23*BD51+Carriers!$AB$20/Carriers!$AB$23*BP51)*(FB51+lng_st_ab_losses)/1000000</f>
        <v>78204.31162281704</v>
      </c>
      <c r="EZ51" s="63">
        <f>lng_st_nl_cost*lng_st_nl_demand/1000000+(lng_st_invest*(M51+1/lng_st_lifetime+lng_st_opex)/(Storage!$U$63/1000000)+lng_st_e_demand*1000*$AU51/100)*(FB51+lng_st_ab_losses)/1000000+co2_st_nl_cost*Storage!$U$12*co2_density/lng_density/1000000+(co2_st_opex_lev+co2_st_invest_lev+co2_st_e_demand*1000*$AU51/100)*Storage!$U$12/1000000+co2_st_invest_lev*Storage!$U$12*co2_st_lifetime*M51/1000000+Carriers!$AB$18/Carriers!$AB$23*((FB51+lng_st_ab_losses)/365.25*short_st_duration_hrs/24)*(h2_short_st_invest*(1/gh2_short_st_lifetime+$M51+h2_short_st_opex)+h2_short_st_e_demand*1000*$AU51/100)/1000000+Carriers!$AB$20/Carriers!$AB$23*((FB51+lng_st_ab_losses)/365.25*short_st_duration_hrs/24)*(co2_short_st_invest*(1/co2_short_st_lifetime+$M51+co2_short_st_opex)+co2_short_st_e_demand*1000*$AU51/100)/1000000</f>
        <v>6162.15009377151</v>
      </c>
      <c r="FA51" s="63">
        <f>lng_st_nl_cost*lng_st_nl_demand/1000000+(lng_st_invest*(M51+1/lng_st_lifetime+lng_st_opex)/(Storage!$U$63/1000000)+lng_st_e_demand*1000*$AU51/100)*(FB51+lng_st_ab_losses)/1000000+Carriers!$AB$18/Carriers!$AB$23*((FB51+lng_st_ab_losses)/365.25*short_st_duration_hrs/24)*(h2_short_st_invest*(1/gh2_short_st_lifetime+$M51+h2_short_st_opex)+h2_short_st_e_demand*1000*$AU51/100)/1000000+Carriers!$AB$20/Carriers!$AB$23*((FB51+lng_st_ab_losses)/365.25*short_st_duration_hrs/24)*(co2_short_st_invest*(1/co2_short_st_lifetime+$M51+co2_short_st_opex)+co2_short_st_e_demand*1000*$AU51/100)/1000000</f>
        <v>4615.8752287701045</v>
      </c>
      <c r="FB51" s="63">
        <f>Storage!$U$57/((1-Shipping!$V$37)^($F51/24/Shipping!$V$44+0.5*Shipping!$V$59))</f>
        <v>42194171.34962976</v>
      </c>
      <c r="FC51" s="28" t="e">
        <f>IF($E51="","No Port",IF(G51="Panama","Ship cannot pass through Panama",((F51/24/Shipping!$V$44+F51/24/Shipping!$V$50+Shipping!$V$59+Shipping!$V$64)*(Shipping!$V$22+wacc_nl*Shipping!$V$19/365.25*1000000+Shipping!$V$35)+(F51/24/Shipping!$V$44*Shipping!$V$45+Shipping!$V$64*Shipping!$V$65)*IF(bunker_choice="HFO",$H51,IF(bunker_choice="hydrogen",$BD51*hfo_e_density_lhv/h2_e_density_lhv,(EX51+EZ51)*1000000/FB51*hfo_e_density_lhv/lng_e_density_lhv))+(F51/24/Shipping!$V$50*Shipping!$V$51+Shipping!$V$59*Shipping!$V$60)*IF(bunker_choice="HFO",bunker_price_ROT,IF(bunker_choice="hydrogen",$BD51*hfo_e_density_lhv/h2_e_density_lhv,(EX51+EZ51)*1000000/FB51*hfo_e_density_lhv/lng_e_density_lhv))+Shipping!$V$73+IF(G51="Panama",Shipping!$V$55,0)+IF(G51="Suez",Shipping!$V$56,0))/Shipping!$V$31*(FB51+lng_st_ab_losses)/1000000)+IF(inland_transport_to_port="hv dc grid",$BM51/100*1000*FE51,IF(inland_transport_to_port="pipeline",$BN51,0)))</f>
        <v>#VALUE!</v>
      </c>
      <c r="FD51" s="28" t="str">
        <f t="shared" si="41"/>
        <v/>
      </c>
      <c r="FE51" s="29">
        <f>((Carriers!$AB$18/Carriers!$AB$23*alk_el_e_demand)+sng_e_demand+lng_e_demand)*(FB51+lng_st_ab_losses)/1000000+lng_st_e_demand*EZ51/1000000</f>
        <v>1131.5852198835598</v>
      </c>
      <c r="FF51" s="29">
        <f t="shared" si="88"/>
        <v>0.8126185861001558</v>
      </c>
      <c r="FG51" s="28" t="str">
        <f>IFERROR(FD51*1000000/Storage!$U$12,"")</f>
        <v/>
      </c>
      <c r="FH51" s="28">
        <f>IF($E51="","No Port",((F51/24/Shipping!$V$44+F51/24/Shipping!$V$50+Shipping!$V$59+Shipping!$V$64)*Carriers!$AB$39*wacc_nl))</f>
        <v>63.062115083487392</v>
      </c>
      <c r="FI51" s="100">
        <f>H2_retrieval!$T$25*h2_demand_kt/1000+(co2_liq_e_demand+co2_st_e_demand*2)*Storage!$U$12*co2_density/lng_density/1000000</f>
        <v>236.51371749646054</v>
      </c>
      <c r="FJ51" s="28" t="str">
        <f>IFERROR((((EX51+EZ51+FC51)*(1+H2_retrieval!$T$34)+FH51)*1000000/H2_retrieval!$T$8)+h2_regen_lng,"")</f>
        <v/>
      </c>
      <c r="FK51" s="149">
        <f>(lh2_invest*(M51+1/lh2_lifetime)/lh2_prod+lh2_opex+lh2_e_demand*1000*$AU51/100+Carriers!$AD$18/Carriers!$AD$23*BD51)*(FM51+lh2_st_ab_losses)/1000000</f>
        <v>52691.925890891267</v>
      </c>
      <c r="FL51" s="28">
        <f>lh2_st_nl_cost*lh2_st_nl_demand/1000000+(lh2_st_invest*(M51+1/lh2_st_lifetime+lh2_st_opex)/(Storage!$Y$63/1000000)+lh2_st_e_demand*1000*$AU51/100)*(FM51+lh2_st_ab_losses)/1000000+((FM51+lh2_st_ab_losses)/365.25*short_st_duration_hrs/24)*(h2_short_st_invest*(1/gh2_short_st_lifetime+$M51+h2_short_st_opex)+h2_short_st_e_demand*1000*$AU51/100)/1000000</f>
        <v>54208.883144872161</v>
      </c>
      <c r="FM51" s="63">
        <f>Storage!$Y$57/((1-Shipping!$Z$37)^($F51/24/Shipping!$Z$44+0.5*Shipping!$Z$59))</f>
        <v>14467350.015915681</v>
      </c>
      <c r="FN51" s="28" t="e">
        <f>IF($E51="","No Port",IF(G51="Panama","Ship cannot pass through Panama",((F51/24/Shipping!$Z$44+F51/24/Shipping!$Z$50+Shipping!$Z$59+Shipping!$Z$64)*(Shipping!$Z$22+wacc_nl*Shipping!$Z$19/365.25*1000000+Shipping!$Z$35)+(F51/24/Shipping!$Z$44*Shipping!$Z$45+Shipping!$Z$64*Shipping!$Z$65)*IF(bunker_choice="HFO",$H51,IF(bunker_choice="hydrogen",$BD51*hfo_e_density_lhv/h2_e_density_lhv,(FK51+FL51)*1000000/FM51*hfo_e_density_lhv/lh2_e_density_lhv))+(F51/24/Shipping!$Z$50*Shipping!$Z$51+Shipping!$Z$59*Shipping!$Z$60)*IF(bunker_choice="HFO",bunker_price_ROT,IF(bunker_choice="hydrogen",$BD51*hfo_e_density_lhv/h2_e_density_lhv,(FK51+FL51)*1000000/FM51*hfo_e_density_lhv/lh2_e_density_lhv))+Shipping!$Z$73+IF(G51="Panama",Shipping!$Z$55,0)+IF(G51="Suez",Shipping!$Z$56,0))/Shipping!$Z$31*(FM51+lh2_st_ab_losses)/1000000)+IF(inland_transport_to_port="hv dc grid",$BM51/100*1000*FP51,IF(inland_transport_to_port="pipeline",$BN51,0)))</f>
        <v>#VALUE!</v>
      </c>
      <c r="FO51" s="28" t="str">
        <f t="shared" si="42"/>
        <v/>
      </c>
      <c r="FP51" s="29">
        <f>((Carriers!$AD$18/Carriers!$AD$23*alk_el_e_demand)+lh2_e_demand)*(FM51+lh2_st_ab_losses)/1000000+lh2_st_e_demand*FM51/1000000</f>
        <v>838.32459857104413</v>
      </c>
      <c r="FQ51" s="100">
        <f t="shared" si="89"/>
        <v>1.361902463475859</v>
      </c>
      <c r="FR51" s="28" t="str">
        <f>IFERROR(FO51*1000000/Storage!$Y$12,"")</f>
        <v/>
      </c>
      <c r="FS51" s="100">
        <f>H2_retrieval!$V$25*h2_demand_kt/1000</f>
        <v>8.16</v>
      </c>
      <c r="FT51" s="28" t="str">
        <f>IFERROR(FR51*(1+H2_retrieval!$V$34)/Carrier_properties!$U$7+H2_retrieval!$V$38,"")</f>
        <v/>
      </c>
      <c r="FU51" s="12"/>
      <c r="FV51" s="24">
        <f t="shared" si="90"/>
        <v>2.1602184806158689</v>
      </c>
      <c r="FW51" s="24" t="str">
        <f t="shared" si="57"/>
        <v/>
      </c>
      <c r="FX51" s="24">
        <f t="shared" si="58"/>
        <v>7.012734764287341</v>
      </c>
      <c r="FY51" s="24">
        <f t="shared" si="45"/>
        <v>2.1602184806158689</v>
      </c>
      <c r="FZ51" s="28">
        <f t="shared" si="59"/>
        <v>2744.6119665064616</v>
      </c>
      <c r="GA51" s="28">
        <f t="shared" si="47"/>
        <v>622.21397051925146</v>
      </c>
      <c r="GB51" s="28">
        <f t="shared" si="48"/>
        <v>391.01833111831024</v>
      </c>
      <c r="GC51" s="28">
        <f t="shared" si="49"/>
        <v>694.15337987215457</v>
      </c>
      <c r="GD51" s="28">
        <f t="shared" si="50"/>
        <v>1010.435851273804</v>
      </c>
      <c r="GE51" s="28">
        <f t="shared" si="51"/>
        <v>1760.015906181186</v>
      </c>
      <c r="GF51" s="28">
        <f t="shared" si="52"/>
        <v>1853.4387362368063</v>
      </c>
      <c r="GG51" s="12"/>
      <c r="GH51" s="12"/>
      <c r="GI51" s="12"/>
      <c r="GJ51" s="12"/>
      <c r="GK51" s="12"/>
      <c r="GL51" s="12"/>
      <c r="GM51" s="12"/>
      <c r="GN51" s="12"/>
      <c r="GO51" s="12"/>
      <c r="GP51" s="12"/>
      <c r="GQ51" s="12"/>
      <c r="GR51" s="12"/>
      <c r="GS51" s="12"/>
      <c r="GT51" s="12"/>
      <c r="GU51" s="12"/>
      <c r="GV51" s="12"/>
      <c r="GW51" s="12"/>
      <c r="GX51" s="12"/>
      <c r="GY51" s="12"/>
      <c r="GZ51" s="12"/>
      <c r="HA51" s="12"/>
      <c r="HB51" s="12"/>
      <c r="HC51" s="12"/>
      <c r="HD51" s="12"/>
      <c r="HE51" s="12"/>
      <c r="HF51" s="12"/>
    </row>
    <row r="52" spans="1:214" x14ac:dyDescent="0.2">
      <c r="A52" s="40" t="s">
        <v>58</v>
      </c>
      <c r="B52" s="12">
        <v>1636</v>
      </c>
      <c r="C52" s="12">
        <v>0.9</v>
      </c>
      <c r="D52" s="12">
        <f t="shared" si="61"/>
        <v>9.9999999999999978E-2</v>
      </c>
      <c r="E52" s="12" t="s">
        <v>721</v>
      </c>
      <c r="F52" s="12">
        <v>1158</v>
      </c>
      <c r="G52" s="12"/>
      <c r="H52" s="16">
        <f t="shared" si="62"/>
        <v>382.75862068965517</v>
      </c>
      <c r="I52" s="16">
        <v>303890</v>
      </c>
      <c r="J52" s="16">
        <f t="shared" si="31"/>
        <v>311.0163843150263</v>
      </c>
      <c r="K52" s="27">
        <f t="shared" si="32"/>
        <v>373.21966117803157</v>
      </c>
      <c r="L52" s="103">
        <v>5.3999999999999999E-2</v>
      </c>
      <c r="M52" s="103">
        <f t="shared" si="63"/>
        <v>7.9618126056491698E-2</v>
      </c>
      <c r="N52" s="122">
        <f t="shared" si="33"/>
        <v>0.9</v>
      </c>
      <c r="O52" s="46">
        <f t="shared" si="64"/>
        <v>40</v>
      </c>
      <c r="P52" s="70">
        <f t="array" ref="P52">SUMPRODUCT(IF(Solar_data!A$4:A$777=A52,Solar_data!C$4:C$777),IF(Solar_data!A$4:A$777=A52,Solar_data!I$4:I$777))/SUMIF(Solar_data!A$4:A$777,A52,Solar_data!I$4:I$777)</f>
        <v>1044.1511272877437</v>
      </c>
      <c r="Q52" s="16">
        <f t="array" ref="Q52">MAX(IF(Solar_data!$A$777:'Solar_data'!$A$4=Country_details!$A52,Solar_data!$C$4:'Solar_data'!$C$777))</f>
        <v>1186.25</v>
      </c>
      <c r="R52" s="16">
        <f t="array" ref="R52">MIN(IF(Solar_data!$A$777:'Solar_data'!$A$4=Country_details!A52,Solar_data!$C$4:'Solar_data'!$C$777))</f>
        <v>1003.75</v>
      </c>
      <c r="S52" s="24">
        <f t="shared" si="65"/>
        <v>3.1313111931447049</v>
      </c>
      <c r="T52" s="24">
        <f t="shared" si="66"/>
        <v>2.7562167436971747</v>
      </c>
      <c r="U52" s="24">
        <f t="shared" si="67"/>
        <v>3.2573470607330242</v>
      </c>
      <c r="V52" s="16">
        <f t="array" ref="V52">SUM(IF(Solar_data!$A$777:'Solar_data'!$A$4=Country_details!$A52,Solar_data!$I$4:'Solar_data'!$I$777))</f>
        <v>1419.3869413659636</v>
      </c>
      <c r="W52" s="148"/>
      <c r="X52" s="16">
        <f>IFERROR(INDEX(Onshore_wind_data!$J$5:'Onshore_wind_data'!$J$221,MATCH(A52,Onshore_wind_data!$B$5:'Onshore_wind_data'!$B$221,0)),"")</f>
        <v>3029.337118048385</v>
      </c>
      <c r="Y52" s="16">
        <f>IFERROR(INDEX(Onshore_wind_data!$K$5:'Onshore_wind_data'!$K$221,MATCH(A52,Onshore_wind_data!$B$5:'Onshore_wind_data'!$B$221,0)),"")</f>
        <v>3285.5</v>
      </c>
      <c r="Z52" s="16">
        <f>IFERROR(INDEX(Onshore_wind_data!$L$5:'Onshore_wind_data'!$L$221,MATCH(A52,Onshore_wind_data!$B$5:'Onshore_wind_data'!$B$221,0)),"")</f>
        <v>2847.5</v>
      </c>
      <c r="AA52" s="24">
        <f t="shared" si="68"/>
        <v>3.5903075808240188</v>
      </c>
      <c r="AB52" s="24">
        <f t="shared" si="69"/>
        <v>3.3103795525188566</v>
      </c>
      <c r="AC52" s="24">
        <f t="shared" si="70"/>
        <v>3.8195792870239518</v>
      </c>
      <c r="AD52" s="16">
        <f>IFERROR(INDEX(Onshore_wind_data!$I$5:'Onshore_wind_data'!$I$221,MATCH(A52,Onshore_wind_data!$B$5:'Onshore_wind_data'!$B$221,0)),"")</f>
        <v>82.876150475000003</v>
      </c>
      <c r="AE52" s="148"/>
      <c r="AF52" s="16">
        <f>INDEX(Offshore_wind_data!$AA$7:$AA$192,MATCH(Country_details!A52,Offshore_wind_data!$A$7:$A$192,0))</f>
        <v>3846.4460694698355</v>
      </c>
      <c r="AG52" s="16">
        <f>INDEX(Offshore_wind_data!$Y$7:$Y$192,MATCH(Country_details!A52,Offshore_wind_data!$A$7:$A$192,0))</f>
        <v>4204.8</v>
      </c>
      <c r="AH52" s="16">
        <f>INDEX(Offshore_wind_data!$Z$7:$Z$192,MATCH(Country_details!A52,Offshore_wind_data!$A$7:$A$192,0))</f>
        <v>3504</v>
      </c>
      <c r="AI52" s="24">
        <f t="shared" si="71"/>
        <v>5.4456860357841821</v>
      </c>
      <c r="AJ52" s="24">
        <f t="shared" si="72"/>
        <v>4.9815776369646212</v>
      </c>
      <c r="AK52" s="24">
        <f t="shared" si="73"/>
        <v>5.9778931643575453</v>
      </c>
      <c r="AL52" s="16">
        <f>INDEX(Offshore_wind_data!$W$7:$W$191,MATCH(A52,Offshore_wind_data!$A$7:$A$191,0))</f>
        <v>504.96143999999998</v>
      </c>
      <c r="AM52" s="148"/>
      <c r="AN52" s="12">
        <v>5.5</v>
      </c>
      <c r="AO52" s="12">
        <v>5.9</v>
      </c>
      <c r="AP52" s="34">
        <f>6.0747*11.63</f>
        <v>70.648761000000007</v>
      </c>
      <c r="AQ52" s="15">
        <f t="shared" si="74"/>
        <v>50</v>
      </c>
      <c r="AR52" s="12">
        <f t="shared" si="34"/>
        <v>295</v>
      </c>
      <c r="AS52" s="16">
        <f t="shared" si="35"/>
        <v>1712.2245318409637</v>
      </c>
      <c r="AT52" s="12"/>
      <c r="AU52" s="24">
        <f t="shared" si="75"/>
        <v>3.4726537257613264</v>
      </c>
      <c r="AV52" s="16">
        <f t="shared" si="76"/>
        <v>4073.4882453361288</v>
      </c>
      <c r="AW52" s="149">
        <f>HV_DC_Grid!$E$3/(1-AX52)*AU52/100*1000</f>
        <v>3637.2690191290994</v>
      </c>
      <c r="AX52" s="31">
        <f>(1-(1-HV_DC_Grid!$E$25)^(B52*C52*HV_DC_Grid!$E$8/1000))+(1-(1-HV_DC_Grid!$E$26)^(B52*D52*HV_DC_Grid!$E$8/1000))+HV_DC_Grid!$E$35*HV_DC_Grid!$E$28</f>
        <v>4.5257937343108109E-2</v>
      </c>
      <c r="AY52" s="28">
        <f>B52*nl_e_demand/IF(hv_dc_flh="electricity FLH",$AV52,hv_dc_custom)*1000*hv_dc_capacity_multiplier*hv_dc_length_multiplier*1000*(C52*hv_dc_overhead_invest*(hv_dc_overhead_opex+M52+1/hv_dc_lifetime)+D52*hv_dc_sea_invest*(hv_dc_sea_opex+M52+1/hv_dc_lifetime))/1000000+HV_DC_Grid!$E$10*1000*hv_dc_station_invest*hv_dc_station_number*(hv_dc_station_opex+M52+1/hv_dc_lifetime)/1000000</f>
        <v>1497.7769483246118</v>
      </c>
      <c r="AZ52" s="24">
        <f>(AW52+AY52)/(HV_DC_Grid!$E$3*1000)*100</f>
        <v>5.1350459674537117</v>
      </c>
      <c r="BA52" s="28">
        <f>MIN(((Carriers!$F$26+Carriers!$F$27)*(alk_el_opex+wacc_nl+1/alk_el_lifetime)+IF(hv_dc_flh="electricity FLH",$AV52,hv_dc_custom)*AZ52/100)/(IF(hv_dc_flh="electricity FLH",$AV52,hv_dc_custom)/alk_el_e_demand)*1000,((Carriers!$H$26+Carriers!$H$27)*(pem_el_opex+wacc_nl+1/pem_el_lifetime)+IF(hv_dc_flh="electricity FLH",$AV52,hv_dc_custom)*AZ52/100)/(IF(hv_dc_flh="electricity FLH",$AV52,hv_dc_custom)/pem_el_e_demand)*1000)</f>
        <v>2961.9195233481155</v>
      </c>
      <c r="BB52" s="12"/>
      <c r="BC52" s="12"/>
      <c r="BD52" s="149">
        <f>MIN(((Carriers!$F$26+Carriers!$F$27)*(alk_el_opex+M52+1/alk_el_lifetime)+$AV52*$AU52/100)/($AV52/alk_el_e_demand)*1000,((Carriers!$H$26+Carriers!$H$27)*(pem_el_opex+M52+1/pem_el_lifetime)+$AV52*$AU52/100)/($AV52/pem_el_e_demand)*1000)</f>
        <v>2414.8591799611172</v>
      </c>
      <c r="BE52" s="28">
        <f>Storage!$AC$50</f>
        <v>8.1664117557772418</v>
      </c>
      <c r="BF52" s="28">
        <f>((Pipeline!$D$22*Pipeline!$D$24*B52*(pipeline_opex+M52+1/pipeline_lifetime))*(Pipeline!$D$39/Pipeline!$D$3)+(Pipeline!$D$57*(pipeline_comp_opex+M52+1/pipeline_comp_lifetime)+Pipeline!$D$47*1000*Pipeline!$D$45*$AU52/100/1000000))*(Pipeline!$D$75/Pipeline!$D$45)</f>
        <v>2889.101916641865</v>
      </c>
      <c r="BG52" s="28">
        <f>BD52+(BE52+BF52)/Storage!$AC$12*1000000</f>
        <v>2627.8936158727083</v>
      </c>
      <c r="BH52" s="28"/>
      <c r="BI52" s="28"/>
      <c r="BJ52" s="28">
        <f>IF($E52="","No Port",BK52*HV_DC_Grid!$E$3*$AU52/100*1000)</f>
        <v>73.612390952051925</v>
      </c>
      <c r="BK52" s="31">
        <f>IFERROR((1-(1-HV_DC_Grid!$E$25)^(K52*HV_DC_Grid!$E$8/1000))+HV_DC_Grid!$E$35*HV_DC_Grid!$E$28,"")</f>
        <v>2.1197734287749501E-2</v>
      </c>
      <c r="BL52" s="28">
        <f>IFERROR(K52*nl_e_demand/IF(hv_dc_flh="electricity FLH",$AV52,hv_dc_custom)*1000*hv_dc_capacity_multiplier*hv_dc_length_multiplier*1000*(hv_dc_overhead_invest*(hv_dc_overhead_opex+M52+1/hv_dc_lifetime))/1000000+HV_DC_Grid!$E$10*1000*hv_dc_station_invest*hv_dc_station_number*(hv_dc_station_opex+M52+1/hv_dc_lifetime)/1000000,"")</f>
        <v>528.45831033552793</v>
      </c>
      <c r="BM52" s="29">
        <f>IFERROR((BJ52+BL52)/(HV_DC_Grid!$E$3*1000)*100,"")</f>
        <v>0.60207070128757989</v>
      </c>
      <c r="BN52" s="28">
        <f>IFERROR(((Pipeline!$D$22*Pipeline!$D$24*K52*(pipeline_opex+M52+1/pipeline_lifetime))*(Pipeline!$D$39/Pipeline!$D$3)+(Pipeline!$D$57*(pipeline_comp_opex+M52+1/pipeline_comp_lifetime)+Pipeline!$D$47*1000*Pipeline!$D$45*S52/100/1000000))*(Pipeline!$D$75/Pipeline!$D$45),"")</f>
        <v>731.85764077906731</v>
      </c>
      <c r="BO52" s="28"/>
      <c r="BP52" s="150">
        <f t="shared" si="77"/>
        <v>95.408658519933141</v>
      </c>
      <c r="BQ52" s="34">
        <f t="shared" si="78"/>
        <v>27.63547594457339</v>
      </c>
      <c r="BR52" s="151">
        <f>(nh3_invest*(M52+1/nh3_lifetime)/nh3_prod+nh3_opex+nh3_e_demand*1000*$AU52/100+Carriers!$N$18/Carriers!$N$23*BD52+Carriers!$N$19/Carriers!$N$23*BQ52)*(BT52+nh3_st_ab_losses)/1000000</f>
        <v>42702.501695505474</v>
      </c>
      <c r="BS52" s="63">
        <f>nh3_st_nl_cost*nh3_st_nl_demand/1000000+(nh3_st_invest*(M52+1/nh3_st_lifetime+nh3_st_opex)/(Storage!$G$63/1000000)+nh3_st_e_demand*1000*$AU52/100)*(BT52+nh3_st_ab_losses)/1000000+Carriers!$N$18/Carriers!$N$23*((BT52+nh3_st_ab_losses)/365.25*short_st_duration_hrs/24)*(h2_short_st_invest*(1/gh2_short_st_lifetime+$M52+h2_short_st_opex)+h2_short_st_e_demand*1000*$AU52/100)/1000000+Carriers!$N$19/Carriers!$N$23*((BT52+nh3_st_ab_losses)/365.25*short_st_duration_hrs/24)*(n2_short_st_invest*(1/n2_short_st_lifetime+$M52+n2_short_st_opex)+n2_short_st_e_demand*1000*$AU52/100)/1000000</f>
        <v>2866.0523177004952</v>
      </c>
      <c r="BT52" s="63">
        <f>Storage!$G$57/((1-Shipping!$H$37)^(F52/24/Shipping!$H$44+0.5*Shipping!$H$59))</f>
        <v>77421709.159391716</v>
      </c>
      <c r="BU52" s="63">
        <f>IF($E52="","No Port",((F52/24/Shipping!$H$44+F52/24/Shipping!$H$50+Shipping!$H$59+Shipping!$H$64)*(Shipping!$H$22+wacc_nl*Shipping!$H$19/365.25*1000000+Shipping!$H$35)+(F52/24/Shipping!$H$44*Shipping!$H$45+Shipping!$H$64*Shipping!$H$65)*IF(bunker_choice="HFO",H52,IF(bunker_choice="hydrogen",BD52*hfo_e_density_lhv/h2_e_density_lhv,(BR52+BS52)*1000000/BT52*hfo_e_density_lhv/nh3_e_density_lhv))+(F52/24/Shipping!$H$50*Shipping!$H$51+Shipping!$H$59*Shipping!$H$60)*IF(bunker_choice="HFO",bunker_price_ROT,IF(bunker_choice="hydrogen",BD52*hfo_e_density_lhv/h2_e_density_lhv,(BR52+BS52)*1000000/BT52*hfo_e_density_lhv/nh3_e_density_lhv))+Shipping!$H$73+IF(G52="Panama",Shipping!$H$55,0)+IF(G52="Suez",Shipping!$H$56,0))/Shipping!$H$31*BT52/1000000+IF(inland_transport_to_port="hv dc grid",$BM52/100*1000*BW52,IF(inland_transport_to_port="pipeline",$BN52,0)))</f>
        <v>1776.3373102053979</v>
      </c>
      <c r="BV52" s="63">
        <f t="shared" si="91"/>
        <v>47344.891323411364</v>
      </c>
      <c r="BW52" s="33">
        <f>((Carriers!$N$18/Carriers!$N$23*alk_el_e_demand)+(Carriers!$N$19/Carriers!$N$23*n2_e_demand)+nh3_e_demand)*(BT52+nh3_st_ab_losses)/1000000+nh3_st_e_demand*BT52/1000000</f>
        <v>764.57178460109697</v>
      </c>
      <c r="BX52" s="33">
        <f t="shared" si="79"/>
        <v>0.76626754477640768</v>
      </c>
      <c r="BY52" s="63">
        <f>IFERROR(BV52*1000000/Storage!$G$12,"")</f>
        <v>618.37851476978847</v>
      </c>
      <c r="BZ52" s="63">
        <f>H2_retrieval!$F$25*h2_demand_kt/1000</f>
        <v>80</v>
      </c>
      <c r="CA52" s="63">
        <f>IFERROR(BY52*(1+H2_retrieval!$F$34)/Carrier_properties!$E$7+H2_retrieval!$F$38,"")</f>
        <v>3890.4679887181005</v>
      </c>
      <c r="CB52" s="149">
        <f>(FA_invest*(M52+1/FA_lifetime)/FA_prod+FA_opex+FA_e_demand*1000*$AU52/100+Carriers!$P$18/Carriers!$P$23*BD52+Carriers!$P$20/Carriers!$P$23*co2_liq_cost)*(CF52+FA_st_ab_losses)/1000000</f>
        <v>98307.972009184377</v>
      </c>
      <c r="CC52" s="86">
        <f>(FA_invest*(M52+1/FA_lifetime)/FA_prod+FA_opex+FA_e_demand*1000*$AU52/100+Carriers!$P$18/Carriers!$P$23*BD52+Carriers!$P$20/Carriers!$P$23*BP52)*(CF52+FA_st_ab_losses)/1000000</f>
        <v>121024.04022623526</v>
      </c>
      <c r="CD52" s="63">
        <f>FA_st_nl_cost*FA_st_nl_demand/1000000+(FA_st_invest*(M52+1/FA_st_lifetime+FA_st_opex)/(Storage!$I$63/1000000)+FA_st_e_demand*1000*$AU52/100)*(CF52+FA_st_ab_losses)/1000000+co2_st_nl_cost*Storage!$I$12*co2_density/FA_density/1000000+(co2_st_opex_lev+co2_st_invest_lev+co2_st_e_demand*1000*$AU52/100)*Storage!$I$12/1000000+co2_st_invest_lev*Storage!$I$12*co2_st_lifetime*M52/1000000+Carriers!$P$18/Carriers!$P$23*((CF52+FA_st_ab_losses)/365.25*short_st_duration_hrs/24)*(h2_short_st_invest*(1/gh2_short_st_lifetime+$M52+h2_short_st_opex)+h2_short_st_e_demand*1000*$AU52/100)/1000000+Carriers!$P$20/Carriers!$P$23*((CF52+FA_st_ab_losses)/365.25*short_st_duration_hrs/24)*(co2_short_st_invest*(1/co2_short_st_lifetime+$M52+co2_short_st_opex)+co2_short_st_e_demand*1000*$AU52/100)/1000000</f>
        <v>10566.911702677822</v>
      </c>
      <c r="CE52" s="63">
        <f>FA_st_nl_cost*FA_st_nl_demand/1000000+(FA_st_invest*(M52+1/FA_st_lifetime+FA_st_opex)/(Storage!$I$63/1000000)+FA_st_e_demand*1000*$AU52/100)*(CF52+FA_st_ab_losses)/1000000+Carriers!$P$18/Carriers!$P$23*((CF52+FA_st_ab_losses)/365.25*short_st_duration_hrs/24)*(h2_short_st_invest*(1/gh2_short_st_lifetime+$M52+h2_short_st_opex)+h2_short_st_e_demand*1000*$AU52/100)/1000000+Carriers!$P$20/Carriers!$P$23*((CF52+FA_st_ab_losses)/365.25*short_st_duration_hrs/24)*(co2_short_st_invest*(1/co2_short_st_lifetime+$M52+co2_short_st_opex)+co2_short_st_e_demand*1000*$AU52/100)/1000000</f>
        <v>4296.0947324513299</v>
      </c>
      <c r="CF52" s="63">
        <f>Storage!$I$57/((1-Shipping!$J$37)^($F52/24/Shipping!$J$44+0.5*Shipping!$J$59))</f>
        <v>310425396.82539684</v>
      </c>
      <c r="CG52" s="28">
        <f>IF($E52="","No Port",((F52/24/Shipping!$J$44+F52/24/Shipping!$J$50+Shipping!$J$59+Shipping!$J$64)*(Shipping!$J$22+wacc_nl*Shipping!$J$19/365.25*1000000+Shipping!$J$35)+(F52/24/Shipping!$J$44*Shipping!$J$45+Shipping!$J$64*Shipping!$J$65)*IF(bunker_choice="HFO",$H52,IF(bunker_choice="hydrogen",$BD52*hfo_e_density_lhv/h2_e_density_lhv,(CB52+CD52)*1000000/CF52*hfo_e_density_lhv/FA_e_density_lhv))+(F52/24/Shipping!$J$50*Shipping!$J$51+Shipping!$J$59*Shipping!$J$60)*IF(bunker_choice="HFO",bunker_price_ROT,IF(bunker_choice="hydrogen",$BD52*hfo_e_density_lhv/h2_e_density_lhv,(CB52+CD52)*1000000/CF52*hfo_e_density_lhv/FA_e_density_lhv))+Shipping!$J$73+IF(G52="Panama",Shipping!$J$55,0)+IF(G52="Suez",Shipping!$J$56,0))/Shipping!$J$31*CF52/1000000+IF(inland_transport_to_port="hv dc grid",$BM52/100*1000*CI52,IF(inland_transport_to_port="pipeline",$BN52,0)))</f>
        <v>5086.6105668224855</v>
      </c>
      <c r="CH52" s="28">
        <f t="shared" si="36"/>
        <v>130406.74552550908</v>
      </c>
      <c r="CI52" s="29">
        <f>((Carriers!$P$18/Carriers!$P$23*alk_el_e_demand)+FA_e_demand)*(CF52+FA_st_ab_losses)/1000000+FA_st_e_demand*CF52/1000000</f>
        <v>1897.8881241622576</v>
      </c>
      <c r="CJ52" s="29">
        <f t="shared" si="80"/>
        <v>0.46563809523809524</v>
      </c>
      <c r="CK52" s="28">
        <f>IFERROR(CH52*1000000/Storage!$I$12,"")</f>
        <v>420.09045284029452</v>
      </c>
      <c r="CL52" s="28">
        <f>IF($E52="","No Port",((F52/24/Shipping!$J$44+F52/24/Shipping!$J$50+Shipping!$J$59+Shipping!$J$64)*Carriers!$P$39*wacc_nl))</f>
        <v>92.748517041661898</v>
      </c>
      <c r="CM52" s="29">
        <f>H2_retrieval!$H$25*h2_demand_kt/1000+(co2_liq_e_demand+co2_st_e_demand*2)*Storage!$I$12*co2_density/FA_density/1000000</f>
        <v>94.204253879484654</v>
      </c>
      <c r="CN52" s="28">
        <f>IFERROR((((CB52+CD52+CG52)*(1+H2_retrieval!$H$34)+CL52)*1000000/H2_retrieval!$H$8)+h2_regen_fa,"")</f>
        <v>8476.0287498056587</v>
      </c>
      <c r="CO52" s="149">
        <f>(meoh_invest*(M52+1/meoh_lifetime)/meoh_prod+meoh_opex+meoh_e_demand*1000*$AU52/100+Carriers!$R$18/Carriers!$R$23*BD52+Carriers!$R$20/Carriers!$R$23*co2_liq_cost)*(CS52+meoh_st_ab_losses)/1000000</f>
        <v>53709.818158967886</v>
      </c>
      <c r="CP52" s="86">
        <f>(meoh_invest*(M52+1/meoh_lifetime)/meoh_prod+meoh_opex+meoh_e_demand*1000*$AU52/100+Carriers!$R$18/Carriers!$R$23*BD52+Carriers!$R$20/Carriers!$R$23*BP52)*(CS52+meoh_st_ab_losses)/1000000</f>
        <v>67044.851489119101</v>
      </c>
      <c r="CQ52" s="63">
        <f>meoh_st_nl_cost*meoh_st_nl_demand/1000000+(meoh_st_invest*(M52+1/meoh_st_lifetime+meoh_st_opex)/(Storage!$K$63/1000000)+meoh_st_e_demand*1000*$AU52/100)*(CS52+meoh_st_ab_losses)/1000000+co2_st_nl_cost*Storage!$K$12*co2_density/meoh_density/1000000+(co2_st_opex_lev+co2_st_invest_lev+co2_st_e_demand*1000*IFERROR(MIN(S52,AA52,AI52),S52)/100)*Storage!$K$12/1000000+co2_st_invest_lev*Storage!$K$12*co2_st_lifetime*M52/1000000+Carriers!$R$18/Carriers!$R$23*((CS52+meoh_st_ab_losses)/365.25*short_st_duration_hrs/24)*(h2_short_st_invest*(1/gh2_short_st_lifetime+$M52+h2_short_st_opex)+h2_short_st_e_demand*1000*$AU52/100)/1000000+Carriers!$R$20/Carriers!$R$23*((CF52+meoh_st_ab_losses)/365.25*short_st_duration_hrs/24)*(co2_short_st_invest*(1/co2_short_st_lifetime+$M52+co2_short_st_opex)+co2_short_st_e_demand*1000*$AU52/100)/1000000</f>
        <v>4386.2078088165836</v>
      </c>
      <c r="CR52" s="63">
        <f>meoh_st_nl_cost*meoh_st_nl_demand/1000000+(meoh_st_invest*(M52+1/meoh_st_lifetime+meoh_st_opex)/(Storage!$K$63/1000000)+meoh_st_e_demand*1000*$AU52/100)*(CS52+meoh_st_ab_losses)/1000000+Carriers!$R$18/Carriers!$R$23*((CS52+meoh_st_ab_losses)/365.25*short_st_duration_hrs/24)*(h2_short_st_invest*(1/gh2_short_st_lifetime+$M52+h2_short_st_opex)+h2_short_st_e_demand*1000*$AU52/100)/1000000+Carriers!$R$20/Carriers!$R$23*((CF52+meoh_st_ab_losses)/365.25*short_st_duration_hrs/24)*(co2_short_st_invest*(1/co2_short_st_lifetime+$M52+co2_short_st_opex)+co2_short_st_e_demand*1000*$AU52/100)/1000000</f>
        <v>1641.5148093646687</v>
      </c>
      <c r="CS52" s="63">
        <f>Storage!$K$57/((1-Shipping!$L$37)^($F52/24/Shipping!$L$44+0.5*Shipping!$L$59))</f>
        <v>108044444.44444443</v>
      </c>
      <c r="CT52" s="28">
        <f>IF($E52="","No Port",IF(AND(ship_choice="VLCC",G52="Panama"),"Ship cannot pass through Panama",IF(ship_choice="VLCC",((F52/24/Shipping!$AD$44+F52/24/Shipping!$AD$50+Shipping!$AD$59+Shipping!$AD$64)*(Shipping!$AD$22+wacc_nl*Shipping!$AD$19/365.25*1000000+Shipping!$AD$35)+(F52/24/Shipping!$AD$44*Shipping!$AD$45+Shipping!$AD$64*Shipping!$AD$65)*IF(bunker_choice="HFO",$H52,IF(bunker_choice="hydrogen",$BD52*hfo_e_density_lhv/h2_e_density_lhv,(CO52+CQ52)*1000000/CS52*hfo_e_density_lhv/meoh_e_density_lhv))+(F52/24/Shipping!$AD$50*Shipping!$AD$51+Shipping!$AD$59*Shipping!$AD$60)*IF(bunker_choice="HFO",bunker_price_ROT,IF(bunker_choice="hydrogen",$BD52*hfo_e_density_lhv/h2_e_density_lhv,(CO52+CQ52)*1000000/CS52*hfo_e_density_lhv/meoh_e_density_lhv))+Shipping!$AD$73+IF(G52="Panama",Shipping!$AD$55,0)+IF(G52="Suez",Shipping!$AD$56,0))/Shipping!$AD$31*CS52/1000000+IF(inland_transport_to_port="hv dc grid",$BM52/100*1000*CV52,IF(inland_transport_to_port="pipeline",$BN52,0)),((F52/24/Shipping!$L$44+F52/24/Shipping!$L$50+Shipping!$L$59+Shipping!$L$64)*(Shipping!$L$22+wacc_nl*Shipping!$L$19/365.25*1000000+Shipping!$L$35)+(F52/24/Shipping!$L$44*Shipping!$L$45+Shipping!$L$64*Shipping!$L$65)*IF(bunker_choice="HFO",$H52,IF(bunker_choice="hydrogen",$BD52*hfo_e_density_lhv/h2_e_density_lhv,(CO52+CQ52)*1000000/CS52*hfo_e_density_lhv/meoh_e_density_lhv))+(F52/24/Shipping!$L$50*Shipping!$L$51+Shipping!$L$59*Shipping!$L$60)*IF(bunker_choice="HFO",bunker_price_ROT,IF(bunker_choice="hydrogen",$BD52*hfo_e_density_lhv/h2_e_density_lhv,(CO52+CQ52)*1000000/CS52*hfo_e_density_lhv/meoh_e_density_lhv))+Shipping!$L$73+IF(G52="Panama",Shipping!$L$55,0)+IF(G52="Suez",Shipping!$L$56,0))/Shipping!$L$31*CS52/1000000+IF(inland_transport_to_port="hv dc grid",$BM52/100*1000*CV52,IF(inland_transport_to_port="pipeline",$BN52,0)))))</f>
        <v>2151.681212448977</v>
      </c>
      <c r="CU52" s="28">
        <f t="shared" si="37"/>
        <v>70838.047510932753</v>
      </c>
      <c r="CV52" s="29">
        <f>((Carriers!$R$18/Carriers!$R$23*alk_el_e_demand)+meoh_e_demand)*(CS52+meoh_st_ab_losses)/1000000+meoh_st_e_demand*CS52/1000000</f>
        <v>1119.9789871111109</v>
      </c>
      <c r="CW52" s="29">
        <f t="shared" si="81"/>
        <v>0.16206666666666666</v>
      </c>
      <c r="CX52" s="28">
        <f>IFERROR(CU52*1000000/Storage!$K$12,"")</f>
        <v>655.63803743150436</v>
      </c>
      <c r="CY52" s="28">
        <f>IF($E52="","No Port",((F52/24/Shipping!$L$44+F52/24/Shipping!$L$50+Shipping!$L$59+Shipping!$L$64)*Carriers!$R$39*wacc_nl))</f>
        <v>32.857359494312142</v>
      </c>
      <c r="CZ52" s="29">
        <f>H2_retrieval!$J$25*h2_demand_kt/1000+(co2_liq_e_demand+co2_st_e_demand*2)*Storage!$K$12*co2_density/meoh_density/1000000</f>
        <v>251.05079059698966</v>
      </c>
      <c r="DA52" s="28">
        <f>IFERROR((((CO52+CQ52+CT52)*(1+H2_retrieval!$J$34)+CY52)*1000000/H2_retrieval!$J$8)+h2_regen_meoh,"")</f>
        <v>5602.522994646687</v>
      </c>
      <c r="DB52" s="149">
        <f>(DBT_invest*(M52+1/DBT_lifetime)/DBT_prod+DBT_opex+DBT_e_demand*1000*$AU52/100+Carriers!$T$18/Carriers!$T$23*BD52)*(DD52+DBT_st_ab_losses)/1000000</f>
        <v>35647.414422392307</v>
      </c>
      <c r="DC52" s="28">
        <f>2*(DBT_st_nl_cost*DBT_st_nl_demand/1000000+(DBT_st_invest*(M52+1/DBT_st_lifetime+DBT_st_opex)/(Storage!$M$63/1000000)+DBT_st_e_demand*1000*$AU52/100)*(DD52+DBT_st_ab_losses)/1000000)+Carriers!$T$18/Carriers!$T$23*((DD52+DBT_st_ab_losses)/365.25*short_st_duration_hrs/24)*(h2_short_st_invest*(1/gh2_short_st_lifetime+$M52+h2_short_st_opex)+h2_short_st_e_demand*1000*$AU52/100)/1000000</f>
        <v>3499.0468475423272</v>
      </c>
      <c r="DD52" s="63">
        <f>Storage!$M$57/((1-Shipping!$N$37)^($F52/24/Shipping!$N$44+0.5*Shipping!$N$59))</f>
        <v>219354838.70967743</v>
      </c>
      <c r="DE52" s="28">
        <f>IF($E52="","No Port",IF(AND(ship_choice="VLCC",G52="Panama"),"Ship cannot pass through Panama",IF(ship_choice="VLCC",((F52/24/Shipping!$AD$44+F52/24/Shipping!$AD$50+Shipping!$AD$59+Shipping!$AD$64)*(Shipping!$AD$22+wacc_nl*Shipping!$AD$19/365.25*1000000+Shipping!$AD$35)+(F52/24/Shipping!$AD$44*Shipping!$AD$45+Shipping!$AD$64*Shipping!$AD$65)*IF(bunker_choice="HFO",$H52,IF(bunker_choice="hydrogen",$BD52*hfo_e_density_lhv/h2_e_density_lhv,(DB52+DC52)*1000000/DD52*hfo_e_density_lhv/DBT_e_density_lhv))+(F52/24/Shipping!$AD$50*Shipping!$AD$51+Shipping!$AD$59*Shipping!$AD$60)*IF(bunker_choice="HFO",bunker_price_ROT,IF(bunker_choice="hydrogen",$BD52*hfo_e_density_lhv/h2_e_density_lhv,(DB52+DC52)*1000000/DD52*hfo_e_density_lhv/DBT_e_density_lhv))+Shipping!$AD$73+IF(G52="Panama",Shipping!$AD$55,0)+IF(G52="Suez",Shipping!$AD$56,0))/Shipping!$AD$31*DD52/1000000+IF(inland_transport_to_port="hv dc grid",$BM52/100*1000*DG52,IF(inland_transport_to_port="pipeline",$BN52,0)),((F52/24/Shipping!$N$44+F52/24/Shipping!$N$50+Shipping!$N$59+Shipping!$N$64)*(Shipping!$N$22+wacc_nl*Shipping!$N$19/365.25*1000000+Shipping!$N$35)+(F52/24/Shipping!$N$44*Shipping!$N$45+Shipping!$N$64*Shipping!$N$65)*IF(bunker_choice="HFO",$H52,IF(bunker_choice="hydrogen",$BD52*hfo_e_density_lhv/h2_e_density_lhv,(DB52+DC52)*1000000/DD52*hfo_e_density_lhv/DBT_e_density_lhv))+(F52/24/Shipping!$N$50*Shipping!$N$51+Shipping!$N$59*Shipping!$N$60)*IF(bunker_choice="HFO",bunker_price_ROT,IF(bunker_choice="hydrogen",$BD52*hfo_e_density_lhv/h2_e_density_lhv,(DB52+DC52)*1000000/DD52*hfo_e_density_lhv/DBT_e_density_lhv))+Shipping!$N$73+IF(G52="Panama",Shipping!$N$55,0)+IF(G52="Suez",Shipping!$N$56,0))/Shipping!$N$31*Shipping!$N$86/1000000+IF(inland_transport_to_port="hv dc grid",$BM52/100*1000*DG52,IF(inland_transport_to_port="pipeline",$BN52,0)))))</f>
        <v>3376.688282337243</v>
      </c>
      <c r="DF52" s="28">
        <f t="shared" si="82"/>
        <v>42523.149552271876</v>
      </c>
      <c r="DG52" s="29">
        <f>((Carriers!$T$18/Carriers!$T$23*alk_el_e_demand)+DBT_e_demand)*(DD52+DBT_st_ab_losses)/1000000+DBT_st_e_demand*DD52/1000000</f>
        <v>703.88335483870969</v>
      </c>
      <c r="DH52" s="29">
        <f t="shared" si="83"/>
        <v>0.21935483870967742</v>
      </c>
      <c r="DI52" s="28">
        <f>IFERROR(DF52*1000000/Storage!$M$12,"")</f>
        <v>193.85553472359237</v>
      </c>
      <c r="DJ52" s="28">
        <f>IF($E52="","No Port",((F52/24/Shipping!$N$44+F52/24/Shipping!$N$50+Shipping!$N$59+Shipping!$N$64)*Carriers!$T$39*wacc_nl))</f>
        <v>2393.1094487941277</v>
      </c>
      <c r="DK52" s="100">
        <f>H2_retrieval!$L$25*h2_demand_kt/1000+(co2_liq_e_demand+co2_st_e_demand*2)*Storage!$M$12*co2_density/DBT_density/1000000</f>
        <v>206.61934861671787</v>
      </c>
      <c r="DL52" s="28">
        <f>IFERROR(((DF52*(1+H2_retrieval!$L$34)+DJ52)*1000000/H2_retrieval!$L$8)+h2_regen_lohc,"")</f>
        <v>3773.3158836583543</v>
      </c>
      <c r="DM52" s="149">
        <f t="shared" si="84"/>
        <v>55558.911339830236</v>
      </c>
      <c r="DN52" s="16">
        <f>2*(nabh4_st_nl_cost*nabh4_st_nl_demand/1000000+(nabh4_st_invest*(M52+1/nabh4_st_lifetime+nabh4_st_opex)/(Storage!$O$63/1000000)+nabh4_st_e_demand*1000*$AU52/100)*(DO52+nabh4_st_ab_losses)/1000000)+(h2_demand_kt*1000/365.25*short_st_duration_hrs/24)*(h2_short_st_invest*(1/gh2_short_st_lifetime+$M52+h2_short_st_opex)+h2_short_st_e_demand*1000*$AU52/100)/1000000</f>
        <v>1271.3149206571975</v>
      </c>
      <c r="DO52" s="63">
        <f>Storage!$O$57/((1-Shipping!$P$37)^($F52/24/Shipping!$P$44+0.5*Shipping!$P$59))</f>
        <v>63920000</v>
      </c>
      <c r="DP52" s="16">
        <f>IF($E52="","No Port",((F52/24/Shipping!$P$44+F52/24/Shipping!$P$50+Shipping!$P$59+Shipping!$P$64)*(Shipping!$P$22+wacc_nl*Shipping!$P$19/365.25*1000000+Shipping!$P$35)+(F52/24/Shipping!$P$44*Shipping!$P$45+Shipping!$P$64*Shipping!$P$65)*IF(bunker_choice="HFO",$H52,IF(bunker_choice="hydrogen",$BD52*hfo_e_density_lhv/h2_e_density_lhv,(DM52+DN52)*1000000/DO52*hfo_e_density_lhv/nabh4_e_density_lhv))+(F52/24/Shipping!$P$50*Shipping!$P$51+Shipping!$P$59*Shipping!$P$60)*IF(bunker_choice="HFO",bunker_price_ROT,IF(bunker_choice="hydrogen",$BD52*hfo_e_density_lhv/h2_e_density_lhv,(DM52+DN52)*1000000/DO52*hfo_e_density_lhv/nabh4_e_density_lhv))+Shipping!$P$73+IF(G52="Panama",Shipping!$P$55,0)+IF(G52="Suez",Shipping!$P$56,0))/Shipping!$P$31*(DO52+nabh4_st_ab_losses)/1000000+IF(inland_transport_to_port="hv dc grid",$BM52/100*1000*DR52,IF(inland_transport_to_port="pipeline",$BN52,0)))</f>
        <v>1400.0780880894499</v>
      </c>
      <c r="DQ52" s="28">
        <f t="shared" si="60"/>
        <v>58230.304348576887</v>
      </c>
      <c r="DR52" s="29">
        <f>((Carriers!$V$18/Carriers!$V$23*alk_el_e_demand)+nabh4_e_demand)*(DO52+nabh4_st_ab_losses)/1000000+nabh4_st_e_demand*DO52/1000000</f>
        <v>980.02139682539689</v>
      </c>
      <c r="DS52" s="28">
        <f t="shared" si="85"/>
        <v>3.1960000000000002</v>
      </c>
      <c r="DT52" s="28">
        <f>IFERROR(DQ52*1000000/Storage!$O$12,"")</f>
        <v>910.98723949588373</v>
      </c>
      <c r="DU52" s="28">
        <f>IF($E52="","No Port",((F52/24/Shipping!$P$44+F52/24/Shipping!$P$50+Shipping!$P$59+Shipping!$P$64)*Carriers!$V$39*wacc_nl))</f>
        <v>236.64416076914725</v>
      </c>
      <c r="DV52" s="100">
        <f>H2_retrieval!$N$25*h2_demand_kt/1000+(co2_liq_e_demand+co2_st_e_demand*2)*Storage!$O$12*co2_density/nabh4_density/1000000</f>
        <v>18.783638728971958</v>
      </c>
      <c r="DW52" s="28">
        <f>IFERROR(((DQ52*(1+H2_retrieval!$N$34)+DU52)*1000000/H2_retrieval!$N$8)+h2_regen_nabh4,"")</f>
        <v>4391.5473425328128</v>
      </c>
      <c r="DX52" s="149">
        <f>(Dme_invest*(M52+1/Dme_lifetime)/Dme_prod+Dme_opex+Dme_e_demand*1000*$AU52/100+Carriers!$X$21/Carriers!$X$23*(CO52*1000000/CS52))*(EB52+Dme_st_ab_losses)/1000000</f>
        <v>75768.246957159907</v>
      </c>
      <c r="DY52" s="86">
        <f>(Dme_invest*(M52+1/Dme_lifetime)/Dme_prod+Dme_opex+Dme_e_demand*1000*$AU52/100+Carriers!$X$21/Carriers!$X$23*(CP52*1000000/CS52))*(EB52+Dme_st_ab_losses)/1000000</f>
        <v>93859.406774500632</v>
      </c>
      <c r="DZ52" s="63">
        <f>Dme_st_nl_cost*Dme_st_nl_demand/1000000+(Dme_st_invest*(M52+1/Dme_st_lifetime+Dme_st_opex)/(Storage!$Q$63/1000000)+Dme_st_e_demand*1000*$AU52/100)*(EB52+Dme_st_ab_losses)/1000000+co2_st_nl_cost*Storage!$Q$12*co2_density/Dme_density/1000000+(co2_st_opex_lev+co2_st_invest_lev+co2_st_e_demand*1000*$AU52/100)*Storage!$Q$12/1000000+co2_st_invest_lev*Storage!$Q$12*co2_st_lifetime*M52/1000000+(h2_demand_kt*1000/365.25*short_st_duration_hrs/24)*(h2_short_st_invest*(1/gh2_short_st_lifetime+$M52+h2_short_st_opex)+h2_short_st_e_demand*1000*$AU52/100)/1000000</f>
        <v>5338.7818889562095</v>
      </c>
      <c r="EA52" s="63">
        <f>Dme_st_nl_cost*Dme_st_nl_demand/1000000+(Dme_st_invest*(M52+1/Dme_st_lifetime+Dme_st_opex)/(Storage!$Q$63/1000000)+Dme_st_e_demand*1000*$AU52/100)*(EB52+Dme_st_ab_losses)/1000000+(h2_demand_kt*1000/365.25*short_st_duration_hrs/24)*(h2_short_st_invest*(1/gh2_short_st_lifetime+$M52+h2_short_st_opex)+h2_short_st_e_demand*1000*$AU52/100)/1000000</f>
        <v>2546.0911289532783</v>
      </c>
      <c r="EB52" s="63">
        <f>Storage!$Q$57/((1-Shipping!$R$37)^($F52/24/Shipping!$R$44+0.5*Shipping!$R$59))</f>
        <v>103547089.94708996</v>
      </c>
      <c r="EC52" s="153">
        <f>IF($E52="","No Port",IF(AND(ship_choice="VLCC",G52="Panama"),"Ship cannot pass through Panama",IF(ship_choice="VLCC",((F52/24/Shipping!$AD$44+F52/24/Shipping!$AD$50+Shipping!$AD$59+Shipping!$AD$64)*(Shipping!$AD$22+wacc_nl*Shipping!$AD$19/365.25*1000000+Shipping!$AD$35)+(F52/24/Shipping!$AD$44*Shipping!$AD$45+Shipping!$AD$64*Shipping!$AD$65)*IF(bunker_choice="HFO",$H52,IF(bunker_choice="hydrogen",$BD52*hfo_e_density_lhv/h2_e_density_lhv,(DX52+DZ52)*1000000/EB52*hfo_e_density_lhv/Dme_e_density_lhv))+(F52/24/Shipping!$AD$50*Shipping!$AD$51+Shipping!$AD$59*Shipping!$AD$60)*IF(bunker_choice="HFO",bunker_price_ROT,IF(bunker_choice="hydrogen",$BD52*hfo_e_density_lhv/h2_e_density_lhv,(DX52+DZ52)*1000000/EB52*hfo_e_density_lhv/Dme_e_density_lhv))+Shipping!$AD$73+IF(G52="Panama",Shipping!$AD$55,0)+IF(G52="Suez",Shipping!$AD$56,0))/Shipping!$AD$31*(EB52+Dme_st_ab_losses)/1000000+IF(inland_transport_to_port="hv dc grid",$BM52/100*1000*EE52,IF(inland_transport_to_port="pipeline",$BN52,0)),((F52/24/Shipping!$R$44+F52/24/Shipping!$R$50+Shipping!$R$59+Shipping!$R$64)*(Shipping!$R$22+wacc_nl*Shipping!$R$19/365.25*1000000+Shipping!$R$35)+(F52/24/Shipping!$R$44*Shipping!$R$45+Shipping!$R$64*Shipping!$R$65)*IF(bunker_choice="HFO",$H52,IF(bunker_choice="hydrogen",$BD52*hfo_e_density_lhv/h2_e_density_lhv,(DX52+DZ52)*1000000/EB52*hfo_e_density_lhv/Dme_e_density_lhv))+(F52/24/Shipping!$R$50*Shipping!$R$51+Shipping!$R$59*Shipping!$R$60)*IF(bunker_choice="HFO",bunker_price_ROT,IF(bunker_choice="hydrogen",$BD52*hfo_e_density_lhv/h2_e_density_lhv,(DX52+DZ52)*1000000/EB52*hfo_e_density_lhv/Dme_e_density_lhv))+Shipping!$R$73+IF(G52="Panama",Shipping!$R$55,0)+IF(G52="Suez",Shipping!$R$56,0))/Shipping!$R$31*(EB52+Dme_st_ab_losses)/1000000+IF(inland_transport_to_port="hv dc grid",$BM52/100*1000*EE52,IF(inland_transport_to_port="pipeline",$BN52,0)))))</f>
        <v>2218.6480986195174</v>
      </c>
      <c r="ED52" s="28">
        <f t="shared" si="39"/>
        <v>98624.146002073438</v>
      </c>
      <c r="EE52" s="29">
        <f>(Dme_e_demand)*(EB52+Dme_st_ab_losses)/1000000+Dme_st_e_demand*DZ52/1000000+$CV52*(Carriers!$X$21/Carriers!$X$23*EB52)/$CS52</f>
        <v>1550.2168135548748</v>
      </c>
      <c r="EF52" s="29">
        <f t="shared" si="86"/>
        <v>1.0354708994708997</v>
      </c>
      <c r="EG52" s="28">
        <f>IFERROR(ED52*1000000/Storage!$Q$12,"")</f>
        <v>952.45695511547433</v>
      </c>
      <c r="EH52" s="28">
        <f>IF($E52="","No Port",((F52/24/Shipping!$R$44+F52/24/Shipping!$R$50+Shipping!$R$59+Shipping!$R$64)*Carriers!$X$39*wacc_nl))</f>
        <v>33.147233233455708</v>
      </c>
      <c r="EI52" s="100">
        <f>H2_retrieval!$P$25*h2_demand_kt/1000+(co2_liq_e_demand+co2_st_e_demand*2)*Storage!$Q$12*co2_density/Dme_density/1000000</f>
        <v>252.45335899349112</v>
      </c>
      <c r="EJ52" s="28">
        <f>IFERROR((((DX52+DZ52+EC52)*(1+H2_retrieval!$P$34)+EH52)*1000000/H2_retrieval!$P$8)+h2_regen_dme,"")</f>
        <v>7299.4538503997255</v>
      </c>
      <c r="EK52" s="149">
        <f>(ome_invest*(M52+1/ome_lifetime)/ome_prod+ome_opex+ome_e_demand*1000*$AU52/100+Carriers!$Z$21/Carriers!$Z$23*(CO52*1000000/CS52))*(EO52+ome_st_ab_losses)/1000000</f>
        <v>165707.56845114016</v>
      </c>
      <c r="EL52" s="86">
        <f>(ome_invest*(M52+1/ome_lifetime)/ome_prod+ome_opex+ome_e_demand*1000*$AU52/100+Carriers!$Z$21/Carriers!$Z$23*(CP52*1000000/CS52))*(EO52+ome_st_ab_losses)/1000000</f>
        <v>203684.4345877856</v>
      </c>
      <c r="EM52" s="63">
        <f>ome_st_nl_cost*ome_st_nl_demand/1000000+(ome_st_invest*(M52+1/ome_st_lifetime+ome_st_opex)/(Storage!$S$63/1000000)+ome_st_e_demand*1000*$AU52/100)*(EO52+ome_st_ab_losses)/1000000+co2_st_nl_cost*Storage!$S$12*co2_density/ome_density/1000000+(co2_st_opex_lev+co2_st_invest_lev+co2_st_e_demand*1000*$AU52/100)*Storage!$S$12/1000000+co2_st_invest_lev*Storage!$S$12*co2_st_lifetime*M52/1000000+(h2_demand_kt*1000/365.25*short_st_duration_hrs/24)*(h2_short_st_invest*(1/gh2_short_st_lifetime+$M52+h2_short_st_opex)+h2_short_st_e_demand*1000*$AU52/100)/1000000</f>
        <v>4620.8806957221741</v>
      </c>
      <c r="EN52" s="63">
        <f>ome_st_nl_cost*ome_st_nl_demand/1000000+(ome_st_invest*(M52+1/ome_st_lifetime+ome_st_opex)/(Storage!$S$63/1000000)+ome_st_e_demand*1000*$AU52/100)*(EO52+ome_st_ab_losses)/1000000+(h2_demand_kt*1000/365.25*short_st_duration_hrs/24)*(h2_short_st_invest*(1/gh2_short_st_lifetime+$M52+h2_short_st_opex)+h2_short_st_e_demand*1000*$AU52/100)/1000000</f>
        <v>1500.0365446739925</v>
      </c>
      <c r="EO52" s="63">
        <f>Storage!$S$57/((1-Shipping!$T$37)^($F52/24/Shipping!$T$44+0.5*Shipping!$T$59))</f>
        <v>128282539.68253967</v>
      </c>
      <c r="EP52" s="28">
        <f>IF($E52="","No Port",IF(AND(ship_choice="VLCC",G52="Panama"),"Ship cannot pass through Panama",IF(ship_choice="VLCC",((F52/24/Shipping!$AD$44+F52/24/Shipping!$AD$50+Shipping!$AD$59+Shipping!$AD$64)*(Shipping!$AD$22+wacc_nl*Shipping!$AD$19/365.25*1000000+Shipping!$AD$35)+(F52/24/Shipping!$AD$44*Shipping!$AD$45+Shipping!$AD$64*Shipping!$AD$65)*IF(bunker_choice="HFO",$H52,IF(bunker_choice="hydrogen",$BD52*hfo_e_density_lhv/h2_e_density_lhv,(EK52+EM52)*1000000/EO52*hfo_e_density_lhv/Dme_e_density_lhv))+(F52/24/Shipping!$AD$50*Shipping!$AD$51+Shipping!$AD$59*Shipping!$AD$60)*IF(bunker_choice="HFO",bunker_price_ROT,IF(bunker_choice="hydrogen",$BD52*hfo_e_density_lhv/h2_e_density_lhv,(EK52+EM52)*1000000/EO52*hfo_e_density_lhv/ome_e_density_lhv))+Shipping!$AD$73+IF(G52="Panama",Shipping!$AD$55,0)+IF(G52="Suez",Shipping!$AD$56,0))/Shipping!$AD$31*(EO52+ome_st_ab_losses)/1000000+IF(inland_transport_to_port="hv dc grid",$BM52/100*1000*ER52,IF(inland_transport_to_port="pipeline",$BN52,0)),((F52/24/Shipping!$T$44+F52/24/Shipping!$T$50+Shipping!$T$59+Shipping!$T$64)*(Shipping!$T$22+wacc_nl*Shipping!$T$19/365.25*1000000+Shipping!$T$35)+(F52/24/Shipping!$T$44*Shipping!$T$45+Shipping!$T$64*Shipping!$T$65)*IF(bunker_choice="HFO",$H52,IF(bunker_choice="hydrogen",$BD52*hfo_e_density_lhv/h2_e_density_lhv,(EK52+EM52)*1000000/EO52*hfo_e_density_lhv/Dme_e_density_lhv))+(F52/24/Shipping!$T$50*Shipping!$T$51+Shipping!$T$59*Shipping!$T$60)*IF(bunker_choice="HFO",bunker_price_ROT,IF(bunker_choice="hydrogen",$BD52*hfo_e_density_lhv/h2_e_density_lhv,(EK52+EM52)*1000000/EO52*hfo_e_density_lhv/ome_e_density_lhv))+Shipping!$T$73+IF(G52="Panama",Shipping!$T$55,0)+IF(G52="Suez",Shipping!$T$56,0))/Shipping!$T$31*(EO52+ome_st_ab_losses)/1000000+IF(inland_transport_to_port="hv dc grid",$BM52/100*1000*ER52,IF(inland_transport_to_port="pipeline",$BN52,0)))))</f>
        <v>2314.3972688863632</v>
      </c>
      <c r="EQ52" s="28">
        <f t="shared" si="40"/>
        <v>207498.86840134594</v>
      </c>
      <c r="ER52" s="29">
        <f>(ome_e_demand)*(EO52+ome_st_ab_losses)/1000000+ome_st_e_demand*EM52/1000000+$CV52*(Carriers!$Z$21/Carriers!$Z$23*EO52)/$CS52</f>
        <v>3352.0814570721045</v>
      </c>
      <c r="ES52" s="29">
        <f t="shared" si="87"/>
        <v>0.1924238095238095</v>
      </c>
      <c r="ET52" s="28">
        <f>IFERROR(EQ52*1000000/Storage!$S$12,"")</f>
        <v>1617.5145028687664</v>
      </c>
      <c r="EU52" s="28">
        <f>IF($E52="","No Port",((F52/24/Shipping!$T$44+F52/24/Shipping!$T$50+Shipping!$T$59+Shipping!$T$64)*Carriers!$Z$39*wacc_nl))</f>
        <v>39.011959799190777</v>
      </c>
      <c r="EV52" s="100">
        <f>H2_retrieval!$R$25*h2_demand_kt/1000+(co2_liq_e_demand+co2_st_e_demand*2)*Storage!$S$12*co2_density/ome_density/1000000</f>
        <v>254.51942895252085</v>
      </c>
      <c r="EW52" s="28">
        <f>IFERROR((((EK52+EM52+EP52)*(1+H2_retrieval!$R$34)+EU52)*1000000/H2_retrieval!$R$8)+h2_regen_ome,"")</f>
        <v>13867.3240119864</v>
      </c>
      <c r="EX52" s="149">
        <f>(sng_invest*(M52+1/sng_lifetime)/sng_prod+lng_invest*(M52+1/lng_lifetime)/lng_prod+sng_opex+lng_opex+(sng_e_demand+lng_e_demand)*1000*$AU52/100+Carriers!$AB$18/Carriers!$AB$23*BD52+Carriers!$AB$20/Carriers!$AB$23*co2_liq_cost)*(FB52+lng_st_ab_losses)/1000000</f>
        <v>57254.109586486135</v>
      </c>
      <c r="EY52" s="86">
        <f>(sng_invest*(M52+1/sng_lifetime)/sng_prod+lng_invest*(M52+1/lng_lifetime)/lng_prod+sng_opex+lng_opex+(sng_e_demand+lng_e_demand)*1000*$AU52/100+Carriers!$AB$18/Carriers!$AB$23*BD52+Carriers!$AB$20/Carriers!$AB$23*BP52)*(FB52+lng_st_ab_losses)/1000000</f>
        <v>67151.375426261176</v>
      </c>
      <c r="EZ52" s="63">
        <f>lng_st_nl_cost*lng_st_nl_demand/1000000+(lng_st_invest*(M52+1/lng_st_lifetime+lng_st_opex)/(Storage!$U$63/1000000)+lng_st_e_demand*1000*$AU52/100)*(FB52+lng_st_ab_losses)/1000000+co2_st_nl_cost*Storage!$U$12*co2_density/lng_density/1000000+(co2_st_opex_lev+co2_st_invest_lev+co2_st_e_demand*1000*$AU52/100)*Storage!$U$12/1000000+co2_st_invest_lev*Storage!$U$12*co2_st_lifetime*M52/1000000+Carriers!$AB$18/Carriers!$AB$23*((FB52+lng_st_ab_losses)/365.25*short_st_duration_hrs/24)*(h2_short_st_invest*(1/gh2_short_st_lifetime+$M52+h2_short_st_opex)+h2_short_st_e_demand*1000*$AU52/100)/1000000+Carriers!$AB$20/Carriers!$AB$23*((FB52+lng_st_ab_losses)/365.25*short_st_duration_hrs/24)*(co2_short_st_invest*(1/co2_short_st_lifetime+$M52+co2_short_st_opex)+co2_short_st_e_demand*1000*$AU52/100)/1000000</f>
        <v>5484.5988949798302</v>
      </c>
      <c r="FA52" s="63">
        <f>lng_st_nl_cost*lng_st_nl_demand/1000000+(lng_st_invest*(M52+1/lng_st_lifetime+lng_st_opex)/(Storage!$U$63/1000000)+lng_st_e_demand*1000*$AU52/100)*(FB52+lng_st_ab_losses)/1000000+Carriers!$AB$18/Carriers!$AB$23*((FB52+lng_st_ab_losses)/365.25*short_st_duration_hrs/24)*(h2_short_st_invest*(1/gh2_short_st_lifetime+$M52+h2_short_st_opex)+h2_short_st_e_demand*1000*$AU52/100)/1000000+Carriers!$AB$20/Carriers!$AB$23*((FB52+lng_st_ab_losses)/365.25*short_st_duration_hrs/24)*(co2_short_st_invest*(1/co2_short_st_lifetime+$M52+co2_short_st_opex)+co2_short_st_e_demand*1000*$AU52/100)/1000000</f>
        <v>3952.3465545112199</v>
      </c>
      <c r="FB52" s="63">
        <f>Storage!$U$57/((1-Shipping!$V$37)^($F52/24/Shipping!$V$44+0.5*Shipping!$V$59))</f>
        <v>40859161.897484526</v>
      </c>
      <c r="FC52" s="28">
        <f>IF($E52="","No Port",IF(G52="Panama","Ship cannot pass through Panama",((F52/24/Shipping!$V$44+F52/24/Shipping!$V$50+Shipping!$V$59+Shipping!$V$64)*(Shipping!$V$22+wacc_nl*Shipping!$V$19/365.25*1000000+Shipping!$V$35)+(F52/24/Shipping!$V$44*Shipping!$V$45+Shipping!$V$64*Shipping!$V$65)*IF(bunker_choice="HFO",$H52,IF(bunker_choice="hydrogen",$BD52*hfo_e_density_lhv/h2_e_density_lhv,(EX52+EZ52)*1000000/FB52*hfo_e_density_lhv/lng_e_density_lhv))+(F52/24/Shipping!$V$50*Shipping!$V$51+Shipping!$V$59*Shipping!$V$60)*IF(bunker_choice="HFO",bunker_price_ROT,IF(bunker_choice="hydrogen",$BD52*hfo_e_density_lhv/h2_e_density_lhv,(EX52+EZ52)*1000000/FB52*hfo_e_density_lhv/lng_e_density_lhv))+Shipping!$V$73+IF(G52="Panama",Shipping!$V$55,0)+IF(G52="Suez",Shipping!$V$56,0))/Shipping!$V$31*(FB52+lng_st_ab_losses)/1000000)+IF(inland_transport_to_port="hv dc grid",$BM52/100*1000*FE52,IF(inland_transport_to_port="pipeline",$BN52,0)))</f>
        <v>1284.6652049235724</v>
      </c>
      <c r="FD52" s="28">
        <f t="shared" si="41"/>
        <v>72388.387185695974</v>
      </c>
      <c r="FE52" s="29">
        <f>((Carriers!$AB$18/Carriers!$AB$23*alk_el_e_demand)+sng_e_demand+lng_e_demand)*(FB52+lng_st_ab_losses)/1000000+lng_st_e_demand*EZ52/1000000</f>
        <v>1095.8219019232804</v>
      </c>
      <c r="FF52" s="29">
        <f t="shared" si="88"/>
        <v>0.8126185861001558</v>
      </c>
      <c r="FG52" s="28">
        <f>IFERROR(FD52*1000000/Storage!$U$12,"")</f>
        <v>1783.6625440780842</v>
      </c>
      <c r="FH52" s="28">
        <f>IF($E52="","No Port",((F52/24/Shipping!$V$44+F52/24/Shipping!$V$50+Shipping!$V$59+Shipping!$V$64)*Carriers!$AB$39*wacc_nl))</f>
        <v>11.899400920578817</v>
      </c>
      <c r="FI52" s="100">
        <f>H2_retrieval!$T$25*h2_demand_kt/1000+(co2_liq_e_demand+co2_st_e_demand*2)*Storage!$U$12*co2_density/lng_density/1000000</f>
        <v>236.51371749646054</v>
      </c>
      <c r="FJ52" s="28">
        <f>IFERROR((((EX52+EZ52+FC52)*(1+H2_retrieval!$T$34)+FH52)*1000000/H2_retrieval!$T$8)+h2_regen_lng,"")</f>
        <v>5878.6045054983297</v>
      </c>
      <c r="FK52" s="149">
        <f>(lh2_invest*(M52+1/lh2_lifetime)/lh2_prod+lh2_opex+lh2_e_demand*1000*$AU52/100+Carriers!$AD$18/Carriers!$AD$23*BD52)*(FM52+lh2_st_ab_losses)/1000000</f>
        <v>44612.010181837773</v>
      </c>
      <c r="FL52" s="28">
        <f>lh2_st_nl_cost*lh2_st_nl_demand/1000000+(lh2_st_invest*(M52+1/lh2_st_lifetime+lh2_st_opex)/(Storage!$Y$63/1000000)+lh2_st_e_demand*1000*$AU52/100)*(FM52+lh2_st_ab_losses)/1000000+((FM52+lh2_st_ab_losses)/365.25*short_st_duration_hrs/24)*(h2_short_st_invest*(1/gh2_short_st_lifetime+$M52+h2_short_st_opex)+h2_short_st_e_demand*1000*$AU52/100)/1000000</f>
        <v>46534.861497048114</v>
      </c>
      <c r="FM52" s="63">
        <f>Storage!$Y$57/((1-Shipping!$Z$37)^($F52/24/Shipping!$Z$44+0.5*Shipping!$Z$59))</f>
        <v>13741678.546806773</v>
      </c>
      <c r="FN52" s="28">
        <f>IF($E52="","No Port",IF(G52="Panama","Ship cannot pass through Panama",((F52/24/Shipping!$Z$44+F52/24/Shipping!$Z$50+Shipping!$Z$59+Shipping!$Z$64)*(Shipping!$Z$22+wacc_nl*Shipping!$Z$19/365.25*1000000+Shipping!$Z$35)+(F52/24/Shipping!$Z$44*Shipping!$Z$45+Shipping!$Z$64*Shipping!$Z$65)*IF(bunker_choice="HFO",$H52,IF(bunker_choice="hydrogen",$BD52*hfo_e_density_lhv/h2_e_density_lhv,(FK52+FL52)*1000000/FM52*hfo_e_density_lhv/lh2_e_density_lhv))+(F52/24/Shipping!$Z$50*Shipping!$Z$51+Shipping!$Z$59*Shipping!$Z$60)*IF(bunker_choice="HFO",bunker_price_ROT,IF(bunker_choice="hydrogen",$BD52*hfo_e_density_lhv/h2_e_density_lhv,(FK52+FL52)*1000000/FM52*hfo_e_density_lhv/lh2_e_density_lhv))+Shipping!$Z$73+IF(G52="Panama",Shipping!$Z$55,0)+IF(G52="Suez",Shipping!$Z$56,0))/Shipping!$Z$31*(FM52+lh2_st_ab_losses)/1000000)+IF(inland_transport_to_port="hv dc grid",$BM52/100*1000*FP52,IF(inland_transport_to_port="pipeline",$BN52,0)))</f>
        <v>1783.5229200789677</v>
      </c>
      <c r="FO52" s="28">
        <f t="shared" si="42"/>
        <v>92930.394598964849</v>
      </c>
      <c r="FP52" s="29">
        <f>((Carriers!$AD$18/Carriers!$AD$23*alk_el_e_demand)+lh2_e_demand)*(FM52+lh2_st_ab_losses)/1000000+lh2_st_e_demand*FM52/1000000</f>
        <v>796.32999065371166</v>
      </c>
      <c r="FQ52" s="100">
        <f t="shared" si="89"/>
        <v>1.361902463475859</v>
      </c>
      <c r="FR52" s="28">
        <f>IFERROR(FO52*1000000/Storage!$Y$12,"")</f>
        <v>6833.1172499238855</v>
      </c>
      <c r="FS52" s="100">
        <f>H2_retrieval!$V$25*h2_demand_kt/1000</f>
        <v>8.16</v>
      </c>
      <c r="FT52" s="28">
        <f>IFERROR(FR52*(1+H2_retrieval!$V$34)/Carrier_properties!$U$7+H2_retrieval!$V$38,"")</f>
        <v>6865.0859757923527</v>
      </c>
      <c r="FU52" s="12"/>
      <c r="FV52" s="24">
        <f t="shared" si="90"/>
        <v>3.1313111931447049</v>
      </c>
      <c r="FW52" s="24">
        <f t="shared" si="57"/>
        <v>3.5903075808240188</v>
      </c>
      <c r="FX52" s="24">
        <f t="shared" si="58"/>
        <v>5.4456860357841821</v>
      </c>
      <c r="FY52" s="24">
        <f t="shared" si="45"/>
        <v>3.1313111931447049</v>
      </c>
      <c r="FZ52" s="28">
        <f t="shared" si="59"/>
        <v>2414.8591799611172</v>
      </c>
      <c r="GA52" s="28">
        <f t="shared" si="47"/>
        <v>551.55720739246181</v>
      </c>
      <c r="GB52" s="28">
        <f t="shared" si="48"/>
        <v>389.86513817458996</v>
      </c>
      <c r="GC52" s="28">
        <f t="shared" si="49"/>
        <v>620.53029967304815</v>
      </c>
      <c r="GD52" s="28">
        <f t="shared" si="50"/>
        <v>906.4417630902085</v>
      </c>
      <c r="GE52" s="28">
        <f t="shared" si="51"/>
        <v>1587.7798731755911</v>
      </c>
      <c r="GF52" s="28">
        <f t="shared" si="52"/>
        <v>1643.4839166486995</v>
      </c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</row>
    <row r="53" spans="1:214" x14ac:dyDescent="0.2">
      <c r="A53" s="40" t="s">
        <v>59</v>
      </c>
      <c r="B53" s="12">
        <v>693</v>
      </c>
      <c r="C53" s="12">
        <v>1</v>
      </c>
      <c r="D53" s="12">
        <f t="shared" si="61"/>
        <v>0</v>
      </c>
      <c r="E53" s="12" t="s">
        <v>722</v>
      </c>
      <c r="F53" s="12">
        <v>2051</v>
      </c>
      <c r="G53" s="12"/>
      <c r="H53" s="16">
        <f t="shared" si="62"/>
        <v>382.75862068965517</v>
      </c>
      <c r="I53" s="16">
        <v>547557</v>
      </c>
      <c r="J53" s="16">
        <f t="shared" si="31"/>
        <v>417.48389950887673</v>
      </c>
      <c r="K53" s="27">
        <f t="shared" si="32"/>
        <v>500.98067941065204</v>
      </c>
      <c r="L53" s="103">
        <v>6.3E-2</v>
      </c>
      <c r="M53" s="103">
        <f t="shared" si="63"/>
        <v>8.5982087087170631E-2</v>
      </c>
      <c r="N53" s="122">
        <f t="shared" si="33"/>
        <v>0.9</v>
      </c>
      <c r="O53" s="46">
        <f t="shared" si="64"/>
        <v>40</v>
      </c>
      <c r="P53" s="70">
        <f t="array" ref="P53">SUMPRODUCT(IF(Solar_data!A$4:A$777=A53,Solar_data!C$4:C$777),IF(Solar_data!A$4:A$777=A53,Solar_data!I$4:I$777))/SUMIF(Solar_data!A$4:A$777,A53,Solar_data!I$4:I$777)</f>
        <v>1468.9957020649513</v>
      </c>
      <c r="Q53" s="16">
        <f t="array" ref="Q53">MAX(IF(Solar_data!$A$777:'Solar_data'!$A$4=Country_details!$A53,Solar_data!$C$4:'Solar_data'!$C$777))</f>
        <v>1916.25</v>
      </c>
      <c r="R53" s="16">
        <f t="array" ref="R53">MIN(IF(Solar_data!$A$777:'Solar_data'!$A$4=Country_details!A53,Solar_data!$C$4:'Solar_data'!$C$777))</f>
        <v>1186.25</v>
      </c>
      <c r="S53" s="24">
        <f t="shared" si="65"/>
        <v>2.3441255652022392</v>
      </c>
      <c r="T53" s="24">
        <f t="shared" si="66"/>
        <v>1.7970047647137191</v>
      </c>
      <c r="U53" s="24">
        <f t="shared" si="67"/>
        <v>2.9028538506913923</v>
      </c>
      <c r="V53" s="16">
        <f t="array" ref="V53">SUM(IF(Solar_data!$A$777:'Solar_data'!$A$4=Country_details!$A53,Solar_data!$I$4:'Solar_data'!$I$777))</f>
        <v>3193.0481671155226</v>
      </c>
      <c r="W53" s="148"/>
      <c r="X53" s="16">
        <f>IFERROR(INDEX(Onshore_wind_data!$J$5:'Onshore_wind_data'!$J$221,MATCH(A53,Onshore_wind_data!$B$5:'Onshore_wind_data'!$B$221,0)),"")</f>
        <v>3123.5779681398253</v>
      </c>
      <c r="Y53" s="16">
        <f>IFERROR(INDEX(Onshore_wind_data!$K$5:'Onshore_wind_data'!$K$221,MATCH(A53,Onshore_wind_data!$B$5:'Onshore_wind_data'!$B$221,0)),"")</f>
        <v>3285.5</v>
      </c>
      <c r="Z53" s="16">
        <f>IFERROR(INDEX(Onshore_wind_data!$L$5:'Onshore_wind_data'!$L$221,MATCH(A53,Onshore_wind_data!$B$5:'Onshore_wind_data'!$B$221,0)),"")</f>
        <v>2847.5</v>
      </c>
      <c r="AA53" s="24">
        <f t="shared" si="68"/>
        <v>3.6406981673208967</v>
      </c>
      <c r="AB53" s="24">
        <f t="shared" si="69"/>
        <v>3.4612706084585576</v>
      </c>
      <c r="AC53" s="24">
        <f t="shared" si="70"/>
        <v>3.9936802753610507</v>
      </c>
      <c r="AD53" s="16">
        <f>IFERROR(INDEX(Onshore_wind_data!$I$5:'Onshore_wind_data'!$I$221,MATCH(A53,Onshore_wind_data!$B$5:'Onshore_wind_data'!$B$221,0)),"")</f>
        <v>416.65125395000001</v>
      </c>
      <c r="AE53" s="148"/>
      <c r="AF53" s="16">
        <f>INDEX(Offshore_wind_data!$AA$7:$AA$192,MATCH(Country_details!A53,Offshore_wind_data!$A$7:$A$192,0))</f>
        <v>4000.3742772483383</v>
      </c>
      <c r="AG53" s="16">
        <f>INDEX(Offshore_wind_data!$Y$7:$Y$192,MATCH(Country_details!A53,Offshore_wind_data!$A$7:$A$192,0))</f>
        <v>4204.8</v>
      </c>
      <c r="AH53" s="16">
        <f>INDEX(Offshore_wind_data!$Z$7:$Z$192,MATCH(Country_details!A53,Offshore_wind_data!$A$7:$A$192,0))</f>
        <v>3153.6</v>
      </c>
      <c r="AI53" s="24">
        <f t="shared" si="71"/>
        <v>5.4588622660639716</v>
      </c>
      <c r="AJ53" s="24">
        <f t="shared" si="72"/>
        <v>5.1934675114640143</v>
      </c>
      <c r="AK53" s="24">
        <f t="shared" si="73"/>
        <v>6.9246233486186863</v>
      </c>
      <c r="AL53" s="16">
        <f>INDEX(Offshore_wind_data!$W$7:$W$191,MATCH(A53,Offshore_wind_data!$A$7:$A$191,0))</f>
        <v>2997.1604160000002</v>
      </c>
      <c r="AM53" s="148"/>
      <c r="AN53" s="12">
        <v>65</v>
      </c>
      <c r="AO53" s="12">
        <v>70.599999999999994</v>
      </c>
      <c r="AP53" s="34">
        <f>3.8399*11.63</f>
        <v>44.658037000000007</v>
      </c>
      <c r="AQ53" s="15">
        <f t="shared" si="74"/>
        <v>50</v>
      </c>
      <c r="AR53" s="12">
        <f t="shared" si="34"/>
        <v>3529.9999999999995</v>
      </c>
      <c r="AS53" s="16">
        <f t="shared" si="35"/>
        <v>3076.8598370655232</v>
      </c>
      <c r="AT53" s="12"/>
      <c r="AU53" s="24">
        <f t="shared" si="75"/>
        <v>3.2259721951967411</v>
      </c>
      <c r="AV53" s="16">
        <f t="shared" si="76"/>
        <v>4592.5736702047761</v>
      </c>
      <c r="AW53" s="149">
        <f>HV_DC_Grid!$E$3/(1-AX53)*AU53/100*1000</f>
        <v>3316.5935980089189</v>
      </c>
      <c r="AX53" s="31">
        <f>(1-(1-HV_DC_Grid!$E$25)^(B53*C53*HV_DC_Grid!$E$8/1000))+(1-(1-HV_DC_Grid!$E$26)^(B53*D53*HV_DC_Grid!$E$8/1000))+HV_DC_Grid!$E$35*HV_DC_Grid!$E$28</f>
        <v>2.7323637984039126E-2</v>
      </c>
      <c r="AY53" s="28">
        <f>B53*nl_e_demand/IF(hv_dc_flh="electricity FLH",$AV53,hv_dc_custom)*1000*hv_dc_capacity_multiplier*hv_dc_length_multiplier*1000*(C53*hv_dc_overhead_invest*(hv_dc_overhead_opex+M53+1/hv_dc_lifetime)+D53*hv_dc_sea_invest*(hv_dc_sea_opex+M53+1/hv_dc_lifetime))/1000000+HV_DC_Grid!$E$10*1000*hv_dc_station_invest*hv_dc_station_number*(hv_dc_station_opex+M53+1/hv_dc_lifetime)/1000000</f>
        <v>762.07100584557122</v>
      </c>
      <c r="AZ53" s="24">
        <f>(AW53+AY53)/(HV_DC_Grid!$E$3*1000)*100</f>
        <v>4.0786646038544898</v>
      </c>
      <c r="BA53" s="28">
        <f>MIN(((Carriers!$F$26+Carriers!$F$27)*(alk_el_opex+wacc_nl+1/alk_el_lifetime)+IF(hv_dc_flh="electricity FLH",$AV53,hv_dc_custom)*AZ53/100)/(IF(hv_dc_flh="electricity FLH",$AV53,hv_dc_custom)/alk_el_e_demand)*1000,((Carriers!$H$26+Carriers!$H$27)*(pem_el_opex+wacc_nl+1/pem_el_lifetime)+IF(hv_dc_flh="electricity FLH",$AV53,hv_dc_custom)*AZ53/100)/(IF(hv_dc_flh="electricity FLH",$AV53,hv_dc_custom)/pem_el_e_demand)*1000)</f>
        <v>2419.2564168671952</v>
      </c>
      <c r="BB53" s="12"/>
      <c r="BC53" s="12"/>
      <c r="BD53" s="149">
        <f>MIN(((Carriers!$F$26+Carriers!$F$27)*(alk_el_opex+M53+1/alk_el_lifetime)+$AV53*$AU53/100)/($AV53/alk_el_e_demand)*1000,((Carriers!$H$26+Carriers!$H$27)*(pem_el_opex+M53+1/pem_el_lifetime)+$AV53*$AU53/100)/($AV53/pem_el_e_demand)*1000)</f>
        <v>2241.7379399906949</v>
      </c>
      <c r="BE53" s="28">
        <f>Storage!$AC$50</f>
        <v>8.1664117557772418</v>
      </c>
      <c r="BF53" s="28">
        <f>((Pipeline!$D$22*Pipeline!$D$24*B53*(pipeline_opex+M53+1/pipeline_lifetime))*(Pipeline!$D$39/Pipeline!$D$3)+(Pipeline!$D$57*(pipeline_comp_opex+M53+1/pipeline_comp_lifetime)+Pipeline!$D$47*1000*Pipeline!$D$45*$AU53/100/1000000))*(Pipeline!$D$75/Pipeline!$D$45)</f>
        <v>1330.6663451351646</v>
      </c>
      <c r="BG53" s="28">
        <f>BD53+(BE53+BF53)/Storage!$AC$12*1000000</f>
        <v>2340.1815250562054</v>
      </c>
      <c r="BH53" s="28"/>
      <c r="BI53" s="28"/>
      <c r="BJ53" s="28">
        <f>IF($E53="","No Port",BK53*HV_DC_Grid!$E$3*$AU53/100*1000)</f>
        <v>76.293435662527529</v>
      </c>
      <c r="BK53" s="31">
        <f>IFERROR((1-(1-HV_DC_Grid!$E$25)^(K53*HV_DC_Grid!$E$8/1000))+HV_DC_Grid!$E$35*HV_DC_Grid!$E$28,"")</f>
        <v>2.3649749919147908E-2</v>
      </c>
      <c r="BL53" s="28">
        <f>IFERROR(K53*nl_e_demand/IF(hv_dc_flh="electricity FLH",$AV53,hv_dc_custom)*1000*hv_dc_capacity_multiplier*hv_dc_length_multiplier*1000*(hv_dc_overhead_invest*(hv_dc_overhead_opex+M53+1/hv_dc_lifetime))/1000000+HV_DC_Grid!$E$10*1000*hv_dc_station_invest*hv_dc_station_number*(hv_dc_station_opex+M53+1/hv_dc_lifetime)/1000000,"")</f>
        <v>639.41186352930333</v>
      </c>
      <c r="BM53" s="29">
        <f>IFERROR((BJ53+BL53)/(HV_DC_Grid!$E$3*1000)*100,"")</f>
        <v>0.7157052991918309</v>
      </c>
      <c r="BN53" s="28">
        <f>IFERROR(((Pipeline!$D$22*Pipeline!$D$24*K53*(pipeline_opex+M53+1/pipeline_lifetime))*(Pipeline!$D$39/Pipeline!$D$3)+(Pipeline!$D$57*(pipeline_comp_opex+M53+1/pipeline_comp_lifetime)+Pipeline!$D$47*1000*Pipeline!$D$45*S53/100/1000000))*(Pipeline!$D$75/Pipeline!$D$45),"")</f>
        <v>965.34621451708563</v>
      </c>
      <c r="BO53" s="28"/>
      <c r="BP53" s="150">
        <f t="shared" si="77"/>
        <v>97.233890617167376</v>
      </c>
      <c r="BQ53" s="34">
        <f t="shared" si="78"/>
        <v>28.367599425114559</v>
      </c>
      <c r="BR53" s="151">
        <f>(nh3_invest*(M53+1/nh3_lifetime)/nh3_prod+nh3_opex+nh3_e_demand*1000*$AU53/100+Carriers!$N$18/Carriers!$N$23*BD53+Carriers!$N$19/Carriers!$N$23*BQ53)*(BT53+nh3_st_ab_losses)/1000000</f>
        <v>40710.185025735605</v>
      </c>
      <c r="BS53" s="63">
        <f>nh3_st_nl_cost*nh3_st_nl_demand/1000000+(nh3_st_invest*(M53+1/nh3_st_lifetime+nh3_st_opex)/(Storage!$G$63/1000000)+nh3_st_e_demand*1000*$AU53/100)*(BT53+nh3_st_ab_losses)/1000000+Carriers!$N$18/Carriers!$N$23*((BT53+nh3_st_ab_losses)/365.25*short_st_duration_hrs/24)*(h2_short_st_invest*(1/gh2_short_st_lifetime+$M53+h2_short_st_opex)+h2_short_st_e_demand*1000*$AU53/100)/1000000+Carriers!$N$19/Carriers!$N$23*((BT53+nh3_st_ab_losses)/365.25*short_st_duration_hrs/24)*(n2_short_st_invest*(1/n2_short_st_lifetime+$M53+n2_short_st_opex)+n2_short_st_e_demand*1000*$AU53/100)/1000000</f>
        <v>2948.2488106997721</v>
      </c>
      <c r="BT53" s="63">
        <f>Storage!$G$57/((1-Shipping!$H$37)^(F53/24/Shipping!$H$44+0.5*Shipping!$H$59))</f>
        <v>77859856.005747989</v>
      </c>
      <c r="BU53" s="63">
        <f>IF($E53="","No Port",((F53/24/Shipping!$H$44+F53/24/Shipping!$H$50+Shipping!$H$59+Shipping!$H$64)*(Shipping!$H$22+wacc_nl*Shipping!$H$19/365.25*1000000+Shipping!$H$35)+(F53/24/Shipping!$H$44*Shipping!$H$45+Shipping!$H$64*Shipping!$H$65)*IF(bunker_choice="HFO",H53,IF(bunker_choice="hydrogen",BD53*hfo_e_density_lhv/h2_e_density_lhv,(BR53+BS53)*1000000/BT53*hfo_e_density_lhv/nh3_e_density_lhv))+(F53/24/Shipping!$H$50*Shipping!$H$51+Shipping!$H$59*Shipping!$H$60)*IF(bunker_choice="HFO",bunker_price_ROT,IF(bunker_choice="hydrogen",BD53*hfo_e_density_lhv/h2_e_density_lhv,(BR53+BS53)*1000000/BT53*hfo_e_density_lhv/nh3_e_density_lhv))+Shipping!$H$73+IF(G53="Panama",Shipping!$H$55,0)+IF(G53="Suez",Shipping!$H$56,0))/Shipping!$H$31*BT53/1000000+IF(inland_transport_to_port="hv dc grid",$BM53/100*1000*BW53,IF(inland_transport_to_port="pipeline",$BN53,0)))</f>
        <v>2449.9637409869051</v>
      </c>
      <c r="BV53" s="63">
        <f t="shared" si="91"/>
        <v>46108.397577422278</v>
      </c>
      <c r="BW53" s="33">
        <f>((Carriers!$N$18/Carriers!$N$23*alk_el_e_demand)+(Carriers!$N$19/Carriers!$N$23*n2_e_demand)+nh3_e_demand)*(BT53+nh3_st_ab_losses)/1000000+nh3_st_e_demand*BT53/1000000</f>
        <v>768.89510951765885</v>
      </c>
      <c r="BX53" s="33">
        <f t="shared" si="79"/>
        <v>0.76626754477640768</v>
      </c>
      <c r="BY53" s="63">
        <f>IFERROR(BV53*1000000/Storage!$G$12,"")</f>
        <v>602.22849003018644</v>
      </c>
      <c r="BZ53" s="63">
        <f>H2_retrieval!$F$25*h2_demand_kt/1000</f>
        <v>80</v>
      </c>
      <c r="CA53" s="63">
        <f>IFERROR(BY53*(1+H2_retrieval!$F$34)/Carrier_properties!$E$7+H2_retrieval!$F$38,"")</f>
        <v>3799.5493309247854</v>
      </c>
      <c r="CB53" s="149">
        <f>(FA_invest*(M53+1/FA_lifetime)/FA_prod+FA_opex+FA_e_demand*1000*$AU53/100+Carriers!$P$18/Carriers!$P$23*BD53+Carriers!$P$20/Carriers!$P$23*co2_liq_cost)*(CF53+FA_st_ab_losses)/1000000</f>
        <v>93518.965007534352</v>
      </c>
      <c r="CC53" s="86">
        <f>(FA_invest*(M53+1/FA_lifetime)/FA_prod+FA_opex+FA_e_demand*1000*$AU53/100+Carriers!$P$18/Carriers!$P$23*BD53+Carriers!$P$20/Carriers!$P$23*BP53)*(CF53+FA_st_ab_losses)/1000000</f>
        <v>116705.34692756867</v>
      </c>
      <c r="CD53" s="63">
        <f>FA_st_nl_cost*FA_st_nl_demand/1000000+(FA_st_invest*(M53+1/FA_st_lifetime+FA_st_opex)/(Storage!$I$63/1000000)+FA_st_e_demand*1000*$AU53/100)*(CF53+FA_st_ab_losses)/1000000+co2_st_nl_cost*Storage!$I$12*co2_density/FA_density/1000000+(co2_st_opex_lev+co2_st_invest_lev+co2_st_e_demand*1000*$AU53/100)*Storage!$I$12/1000000+co2_st_invest_lev*Storage!$I$12*co2_st_lifetime*M53/1000000+Carriers!$P$18/Carriers!$P$23*((CF53+FA_st_ab_losses)/365.25*short_st_duration_hrs/24)*(h2_short_st_invest*(1/gh2_short_st_lifetime+$M53+h2_short_st_opex)+h2_short_st_e_demand*1000*$AU53/100)/1000000+Carriers!$P$20/Carriers!$P$23*((CF53+FA_st_ab_losses)/365.25*short_st_duration_hrs/24)*(co2_short_st_invest*(1/co2_short_st_lifetime+$M53+co2_short_st_opex)+co2_short_st_e_demand*1000*$AU53/100)/1000000</f>
        <v>10694.131991487548</v>
      </c>
      <c r="CE53" s="63">
        <f>FA_st_nl_cost*FA_st_nl_demand/1000000+(FA_st_invest*(M53+1/FA_st_lifetime+FA_st_opex)/(Storage!$I$63/1000000)+FA_st_e_demand*1000*$AU53/100)*(CF53+FA_st_ab_losses)/1000000+Carriers!$P$18/Carriers!$P$23*((CF53+FA_st_ab_losses)/365.25*short_st_duration_hrs/24)*(h2_short_st_invest*(1/gh2_short_st_lifetime+$M53+h2_short_st_opex)+h2_short_st_e_demand*1000*$AU53/100)/1000000+Carriers!$P$20/Carriers!$P$23*((CF53+FA_st_ab_losses)/365.25*short_st_duration_hrs/24)*(co2_short_st_invest*(1/co2_short_st_lifetime+$M53+co2_short_st_opex)+co2_short_st_e_demand*1000*$AU53/100)/1000000</f>
        <v>4407.2505204379368</v>
      </c>
      <c r="CF53" s="63">
        <f>Storage!$I$57/((1-Shipping!$J$37)^($F53/24/Shipping!$J$44+0.5*Shipping!$J$59))</f>
        <v>310425396.82539684</v>
      </c>
      <c r="CG53" s="28">
        <f>IF($E53="","No Port",((F53/24/Shipping!$J$44+F53/24/Shipping!$J$50+Shipping!$J$59+Shipping!$J$64)*(Shipping!$J$22+wacc_nl*Shipping!$J$19/365.25*1000000+Shipping!$J$35)+(F53/24/Shipping!$J$44*Shipping!$J$45+Shipping!$J$64*Shipping!$J$65)*IF(bunker_choice="HFO",$H53,IF(bunker_choice="hydrogen",$BD53*hfo_e_density_lhv/h2_e_density_lhv,(CB53+CD53)*1000000/CF53*hfo_e_density_lhv/FA_e_density_lhv))+(F53/24/Shipping!$J$50*Shipping!$J$51+Shipping!$J$59*Shipping!$J$60)*IF(bunker_choice="HFO",bunker_price_ROT,IF(bunker_choice="hydrogen",$BD53*hfo_e_density_lhv/h2_e_density_lhv,(CB53+CD53)*1000000/CF53*hfo_e_density_lhv/FA_e_density_lhv))+Shipping!$J$73+IF(G53="Panama",Shipping!$J$55,0)+IF(G53="Suez",Shipping!$J$56,0))/Shipping!$J$31*CF53/1000000+IF(inland_transport_to_port="hv dc grid",$BM53/100*1000*CI53,IF(inland_transport_to_port="pipeline",$BN53,0)))</f>
        <v>7178.1499644336</v>
      </c>
      <c r="CH53" s="28">
        <f t="shared" si="36"/>
        <v>128290.74741244021</v>
      </c>
      <c r="CI53" s="29">
        <f>((Carriers!$P$18/Carriers!$P$23*alk_el_e_demand)+FA_e_demand)*(CF53+FA_st_ab_losses)/1000000+FA_st_e_demand*CF53/1000000</f>
        <v>1897.8881241622576</v>
      </c>
      <c r="CJ53" s="29">
        <f t="shared" si="80"/>
        <v>0.46563809523809524</v>
      </c>
      <c r="CK53" s="28">
        <f>IFERROR(CH53*1000000/Storage!$I$12,"")</f>
        <v>413.27400632944716</v>
      </c>
      <c r="CL53" s="28">
        <f>IF($E53="","No Port",((F53/24/Shipping!$J$44+F53/24/Shipping!$J$50+Shipping!$J$59+Shipping!$J$64)*Carriers!$P$39*wacc_nl))</f>
        <v>129.75675015971558</v>
      </c>
      <c r="CM53" s="29">
        <f>H2_retrieval!$H$25*h2_demand_kt/1000+(co2_liq_e_demand+co2_st_e_demand*2)*Storage!$I$12*co2_density/FA_density/1000000</f>
        <v>94.204253879484654</v>
      </c>
      <c r="CN53" s="28">
        <f>IFERROR((((CB53+CD53+CG53)*(1+H2_retrieval!$H$34)+CL53)*1000000/H2_retrieval!$H$8)+h2_regen_fa,"")</f>
        <v>8289.7611702386621</v>
      </c>
      <c r="CO53" s="149">
        <f>(meoh_invest*(M53+1/meoh_lifetime)/meoh_prod+meoh_opex+meoh_e_demand*1000*$AU53/100+Carriers!$R$18/Carriers!$R$23*BD53+Carriers!$R$20/Carriers!$R$23*co2_liq_cost)*(CS53+meoh_st_ab_losses)/1000000</f>
        <v>50004.046219935939</v>
      </c>
      <c r="CP53" s="86">
        <f>(meoh_invest*(M53+1/meoh_lifetime)/meoh_prod+meoh_opex+meoh_e_demand*1000*$AU53/100+Carriers!$R$18/Carriers!$R$23*BD53+Carriers!$R$20/Carriers!$R$23*BP53)*(CS53+meoh_st_ab_losses)/1000000</f>
        <v>63615.168213186131</v>
      </c>
      <c r="CQ53" s="63">
        <f>meoh_st_nl_cost*meoh_st_nl_demand/1000000+(meoh_st_invest*(M53+1/meoh_st_lifetime+meoh_st_opex)/(Storage!$K$63/1000000)+meoh_st_e_demand*1000*$AU53/100)*(CS53+meoh_st_ab_losses)/1000000+co2_st_nl_cost*Storage!$K$12*co2_density/meoh_density/1000000+(co2_st_opex_lev+co2_st_invest_lev+co2_st_e_demand*1000*IFERROR(MIN(S53,AA53,AI53),S53)/100)*Storage!$K$12/1000000+co2_st_invest_lev*Storage!$K$12*co2_st_lifetime*M53/1000000+Carriers!$R$18/Carriers!$R$23*((CS53+meoh_st_ab_losses)/365.25*short_st_duration_hrs/24)*(h2_short_st_invest*(1/gh2_short_st_lifetime+$M53+h2_short_st_opex)+h2_short_st_e_demand*1000*$AU53/100)/1000000+Carriers!$R$20/Carriers!$R$23*((CF53+meoh_st_ab_losses)/365.25*short_st_duration_hrs/24)*(co2_short_st_invest*(1/co2_short_st_lifetime+$M53+co2_short_st_opex)+co2_short_st_e_demand*1000*$AU53/100)/1000000</f>
        <v>4384.3892968801492</v>
      </c>
      <c r="CR53" s="63">
        <f>meoh_st_nl_cost*meoh_st_nl_demand/1000000+(meoh_st_invest*(M53+1/meoh_st_lifetime+meoh_st_opex)/(Storage!$K$63/1000000)+meoh_st_e_demand*1000*$AU53/100)*(CS53+meoh_st_ab_losses)/1000000+Carriers!$R$18/Carriers!$R$23*((CS53+meoh_st_ab_losses)/365.25*short_st_duration_hrs/24)*(h2_short_st_invest*(1/gh2_short_st_lifetime+$M53+h2_short_st_opex)+h2_short_st_e_demand*1000*$AU53/100)/1000000+Carriers!$R$20/Carriers!$R$23*((CF53+meoh_st_ab_losses)/365.25*short_st_duration_hrs/24)*(co2_short_st_invest*(1/co2_short_st_lifetime+$M53+co2_short_st_opex)+co2_short_st_e_demand*1000*$AU53/100)/1000000</f>
        <v>1692.503467035066</v>
      </c>
      <c r="CS53" s="63">
        <f>Storage!$K$57/((1-Shipping!$L$37)^($F53/24/Shipping!$L$44+0.5*Shipping!$L$59))</f>
        <v>108044444.44444443</v>
      </c>
      <c r="CT53" s="28">
        <f>IF($E53="","No Port",IF(AND(ship_choice="VLCC",G53="Panama"),"Ship cannot pass through Panama",IF(ship_choice="VLCC",((F53/24/Shipping!$AD$44+F53/24/Shipping!$AD$50+Shipping!$AD$59+Shipping!$AD$64)*(Shipping!$AD$22+wacc_nl*Shipping!$AD$19/365.25*1000000+Shipping!$AD$35)+(F53/24/Shipping!$AD$44*Shipping!$AD$45+Shipping!$AD$64*Shipping!$AD$65)*IF(bunker_choice="HFO",$H53,IF(bunker_choice="hydrogen",$BD53*hfo_e_density_lhv/h2_e_density_lhv,(CO53+CQ53)*1000000/CS53*hfo_e_density_lhv/meoh_e_density_lhv))+(F53/24/Shipping!$AD$50*Shipping!$AD$51+Shipping!$AD$59*Shipping!$AD$60)*IF(bunker_choice="HFO",bunker_price_ROT,IF(bunker_choice="hydrogen",$BD53*hfo_e_density_lhv/h2_e_density_lhv,(CO53+CQ53)*1000000/CS53*hfo_e_density_lhv/meoh_e_density_lhv))+Shipping!$AD$73+IF(G53="Panama",Shipping!$AD$55,0)+IF(G53="Suez",Shipping!$AD$56,0))/Shipping!$AD$31*CS53/1000000+IF(inland_transport_to_port="hv dc grid",$BM53/100*1000*CV53,IF(inland_transport_to_port="pipeline",$BN53,0)),((F53/24/Shipping!$L$44+F53/24/Shipping!$L$50+Shipping!$L$59+Shipping!$L$64)*(Shipping!$L$22+wacc_nl*Shipping!$L$19/365.25*1000000+Shipping!$L$35)+(F53/24/Shipping!$L$44*Shipping!$L$45+Shipping!$L$64*Shipping!$L$65)*IF(bunker_choice="HFO",$H53,IF(bunker_choice="hydrogen",$BD53*hfo_e_density_lhv/h2_e_density_lhv,(CO53+CQ53)*1000000/CS53*hfo_e_density_lhv/meoh_e_density_lhv))+(F53/24/Shipping!$L$50*Shipping!$L$51+Shipping!$L$59*Shipping!$L$60)*IF(bunker_choice="HFO",bunker_price_ROT,IF(bunker_choice="hydrogen",$BD53*hfo_e_density_lhv/h2_e_density_lhv,(CO53+CQ53)*1000000/CS53*hfo_e_density_lhv/meoh_e_density_lhv))+Shipping!$L$73+IF(G53="Panama",Shipping!$L$55,0)+IF(G53="Suez",Shipping!$L$56,0))/Shipping!$L$31*CS53/1000000+IF(inland_transport_to_port="hv dc grid",$BM53/100*1000*CV53,IF(inland_transport_to_port="pipeline",$BN53,0)))))</f>
        <v>2991.9080183210826</v>
      </c>
      <c r="CU53" s="28">
        <f t="shared" si="37"/>
        <v>68299.579698542278</v>
      </c>
      <c r="CV53" s="29">
        <f>((Carriers!$R$18/Carriers!$R$23*alk_el_e_demand)+meoh_e_demand)*(CS53+meoh_st_ab_losses)/1000000+meoh_st_e_demand*CS53/1000000</f>
        <v>1119.9789871111109</v>
      </c>
      <c r="CW53" s="29">
        <f t="shared" si="81"/>
        <v>0.16206666666666666</v>
      </c>
      <c r="CX53" s="28">
        <f>IFERROR(CU53*1000000/Storage!$K$12,"")</f>
        <v>632.14337442089732</v>
      </c>
      <c r="CY53" s="28">
        <f>IF($E53="","No Port",((F53/24/Shipping!$L$44+F53/24/Shipping!$L$50+Shipping!$L$59+Shipping!$L$64)*Carriers!$R$39*wacc_nl))</f>
        <v>46.182346791505935</v>
      </c>
      <c r="CZ53" s="29">
        <f>H2_retrieval!$J$25*h2_demand_kt/1000+(co2_liq_e_demand+co2_st_e_demand*2)*Storage!$K$12*co2_density/meoh_density/1000000</f>
        <v>251.05079059698966</v>
      </c>
      <c r="DA53" s="28">
        <f>IFERROR((((CO53+CQ53+CT53)*(1+H2_retrieval!$J$34)+CY53)*1000000/H2_retrieval!$J$8)+h2_regen_meoh,"")</f>
        <v>5392.6672109849897</v>
      </c>
      <c r="DB53" s="149">
        <f>(DBT_invest*(M53+1/DBT_lifetime)/DBT_prod+DBT_opex+DBT_e_demand*1000*$AU53/100+Carriers!$T$18/Carriers!$T$23*BD53)*(DD53+DBT_st_ab_losses)/1000000</f>
        <v>33350.451133961767</v>
      </c>
      <c r="DC53" s="28">
        <f>2*(DBT_st_nl_cost*DBT_st_nl_demand/1000000+(DBT_st_invest*(M53+1/DBT_st_lifetime+DBT_st_opex)/(Storage!$M$63/1000000)+DBT_st_e_demand*1000*$AU53/100)*(DD53+DBT_st_ab_losses)/1000000)+Carriers!$T$18/Carriers!$T$23*((DD53+DBT_st_ab_losses)/365.25*short_st_duration_hrs/24)*(h2_short_st_invest*(1/gh2_short_st_lifetime+$M53+h2_short_st_opex)+h2_short_st_e_demand*1000*$AU53/100)/1000000</f>
        <v>3588.5214280633431</v>
      </c>
      <c r="DD53" s="63">
        <f>Storage!$M$57/((1-Shipping!$N$37)^($F53/24/Shipping!$N$44+0.5*Shipping!$N$59))</f>
        <v>219354838.70967743</v>
      </c>
      <c r="DE53" s="28">
        <f>IF($E53="","No Port",IF(AND(ship_choice="VLCC",G53="Panama"),"Ship cannot pass through Panama",IF(ship_choice="VLCC",((F53/24/Shipping!$AD$44+F53/24/Shipping!$AD$50+Shipping!$AD$59+Shipping!$AD$64)*(Shipping!$AD$22+wacc_nl*Shipping!$AD$19/365.25*1000000+Shipping!$AD$35)+(F53/24/Shipping!$AD$44*Shipping!$AD$45+Shipping!$AD$64*Shipping!$AD$65)*IF(bunker_choice="HFO",$H53,IF(bunker_choice="hydrogen",$BD53*hfo_e_density_lhv/h2_e_density_lhv,(DB53+DC53)*1000000/DD53*hfo_e_density_lhv/DBT_e_density_lhv))+(F53/24/Shipping!$AD$50*Shipping!$AD$51+Shipping!$AD$59*Shipping!$AD$60)*IF(bunker_choice="HFO",bunker_price_ROT,IF(bunker_choice="hydrogen",$BD53*hfo_e_density_lhv/h2_e_density_lhv,(DB53+DC53)*1000000/DD53*hfo_e_density_lhv/DBT_e_density_lhv))+Shipping!$AD$73+IF(G53="Panama",Shipping!$AD$55,0)+IF(G53="Suez",Shipping!$AD$56,0))/Shipping!$AD$31*DD53/1000000+IF(inland_transport_to_port="hv dc grid",$BM53/100*1000*DG53,IF(inland_transport_to_port="pipeline",$BN53,0)),((F53/24/Shipping!$N$44+F53/24/Shipping!$N$50+Shipping!$N$59+Shipping!$N$64)*(Shipping!$N$22+wacc_nl*Shipping!$N$19/365.25*1000000+Shipping!$N$35)+(F53/24/Shipping!$N$44*Shipping!$N$45+Shipping!$N$64*Shipping!$N$65)*IF(bunker_choice="HFO",$H53,IF(bunker_choice="hydrogen",$BD53*hfo_e_density_lhv/h2_e_density_lhv,(DB53+DC53)*1000000/DD53*hfo_e_density_lhv/DBT_e_density_lhv))+(F53/24/Shipping!$N$50*Shipping!$N$51+Shipping!$N$59*Shipping!$N$60)*IF(bunker_choice="HFO",bunker_price_ROT,IF(bunker_choice="hydrogen",$BD53*hfo_e_density_lhv/h2_e_density_lhv,(DB53+DC53)*1000000/DD53*hfo_e_density_lhv/DBT_e_density_lhv))+Shipping!$N$73+IF(G53="Panama",Shipping!$N$55,0)+IF(G53="Suez",Shipping!$N$56,0))/Shipping!$N$31*Shipping!$N$86/1000000+IF(inland_transport_to_port="hv dc grid",$BM53/100*1000*DG53,IF(inland_transport_to_port="pipeline",$BN53,0)))))</f>
        <v>4747.9636396555679</v>
      </c>
      <c r="DF53" s="28">
        <f t="shared" si="82"/>
        <v>41686.936201680677</v>
      </c>
      <c r="DG53" s="29">
        <f>((Carriers!$T$18/Carriers!$T$23*alk_el_e_demand)+DBT_e_demand)*(DD53+DBT_st_ab_losses)/1000000+DBT_st_e_demand*DD53/1000000</f>
        <v>703.88335483870969</v>
      </c>
      <c r="DH53" s="29">
        <f t="shared" si="83"/>
        <v>0.21935483870967742</v>
      </c>
      <c r="DI53" s="28">
        <f>IFERROR(DF53*1000000/Storage!$M$12,"")</f>
        <v>190.04338562530899</v>
      </c>
      <c r="DJ53" s="28">
        <f>IF($E53="","No Port",((F53/24/Shipping!$N$44+F53/24/Shipping!$N$50+Shipping!$N$59+Shipping!$N$64)*Carriers!$T$39*wacc_nl))</f>
        <v>3363.612054504008</v>
      </c>
      <c r="DK53" s="100">
        <f>H2_retrieval!$L$25*h2_demand_kt/1000+(co2_liq_e_demand+co2_st_e_demand*2)*Storage!$M$12*co2_density/DBT_density/1000000</f>
        <v>206.61934861671787</v>
      </c>
      <c r="DL53" s="28">
        <f>IFERROR(((DF53*(1+H2_retrieval!$L$34)+DJ53)*1000000/H2_retrieval!$L$8)+h2_regen_lohc,"")</f>
        <v>3783.190093593551</v>
      </c>
      <c r="DM53" s="149">
        <f t="shared" si="84"/>
        <v>53678.083205803065</v>
      </c>
      <c r="DN53" s="16">
        <f>2*(nabh4_st_nl_cost*nabh4_st_nl_demand/1000000+(nabh4_st_invest*(M53+1/nabh4_st_lifetime+nabh4_st_opex)/(Storage!$O$63/1000000)+nabh4_st_e_demand*1000*$AU53/100)*(DO53+nabh4_st_ab_losses)/1000000)+(h2_demand_kt*1000/365.25*short_st_duration_hrs/24)*(h2_short_st_invest*(1/gh2_short_st_lifetime+$M53+h2_short_st_opex)+h2_short_st_e_demand*1000*$AU53/100)/1000000</f>
        <v>1282.2889327733733</v>
      </c>
      <c r="DO53" s="63">
        <f>Storage!$O$57/((1-Shipping!$P$37)^($F53/24/Shipping!$P$44+0.5*Shipping!$P$59))</f>
        <v>63920000</v>
      </c>
      <c r="DP53" s="16">
        <f>IF($E53="","No Port",((F53/24/Shipping!$P$44+F53/24/Shipping!$P$50+Shipping!$P$59+Shipping!$P$64)*(Shipping!$P$22+wacc_nl*Shipping!$P$19/365.25*1000000+Shipping!$P$35)+(F53/24/Shipping!$P$44*Shipping!$P$45+Shipping!$P$64*Shipping!$P$65)*IF(bunker_choice="HFO",$H53,IF(bunker_choice="hydrogen",$BD53*hfo_e_density_lhv/h2_e_density_lhv,(DM53+DN53)*1000000/DO53*hfo_e_density_lhv/nabh4_e_density_lhv))+(F53/24/Shipping!$P$50*Shipping!$P$51+Shipping!$P$59*Shipping!$P$60)*IF(bunker_choice="HFO",bunker_price_ROT,IF(bunker_choice="hydrogen",$BD53*hfo_e_density_lhv/h2_e_density_lhv,(DM53+DN53)*1000000/DO53*hfo_e_density_lhv/nabh4_e_density_lhv))+Shipping!$P$73+IF(G53="Panama",Shipping!$P$55,0)+IF(G53="Suez",Shipping!$P$56,0))/Shipping!$P$31*(DO53+nabh4_st_ab_losses)/1000000+IF(inland_transport_to_port="hv dc grid",$BM53/100*1000*DR53,IF(inland_transport_to_port="pipeline",$BN53,0)))</f>
        <v>1908.170063441099</v>
      </c>
      <c r="DQ53" s="28">
        <f t="shared" si="60"/>
        <v>56868.542202017532</v>
      </c>
      <c r="DR53" s="29">
        <f>((Carriers!$V$18/Carriers!$V$23*alk_el_e_demand)+nabh4_e_demand)*(DO53+nabh4_st_ab_losses)/1000000+nabh4_st_e_demand*DO53/1000000</f>
        <v>980.02139682539689</v>
      </c>
      <c r="DS53" s="28">
        <f t="shared" si="85"/>
        <v>3.1960000000000002</v>
      </c>
      <c r="DT53" s="28">
        <f>IFERROR(DQ53*1000000/Storage!$O$12,"")</f>
        <v>889.68307575121298</v>
      </c>
      <c r="DU53" s="28">
        <f>IF($E53="","No Port",((F53/24/Shipping!$P$44+F53/24/Shipping!$P$50+Shipping!$P$59+Shipping!$P$64)*Carriers!$V$39*wacc_nl))</f>
        <v>323.52264932647682</v>
      </c>
      <c r="DV53" s="100">
        <f>H2_retrieval!$N$25*h2_demand_kt/1000+(co2_liq_e_demand+co2_st_e_demand*2)*Storage!$O$12*co2_density/nabh4_density/1000000</f>
        <v>18.783638728971958</v>
      </c>
      <c r="DW53" s="28">
        <f>IFERROR(((DQ53*(1+H2_retrieval!$N$34)+DU53)*1000000/H2_retrieval!$N$8)+h2_regen_nabh4,"")</f>
        <v>4295.8033056994891</v>
      </c>
      <c r="DX53" s="149">
        <f>(Dme_invest*(M53+1/Dme_lifetime)/Dme_prod+Dme_opex+Dme_e_demand*1000*$AU53/100+Carriers!$X$21/Carriers!$X$23*(CO53*1000000/CS53))*(EB53+Dme_st_ab_losses)/1000000</f>
        <v>70733.2077580232</v>
      </c>
      <c r="DY53" s="86">
        <f>(Dme_invest*(M53+1/Dme_lifetime)/Dme_prod+Dme_opex+Dme_e_demand*1000*$AU53/100+Carriers!$X$21/Carriers!$X$23*(CP53*1000000/CS53))*(EB53+Dme_st_ab_losses)/1000000</f>
        <v>89198.927128701223</v>
      </c>
      <c r="DZ53" s="63">
        <f>Dme_st_nl_cost*Dme_st_nl_demand/1000000+(Dme_st_invest*(M53+1/Dme_st_lifetime+Dme_st_opex)/(Storage!$Q$63/1000000)+Dme_st_e_demand*1000*$AU53/100)*(EB53+Dme_st_ab_losses)/1000000+co2_st_nl_cost*Storage!$Q$12*co2_density/Dme_density/1000000+(co2_st_opex_lev+co2_st_invest_lev+co2_st_e_demand*1000*$AU53/100)*Storage!$Q$12/1000000+co2_st_invest_lev*Storage!$Q$12*co2_st_lifetime*M53/1000000+(h2_demand_kt*1000/365.25*short_st_duration_hrs/24)*(h2_short_st_invest*(1/gh2_short_st_lifetime+$M53+h2_short_st_opex)+h2_short_st_e_demand*1000*$AU53/100)/1000000</f>
        <v>5408.3799098186264</v>
      </c>
      <c r="EA53" s="63">
        <f>Dme_st_nl_cost*Dme_st_nl_demand/1000000+(Dme_st_invest*(M53+1/Dme_st_lifetime+Dme_st_opex)/(Storage!$Q$63/1000000)+Dme_st_e_demand*1000*$AU53/100)*(EB53+Dme_st_ab_losses)/1000000+(h2_demand_kt*1000/365.25*short_st_duration_hrs/24)*(h2_short_st_invest*(1/gh2_short_st_lifetime+$M53+h2_short_st_opex)+h2_short_st_e_demand*1000*$AU53/100)/1000000</f>
        <v>2610.3305924015849</v>
      </c>
      <c r="EB53" s="63">
        <f>Storage!$Q$57/((1-Shipping!$R$37)^($F53/24/Shipping!$R$44+0.5*Shipping!$R$59))</f>
        <v>103547089.94708996</v>
      </c>
      <c r="EC53" s="153">
        <f>IF($E53="","No Port",IF(AND(ship_choice="VLCC",G53="Panama"),"Ship cannot pass through Panama",IF(ship_choice="VLCC",((F53/24/Shipping!$AD$44+F53/24/Shipping!$AD$50+Shipping!$AD$59+Shipping!$AD$64)*(Shipping!$AD$22+wacc_nl*Shipping!$AD$19/365.25*1000000+Shipping!$AD$35)+(F53/24/Shipping!$AD$44*Shipping!$AD$45+Shipping!$AD$64*Shipping!$AD$65)*IF(bunker_choice="HFO",$H53,IF(bunker_choice="hydrogen",$BD53*hfo_e_density_lhv/h2_e_density_lhv,(DX53+DZ53)*1000000/EB53*hfo_e_density_lhv/Dme_e_density_lhv))+(F53/24/Shipping!$AD$50*Shipping!$AD$51+Shipping!$AD$59*Shipping!$AD$60)*IF(bunker_choice="HFO",bunker_price_ROT,IF(bunker_choice="hydrogen",$BD53*hfo_e_density_lhv/h2_e_density_lhv,(DX53+DZ53)*1000000/EB53*hfo_e_density_lhv/Dme_e_density_lhv))+Shipping!$AD$73+IF(G53="Panama",Shipping!$AD$55,0)+IF(G53="Suez",Shipping!$AD$56,0))/Shipping!$AD$31*(EB53+Dme_st_ab_losses)/1000000+IF(inland_transport_to_port="hv dc grid",$BM53/100*1000*EE53,IF(inland_transport_to_port="pipeline",$BN53,0)),((F53/24/Shipping!$R$44+F53/24/Shipping!$R$50+Shipping!$R$59+Shipping!$R$64)*(Shipping!$R$22+wacc_nl*Shipping!$R$19/365.25*1000000+Shipping!$R$35)+(F53/24/Shipping!$R$44*Shipping!$R$45+Shipping!$R$64*Shipping!$R$65)*IF(bunker_choice="HFO",$H53,IF(bunker_choice="hydrogen",$BD53*hfo_e_density_lhv/h2_e_density_lhv,(DX53+DZ53)*1000000/EB53*hfo_e_density_lhv/Dme_e_density_lhv))+(F53/24/Shipping!$R$50*Shipping!$R$51+Shipping!$R$59*Shipping!$R$60)*IF(bunker_choice="HFO",bunker_price_ROT,IF(bunker_choice="hydrogen",$BD53*hfo_e_density_lhv/h2_e_density_lhv,(DX53+DZ53)*1000000/EB53*hfo_e_density_lhv/Dme_e_density_lhv))+Shipping!$R$73+IF(G53="Panama",Shipping!$R$55,0)+IF(G53="Suez",Shipping!$R$56,0))/Shipping!$R$31*(EB53+Dme_st_ab_losses)/1000000+IF(inland_transport_to_port="hv dc grid",$BM53/100*1000*EE53,IF(inland_transport_to_port="pipeline",$BN53,0)))))</f>
        <v>3082.4301493440976</v>
      </c>
      <c r="ED53" s="28">
        <f t="shared" si="39"/>
        <v>94891.687870446913</v>
      </c>
      <c r="EE53" s="29">
        <f>(Dme_e_demand)*(EB53+Dme_st_ab_losses)/1000000+Dme_st_e_demand*DZ53/1000000+$CV53*(Carriers!$X$21/Carriers!$X$23*EB53)/$CS53</f>
        <v>1550.2168142508549</v>
      </c>
      <c r="EF53" s="29">
        <f t="shared" si="86"/>
        <v>1.0354708994708997</v>
      </c>
      <c r="EG53" s="28">
        <f>IFERROR(ED53*1000000/Storage!$Q$12,"")</f>
        <v>916.41095774815358</v>
      </c>
      <c r="EH53" s="28">
        <f>IF($E53="","No Port",((F53/24/Shipping!$R$44+F53/24/Shipping!$R$50+Shipping!$R$59+Shipping!$R$64)*Carriers!$X$39*wacc_nl))</f>
        <v>47.186542319718249</v>
      </c>
      <c r="EI53" s="100">
        <f>H2_retrieval!$P$25*h2_demand_kt/1000+(co2_liq_e_demand+co2_st_e_demand*2)*Storage!$Q$12*co2_density/Dme_density/1000000</f>
        <v>252.45335899349112</v>
      </c>
      <c r="EJ53" s="28">
        <f>IFERROR((((DX53+DZ53+EC53)*(1+H2_retrieval!$P$34)+EH53)*1000000/H2_retrieval!$P$8)+h2_regen_dme,"")</f>
        <v>6998.8935696303542</v>
      </c>
      <c r="EK53" s="149">
        <f>(ome_invest*(M53+1/ome_lifetime)/ome_prod+ome_opex+ome_e_demand*1000*$AU53/100+Carriers!$Z$21/Carriers!$Z$23*(CO53*1000000/CS53))*(EO53+ome_st_ab_losses)/1000000</f>
        <v>155036.31447990891</v>
      </c>
      <c r="EL53" s="86">
        <f>(ome_invest*(M53+1/ome_lifetime)/ome_prod+ome_opex+ome_e_demand*1000*$AU53/100+Carriers!$Z$21/Carriers!$Z$23*(CP53*1000000/CS53))*(EO53+ome_st_ab_losses)/1000000</f>
        <v>193799.45403190813</v>
      </c>
      <c r="EM53" s="63">
        <f>ome_st_nl_cost*ome_st_nl_demand/1000000+(ome_st_invest*(M53+1/ome_st_lifetime+ome_st_opex)/(Storage!$S$63/1000000)+ome_st_e_demand*1000*$AU53/100)*(EO53+ome_st_ab_losses)/1000000+co2_st_nl_cost*Storage!$S$12*co2_density/ome_density/1000000+(co2_st_opex_lev+co2_st_invest_lev+co2_st_e_demand*1000*$AU53/100)*Storage!$S$12/1000000+co2_st_invest_lev*Storage!$S$12*co2_st_lifetime*M53/1000000+(h2_demand_kt*1000/365.25*short_st_duration_hrs/24)*(h2_short_st_invest*(1/gh2_short_st_lifetime+$M53+h2_short_st_opex)+h2_short_st_e_demand*1000*$AU53/100)/1000000</f>
        <v>4670.6338364488493</v>
      </c>
      <c r="EN53" s="63">
        <f>ome_st_nl_cost*ome_st_nl_demand/1000000+(ome_st_invest*(M53+1/ome_st_lifetime+ome_st_opex)/(Storage!$S$63/1000000)+ome_st_e_demand*1000*$AU53/100)*(EO53+ome_st_ab_losses)/1000000+(h2_demand_kt*1000/365.25*short_st_duration_hrs/24)*(h2_short_st_invest*(1/gh2_short_st_lifetime+$M53+h2_short_st_opex)+h2_short_st_e_demand*1000*$AU53/100)/1000000</f>
        <v>1543.1510695354791</v>
      </c>
      <c r="EO53" s="63">
        <f>Storage!$S$57/((1-Shipping!$T$37)^($F53/24/Shipping!$T$44+0.5*Shipping!$T$59))</f>
        <v>128282539.68253967</v>
      </c>
      <c r="EP53" s="28">
        <f>IF($E53="","No Port",IF(AND(ship_choice="VLCC",G53="Panama"),"Ship cannot pass through Panama",IF(ship_choice="VLCC",((F53/24/Shipping!$AD$44+F53/24/Shipping!$AD$50+Shipping!$AD$59+Shipping!$AD$64)*(Shipping!$AD$22+wacc_nl*Shipping!$AD$19/365.25*1000000+Shipping!$AD$35)+(F53/24/Shipping!$AD$44*Shipping!$AD$45+Shipping!$AD$64*Shipping!$AD$65)*IF(bunker_choice="HFO",$H53,IF(bunker_choice="hydrogen",$BD53*hfo_e_density_lhv/h2_e_density_lhv,(EK53+EM53)*1000000/EO53*hfo_e_density_lhv/Dme_e_density_lhv))+(F53/24/Shipping!$AD$50*Shipping!$AD$51+Shipping!$AD$59*Shipping!$AD$60)*IF(bunker_choice="HFO",bunker_price_ROT,IF(bunker_choice="hydrogen",$BD53*hfo_e_density_lhv/h2_e_density_lhv,(EK53+EM53)*1000000/EO53*hfo_e_density_lhv/ome_e_density_lhv))+Shipping!$AD$73+IF(G53="Panama",Shipping!$AD$55,0)+IF(G53="Suez",Shipping!$AD$56,0))/Shipping!$AD$31*(EO53+ome_st_ab_losses)/1000000+IF(inland_transport_to_port="hv dc grid",$BM53/100*1000*ER53,IF(inland_transport_to_port="pipeline",$BN53,0)),((F53/24/Shipping!$T$44+F53/24/Shipping!$T$50+Shipping!$T$59+Shipping!$T$64)*(Shipping!$T$22+wacc_nl*Shipping!$T$19/365.25*1000000+Shipping!$T$35)+(F53/24/Shipping!$T$44*Shipping!$T$45+Shipping!$T$64*Shipping!$T$65)*IF(bunker_choice="HFO",$H53,IF(bunker_choice="hydrogen",$BD53*hfo_e_density_lhv/h2_e_density_lhv,(EK53+EM53)*1000000/EO53*hfo_e_density_lhv/Dme_e_density_lhv))+(F53/24/Shipping!$T$50*Shipping!$T$51+Shipping!$T$59*Shipping!$T$60)*IF(bunker_choice="HFO",bunker_price_ROT,IF(bunker_choice="hydrogen",$BD53*hfo_e_density_lhv/h2_e_density_lhv,(EK53+EM53)*1000000/EO53*hfo_e_density_lhv/ome_e_density_lhv))+Shipping!$T$73+IF(G53="Panama",Shipping!$T$55,0)+IF(G53="Suez",Shipping!$T$56,0))/Shipping!$T$31*(EO53+ome_st_ab_losses)/1000000+IF(inland_transport_to_port="hv dc grid",$BM53/100*1000*ER53,IF(inland_transport_to_port="pipeline",$BN53,0)))))</f>
        <v>3227.8003430239628</v>
      </c>
      <c r="EQ53" s="28">
        <f t="shared" si="40"/>
        <v>198570.40544446756</v>
      </c>
      <c r="ER53" s="29">
        <f>(ome_e_demand)*(EO53+ome_st_ab_losses)/1000000+ome_st_e_demand*EM53/1000000+$CV53*(Carriers!$Z$21/Carriers!$Z$23*EO53)/$CS53</f>
        <v>3352.081457146734</v>
      </c>
      <c r="ES53" s="29">
        <f t="shared" si="87"/>
        <v>0.1924238095238095</v>
      </c>
      <c r="ET53" s="28">
        <f>IFERROR(EQ53*1000000/Storage!$S$12,"")</f>
        <v>1547.914516939476</v>
      </c>
      <c r="EU53" s="28">
        <f>IF($E53="","No Port",((F53/24/Shipping!$T$44+F53/24/Shipping!$T$50+Shipping!$T$59+Shipping!$T$64)*Carriers!$Z$39*wacc_nl))</f>
        <v>54.832886275429374</v>
      </c>
      <c r="EV53" s="100">
        <f>H2_retrieval!$R$25*h2_demand_kt/1000+(co2_liq_e_demand+co2_st_e_demand*2)*Storage!$S$12*co2_density/ome_density/1000000</f>
        <v>254.51942895252085</v>
      </c>
      <c r="EW53" s="28">
        <f>IFERROR((((EK53+EM53+EP53)*(1+H2_retrieval!$R$34)+EU53)*1000000/H2_retrieval!$R$8)+h2_regen_ome,"")</f>
        <v>13154.656598023848</v>
      </c>
      <c r="EX53" s="149">
        <f>(sng_invest*(M53+1/sng_lifetime)/sng_prod+lng_invest*(M53+1/lng_lifetime)/lng_prod+sng_opex+lng_opex+(sng_e_demand+lng_e_demand)*1000*$AU53/100+Carriers!$AB$18/Carriers!$AB$23*BD53+Carriers!$AB$20/Carriers!$AB$23*co2_liq_cost)*(FB53+lng_st_ab_losses)/1000000</f>
        <v>53954.614941792483</v>
      </c>
      <c r="EY53" s="86">
        <f>(sng_invest*(M53+1/sng_lifetime)/sng_prod+lng_invest*(M53+1/lng_lifetime)/lng_prod+sng_opex+lng_opex+(sng_e_demand+lng_e_demand)*1000*$AU53/100+Carriers!$AB$18/Carriers!$AB$23*BD53+Carriers!$AB$20/Carriers!$AB$23*BP53)*(FB53+lng_st_ab_losses)/1000000</f>
        <v>64085.823979455119</v>
      </c>
      <c r="EZ53" s="63">
        <f>lng_st_nl_cost*lng_st_nl_demand/1000000+(lng_st_invest*(M53+1/lng_st_lifetime+lng_st_opex)/(Storage!$U$63/1000000)+lng_st_e_demand*1000*$AU53/100)*(FB53+lng_st_ab_losses)/1000000+co2_st_nl_cost*Storage!$U$12*co2_density/lng_density/1000000+(co2_st_opex_lev+co2_st_invest_lev+co2_st_e_demand*1000*$AU53/100)*Storage!$U$12/1000000+co2_st_invest_lev*Storage!$U$12*co2_st_lifetime*M53/1000000+Carriers!$AB$18/Carriers!$AB$23*((FB53+lng_st_ab_losses)/365.25*short_st_duration_hrs/24)*(h2_short_st_invest*(1/gh2_short_st_lifetime+$M53+h2_short_st_opex)+h2_short_st_e_demand*1000*$AU53/100)/1000000+Carriers!$AB$20/Carriers!$AB$23*((FB53+lng_st_ab_losses)/365.25*short_st_duration_hrs/24)*(co2_short_st_invest*(1/co2_short_st_lifetime+$M53+co2_short_st_opex)+co2_short_st_e_demand*1000*$AU53/100)/1000000</f>
        <v>5596.032741940443</v>
      </c>
      <c r="FA53" s="63">
        <f>lng_st_nl_cost*lng_st_nl_demand/1000000+(lng_st_invest*(M53+1/lng_st_lifetime+lng_st_opex)/(Storage!$U$63/1000000)+lng_st_e_demand*1000*$AU53/100)*(FB53+lng_st_ab_losses)/1000000+Carriers!$AB$18/Carriers!$AB$23*((FB53+lng_st_ab_losses)/365.25*short_st_duration_hrs/24)*(h2_short_st_invest*(1/gh2_short_st_lifetime+$M53+h2_short_st_opex)+h2_short_st_e_demand*1000*$AU53/100)/1000000+Carriers!$AB$20/Carriers!$AB$23*((FB53+lng_st_ab_losses)/365.25*short_st_duration_hrs/24)*(co2_short_st_invest*(1/co2_short_st_lifetime+$M53+co2_short_st_opex)+co2_short_st_e_demand*1000*$AU53/100)/1000000</f>
        <v>4061.6801746604656</v>
      </c>
      <c r="FB53" s="63">
        <f>Storage!$U$57/((1-Shipping!$V$37)^($F53/24/Shipping!$V$44+0.5*Shipping!$V$59))</f>
        <v>40976711.243497156</v>
      </c>
      <c r="FC53" s="28">
        <f>IF($E53="","No Port",IF(G53="Panama","Ship cannot pass through Panama",((F53/24/Shipping!$V$44+F53/24/Shipping!$V$50+Shipping!$V$59+Shipping!$V$64)*(Shipping!$V$22+wacc_nl*Shipping!$V$19/365.25*1000000+Shipping!$V$35)+(F53/24/Shipping!$V$44*Shipping!$V$45+Shipping!$V$64*Shipping!$V$65)*IF(bunker_choice="HFO",$H53,IF(bunker_choice="hydrogen",$BD53*hfo_e_density_lhv/h2_e_density_lhv,(EX53+EZ53)*1000000/FB53*hfo_e_density_lhv/lng_e_density_lhv))+(F53/24/Shipping!$V$50*Shipping!$V$51+Shipping!$V$59*Shipping!$V$60)*IF(bunker_choice="HFO",bunker_price_ROT,IF(bunker_choice="hydrogen",$BD53*hfo_e_density_lhv/h2_e_density_lhv,(EX53+EZ53)*1000000/FB53*hfo_e_density_lhv/lng_e_density_lhv))+Shipping!$V$73+IF(G53="Panama",Shipping!$V$55,0)+IF(G53="Suez",Shipping!$V$56,0))/Shipping!$V$31*(FB53+lng_st_ab_losses)/1000000)+IF(inland_transport_to_port="hv dc grid",$BM53/100*1000*FE53,IF(inland_transport_to_port="pipeline",$BN53,0)))</f>
        <v>1739.6467863327575</v>
      </c>
      <c r="FD53" s="28">
        <f t="shared" si="41"/>
        <v>69887.150940448337</v>
      </c>
      <c r="FE53" s="29">
        <f>((Carriers!$AB$18/Carriers!$AB$23*alk_el_e_demand)+sng_e_demand+lng_e_demand)*(FB53+lng_st_ab_losses)/1000000+lng_st_e_demand*EZ53/1000000</f>
        <v>1098.970910353976</v>
      </c>
      <c r="FF53" s="29">
        <f t="shared" si="88"/>
        <v>0.8126185861001558</v>
      </c>
      <c r="FG53" s="28">
        <f>IFERROR(FD53*1000000/Storage!$U$12,"")</f>
        <v>1722.0316447310095</v>
      </c>
      <c r="FH53" s="28">
        <f>IF($E53="","No Port",((F53/24/Shipping!$V$44+F53/24/Shipping!$V$50+Shipping!$V$59+Shipping!$V$64)*Carriers!$AB$39*wacc_nl))</f>
        <v>16.470974239317794</v>
      </c>
      <c r="FI53" s="100">
        <f>H2_retrieval!$T$25*h2_demand_kt/1000+(co2_liq_e_demand+co2_st_e_demand*2)*Storage!$U$12*co2_density/lng_density/1000000</f>
        <v>236.51371749646054</v>
      </c>
      <c r="FJ53" s="28">
        <f>IFERROR((((EX53+EZ53+FC53)*(1+H2_retrieval!$T$34)+FH53)*1000000/H2_retrieval!$T$8)+h2_regen_lng,"")</f>
        <v>5677.9789435126604</v>
      </c>
      <c r="FK53" s="149">
        <f>(lh2_invest*(M53+1/lh2_lifetime)/lh2_prod+lh2_opex+lh2_e_demand*1000*$AU53/100+Carriers!$AD$18/Carriers!$AD$23*BD53)*(FM53+lh2_st_ab_losses)/1000000</f>
        <v>42578.106708782048</v>
      </c>
      <c r="FL53" s="28">
        <f>lh2_st_nl_cost*lh2_st_nl_demand/1000000+(lh2_st_invest*(M53+1/lh2_st_lifetime+lh2_st_opex)/(Storage!$Y$63/1000000)+lh2_st_e_demand*1000*$AU53/100)*(FM53+lh2_st_ab_losses)/1000000+((FM53+lh2_st_ab_losses)/365.25*short_st_duration_hrs/24)*(h2_short_st_invest*(1/gh2_short_st_lifetime+$M53+h2_short_st_opex)+h2_short_st_e_demand*1000*$AU53/100)/1000000</f>
        <v>47746.355221762657</v>
      </c>
      <c r="FM53" s="63">
        <f>Storage!$Y$57/((1-Shipping!$Z$37)^($F53/24/Shipping!$Z$44+0.5*Shipping!$Z$59))</f>
        <v>13805011.321261745</v>
      </c>
      <c r="FN53" s="28">
        <f>IF($E53="","No Port",IF(G53="Panama","Ship cannot pass through Panama",((F53/24/Shipping!$Z$44+F53/24/Shipping!$Z$50+Shipping!$Z$59+Shipping!$Z$64)*(Shipping!$Z$22+wacc_nl*Shipping!$Z$19/365.25*1000000+Shipping!$Z$35)+(F53/24/Shipping!$Z$44*Shipping!$Z$45+Shipping!$Z$64*Shipping!$Z$65)*IF(bunker_choice="HFO",$H53,IF(bunker_choice="hydrogen",$BD53*hfo_e_density_lhv/h2_e_density_lhv,(FK53+FL53)*1000000/FM53*hfo_e_density_lhv/lh2_e_density_lhv))+(F53/24/Shipping!$Z$50*Shipping!$Z$51+Shipping!$Z$59*Shipping!$Z$60)*IF(bunker_choice="HFO",bunker_price_ROT,IF(bunker_choice="hydrogen",$BD53*hfo_e_density_lhv/h2_e_density_lhv,(FK53+FL53)*1000000/FM53*hfo_e_density_lhv/lh2_e_density_lhv))+Shipping!$Z$73+IF(G53="Panama",Shipping!$Z$55,0)+IF(G53="Suez",Shipping!$Z$56,0))/Shipping!$Z$31*(FM53+lh2_st_ab_losses)/1000000)+IF(inland_transport_to_port="hv dc grid",$BM53/100*1000*FP53,IF(inland_transport_to_port="pipeline",$BN53,0)))</f>
        <v>2437.4585937016627</v>
      </c>
      <c r="FO53" s="28">
        <f t="shared" si="42"/>
        <v>92761.920524246365</v>
      </c>
      <c r="FP53" s="29">
        <f>((Carriers!$AD$18/Carriers!$AD$23*alk_el_e_demand)+lh2_e_demand)*(FM53+lh2_st_ab_losses)/1000000+lh2_st_e_demand*FM53/1000000</f>
        <v>799.99505831142085</v>
      </c>
      <c r="FQ53" s="100">
        <f t="shared" si="89"/>
        <v>1.361902463475859</v>
      </c>
      <c r="FR53" s="28">
        <f>IFERROR(FO53*1000000/Storage!$Y$12,"")</f>
        <v>6820.729450312233</v>
      </c>
      <c r="FS53" s="100">
        <f>H2_retrieval!$V$25*h2_demand_kt/1000</f>
        <v>8.16</v>
      </c>
      <c r="FT53" s="28">
        <f>IFERROR(FR53*(1+H2_retrieval!$V$34)/Carrier_properties!$U$7+H2_retrieval!$V$38,"")</f>
        <v>6852.6981761807001</v>
      </c>
      <c r="FU53" s="12"/>
      <c r="FV53" s="24">
        <f t="shared" si="90"/>
        <v>2.3441255652022392</v>
      </c>
      <c r="FW53" s="24">
        <f t="shared" si="57"/>
        <v>3.6406981673208967</v>
      </c>
      <c r="FX53" s="24">
        <f t="shared" si="58"/>
        <v>5.4588622660639716</v>
      </c>
      <c r="FY53" s="24">
        <f t="shared" si="45"/>
        <v>2.3441255652022392</v>
      </c>
      <c r="FZ53" s="28">
        <f t="shared" si="59"/>
        <v>2241.7379399906949</v>
      </c>
      <c r="GA53" s="28">
        <f t="shared" si="47"/>
        <v>522.86488974151428</v>
      </c>
      <c r="GB53" s="28">
        <f t="shared" si="48"/>
        <v>375.95296042485609</v>
      </c>
      <c r="GC53" s="28">
        <f t="shared" si="49"/>
        <v>588.787036115462</v>
      </c>
      <c r="GD53" s="28">
        <f t="shared" si="50"/>
        <v>861.43345191332469</v>
      </c>
      <c r="GE53" s="28">
        <f t="shared" si="51"/>
        <v>1510.7235521802338</v>
      </c>
      <c r="GF53" s="28">
        <f t="shared" si="52"/>
        <v>1563.9572341136891</v>
      </c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</row>
    <row r="54" spans="1:214" x14ac:dyDescent="0.2">
      <c r="A54" s="154" t="s">
        <v>60</v>
      </c>
      <c r="B54" s="12">
        <v>5916</v>
      </c>
      <c r="C54" s="12">
        <v>0.9</v>
      </c>
      <c r="D54" s="12">
        <f t="shared" si="61"/>
        <v>9.9999999999999978E-2</v>
      </c>
      <c r="E54" s="12" t="s">
        <v>723</v>
      </c>
      <c r="F54" s="12">
        <v>4533</v>
      </c>
      <c r="G54" s="12"/>
      <c r="H54" s="16">
        <f t="shared" si="62"/>
        <v>382.75862068965517</v>
      </c>
      <c r="I54" s="16">
        <v>257670</v>
      </c>
      <c r="J54" s="16">
        <f t="shared" si="31"/>
        <v>286.38943481381665</v>
      </c>
      <c r="K54" s="27">
        <f t="shared" si="32"/>
        <v>343.66732177657997</v>
      </c>
      <c r="L54" s="103">
        <v>0.13500000000000001</v>
      </c>
      <c r="M54" s="103">
        <f t="shared" si="63"/>
        <v>0.13689377533260205</v>
      </c>
      <c r="N54" s="122">
        <f t="shared" si="33"/>
        <v>0.9</v>
      </c>
      <c r="O54" s="46">
        <f t="shared" si="64"/>
        <v>40</v>
      </c>
      <c r="P54" s="70">
        <f t="array" ref="P54">SUMPRODUCT(IF(Solar_data!A$4:A$777=A54,Solar_data!C$4:C$777),IF(Solar_data!A$4:A$777=A54,Solar_data!I$4:I$777))/SUMIF(Solar_data!A$4:A$777,A54,Solar_data!I$4:I$777)</f>
        <v>1623.2166735247581</v>
      </c>
      <c r="Q54" s="16">
        <f t="array" ref="Q54">MAX(IF(Solar_data!$A$777:'Solar_data'!$A$4=Country_details!$A54,Solar_data!$C$4:'Solar_data'!$C$777))</f>
        <v>1733.75</v>
      </c>
      <c r="R54" s="16">
        <f t="array" ref="R54">MIN(IF(Solar_data!$A$777:'Solar_data'!$A$4=Country_details!A54,Solar_data!$C$4:'Solar_data'!$C$777))</f>
        <v>1368.75</v>
      </c>
      <c r="S54" s="24">
        <f t="shared" si="65"/>
        <v>2.9787129497989606</v>
      </c>
      <c r="T54" s="24">
        <f t="shared" si="66"/>
        <v>2.7888083782308803</v>
      </c>
      <c r="U54" s="24">
        <f t="shared" si="67"/>
        <v>3.5324906124257813</v>
      </c>
      <c r="V54" s="16">
        <f t="array" ref="V54">SUM(IF(Solar_data!$A$777:'Solar_data'!$A$4=Country_details!$A54,Solar_data!$I$4:'Solar_data'!$I$777))</f>
        <v>1718.9945879763222</v>
      </c>
      <c r="W54" s="148"/>
      <c r="X54" s="16" t="str">
        <f>IFERROR(INDEX(Onshore_wind_data!$J$5:'Onshore_wind_data'!$J$221,MATCH(A54,Onshore_wind_data!$B$5:'Onshore_wind_data'!$B$221,0)),"")</f>
        <v/>
      </c>
      <c r="Y54" s="16" t="str">
        <f>IFERROR(INDEX(Onshore_wind_data!$K$5:'Onshore_wind_data'!$K$221,MATCH(A54,Onshore_wind_data!$B$5:'Onshore_wind_data'!$B$221,0)),"")</f>
        <v/>
      </c>
      <c r="Z54" s="16" t="str">
        <f>IFERROR(INDEX(Onshore_wind_data!$L$5:'Onshore_wind_data'!$L$221,MATCH(A54,Onshore_wind_data!$B$5:'Onshore_wind_data'!$B$221,0)),"")</f>
        <v/>
      </c>
      <c r="AA54" s="24" t="str">
        <f t="shared" si="68"/>
        <v/>
      </c>
      <c r="AB54" s="24" t="str">
        <f t="shared" si="69"/>
        <v/>
      </c>
      <c r="AC54" s="24" t="str">
        <f t="shared" si="70"/>
        <v/>
      </c>
      <c r="AD54" s="16">
        <f>IFERROR(INDEX(Onshore_wind_data!$I$5:'Onshore_wind_data'!$I$221,MATCH(A54,Onshore_wind_data!$B$5:'Onshore_wind_data'!$B$221,0)),"")</f>
        <v>0</v>
      </c>
      <c r="AE54" s="148"/>
      <c r="AF54" s="16" t="str">
        <f>INDEX(Offshore_wind_data!$AA$7:$AA$192,MATCH(Country_details!A54,Offshore_wind_data!$A$7:$A$192,0))</f>
        <v/>
      </c>
      <c r="AG54" s="16" t="str">
        <f>INDEX(Offshore_wind_data!$Y$7:$Y$192,MATCH(Country_details!A54,Offshore_wind_data!$A$7:$A$192,0))</f>
        <v/>
      </c>
      <c r="AH54" s="16" t="str">
        <f>INDEX(Offshore_wind_data!$Z$7:$Z$192,MATCH(Country_details!A54,Offshore_wind_data!$A$7:$A$192,0))</f>
        <v/>
      </c>
      <c r="AI54" s="24" t="str">
        <f t="shared" si="71"/>
        <v/>
      </c>
      <c r="AJ54" s="24" t="str">
        <f t="shared" si="72"/>
        <v/>
      </c>
      <c r="AK54" s="24" t="str">
        <f t="shared" si="73"/>
        <v/>
      </c>
      <c r="AL54" s="16">
        <f>INDEX(Offshore_wind_data!$W$7:$W$191,MATCH(A54,Offshore_wind_data!$A$7:$A$191,0))</f>
        <v>0</v>
      </c>
      <c r="AM54" s="148"/>
      <c r="AN54" s="12">
        <v>2</v>
      </c>
      <c r="AO54" s="12">
        <v>3.5</v>
      </c>
      <c r="AP54" s="34">
        <f>1.4349*11.63</f>
        <v>16.687887000000003</v>
      </c>
      <c r="AQ54" s="15">
        <f t="shared" si="74"/>
        <v>50</v>
      </c>
      <c r="AR54" s="12">
        <f t="shared" si="34"/>
        <v>175</v>
      </c>
      <c r="AS54" s="16">
        <f t="shared" si="35"/>
        <v>1543.9945879763222</v>
      </c>
      <c r="AT54" s="12"/>
      <c r="AU54" s="24">
        <f t="shared" si="75"/>
        <v>2.9787129497989606</v>
      </c>
      <c r="AV54" s="16">
        <f t="shared" si="76"/>
        <v>1623.2166735247581</v>
      </c>
      <c r="AW54" s="149">
        <f>HV_DC_Grid!$E$3/(1-AX54)*AU54/100*1000</f>
        <v>3397.6733527765118</v>
      </c>
      <c r="AX54" s="31">
        <f>(1-(1-HV_DC_Grid!$E$25)^(B54*C54*HV_DC_Grid!$E$8/1000))+(1-(1-HV_DC_Grid!$E$26)^(B54*D54*HV_DC_Grid!$E$8/1000))+HV_DC_Grid!$E$35*HV_DC_Grid!$E$28</f>
        <v>0.12330802860586486</v>
      </c>
      <c r="AY54" s="28">
        <f>B54*nl_e_demand/IF(hv_dc_flh="electricity FLH",$AV54,hv_dc_custom)*1000*hv_dc_capacity_multiplier*hv_dc_length_multiplier*1000*(C54*hv_dc_overhead_invest*(hv_dc_overhead_opex+M54+1/hv_dc_lifetime)+D54*hv_dc_sea_invest*(hv_dc_sea_opex+M54+1/hv_dc_lifetime))/1000000+HV_DC_Grid!$E$10*1000*hv_dc_station_invest*hv_dc_station_number*(hv_dc_station_opex+M54+1/hv_dc_lifetime)/1000000</f>
        <v>6982.2964464163597</v>
      </c>
      <c r="AZ54" s="24">
        <f>(AW54+AY54)/(HV_DC_Grid!$E$3*1000)*100</f>
        <v>10.379969799192871</v>
      </c>
      <c r="BA54" s="28">
        <f>MIN(((Carriers!$F$26+Carriers!$F$27)*(alk_el_opex+wacc_nl+1/alk_el_lifetime)+IF(hv_dc_flh="electricity FLH",$AV54,hv_dc_custom)*AZ54/100)/(IF(hv_dc_flh="electricity FLH",$AV54,hv_dc_custom)/alk_el_e_demand)*1000,((Carriers!$H$26+Carriers!$H$27)*(pem_el_opex+wacc_nl+1/pem_el_lifetime)+IF(hv_dc_flh="electricity FLH",$AV54,hv_dc_custom)*AZ54/100)/(IF(hv_dc_flh="electricity FLH",$AV54,hv_dc_custom)/pem_el_e_demand)*1000)</f>
        <v>5656.2368957125209</v>
      </c>
      <c r="BB54" s="12"/>
      <c r="BC54" s="12"/>
      <c r="BD54" s="149">
        <f>MIN(((Carriers!$F$26+Carriers!$F$27)*(alk_el_opex+M54+1/alk_el_lifetime)+$AV54*$AU54/100)/($AV54/alk_el_e_demand)*1000,((Carriers!$H$26+Carriers!$H$27)*(pem_el_opex+M54+1/pem_el_lifetime)+$AV54*$AU54/100)/($AV54/pem_el_e_demand)*1000)</f>
        <v>3747.9730739398224</v>
      </c>
      <c r="BE54" s="28">
        <f>Storage!$AC$50</f>
        <v>8.1664117557772418</v>
      </c>
      <c r="BF54" s="28">
        <f>((Pipeline!$D$22*Pipeline!$D$24*B54*(pipeline_opex+M54+1/pipeline_lifetime))*(Pipeline!$D$39/Pipeline!$D$3)+(Pipeline!$D$57*(pipeline_comp_opex+M54+1/pipeline_comp_lifetime)+Pipeline!$D$47*1000*Pipeline!$D$45*$AU54/100/1000000))*(Pipeline!$D$75/Pipeline!$D$45)</f>
        <v>14144.127842511263</v>
      </c>
      <c r="BG54" s="28">
        <f>BD54+(BE54+BF54)/Storage!$AC$12*1000000</f>
        <v>4788.5829455771045</v>
      </c>
      <c r="BH54" s="28"/>
      <c r="BI54" s="28"/>
      <c r="BJ54" s="28">
        <f>IF($E54="","No Port",BK54*HV_DC_Grid!$E$3*$AU54/100*1000)</f>
        <v>61.449941845198609</v>
      </c>
      <c r="BK54" s="31">
        <f>IFERROR((1-(1-HV_DC_Grid!$E$25)^(K54*HV_DC_Grid!$E$8/1000))+HV_DC_Grid!$E$35*HV_DC_Grid!$E$28,"")</f>
        <v>2.0629695738001871E-2</v>
      </c>
      <c r="BL54" s="28">
        <f>IFERROR(K54*nl_e_demand/IF(hv_dc_flh="electricity FLH",$AV54,hv_dc_custom)*1000*hv_dc_capacity_multiplier*hv_dc_length_multiplier*1000*(hv_dc_overhead_invest*(hv_dc_overhead_opex+M54+1/hv_dc_lifetime))/1000000+HV_DC_Grid!$E$10*1000*hv_dc_station_invest*hv_dc_station_number*(hv_dc_station_opex+M54+1/hv_dc_lifetime)/1000000,"")</f>
        <v>765.71173042278576</v>
      </c>
      <c r="BM54" s="29">
        <f>IFERROR((BJ54+BL54)/(HV_DC_Grid!$E$3*1000)*100,"")</f>
        <v>0.82716167226798443</v>
      </c>
      <c r="BN54" s="28">
        <f>IFERROR(((Pipeline!$D$22*Pipeline!$D$24*K54*(pipeline_opex+M54+1/pipeline_lifetime))*(Pipeline!$D$39/Pipeline!$D$3)+(Pipeline!$D$57*(pipeline_comp_opex+M54+1/pipeline_comp_lifetime)+Pipeline!$D$47*1000*Pipeline!$D$45*S54/100/1000000))*(Pipeline!$D$75/Pipeline!$D$45),"")</f>
        <v>912.68607050876813</v>
      </c>
      <c r="BO54" s="28"/>
      <c r="BP54" s="150">
        <f t="shared" si="77"/>
        <v>121.32980889019531</v>
      </c>
      <c r="BQ54" s="34">
        <f t="shared" si="78"/>
        <v>36.091982436062722</v>
      </c>
      <c r="BR54" s="151">
        <f>(nh3_invest*(M54+1/nh3_lifetime)/nh3_prod+nh3_opex+nh3_e_demand*1000*$AU54/100+Carriers!$N$18/Carriers!$N$23*BD54+Carriers!$N$19/Carriers!$N$23*BQ54)*(BT54+nh3_st_ab_losses)/1000000</f>
        <v>64858.268224021202</v>
      </c>
      <c r="BS54" s="63">
        <f>nh3_st_nl_cost*nh3_st_nl_demand/1000000+(nh3_st_invest*(M54+1/nh3_st_lifetime+nh3_st_opex)/(Storage!$G$63/1000000)+nh3_st_e_demand*1000*$AU54/100)*(BT54+nh3_st_ab_losses)/1000000+Carriers!$N$18/Carriers!$N$23*((BT54+nh3_st_ab_losses)/365.25*short_st_duration_hrs/24)*(h2_short_st_invest*(1/gh2_short_st_lifetime+$M54+h2_short_st_opex)+h2_short_st_e_demand*1000*$AU54/100)/1000000+Carriers!$N$19/Carriers!$N$23*((BT54+nh3_st_ab_losses)/365.25*short_st_duration_hrs/24)*(n2_short_st_invest*(1/n2_short_st_lifetime+$M54+n2_short_st_opex)+n2_short_st_e_demand*1000*$AU54/100)/1000000</f>
        <v>3581.2981704301856</v>
      </c>
      <c r="BT54" s="63">
        <f>Storage!$G$57/((1-Shipping!$H$37)^(F54/24/Shipping!$H$44+0.5*Shipping!$H$59))</f>
        <v>79090706.299350098</v>
      </c>
      <c r="BU54" s="63">
        <f>IF($E54="","No Port",((F54/24/Shipping!$H$44+F54/24/Shipping!$H$50+Shipping!$H$59+Shipping!$H$64)*(Shipping!$H$22+wacc_nl*Shipping!$H$19/365.25*1000000+Shipping!$H$35)+(F54/24/Shipping!$H$44*Shipping!$H$45+Shipping!$H$64*Shipping!$H$65)*IF(bunker_choice="HFO",H54,IF(bunker_choice="hydrogen",BD54*hfo_e_density_lhv/h2_e_density_lhv,(BR54+BS54)*1000000/BT54*hfo_e_density_lhv/nh3_e_density_lhv))+(F54/24/Shipping!$H$50*Shipping!$H$51+Shipping!$H$59*Shipping!$H$60)*IF(bunker_choice="HFO",bunker_price_ROT,IF(bunker_choice="hydrogen",BD54*hfo_e_density_lhv/h2_e_density_lhv,(BR54+BS54)*1000000/BT54*hfo_e_density_lhv/nh3_e_density_lhv))+Shipping!$H$73+IF(G54="Panama",Shipping!$H$55,0)+IF(G54="Suez",Shipping!$H$56,0))/Shipping!$H$31*BT54/1000000+IF(inland_transport_to_port="hv dc grid",$BM54/100*1000*BW54,IF(inland_transport_to_port="pipeline",$BN54,0)))</f>
        <v>4296.8637782187316</v>
      </c>
      <c r="BV54" s="63">
        <f t="shared" si="91"/>
        <v>72736.430172670123</v>
      </c>
      <c r="BW54" s="33">
        <f>((Carriers!$N$18/Carriers!$N$23*alk_el_e_demand)+(Carriers!$N$19/Carriers!$N$23*n2_e_demand)+nh3_e_demand)*(BT54+nh3_st_ab_losses)/1000000+nh3_st_e_demand*BT54/1000000</f>
        <v>781.04027451688455</v>
      </c>
      <c r="BX54" s="33">
        <f t="shared" si="79"/>
        <v>0.76626754477640768</v>
      </c>
      <c r="BY54" s="63">
        <f>IFERROR(BV54*1000000/Storage!$G$12,"")</f>
        <v>950.02109842400012</v>
      </c>
      <c r="BZ54" s="63">
        <f>H2_retrieval!$F$25*h2_demand_kt/1000</f>
        <v>80</v>
      </c>
      <c r="CA54" s="63">
        <f>IFERROR(BY54*(1+H2_retrieval!$F$34)/Carrier_properties!$E$7+H2_retrieval!$F$38,"")</f>
        <v>5757.4929041047735</v>
      </c>
      <c r="CB54" s="149">
        <f>(FA_invest*(M54+1/FA_lifetime)/FA_prod+FA_opex+FA_e_demand*1000*$AU54/100+Carriers!$P$18/Carriers!$P$23*BD54+Carriers!$P$20/Carriers!$P$23*co2_liq_cost)*(CF54+FA_st_ab_losses)/1000000</f>
        <v>124765.49859163699</v>
      </c>
      <c r="CC54" s="86">
        <f>(FA_invest*(M54+1/FA_lifetime)/FA_prod+FA_opex+FA_e_demand*1000*$AU54/100+Carriers!$P$18/Carriers!$P$23*BD54+Carriers!$P$20/Carriers!$P$23*BP54)*(CF54+FA_st_ab_losses)/1000000</f>
        <v>154160.75694275417</v>
      </c>
      <c r="CD54" s="63">
        <f>FA_st_nl_cost*FA_st_nl_demand/1000000+(FA_st_invest*(M54+1/FA_st_lifetime+FA_st_opex)/(Storage!$I$63/1000000)+FA_st_e_demand*1000*$AU54/100)*(CF54+FA_st_ab_losses)/1000000+co2_st_nl_cost*Storage!$I$12*co2_density/FA_density/1000000+(co2_st_opex_lev+co2_st_invest_lev+co2_st_e_demand*1000*$AU54/100)*Storage!$I$12/1000000+co2_st_invest_lev*Storage!$I$12*co2_st_lifetime*M54/1000000+Carriers!$P$18/Carriers!$P$23*((CF54+FA_st_ab_losses)/365.25*short_st_duration_hrs/24)*(h2_short_st_invest*(1/gh2_short_st_lifetime+$M54+h2_short_st_opex)+h2_short_st_e_demand*1000*$AU54/100)/1000000+Carriers!$P$20/Carriers!$P$23*((CF54+FA_st_ab_losses)/365.25*short_st_duration_hrs/24)*(co2_short_st_invest*(1/co2_short_st_lifetime+$M54+co2_short_st_opex)+co2_short_st_e_demand*1000*$AU54/100)/1000000</f>
        <v>12256.221113676307</v>
      </c>
      <c r="CE54" s="63">
        <f>FA_st_nl_cost*FA_st_nl_demand/1000000+(FA_st_invest*(M54+1/FA_st_lifetime+FA_st_opex)/(Storage!$I$63/1000000)+FA_st_e_demand*1000*$AU54/100)*(CF54+FA_st_ab_losses)/1000000+Carriers!$P$18/Carriers!$P$23*((CF54+FA_st_ab_losses)/365.25*short_st_duration_hrs/24)*(h2_short_st_invest*(1/gh2_short_st_lifetime+$M54+h2_short_st_opex)+h2_short_st_e_demand*1000*$AU54/100)/1000000+Carriers!$P$20/Carriers!$P$23*((CF54+FA_st_ab_losses)/365.25*short_st_duration_hrs/24)*(co2_short_st_invest*(1/co2_short_st_lifetime+$M54+co2_short_st_opex)+co2_short_st_e_demand*1000*$AU54/100)/1000000</f>
        <v>5304.9694892929947</v>
      </c>
      <c r="CF54" s="63">
        <f>Storage!$I$57/((1-Shipping!$J$37)^($F54/24/Shipping!$J$44+0.5*Shipping!$J$59))</f>
        <v>310425396.82539684</v>
      </c>
      <c r="CG54" s="28">
        <f>IF($E54="","No Port",((F54/24/Shipping!$J$44+F54/24/Shipping!$J$50+Shipping!$J$59+Shipping!$J$64)*(Shipping!$J$22+wacc_nl*Shipping!$J$19/365.25*1000000+Shipping!$J$35)+(F54/24/Shipping!$J$44*Shipping!$J$45+Shipping!$J$64*Shipping!$J$65)*IF(bunker_choice="HFO",$H54,IF(bunker_choice="hydrogen",$BD54*hfo_e_density_lhv/h2_e_density_lhv,(CB54+CD54)*1000000/CF54*hfo_e_density_lhv/FA_e_density_lhv))+(F54/24/Shipping!$J$50*Shipping!$J$51+Shipping!$J$59*Shipping!$J$60)*IF(bunker_choice="HFO",bunker_price_ROT,IF(bunker_choice="hydrogen",$BD54*hfo_e_density_lhv/h2_e_density_lhv,(CB54+CD54)*1000000/CF54*hfo_e_density_lhv/FA_e_density_lhv))+Shipping!$J$73+IF(G54="Panama",Shipping!$J$55,0)+IF(G54="Suez",Shipping!$J$56,0))/Shipping!$J$31*CF54/1000000+IF(inland_transport_to_port="hv dc grid",$BM54/100*1000*CI54,IF(inland_transport_to_port="pipeline",$BN54,0)))</f>
        <v>16174.225169369447</v>
      </c>
      <c r="CH54" s="28">
        <f t="shared" si="36"/>
        <v>175639.95160141663</v>
      </c>
      <c r="CI54" s="29">
        <f>((Carriers!$P$18/Carriers!$P$23*alk_el_e_demand)+FA_e_demand)*(CF54+FA_st_ab_losses)/1000000+FA_st_e_demand*CF54/1000000</f>
        <v>1897.8881241622576</v>
      </c>
      <c r="CJ54" s="29">
        <f t="shared" si="80"/>
        <v>0.46563809523809524</v>
      </c>
      <c r="CK54" s="28">
        <f>IFERROR(CH54*1000000/Storage!$I$12,"")</f>
        <v>565.80406563902307</v>
      </c>
      <c r="CL54" s="28">
        <f>IF($E54="","No Port",((F54/24/Shipping!$J$44+F54/24/Shipping!$J$50+Shipping!$J$59+Shipping!$J$64)*Carriers!$P$39*wacc_nl))</f>
        <v>232.61725922915474</v>
      </c>
      <c r="CM54" s="29">
        <f>H2_retrieval!$H$25*h2_demand_kt/1000+(co2_liq_e_demand+co2_st_e_demand*2)*Storage!$I$12*co2_density/FA_density/1000000</f>
        <v>94.204253879484654</v>
      </c>
      <c r="CN54" s="28">
        <f>IFERROR((((CB54+CD54+CG54)*(1+H2_retrieval!$H$34)+CL54)*1000000/H2_retrieval!$H$8)+h2_regen_fa,"")</f>
        <v>11371.199289378124</v>
      </c>
      <c r="CO54" s="149">
        <f>(meoh_invest*(M54+1/meoh_lifetime)/meoh_prod+meoh_opex+meoh_e_demand*1000*$AU54/100+Carriers!$R$18/Carriers!$R$23*BD54+Carriers!$R$20/Carriers!$R$23*co2_liq_cost)*(CS54+meoh_st_ab_losses)/1000000</f>
        <v>81486.22399789613</v>
      </c>
      <c r="CP54" s="86">
        <f>(meoh_invest*(M54+1/meoh_lifetime)/meoh_prod+meoh_opex+meoh_e_demand*1000*$AU54/100+Carriers!$R$18/Carriers!$R$23*BD54+Carriers!$R$20/Carriers!$R$23*BP54)*(CS54+meoh_st_ab_losses)/1000000</f>
        <v>98742.14813560959</v>
      </c>
      <c r="CQ54" s="63">
        <f>meoh_st_nl_cost*meoh_st_nl_demand/1000000+(meoh_st_invest*(M54+1/meoh_st_lifetime+meoh_st_opex)/(Storage!$K$63/1000000)+meoh_st_e_demand*1000*$AU54/100)*(CS54+meoh_st_ab_losses)/1000000+co2_st_nl_cost*Storage!$K$12*co2_density/meoh_density/1000000+(co2_st_opex_lev+co2_st_invest_lev+co2_st_e_demand*1000*IFERROR(MIN(S54,AA54,AI54),S54)/100)*Storage!$K$12/1000000+co2_st_invest_lev*Storage!$K$12*co2_st_lifetime*M54/1000000+Carriers!$R$18/Carriers!$R$23*((CS54+meoh_st_ab_losses)/365.25*short_st_duration_hrs/24)*(h2_short_st_invest*(1/gh2_short_st_lifetime+$M54+h2_short_st_opex)+h2_short_st_e_demand*1000*$AU54/100)/1000000+Carriers!$R$20/Carriers!$R$23*((CF54+meoh_st_ab_losses)/365.25*short_st_duration_hrs/24)*(co2_short_st_invest*(1/co2_short_st_lifetime+$M54+co2_short_st_opex)+co2_short_st_e_demand*1000*$AU54/100)/1000000</f>
        <v>5122.3281885904871</v>
      </c>
      <c r="CR54" s="63">
        <f>meoh_st_nl_cost*meoh_st_nl_demand/1000000+(meoh_st_invest*(M54+1/meoh_st_lifetime+meoh_st_opex)/(Storage!$K$63/1000000)+meoh_st_e_demand*1000*$AU54/100)*(CS54+meoh_st_ab_losses)/1000000+Carriers!$R$18/Carriers!$R$23*((CS54+meoh_st_ab_losses)/365.25*short_st_duration_hrs/24)*(h2_short_st_invest*(1/gh2_short_st_lifetime+$M54+h2_short_st_opex)+h2_short_st_e_demand*1000*$AU54/100)/1000000+Carriers!$R$20/Carriers!$R$23*((CF54+meoh_st_ab_losses)/365.25*short_st_duration_hrs/24)*(co2_short_st_invest*(1/co2_short_st_lifetime+$M54+co2_short_st_opex)+co2_short_st_e_demand*1000*$AU54/100)/1000000</f>
        <v>2103.9278034142962</v>
      </c>
      <c r="CS54" s="63">
        <f>Storage!$K$57/((1-Shipping!$L$37)^($F54/24/Shipping!$L$44+0.5*Shipping!$L$59))</f>
        <v>108044444.44444443</v>
      </c>
      <c r="CT54" s="28">
        <f>IF($E54="","No Port",IF(AND(ship_choice="VLCC",G54="Panama"),"Ship cannot pass through Panama",IF(ship_choice="VLCC",((F54/24/Shipping!$AD$44+F54/24/Shipping!$AD$50+Shipping!$AD$59+Shipping!$AD$64)*(Shipping!$AD$22+wacc_nl*Shipping!$AD$19/365.25*1000000+Shipping!$AD$35)+(F54/24/Shipping!$AD$44*Shipping!$AD$45+Shipping!$AD$64*Shipping!$AD$65)*IF(bunker_choice="HFO",$H54,IF(bunker_choice="hydrogen",$BD54*hfo_e_density_lhv/h2_e_density_lhv,(CO54+CQ54)*1000000/CS54*hfo_e_density_lhv/meoh_e_density_lhv))+(F54/24/Shipping!$AD$50*Shipping!$AD$51+Shipping!$AD$59*Shipping!$AD$60)*IF(bunker_choice="HFO",bunker_price_ROT,IF(bunker_choice="hydrogen",$BD54*hfo_e_density_lhv/h2_e_density_lhv,(CO54+CQ54)*1000000/CS54*hfo_e_density_lhv/meoh_e_density_lhv))+Shipping!$AD$73+IF(G54="Panama",Shipping!$AD$55,0)+IF(G54="Suez",Shipping!$AD$56,0))/Shipping!$AD$31*CS54/1000000+IF(inland_transport_to_port="hv dc grid",$BM54/100*1000*CV54,IF(inland_transport_to_port="pipeline",$BN54,0)),((F54/24/Shipping!$L$44+F54/24/Shipping!$L$50+Shipping!$L$59+Shipping!$L$64)*(Shipping!$L$22+wacc_nl*Shipping!$L$19/365.25*1000000+Shipping!$L$35)+(F54/24/Shipping!$L$44*Shipping!$L$45+Shipping!$L$64*Shipping!$L$65)*IF(bunker_choice="HFO",$H54,IF(bunker_choice="hydrogen",$BD54*hfo_e_density_lhv/h2_e_density_lhv,(CO54+CQ54)*1000000/CS54*hfo_e_density_lhv/meoh_e_density_lhv))+(F54/24/Shipping!$L$50*Shipping!$L$51+Shipping!$L$59*Shipping!$L$60)*IF(bunker_choice="HFO",bunker_price_ROT,IF(bunker_choice="hydrogen",$BD54*hfo_e_density_lhv/h2_e_density_lhv,(CO54+CQ54)*1000000/CS54*hfo_e_density_lhv/meoh_e_density_lhv))+Shipping!$L$73+IF(G54="Panama",Shipping!$L$55,0)+IF(G54="Suez",Shipping!$L$56,0))/Shipping!$L$31*CS54/1000000+IF(inland_transport_to_port="hv dc grid",$BM54/100*1000*CV54,IF(inland_transport_to_port="pipeline",$BN54,0)))))</f>
        <v>5925.016698167402</v>
      </c>
      <c r="CU54" s="28">
        <f t="shared" si="37"/>
        <v>106771.09263719128</v>
      </c>
      <c r="CV54" s="29">
        <f>((Carriers!$R$18/Carriers!$R$23*alk_el_e_demand)+meoh_e_demand)*(CS54+meoh_st_ab_losses)/1000000+meoh_st_e_demand*CS54/1000000</f>
        <v>1119.9789871111109</v>
      </c>
      <c r="CW54" s="29">
        <f t="shared" si="81"/>
        <v>0.16206666666666666</v>
      </c>
      <c r="CX54" s="28">
        <f>IFERROR(CU54*1000000/Storage!$K$12,"")</f>
        <v>988.21455546557138</v>
      </c>
      <c r="CY54" s="28">
        <f>IF($E54="","No Port",((F54/24/Shipping!$L$44+F54/24/Shipping!$L$50+Shipping!$L$59+Shipping!$L$64)*Carriers!$R$39*wacc_nl))</f>
        <v>83.217753814613431</v>
      </c>
      <c r="CZ54" s="29">
        <f>H2_retrieval!$J$25*h2_demand_kt/1000+(co2_liq_e_demand+co2_st_e_demand*2)*Storage!$K$12*co2_density/meoh_density/1000000</f>
        <v>251.05079059698966</v>
      </c>
      <c r="DA54" s="28">
        <f>IFERROR((((CO54+CQ54+CT54)*(1+H2_retrieval!$J$34)+CY54)*1000000/H2_retrieval!$J$8)+h2_regen_meoh,"")</f>
        <v>7980.186384259986</v>
      </c>
      <c r="DB54" s="149">
        <f>(DBT_invest*(M54+1/DBT_lifetime)/DBT_prod+DBT_opex+DBT_e_demand*1000*$AU54/100+Carriers!$T$18/Carriers!$T$23*BD54)*(DD54+DBT_st_ab_losses)/1000000</f>
        <v>54381.995588723221</v>
      </c>
      <c r="DC54" s="28">
        <f>2*(DBT_st_nl_cost*DBT_st_nl_demand/1000000+(DBT_st_invest*(M54+1/DBT_st_lifetime+DBT_st_opex)/(Storage!$M$63/1000000)+DBT_st_e_demand*1000*$AU54/100)*(DD54+DBT_st_ab_losses)/1000000)+Carriers!$T$18/Carriers!$T$23*((DD54+DBT_st_ab_losses)/365.25*short_st_duration_hrs/24)*(h2_short_st_invest*(1/gh2_short_st_lifetime+$M54+h2_short_st_opex)+h2_short_st_e_demand*1000*$AU54/100)/1000000</f>
        <v>4311.9124727697108</v>
      </c>
      <c r="DD54" s="63">
        <f>Storage!$M$57/((1-Shipping!$N$37)^($F54/24/Shipping!$N$44+0.5*Shipping!$N$59))</f>
        <v>219354838.70967743</v>
      </c>
      <c r="DE54" s="28">
        <f>IF($E54="","No Port",IF(AND(ship_choice="VLCC",G54="Panama"),"Ship cannot pass through Panama",IF(ship_choice="VLCC",((F54/24/Shipping!$AD$44+F54/24/Shipping!$AD$50+Shipping!$AD$59+Shipping!$AD$64)*(Shipping!$AD$22+wacc_nl*Shipping!$AD$19/365.25*1000000+Shipping!$AD$35)+(F54/24/Shipping!$AD$44*Shipping!$AD$45+Shipping!$AD$64*Shipping!$AD$65)*IF(bunker_choice="HFO",$H54,IF(bunker_choice="hydrogen",$BD54*hfo_e_density_lhv/h2_e_density_lhv,(DB54+DC54)*1000000/DD54*hfo_e_density_lhv/DBT_e_density_lhv))+(F54/24/Shipping!$AD$50*Shipping!$AD$51+Shipping!$AD$59*Shipping!$AD$60)*IF(bunker_choice="HFO",bunker_price_ROT,IF(bunker_choice="hydrogen",$BD54*hfo_e_density_lhv/h2_e_density_lhv,(DB54+DC54)*1000000/DD54*hfo_e_density_lhv/DBT_e_density_lhv))+Shipping!$AD$73+IF(G54="Panama",Shipping!$AD$55,0)+IF(G54="Suez",Shipping!$AD$56,0))/Shipping!$AD$31*DD54/1000000+IF(inland_transport_to_port="hv dc grid",$BM54/100*1000*DG54,IF(inland_transport_to_port="pipeline",$BN54,0)),((F54/24/Shipping!$N$44+F54/24/Shipping!$N$50+Shipping!$N$59+Shipping!$N$64)*(Shipping!$N$22+wacc_nl*Shipping!$N$19/365.25*1000000+Shipping!$N$35)+(F54/24/Shipping!$N$44*Shipping!$N$45+Shipping!$N$64*Shipping!$N$65)*IF(bunker_choice="HFO",$H54,IF(bunker_choice="hydrogen",$BD54*hfo_e_density_lhv/h2_e_density_lhv,(DB54+DC54)*1000000/DD54*hfo_e_density_lhv/DBT_e_density_lhv))+(F54/24/Shipping!$N$50*Shipping!$N$51+Shipping!$N$59*Shipping!$N$60)*IF(bunker_choice="HFO",bunker_price_ROT,IF(bunker_choice="hydrogen",$BD54*hfo_e_density_lhv/h2_e_density_lhv,(DB54+DC54)*1000000/DD54*hfo_e_density_lhv/DBT_e_density_lhv))+Shipping!$N$73+IF(G54="Panama",Shipping!$N$55,0)+IF(G54="Suez",Shipping!$N$56,0))/Shipping!$N$31*Shipping!$N$86/1000000+IF(inland_transport_to_port="hv dc grid",$BM54/100*1000*DG54,IF(inland_transport_to_port="pipeline",$BN54,0)))))</f>
        <v>10396.430156896542</v>
      </c>
      <c r="DF54" s="28">
        <f t="shared" si="82"/>
        <v>69090.338218389472</v>
      </c>
      <c r="DG54" s="29">
        <f>((Carriers!$T$18/Carriers!$T$23*alk_el_e_demand)+DBT_e_demand)*(DD54+DBT_st_ab_losses)/1000000+DBT_st_e_demand*DD54/1000000</f>
        <v>703.88335483870969</v>
      </c>
      <c r="DH54" s="29">
        <f t="shared" si="83"/>
        <v>0.21935483870967742</v>
      </c>
      <c r="DI54" s="28">
        <f>IFERROR(DF54*1000000/Storage!$M$12,"")</f>
        <v>314.97065952501077</v>
      </c>
      <c r="DJ54" s="28">
        <f>IF($E54="","No Port",((F54/24/Shipping!$N$44+F54/24/Shipping!$N$50+Shipping!$N$59+Shipping!$N$64)*Carriers!$T$39*wacc_nl))</f>
        <v>6061.0224323001139</v>
      </c>
      <c r="DK54" s="100">
        <f>H2_retrieval!$L$25*h2_demand_kt/1000+(co2_liq_e_demand+co2_st_e_demand*2)*Storage!$M$12*co2_density/DBT_density/1000000</f>
        <v>206.61934861671787</v>
      </c>
      <c r="DL54" s="28">
        <f>IFERROR(((DF54*(1+H2_retrieval!$L$34)+DJ54)*1000000/H2_retrieval!$L$8)+h2_regen_lohc,"")</f>
        <v>5996.4851226012652</v>
      </c>
      <c r="DM54" s="149">
        <f t="shared" si="84"/>
        <v>55493.349747201079</v>
      </c>
      <c r="DN54" s="16">
        <f>2*(nabh4_st_nl_cost*nabh4_st_nl_demand/1000000+(nabh4_st_invest*(M54+1/nabh4_st_lifetime+nabh4_st_opex)/(Storage!$O$63/1000000)+nabh4_st_e_demand*1000*$AU54/100)*(DO54+nabh4_st_ab_losses)/1000000)+(h2_demand_kt*1000/365.25*short_st_duration_hrs/24)*(h2_short_st_invest*(1/gh2_short_st_lifetime+$M54+h2_short_st_opex)+h2_short_st_e_demand*1000*$AU54/100)/1000000</f>
        <v>1480.4407110066313</v>
      </c>
      <c r="DO54" s="63">
        <f>Storage!$O$57/((1-Shipping!$P$37)^($F54/24/Shipping!$P$44+0.5*Shipping!$P$59))</f>
        <v>63920000</v>
      </c>
      <c r="DP54" s="16">
        <f>IF($E54="","No Port",((F54/24/Shipping!$P$44+F54/24/Shipping!$P$50+Shipping!$P$59+Shipping!$P$64)*(Shipping!$P$22+wacc_nl*Shipping!$P$19/365.25*1000000+Shipping!$P$35)+(F54/24/Shipping!$P$44*Shipping!$P$45+Shipping!$P$64*Shipping!$P$65)*IF(bunker_choice="HFO",$H54,IF(bunker_choice="hydrogen",$BD54*hfo_e_density_lhv/h2_e_density_lhv,(DM54+DN54)*1000000/DO54*hfo_e_density_lhv/nabh4_e_density_lhv))+(F54/24/Shipping!$P$50*Shipping!$P$51+Shipping!$P$59*Shipping!$P$60)*IF(bunker_choice="HFO",bunker_price_ROT,IF(bunker_choice="hydrogen",$BD54*hfo_e_density_lhv/h2_e_density_lhv,(DM54+DN54)*1000000/DO54*hfo_e_density_lhv/nabh4_e_density_lhv))+Shipping!$P$73+IF(G54="Panama",Shipping!$P$55,0)+IF(G54="Suez",Shipping!$P$56,0))/Shipping!$P$31*(DO54+nabh4_st_ab_losses)/1000000+IF(inland_transport_to_port="hv dc grid",$BM54/100*1000*DR54,IF(inland_transport_to_port="pipeline",$BN54,0)))</f>
        <v>3390.8804659899606</v>
      </c>
      <c r="DQ54" s="28">
        <f t="shared" si="60"/>
        <v>60364.670924197671</v>
      </c>
      <c r="DR54" s="29">
        <f>((Carriers!$V$18/Carriers!$V$23*alk_el_e_demand)+nabh4_e_demand)*(DO54+nabh4_st_ab_losses)/1000000+nabh4_st_e_demand*DO54/1000000</f>
        <v>980.02139682539689</v>
      </c>
      <c r="DS54" s="28">
        <f t="shared" si="85"/>
        <v>3.1960000000000002</v>
      </c>
      <c r="DT54" s="28">
        <f>IFERROR(DQ54*1000000/Storage!$O$12,"")</f>
        <v>944.37845626091473</v>
      </c>
      <c r="DU54" s="28">
        <f>IF($E54="","No Port",((F54/24/Shipping!$P$44+F54/24/Shipping!$P$50+Shipping!$P$59+Shipping!$P$64)*Carriers!$V$39*wacc_nl))</f>
        <v>564.99231181168625</v>
      </c>
      <c r="DV54" s="100">
        <f>H2_retrieval!$N$25*h2_demand_kt/1000+(co2_liq_e_demand+co2_st_e_demand*2)*Storage!$O$12*co2_density/nabh4_density/1000000</f>
        <v>18.783638728971958</v>
      </c>
      <c r="DW54" s="28">
        <f>IFERROR(((DQ54*(1+H2_retrieval!$N$34)+DU54)*1000000/H2_retrieval!$N$8)+h2_regen_nabh4,"")</f>
        <v>4575.7680821045587</v>
      </c>
      <c r="DX54" s="149">
        <f>(Dme_invest*(M54+1/Dme_lifetime)/Dme_prod+Dme_opex+Dme_e_demand*1000*$AU54/100+Carriers!$X$21/Carriers!$X$23*(CO54*1000000/CS54))*(EB54+Dme_st_ab_losses)/1000000</f>
        <v>113935.97362389367</v>
      </c>
      <c r="DY54" s="86">
        <f>(Dme_invest*(M54+1/Dme_lifetime)/Dme_prod+Dme_opex+Dme_e_demand*1000*$AU54/100+Carriers!$X$21/Carriers!$X$23*(CP54*1000000/CS54))*(EB54+Dme_st_ab_losses)/1000000</f>
        <v>137346.46489468985</v>
      </c>
      <c r="DZ54" s="63">
        <f>Dme_st_nl_cost*Dme_st_nl_demand/1000000+(Dme_st_invest*(M54+1/Dme_st_lifetime+Dme_st_opex)/(Storage!$Q$63/1000000)+Dme_st_e_demand*1000*$AU54/100)*(EB54+Dme_st_ab_losses)/1000000+co2_st_nl_cost*Storage!$Q$12*co2_density/Dme_density/1000000+(co2_st_opex_lev+co2_st_invest_lev+co2_st_e_demand*1000*$AU54/100)*Storage!$Q$12/1000000+co2_st_invest_lev*Storage!$Q$12*co2_st_lifetime*M54/1000000+(h2_demand_kt*1000/365.25*short_st_duration_hrs/24)*(h2_short_st_invest*(1/gh2_short_st_lifetime+$M54+h2_short_st_opex)+h2_short_st_e_demand*1000*$AU54/100)/1000000</f>
        <v>6161.8163755931982</v>
      </c>
      <c r="EA54" s="63">
        <f>Dme_st_nl_cost*Dme_st_nl_demand/1000000+(Dme_st_invest*(M54+1/Dme_st_lifetime+Dme_st_opex)/(Storage!$Q$63/1000000)+Dme_st_e_demand*1000*$AU54/100)*(EB54+Dme_st_ab_losses)/1000000+(h2_demand_kt*1000/365.25*short_st_duration_hrs/24)*(h2_short_st_invest*(1/gh2_short_st_lifetime+$M54+h2_short_st_opex)+h2_short_st_e_demand*1000*$AU54/100)/1000000</f>
        <v>3142.1563371174661</v>
      </c>
      <c r="EB54" s="63">
        <f>Storage!$Q$57/((1-Shipping!$R$37)^($F54/24/Shipping!$R$44+0.5*Shipping!$R$59))</f>
        <v>103547089.94708996</v>
      </c>
      <c r="EC54" s="153">
        <f>IF($E54="","No Port",IF(AND(ship_choice="VLCC",G54="Panama"),"Ship cannot pass through Panama",IF(ship_choice="VLCC",((F54/24/Shipping!$AD$44+F54/24/Shipping!$AD$50+Shipping!$AD$59+Shipping!$AD$64)*(Shipping!$AD$22+wacc_nl*Shipping!$AD$19/365.25*1000000+Shipping!$AD$35)+(F54/24/Shipping!$AD$44*Shipping!$AD$45+Shipping!$AD$64*Shipping!$AD$65)*IF(bunker_choice="HFO",$H54,IF(bunker_choice="hydrogen",$BD54*hfo_e_density_lhv/h2_e_density_lhv,(DX54+DZ54)*1000000/EB54*hfo_e_density_lhv/Dme_e_density_lhv))+(F54/24/Shipping!$AD$50*Shipping!$AD$51+Shipping!$AD$59*Shipping!$AD$60)*IF(bunker_choice="HFO",bunker_price_ROT,IF(bunker_choice="hydrogen",$BD54*hfo_e_density_lhv/h2_e_density_lhv,(DX54+DZ54)*1000000/EB54*hfo_e_density_lhv/Dme_e_density_lhv))+Shipping!$AD$73+IF(G54="Panama",Shipping!$AD$55,0)+IF(G54="Suez",Shipping!$AD$56,0))/Shipping!$AD$31*(EB54+Dme_st_ab_losses)/1000000+IF(inland_transport_to_port="hv dc grid",$BM54/100*1000*EE54,IF(inland_transport_to_port="pipeline",$BN54,0)),((F54/24/Shipping!$R$44+F54/24/Shipping!$R$50+Shipping!$R$59+Shipping!$R$64)*(Shipping!$R$22+wacc_nl*Shipping!$R$19/365.25*1000000+Shipping!$R$35)+(F54/24/Shipping!$R$44*Shipping!$R$45+Shipping!$R$64*Shipping!$R$65)*IF(bunker_choice="HFO",$H54,IF(bunker_choice="hydrogen",$BD54*hfo_e_density_lhv/h2_e_density_lhv,(DX54+DZ54)*1000000/EB54*hfo_e_density_lhv/Dme_e_density_lhv))+(F54/24/Shipping!$R$50*Shipping!$R$51+Shipping!$R$59*Shipping!$R$60)*IF(bunker_choice="HFO",bunker_price_ROT,IF(bunker_choice="hydrogen",$BD54*hfo_e_density_lhv/h2_e_density_lhv,(DX54+DZ54)*1000000/EB54*hfo_e_density_lhv/Dme_e_density_lhv))+Shipping!$R$73+IF(G54="Panama",Shipping!$R$55,0)+IF(G54="Suez",Shipping!$R$56,0))/Shipping!$R$31*(EB54+Dme_st_ab_losses)/1000000+IF(inland_transport_to_port="hv dc grid",$BM54/100*1000*EE54,IF(inland_transport_to_port="pipeline",$BN54,0)))))</f>
        <v>5855.5456637010084</v>
      </c>
      <c r="ED54" s="28">
        <f t="shared" si="39"/>
        <v>146344.16689550833</v>
      </c>
      <c r="EE54" s="29">
        <f>(Dme_e_demand)*(EB54+Dme_st_ab_losses)/1000000+Dme_st_e_demand*DZ54/1000000+$CV54*(Carriers!$X$21/Carriers!$X$23*EB54)/$CS54</f>
        <v>1550.2168217852195</v>
      </c>
      <c r="EF54" s="29">
        <f t="shared" si="86"/>
        <v>1.0354708994708997</v>
      </c>
      <c r="EG54" s="28">
        <f>IFERROR(ED54*1000000/Storage!$Q$12,"")</f>
        <v>1413.3102820203508</v>
      </c>
      <c r="EH54" s="28">
        <f>IF($E54="","No Port",((F54/24/Shipping!$R$44+F54/24/Shipping!$R$50+Shipping!$R$59+Shipping!$R$64)*Carriers!$X$39*wacc_nl))</f>
        <v>86.207331963731264</v>
      </c>
      <c r="EI54" s="100">
        <f>H2_retrieval!$P$25*h2_demand_kt/1000+(co2_liq_e_demand+co2_st_e_demand*2)*Storage!$Q$12*co2_density/Dme_density/1000000</f>
        <v>252.45335899349112</v>
      </c>
      <c r="EJ54" s="28">
        <f>IFERROR((((DX54+DZ54+EC54)*(1+H2_retrieval!$P$34)+EH54)*1000000/H2_retrieval!$P$8)+h2_regen_dme,"")</f>
        <v>10437.741998721969</v>
      </c>
      <c r="EK54" s="149">
        <f>(ome_invest*(M54+1/ome_lifetime)/ome_prod+ome_opex+ome_e_demand*1000*$AU54/100+Carriers!$Z$21/Carriers!$Z$23*(CO54*1000000/CS54))*(EO54+ome_st_ab_losses)/1000000</f>
        <v>246558.74535395758</v>
      </c>
      <c r="EL54" s="86">
        <f>(ome_invest*(M54+1/ome_lifetime)/ome_prod+ome_opex+ome_e_demand*1000*$AU54/100+Carriers!$Z$21/Carriers!$Z$23*(CP54*1000000/CS54))*(EO54+ome_st_ab_losses)/1000000</f>
        <v>295701.92368860223</v>
      </c>
      <c r="EM54" s="63">
        <f>ome_st_nl_cost*ome_st_nl_demand/1000000+(ome_st_invest*(M54+1/ome_st_lifetime+ome_st_opex)/(Storage!$S$63/1000000)+ome_st_e_demand*1000*$AU54/100)*(EO54+ome_st_ab_losses)/1000000+co2_st_nl_cost*Storage!$S$12*co2_density/ome_density/1000000+(co2_st_opex_lev+co2_st_invest_lev+co2_st_e_demand*1000*$AU54/100)*Storage!$S$12/1000000+co2_st_invest_lev*Storage!$S$12*co2_st_lifetime*M54/1000000+(h2_demand_kt*1000/365.25*short_st_duration_hrs/24)*(h2_short_st_invest*(1/gh2_short_st_lifetime+$M54+h2_short_st_opex)+h2_short_st_e_demand*1000*$AU54/100)/1000000</f>
        <v>5293.4424153002547</v>
      </c>
      <c r="EN54" s="63">
        <f>ome_st_nl_cost*ome_st_nl_demand/1000000+(ome_st_invest*(M54+1/ome_st_lifetime+ome_st_opex)/(Storage!$S$63/1000000)+ome_st_e_demand*1000*$AU54/100)*(EO54+ome_st_ab_losses)/1000000+(h2_demand_kt*1000/365.25*short_st_duration_hrs/24)*(h2_short_st_invest*(1/gh2_short_st_lifetime+$M54+h2_short_st_opex)+h2_short_st_e_demand*1000*$AU54/100)/1000000</f>
        <v>1891.410299556183</v>
      </c>
      <c r="EO54" s="63">
        <f>Storage!$S$57/((1-Shipping!$T$37)^($F54/24/Shipping!$T$44+0.5*Shipping!$T$59))</f>
        <v>128282539.68253967</v>
      </c>
      <c r="EP54" s="28">
        <f>IF($E54="","No Port",IF(AND(ship_choice="VLCC",G54="Panama"),"Ship cannot pass through Panama",IF(ship_choice="VLCC",((F54/24/Shipping!$AD$44+F54/24/Shipping!$AD$50+Shipping!$AD$59+Shipping!$AD$64)*(Shipping!$AD$22+wacc_nl*Shipping!$AD$19/365.25*1000000+Shipping!$AD$35)+(F54/24/Shipping!$AD$44*Shipping!$AD$45+Shipping!$AD$64*Shipping!$AD$65)*IF(bunker_choice="HFO",$H54,IF(bunker_choice="hydrogen",$BD54*hfo_e_density_lhv/h2_e_density_lhv,(EK54+EM54)*1000000/EO54*hfo_e_density_lhv/Dme_e_density_lhv))+(F54/24/Shipping!$AD$50*Shipping!$AD$51+Shipping!$AD$59*Shipping!$AD$60)*IF(bunker_choice="HFO",bunker_price_ROT,IF(bunker_choice="hydrogen",$BD54*hfo_e_density_lhv/h2_e_density_lhv,(EK54+EM54)*1000000/EO54*hfo_e_density_lhv/ome_e_density_lhv))+Shipping!$AD$73+IF(G54="Panama",Shipping!$AD$55,0)+IF(G54="Suez",Shipping!$AD$56,0))/Shipping!$AD$31*(EO54+ome_st_ab_losses)/1000000+IF(inland_transport_to_port="hv dc grid",$BM54/100*1000*ER54,IF(inland_transport_to_port="pipeline",$BN54,0)),((F54/24/Shipping!$T$44+F54/24/Shipping!$T$50+Shipping!$T$59+Shipping!$T$64)*(Shipping!$T$22+wacc_nl*Shipping!$T$19/365.25*1000000+Shipping!$T$35)+(F54/24/Shipping!$T$44*Shipping!$T$45+Shipping!$T$64*Shipping!$T$65)*IF(bunker_choice="HFO",$H54,IF(bunker_choice="hydrogen",$BD54*hfo_e_density_lhv/h2_e_density_lhv,(EK54+EM54)*1000000/EO54*hfo_e_density_lhv/Dme_e_density_lhv))+(F54/24/Shipping!$T$50*Shipping!$T$51+Shipping!$T$59*Shipping!$T$60)*IF(bunker_choice="HFO",bunker_price_ROT,IF(bunker_choice="hydrogen",$BD54*hfo_e_density_lhv/h2_e_density_lhv,(EK54+EM54)*1000000/EO54*hfo_e_density_lhv/ome_e_density_lhv))+Shipping!$T$73+IF(G54="Panama",Shipping!$T$55,0)+IF(G54="Suez",Shipping!$T$56,0))/Shipping!$T$31*(EO54+ome_st_ab_losses)/1000000+IF(inland_transport_to_port="hv dc grid",$BM54/100*1000*ER54,IF(inland_transport_to_port="pipeline",$BN54,0)))))</f>
        <v>6549.6068821815707</v>
      </c>
      <c r="EQ54" s="28">
        <f t="shared" si="40"/>
        <v>304142.94087033992</v>
      </c>
      <c r="ER54" s="29">
        <f>(ome_e_demand)*(EO54+ome_st_ab_losses)/1000000+ome_st_e_demand*EM54/1000000+$CV54*(Carriers!$Z$21/Carriers!$Z$23*EO54)/$CS54</f>
        <v>3352.081458080947</v>
      </c>
      <c r="ES54" s="29">
        <f t="shared" si="87"/>
        <v>0.1924238095238095</v>
      </c>
      <c r="ET54" s="28">
        <f>IFERROR(EQ54*1000000/Storage!$S$12,"")</f>
        <v>2370.8833768258824</v>
      </c>
      <c r="EU54" s="28">
        <f>IF($E54="","No Port",((F54/24/Shipping!$T$44+F54/24/Shipping!$T$50+Shipping!$T$59+Shipping!$T$64)*Carriers!$Z$39*wacc_nl))</f>
        <v>98.805494913754302</v>
      </c>
      <c r="EV54" s="100">
        <f>H2_retrieval!$R$25*h2_demand_kt/1000+(co2_liq_e_demand+co2_st_e_demand*2)*Storage!$S$12*co2_density/ome_density/1000000</f>
        <v>254.51942895252085</v>
      </c>
      <c r="EW54" s="28">
        <f>IFERROR((((EK54+EM54+EP54)*(1+H2_retrieval!$R$34)+EU54)*1000000/H2_retrieval!$R$8)+h2_regen_ome,"")</f>
        <v>20177.525612780904</v>
      </c>
      <c r="EX54" s="149">
        <f>(sng_invest*(M54+1/sng_lifetime)/sng_prod+lng_invest*(M54+1/lng_lifetime)/lng_prod+sng_opex+lng_opex+(sng_e_demand+lng_e_demand)*1000*$AU54/100+Carriers!$AB$18/Carriers!$AB$23*BD54+Carriers!$AB$20/Carriers!$AB$23*co2_liq_cost)*(FB54+lng_st_ab_losses)/1000000</f>
        <v>87267.217245866457</v>
      </c>
      <c r="EY54" s="86">
        <f>(sng_invest*(M54+1/sng_lifetime)/sng_prod+lng_invest*(M54+1/lng_lifetime)/lng_prod+sng_opex+lng_opex+(sng_e_demand+lng_e_demand)*1000*$AU54/100+Carriers!$AB$18/Carriers!$AB$23*BD54+Carriers!$AB$20/Carriers!$AB$23*BP54)*(FB54+lng_st_ab_losses)/1000000</f>
        <v>100214.2227122437</v>
      </c>
      <c r="EZ54" s="63">
        <f>lng_st_nl_cost*lng_st_nl_demand/1000000+(lng_st_invest*(M54+1/lng_st_lifetime+lng_st_opex)/(Storage!$U$63/1000000)+lng_st_e_demand*1000*$AU54/100)*(FB54+lng_st_ab_losses)/1000000+co2_st_nl_cost*Storage!$U$12*co2_density/lng_density/1000000+(co2_st_opex_lev+co2_st_invest_lev+co2_st_e_demand*1000*$AU54/100)*Storage!$U$12/1000000+co2_st_invest_lev*Storage!$U$12*co2_st_lifetime*M54/1000000+Carriers!$AB$18/Carriers!$AB$23*((FB54+lng_st_ab_losses)/365.25*short_st_duration_hrs/24)*(h2_short_st_invest*(1/gh2_short_st_lifetime+$M54+h2_short_st_opex)+h2_short_st_e_demand*1000*$AU54/100)/1000000+Carriers!$AB$20/Carriers!$AB$23*((FB54+lng_st_ab_losses)/365.25*short_st_duration_hrs/24)*(co2_short_st_invest*(1/co2_short_st_lifetime+$M54+co2_short_st_opex)+co2_short_st_e_demand*1000*$AU54/100)/1000000</f>
        <v>6544.725558082484</v>
      </c>
      <c r="FA54" s="63">
        <f>lng_st_nl_cost*lng_st_nl_demand/1000000+(lng_st_invest*(M54+1/lng_st_lifetime+lng_st_opex)/(Storage!$U$63/1000000)+lng_st_e_demand*1000*$AU54/100)*(FB54+lng_st_ab_losses)/1000000+Carriers!$AB$18/Carriers!$AB$23*((FB54+lng_st_ab_losses)/365.25*short_st_duration_hrs/24)*(h2_short_st_invest*(1/gh2_short_st_lifetime+$M54+h2_short_st_opex)+h2_short_st_e_demand*1000*$AU54/100)/1000000+Carriers!$AB$20/Carriers!$AB$23*((FB54+lng_st_ab_losses)/365.25*short_st_duration_hrs/24)*(co2_short_st_invest*(1/co2_short_st_lifetime+$M54+co2_short_st_opex)+co2_short_st_e_demand*1000*$AU54/100)/1000000</f>
        <v>4923.5151404362077</v>
      </c>
      <c r="FB54" s="63">
        <f>Storage!$U$57/((1-Shipping!$V$37)^($F54/24/Shipping!$V$44+0.5*Shipping!$V$59))</f>
        <v>41305206.5827474</v>
      </c>
      <c r="FC54" s="28">
        <f>IF($E54="","No Port",IF(G54="Panama","Ship cannot pass through Panama",((F54/24/Shipping!$V$44+F54/24/Shipping!$V$50+Shipping!$V$59+Shipping!$V$64)*(Shipping!$V$22+wacc_nl*Shipping!$V$19/365.25*1000000+Shipping!$V$35)+(F54/24/Shipping!$V$44*Shipping!$V$45+Shipping!$V$64*Shipping!$V$65)*IF(bunker_choice="HFO",$H54,IF(bunker_choice="hydrogen",$BD54*hfo_e_density_lhv/h2_e_density_lhv,(EX54+EZ54)*1000000/FB54*hfo_e_density_lhv/lng_e_density_lhv))+(F54/24/Shipping!$V$50*Shipping!$V$51+Shipping!$V$59*Shipping!$V$60)*IF(bunker_choice="HFO",bunker_price_ROT,IF(bunker_choice="hydrogen",$BD54*hfo_e_density_lhv/h2_e_density_lhv,(EX54+EZ54)*1000000/FB54*hfo_e_density_lhv/lng_e_density_lhv))+Shipping!$V$73+IF(G54="Panama",Shipping!$V$55,0)+IF(G54="Suez",Shipping!$V$56,0))/Shipping!$V$31*(FB54+lng_st_ab_losses)/1000000)+IF(inland_transport_to_port="hv dc grid",$BM54/100*1000*FE54,IF(inland_transport_to_port="pipeline",$BN54,0)))</f>
        <v>2782.9162291750681</v>
      </c>
      <c r="FD54" s="28">
        <f t="shared" si="41"/>
        <v>107920.65408185498</v>
      </c>
      <c r="FE54" s="29">
        <f>((Carriers!$AB$18/Carriers!$AB$23*alk_el_e_demand)+sng_e_demand+lng_e_demand)*(FB54+lng_st_ab_losses)/1000000+lng_st_e_demand*EZ54/1000000</f>
        <v>1107.7709260587542</v>
      </c>
      <c r="FF54" s="29">
        <f t="shared" si="88"/>
        <v>0.8126185861001558</v>
      </c>
      <c r="FG54" s="28">
        <f>IFERROR(FD54*1000000/Storage!$U$12,"")</f>
        <v>2659.1838263285604</v>
      </c>
      <c r="FH54" s="28">
        <f>IF($E54="","No Port",((F54/24/Shipping!$V$44+F54/24/Shipping!$V$50+Shipping!$V$59+Shipping!$V$64)*Carriers!$AB$39*wacc_nl))</f>
        <v>29.177183620180219</v>
      </c>
      <c r="FI54" s="100">
        <f>H2_retrieval!$T$25*h2_demand_kt/1000+(co2_liq_e_demand+co2_st_e_demand*2)*Storage!$U$12*co2_density/lng_density/1000000</f>
        <v>236.51371749646054</v>
      </c>
      <c r="FJ54" s="28">
        <f>IFERROR((((EX54+EZ54+FC54)*(1+H2_retrieval!$T$34)+FH54)*1000000/H2_retrieval!$T$8)+h2_regen_lng,"")</f>
        <v>8274.8370885449531</v>
      </c>
      <c r="FK54" s="149">
        <f>(lh2_invest*(M54+1/lh2_lifetime)/lh2_prod+lh2_opex+lh2_e_demand*1000*$AU54/100+Carriers!$AD$18/Carriers!$AD$23*BD54)*(FM54+lh2_st_ab_losses)/1000000</f>
        <v>67009.432172510482</v>
      </c>
      <c r="FL54" s="28">
        <f>lh2_st_nl_cost*lh2_st_nl_demand/1000000+(lh2_st_invest*(M54+1/lh2_st_lifetime+lh2_st_opex)/(Storage!$Y$63/1000000)+lh2_st_e_demand*1000*$AU54/100)*(FM54+lh2_st_ab_losses)/1000000+((FM54+lh2_st_ab_losses)/365.25*short_st_duration_hrs/24)*(h2_short_st_invest*(1/gh2_short_st_lifetime+$M54+h2_short_st_opex)+h2_short_st_e_demand*1000*$AU54/100)/1000000</f>
        <v>57018.055882909408</v>
      </c>
      <c r="FM54" s="63">
        <f>Storage!$Y$57/((1-Shipping!$Z$37)^($F54/24/Shipping!$Z$44+0.5*Shipping!$Z$59))</f>
        <v>13982575.393883407</v>
      </c>
      <c r="FN54" s="28">
        <f>IF($E54="","No Port",IF(G54="Panama","Ship cannot pass through Panama",((F54/24/Shipping!$Z$44+F54/24/Shipping!$Z$50+Shipping!$Z$59+Shipping!$Z$64)*(Shipping!$Z$22+wacc_nl*Shipping!$Z$19/365.25*1000000+Shipping!$Z$35)+(F54/24/Shipping!$Z$44*Shipping!$Z$45+Shipping!$Z$64*Shipping!$Z$65)*IF(bunker_choice="HFO",$H54,IF(bunker_choice="hydrogen",$BD54*hfo_e_density_lhv/h2_e_density_lhv,(FK54+FL54)*1000000/FM54*hfo_e_density_lhv/lh2_e_density_lhv))+(F54/24/Shipping!$Z$50*Shipping!$Z$51+Shipping!$Z$59*Shipping!$Z$60)*IF(bunker_choice="HFO",bunker_price_ROT,IF(bunker_choice="hydrogen",$BD54*hfo_e_density_lhv/h2_e_density_lhv,(FK54+FL54)*1000000/FM54*hfo_e_density_lhv/lh2_e_density_lhv))+Shipping!$Z$73+IF(G54="Panama",Shipping!$Z$55,0)+IF(G54="Suez",Shipping!$Z$56,0))/Shipping!$Z$31*(FM54+lh2_st_ab_losses)/1000000)+IF(inland_transport_to_port="hv dc grid",$BM54/100*1000*FP54,IF(inland_transport_to_port="pipeline",$BN54,0)))</f>
        <v>4140.5761817593129</v>
      </c>
      <c r="FO54" s="28">
        <f t="shared" si="42"/>
        <v>128168.06423717921</v>
      </c>
      <c r="FP54" s="29">
        <f>((Carriers!$AD$18/Carriers!$AD$23*alk_el_e_demand)+lh2_e_demand)*(FM54+lh2_st_ab_losses)/1000000+lh2_st_e_demand*FM54/1000000</f>
        <v>810.27069119403643</v>
      </c>
      <c r="FQ54" s="100">
        <f t="shared" si="89"/>
        <v>1.361902463475859</v>
      </c>
      <c r="FR54" s="28">
        <f>IFERROR(FO54*1000000/Storage!$Y$12,"")</f>
        <v>9424.1223703808228</v>
      </c>
      <c r="FS54" s="100">
        <f>H2_retrieval!$V$25*h2_demand_kt/1000</f>
        <v>8.16</v>
      </c>
      <c r="FT54" s="28">
        <f>IFERROR(FR54*(1+H2_retrieval!$V$34)/Carrier_properties!$U$7+H2_retrieval!$V$38,"")</f>
        <v>9456.0910962492908</v>
      </c>
      <c r="FU54" s="12"/>
      <c r="FV54" s="24">
        <f t="shared" si="90"/>
        <v>2.9787129497989606</v>
      </c>
      <c r="FW54" s="24" t="str">
        <f t="shared" si="57"/>
        <v/>
      </c>
      <c r="FX54" s="24" t="str">
        <f t="shared" si="58"/>
        <v/>
      </c>
      <c r="FY54" s="24">
        <f t="shared" si="45"/>
        <v>2.9787129497989606</v>
      </c>
      <c r="FZ54" s="28">
        <f t="shared" si="59"/>
        <v>3747.9730739398224</v>
      </c>
      <c r="GA54" s="28">
        <f t="shared" si="47"/>
        <v>820.04917213078613</v>
      </c>
      <c r="GB54" s="28">
        <f t="shared" si="48"/>
        <v>496.61129056867753</v>
      </c>
      <c r="GC54" s="28">
        <f t="shared" si="49"/>
        <v>913.90305761053719</v>
      </c>
      <c r="GD54" s="28">
        <f t="shared" si="50"/>
        <v>1326.4154981551926</v>
      </c>
      <c r="GE54" s="28">
        <f t="shared" si="51"/>
        <v>2305.0831735977063</v>
      </c>
      <c r="GF54" s="28">
        <f t="shared" si="52"/>
        <v>2426.1886334228325</v>
      </c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</row>
    <row r="55" spans="1:214" x14ac:dyDescent="0.2">
      <c r="A55" s="40" t="s">
        <v>298</v>
      </c>
      <c r="B55" s="12">
        <v>4678</v>
      </c>
      <c r="C55" s="12">
        <v>0.9</v>
      </c>
      <c r="D55" s="12">
        <f t="shared" si="61"/>
        <v>9.9999999999999978E-2</v>
      </c>
      <c r="E55" s="12" t="s">
        <v>724</v>
      </c>
      <c r="F55" s="12">
        <v>2667</v>
      </c>
      <c r="G55" s="12"/>
      <c r="H55" s="16">
        <f t="shared" si="62"/>
        <v>382.75862068965517</v>
      </c>
      <c r="I55" s="16">
        <v>10120</v>
      </c>
      <c r="J55" s="16">
        <f t="shared" si="31"/>
        <v>56.756462611582499</v>
      </c>
      <c r="K55" s="27">
        <f t="shared" si="32"/>
        <v>68.107755133898991</v>
      </c>
      <c r="L55" s="103">
        <v>0.20799999999999999</v>
      </c>
      <c r="M55" s="103">
        <f t="shared" si="63"/>
        <v>0.18851257035922003</v>
      </c>
      <c r="N55" s="122">
        <f t="shared" si="33"/>
        <v>0.9</v>
      </c>
      <c r="O55" s="46">
        <f t="shared" si="64"/>
        <v>40</v>
      </c>
      <c r="P55" s="70">
        <f t="array" ref="P55">SUMPRODUCT(IF(Solar_data!A$4:A$777=A55,Solar_data!C$4:C$777),IF(Solar_data!A$4:A$777=A55,Solar_data!I$4:I$777))/SUMIF(Solar_data!A$4:A$777,A55,Solar_data!I$4:I$777)</f>
        <v>2095.4195738425633</v>
      </c>
      <c r="Q55" s="16">
        <f t="array" ref="Q55">MAX(IF(Solar_data!$A$777:'Solar_data'!$A$4=Country_details!$A55,Solar_data!$C$4:'Solar_data'!$C$777))</f>
        <v>2098.75</v>
      </c>
      <c r="R55" s="16">
        <f t="array" ref="R55">MIN(IF(Solar_data!$A$777:'Solar_data'!$A$4=Country_details!A55,Solar_data!$C$4:'Solar_data'!$C$777))</f>
        <v>1916.25</v>
      </c>
      <c r="S55" s="24">
        <f t="shared" si="65"/>
        <v>2.9807921690029193</v>
      </c>
      <c r="T55" s="24">
        <f t="shared" si="66"/>
        <v>2.9760620638405464</v>
      </c>
      <c r="U55" s="24">
        <f t="shared" si="67"/>
        <v>3.259496546111075</v>
      </c>
      <c r="V55" s="16">
        <f t="array" ref="V55">SUM(IF(Solar_data!$A$777:'Solar_data'!$A$4=Country_details!$A55,Solar_data!$I$4:'Solar_data'!$I$777))</f>
        <v>83.242198813286691</v>
      </c>
      <c r="W55" s="148"/>
      <c r="X55" s="16" t="str">
        <f>IFERROR(INDEX(Onshore_wind_data!$J$5:'Onshore_wind_data'!$J$221,MATCH(A55,Onshore_wind_data!$B$5:'Onshore_wind_data'!$B$221,0)),"")</f>
        <v/>
      </c>
      <c r="Y55" s="16" t="str">
        <f>IFERROR(INDEX(Onshore_wind_data!$K$5:'Onshore_wind_data'!$K$221,MATCH(A55,Onshore_wind_data!$B$5:'Onshore_wind_data'!$B$221,0)),"")</f>
        <v/>
      </c>
      <c r="Z55" s="16" t="str">
        <f>IFERROR(INDEX(Onshore_wind_data!$L$5:'Onshore_wind_data'!$L$221,MATCH(A55,Onshore_wind_data!$B$5:'Onshore_wind_data'!$B$221,0)),"")</f>
        <v/>
      </c>
      <c r="AA55" s="24" t="str">
        <f t="shared" si="68"/>
        <v/>
      </c>
      <c r="AB55" s="24" t="str">
        <f t="shared" si="69"/>
        <v/>
      </c>
      <c r="AC55" s="24" t="str">
        <f t="shared" si="70"/>
        <v/>
      </c>
      <c r="AD55" s="16" t="str">
        <f>IFERROR(INDEX(Onshore_wind_data!$I$5:'Onshore_wind_data'!$I$221,MATCH(A55,Onshore_wind_data!$B$5:'Onshore_wind_data'!$B$221,0)),"")</f>
        <v/>
      </c>
      <c r="AE55" s="148"/>
      <c r="AF55" s="16" t="str">
        <f>INDEX(Offshore_wind_data!$AA$7:$AA$192,MATCH(Country_details!A55,Offshore_wind_data!$A$7:$A$192,0))</f>
        <v/>
      </c>
      <c r="AG55" s="16" t="str">
        <f>INDEX(Offshore_wind_data!$Y$7:$Y$192,MATCH(Country_details!A55,Offshore_wind_data!$A$7:$A$192,0))</f>
        <v/>
      </c>
      <c r="AH55" s="16" t="str">
        <f>INDEX(Offshore_wind_data!$Z$7:$Z$192,MATCH(Country_details!A55,Offshore_wind_data!$A$7:$A$192,0))</f>
        <v/>
      </c>
      <c r="AI55" s="24" t="str">
        <f t="shared" si="71"/>
        <v/>
      </c>
      <c r="AJ55" s="24" t="str">
        <f t="shared" si="72"/>
        <v/>
      </c>
      <c r="AK55" s="24" t="str">
        <f t="shared" si="73"/>
        <v/>
      </c>
      <c r="AL55" s="16">
        <f>INDEX(Offshore_wind_data!$W$7:$W$191,MATCH(A55,Offshore_wind_data!$A$7:$A$191,0))</f>
        <v>0</v>
      </c>
      <c r="AM55" s="148"/>
      <c r="AN55" s="12">
        <v>2.1</v>
      </c>
      <c r="AO55" s="12">
        <v>4.5999999999999996</v>
      </c>
      <c r="AP55" s="34"/>
      <c r="AQ55" s="15">
        <f t="shared" si="74"/>
        <v>50</v>
      </c>
      <c r="AR55" s="12">
        <f t="shared" si="34"/>
        <v>229.99999999999997</v>
      </c>
      <c r="AS55" s="16">
        <f t="shared" si="35"/>
        <v>-146.75780118671327</v>
      </c>
      <c r="AT55" s="12"/>
      <c r="AU55" s="24">
        <f t="shared" si="75"/>
        <v>2.9807921690029193</v>
      </c>
      <c r="AV55" s="16">
        <f t="shared" si="76"/>
        <v>2095.4195738425633</v>
      </c>
      <c r="AW55" s="149">
        <f>HV_DC_Grid!$E$3/(1-AX55)*AU55/100*1000</f>
        <v>3316.6757056287147</v>
      </c>
      <c r="AX55" s="31">
        <f>(1-(1-HV_DC_Grid!$E$25)^(B55*C55*HV_DC_Grid!$E$8/1000))+(1-(1-HV_DC_Grid!$E$26)^(B55*D55*HV_DC_Grid!$E$8/1000))+HV_DC_Grid!$E$35*HV_DC_Grid!$E$28</f>
        <v>0.10127114208234743</v>
      </c>
      <c r="AY55" s="28">
        <f>B55*nl_e_demand/IF(hv_dc_flh="electricity FLH",$AV55,hv_dc_custom)*1000*hv_dc_capacity_multiplier*hv_dc_length_multiplier*1000*(C55*hv_dc_overhead_invest*(hv_dc_overhead_opex+M55+1/hv_dc_lifetime)+D55*hv_dc_sea_invest*(hv_dc_sea_opex+M55+1/hv_dc_lifetime))/1000000+HV_DC_Grid!$E$10*1000*hv_dc_station_invest*hv_dc_station_number*(hv_dc_station_opex+M55+1/hv_dc_lifetime)/1000000</f>
        <v>7324.867494310829</v>
      </c>
      <c r="AZ55" s="24">
        <f>(AW55+AY55)/(HV_DC_Grid!$E$3*1000)*100</f>
        <v>10.641543199939544</v>
      </c>
      <c r="BA55" s="28">
        <f>MIN(((Carriers!$F$26+Carriers!$F$27)*(alk_el_opex+wacc_nl+1/alk_el_lifetime)+IF(hv_dc_flh="electricity FLH",$AV55,hv_dc_custom)*AZ55/100)/(IF(hv_dc_flh="electricity FLH",$AV55,hv_dc_custom)/alk_el_e_demand)*1000,((Carriers!$H$26+Carriers!$H$27)*(pem_el_opex+wacc_nl+1/pem_el_lifetime)+IF(hv_dc_flh="electricity FLH",$AV55,hv_dc_custom)*AZ55/100)/(IF(hv_dc_flh="electricity FLH",$AV55,hv_dc_custom)/pem_el_e_demand)*1000)</f>
        <v>5790.6071516760876</v>
      </c>
      <c r="BB55" s="12"/>
      <c r="BC55" s="12"/>
      <c r="BD55" s="149">
        <f>MIN(((Carriers!$F$26+Carriers!$F$27)*(alk_el_opex+M55+1/alk_el_lifetime)+$AV55*$AU55/100)/($AV55/alk_el_e_demand)*1000,((Carriers!$H$26+Carriers!$H$27)*(pem_el_opex+M55+1/pem_el_lifetime)+$AV55*$AU55/100)/($AV55/pem_el_e_demand)*1000)</f>
        <v>3692.1669486982032</v>
      </c>
      <c r="BE55" s="28">
        <f>Storage!$AC$50</f>
        <v>8.1664117557772418</v>
      </c>
      <c r="BF55" s="28">
        <f>((Pipeline!$D$22*Pipeline!$D$24*B55*(pipeline_opex+M55+1/pipeline_lifetime))*(Pipeline!$D$39/Pipeline!$D$3)+(Pipeline!$D$57*(pipeline_comp_opex+M55+1/pipeline_comp_lifetime)+Pipeline!$D$47*1000*Pipeline!$D$45*$AU55/100/1000000))*(Pipeline!$D$75/Pipeline!$D$45)</f>
        <v>14047.976423417931</v>
      </c>
      <c r="BG55" s="28">
        <f>BD55+(BE55+BF55)/Storage!$AC$12*1000000</f>
        <v>4725.7068630492113</v>
      </c>
      <c r="BH55" s="28"/>
      <c r="BI55" s="28"/>
      <c r="BJ55" s="28">
        <f>IF($E55="","No Port",BK55*HV_DC_Grid!$E$3*$AU55/100*1000)</f>
        <v>45.657910534710524</v>
      </c>
      <c r="BK55" s="31">
        <f>IFERROR((1-(1-HV_DC_Grid!$E$25)^(K55*HV_DC_Grid!$E$8/1000))+HV_DC_Grid!$E$35*HV_DC_Grid!$E$28,"")</f>
        <v>1.5317374693044493E-2</v>
      </c>
      <c r="BL55" s="28">
        <f>IFERROR(K55*nl_e_demand/IF(hv_dc_flh="electricity FLH",$AV55,hv_dc_custom)*1000*hv_dc_capacity_multiplier*hv_dc_length_multiplier*1000*(hv_dc_overhead_invest*(hv_dc_overhead_opex+M55+1/hv_dc_lifetime))/1000000+HV_DC_Grid!$E$10*1000*hv_dc_station_invest*hv_dc_station_number*(hv_dc_station_opex+M55+1/hv_dc_lifetime)/1000000,"")</f>
        <v>670.45030584039625</v>
      </c>
      <c r="BM55" s="29">
        <f>IFERROR((BJ55+BL55)/(HV_DC_Grid!$E$3*1000)*100,"")</f>
        <v>0.71610821637510669</v>
      </c>
      <c r="BN55" s="28">
        <f>IFERROR(((Pipeline!$D$22*Pipeline!$D$24*K55*(pipeline_opex+M55+1/pipeline_lifetime))*(Pipeline!$D$39/Pipeline!$D$3)+(Pipeline!$D$57*(pipeline_comp_opex+M55+1/pipeline_comp_lifetime)+Pipeline!$D$47*1000*Pipeline!$D$45*S55/100/1000000))*(Pipeline!$D$75/Pipeline!$D$45),"")</f>
        <v>303.20643442339383</v>
      </c>
      <c r="BO55" s="28"/>
      <c r="BP55" s="150">
        <f t="shared" si="77"/>
        <v>147.15064210912607</v>
      </c>
      <c r="BQ55" s="34">
        <f t="shared" si="78"/>
        <v>44.1970979040765</v>
      </c>
      <c r="BR55" s="151">
        <f>(nh3_invest*(M55+1/nh3_lifetime)/nh3_prod+nh3_opex+nh3_e_demand*1000*$AU55/100+Carriers!$N$18/Carriers!$N$23*BD55+Carriers!$N$19/Carriers!$N$23*BQ55)*(BT55+nh3_st_ab_losses)/1000000</f>
        <v>65794.75895420165</v>
      </c>
      <c r="BS55" s="63">
        <f>nh3_st_nl_cost*nh3_st_nl_demand/1000000+(nh3_st_invest*(M55+1/nh3_st_lifetime+nh3_st_opex)/(Storage!$G$63/1000000)+nh3_st_e_demand*1000*$AU55/100)*(BT55+nh3_st_ab_losses)/1000000+Carriers!$N$18/Carriers!$N$23*((BT55+nh3_st_ab_losses)/365.25*short_st_duration_hrs/24)*(h2_short_st_invest*(1/gh2_short_st_lifetime+$M55+h2_short_st_opex)+h2_short_st_e_demand*1000*$AU55/100)/1000000+Carriers!$N$19/Carriers!$N$23*((BT55+nh3_st_ab_losses)/365.25*short_st_duration_hrs/24)*(n2_short_st_invest*(1/n2_short_st_lifetime+$M55+n2_short_st_opex)+n2_short_st_e_demand*1000*$AU55/100)/1000000</f>
        <v>4162.2772723640328</v>
      </c>
      <c r="BT55" s="63">
        <f>Storage!$G$57/((1-Shipping!$H$37)^(F55/24/Shipping!$H$44+0.5*Shipping!$H$59))</f>
        <v>78163538.228310868</v>
      </c>
      <c r="BU55" s="63">
        <f>IF($E55="","No Port",((F55/24/Shipping!$H$44+F55/24/Shipping!$H$50+Shipping!$H$59+Shipping!$H$64)*(Shipping!$H$22+wacc_nl*Shipping!$H$19/365.25*1000000+Shipping!$H$35)+(F55/24/Shipping!$H$44*Shipping!$H$45+Shipping!$H$64*Shipping!$H$65)*IF(bunker_choice="HFO",H55,IF(bunker_choice="hydrogen",BD55*hfo_e_density_lhv/h2_e_density_lhv,(BR55+BS55)*1000000/BT55*hfo_e_density_lhv/nh3_e_density_lhv))+(F55/24/Shipping!$H$50*Shipping!$H$51+Shipping!$H$59*Shipping!$H$60)*IF(bunker_choice="HFO",bunker_price_ROT,IF(bunker_choice="hydrogen",BD55*hfo_e_density_lhv/h2_e_density_lhv,(BR55+BS55)*1000000/BT55*hfo_e_density_lhv/nh3_e_density_lhv))+Shipping!$H$73+IF(G55="Panama",Shipping!$H$55,0)+IF(G55="Suez",Shipping!$H$56,0))/Shipping!$H$31*BT55/1000000+IF(inland_transport_to_port="hv dc grid",$BM55/100*1000*BW55,IF(inland_transport_to_port="pipeline",$BN55,0)))</f>
        <v>2446.8586291272204</v>
      </c>
      <c r="BV55" s="63">
        <f t="shared" si="91"/>
        <v>72403.89485569291</v>
      </c>
      <c r="BW55" s="33">
        <f>((Carriers!$N$18/Carriers!$N$23*alk_el_e_demand)+(Carriers!$N$19/Carriers!$N$23*n2_e_demand)+nh3_e_demand)*(BT55+nh3_st_ab_losses)/1000000+nh3_st_e_demand*BT55/1000000</f>
        <v>771.89163210007939</v>
      </c>
      <c r="BX55" s="33">
        <f t="shared" si="79"/>
        <v>0.76626754477640768</v>
      </c>
      <c r="BY55" s="63">
        <f>IFERROR(BV55*1000000/Storage!$G$12,"")</f>
        <v>945.67780626146896</v>
      </c>
      <c r="BZ55" s="63">
        <f>H2_retrieval!$F$25*h2_demand_kt/1000</f>
        <v>80</v>
      </c>
      <c r="CA55" s="63">
        <f>IFERROR(BY55*(1+H2_retrieval!$F$34)/Carrier_properties!$E$7+H2_retrieval!$F$38,"")</f>
        <v>5733.0417778564497</v>
      </c>
      <c r="CB55" s="149">
        <f>(FA_invest*(M55+1/FA_lifetime)/FA_prod+FA_opex+FA_e_demand*1000*$AU55/100+Carriers!$P$18/Carriers!$P$23*BD55+Carriers!$P$20/Carriers!$P$23*co2_liq_cost)*(CF55+FA_st_ab_losses)/1000000</f>
        <v>129791.95498493499</v>
      </c>
      <c r="CC55" s="86">
        <f>(FA_invest*(M55+1/FA_lifetime)/FA_prod+FA_opex+FA_e_demand*1000*$AU55/100+Carriers!$P$18/Carriers!$P$23*BD55+Carriers!$P$20/Carriers!$P$23*BP55)*(CF55+FA_st_ab_losses)/1000000</f>
        <v>165840.5544118059</v>
      </c>
      <c r="CD55" s="63">
        <f>FA_st_nl_cost*FA_st_nl_demand/1000000+(FA_st_invest*(M55+1/FA_st_lifetime+FA_st_opex)/(Storage!$I$63/1000000)+FA_st_e_demand*1000*$AU55/100)*(CF55+FA_st_ab_losses)/1000000+co2_st_nl_cost*Storage!$I$12*co2_density/FA_density/1000000+(co2_st_opex_lev+co2_st_invest_lev+co2_st_e_demand*1000*$AU55/100)*Storage!$I$12/1000000+co2_st_invest_lev*Storage!$I$12*co2_st_lifetime*M55/1000000+Carriers!$P$18/Carriers!$P$23*((CF55+FA_st_ab_losses)/365.25*short_st_duration_hrs/24)*(h2_short_st_invest*(1/gh2_short_st_lifetime+$M55+h2_short_st_opex)+h2_short_st_e_demand*1000*$AU55/100)/1000000+Carriers!$P$20/Carriers!$P$23*((CF55+FA_st_ab_losses)/365.25*short_st_duration_hrs/24)*(co2_short_st_invest*(1/co2_short_st_lifetime+$M55+co2_short_st_opex)+co2_short_st_e_demand*1000*$AU55/100)/1000000</f>
        <v>13919.71364189566</v>
      </c>
      <c r="CE55" s="63">
        <f>FA_st_nl_cost*FA_st_nl_demand/1000000+(FA_st_invest*(M55+1/FA_st_lifetime+FA_st_opex)/(Storage!$I$63/1000000)+FA_st_e_demand*1000*$AU55/100)*(CF55+FA_st_ab_losses)/1000000+Carriers!$P$18/Carriers!$P$23*((CF55+FA_st_ab_losses)/365.25*short_st_duration_hrs/24)*(h2_short_st_invest*(1/gh2_short_st_lifetime+$M55+h2_short_st_opex)+h2_short_st_e_demand*1000*$AU55/100)/1000000+Carriers!$P$20/Carriers!$P$23*((CF55+FA_st_ab_losses)/365.25*short_st_duration_hrs/24)*(co2_short_st_invest*(1/co2_short_st_lifetime+$M55+co2_short_st_opex)+co2_short_st_e_demand*1000*$AU55/100)/1000000</f>
        <v>6216.3974598232508</v>
      </c>
      <c r="CF55" s="63">
        <f>Storage!$I$57/((1-Shipping!$J$37)^($F55/24/Shipping!$J$44+0.5*Shipping!$J$59))</f>
        <v>310425396.82539684</v>
      </c>
      <c r="CG55" s="28">
        <f>IF($E55="","No Port",((F55/24/Shipping!$J$44+F55/24/Shipping!$J$50+Shipping!$J$59+Shipping!$J$64)*(Shipping!$J$22+wacc_nl*Shipping!$J$19/365.25*1000000+Shipping!$J$35)+(F55/24/Shipping!$J$44*Shipping!$J$45+Shipping!$J$64*Shipping!$J$65)*IF(bunker_choice="HFO",$H55,IF(bunker_choice="hydrogen",$BD55*hfo_e_density_lhv/h2_e_density_lhv,(CB55+CD55)*1000000/CF55*hfo_e_density_lhv/FA_e_density_lhv))+(F55/24/Shipping!$J$50*Shipping!$J$51+Shipping!$J$59*Shipping!$J$60)*IF(bunker_choice="HFO",bunker_price_ROT,IF(bunker_choice="hydrogen",$BD55*hfo_e_density_lhv/h2_e_density_lhv,(CB55+CD55)*1000000/CF55*hfo_e_density_lhv/FA_e_density_lhv))+Shipping!$J$73+IF(G55="Panama",Shipping!$J$55,0)+IF(G55="Suez",Shipping!$J$56,0))/Shipping!$J$31*CF55/1000000+IF(inland_transport_to_port="hv dc grid",$BM55/100*1000*CI55,IF(inland_transport_to_port="pipeline",$BN55,0)))</f>
        <v>9932.3066703362638</v>
      </c>
      <c r="CH55" s="28">
        <f t="shared" si="36"/>
        <v>181989.25854196542</v>
      </c>
      <c r="CI55" s="29">
        <f>((Carriers!$P$18/Carriers!$P$23*alk_el_e_demand)+FA_e_demand)*(CF55+FA_st_ab_losses)/1000000+FA_st_e_demand*CF55/1000000</f>
        <v>1897.8881241622576</v>
      </c>
      <c r="CJ55" s="29">
        <f t="shared" si="80"/>
        <v>0.46563809523809524</v>
      </c>
      <c r="CK55" s="28">
        <f>IFERROR(CH55*1000000/Storage!$I$12,"")</f>
        <v>586.25763356703658</v>
      </c>
      <c r="CL55" s="28">
        <f>IF($E55="","No Port",((F55/24/Shipping!$J$44+F55/24/Shipping!$J$50+Shipping!$J$59+Shipping!$J$64)*Carriers!$P$39*wacc_nl))</f>
        <v>155.28538577082537</v>
      </c>
      <c r="CM55" s="29">
        <f>H2_retrieval!$H$25*h2_demand_kt/1000+(co2_liq_e_demand+co2_st_e_demand*2)*Storage!$I$12*co2_density/FA_density/1000000</f>
        <v>94.204253879484654</v>
      </c>
      <c r="CN55" s="28">
        <f>IFERROR((((CB55+CD55+CG55)*(1+H2_retrieval!$H$34)+CL55)*1000000/H2_retrieval!$H$8)+h2_regen_fa,"")</f>
        <v>11398.456535630025</v>
      </c>
      <c r="CO55" s="149">
        <f>(meoh_invest*(M55+1/meoh_lifetime)/meoh_prod+meoh_opex+meoh_e_demand*1000*$AU55/100+Carriers!$R$18/Carriers!$R$23*BD55+Carriers!$R$20/Carriers!$R$23*co2_liq_cost)*(CS55+meoh_st_ab_losses)/1000000</f>
        <v>80519.730926039076</v>
      </c>
      <c r="CP55" s="86">
        <f>(meoh_invest*(M55+1/meoh_lifetime)/meoh_prod+meoh_opex+meoh_e_demand*1000*$AU55/100+Carriers!$R$18/Carriers!$R$23*BD55+Carriers!$R$20/Carriers!$R$23*BP55)*(CS55+meoh_st_ab_losses)/1000000</f>
        <v>101681.37167607737</v>
      </c>
      <c r="CQ55" s="63">
        <f>meoh_st_nl_cost*meoh_st_nl_demand/1000000+(meoh_st_invest*(M55+1/meoh_st_lifetime+meoh_st_opex)/(Storage!$K$63/1000000)+meoh_st_e_demand*1000*$AU55/100)*(CS55+meoh_st_ab_losses)/1000000+co2_st_nl_cost*Storage!$K$12*co2_density/meoh_density/1000000+(co2_st_opex_lev+co2_st_invest_lev+co2_st_e_demand*1000*IFERROR(MIN(S55,AA55,AI55),S55)/100)*Storage!$K$12/1000000+co2_st_invest_lev*Storage!$K$12*co2_st_lifetime*M55/1000000+Carriers!$R$18/Carriers!$R$23*((CS55+meoh_st_ab_losses)/365.25*short_st_duration_hrs/24)*(h2_short_st_invest*(1/gh2_short_st_lifetime+$M55+h2_short_st_opex)+h2_short_st_e_demand*1000*$AU55/100)/1000000+Carriers!$R$20/Carriers!$R$23*((CF55+meoh_st_ab_losses)/365.25*short_st_duration_hrs/24)*(co2_short_st_invest*(1/co2_short_st_lifetime+$M55+co2_short_st_opex)+co2_short_st_e_demand*1000*$AU55/100)/1000000</f>
        <v>5801.7396904595289</v>
      </c>
      <c r="CR55" s="63">
        <f>meoh_st_nl_cost*meoh_st_nl_demand/1000000+(meoh_st_invest*(M55+1/meoh_st_lifetime+meoh_st_opex)/(Storage!$K$63/1000000)+meoh_st_e_demand*1000*$AU55/100)*(CS55+meoh_st_ab_losses)/1000000+Carriers!$R$18/Carriers!$R$23*((CS55+meoh_st_ab_losses)/365.25*short_st_duration_hrs/24)*(h2_short_st_invest*(1/gh2_short_st_lifetime+$M55+h2_short_st_opex)+h2_short_st_e_demand*1000*$AU55/100)/1000000+Carriers!$R$20/Carriers!$R$23*((CF55+meoh_st_ab_losses)/365.25*short_st_duration_hrs/24)*(co2_short_st_invest*(1/co2_short_st_lifetime+$M55+co2_short_st_opex)+co2_short_st_e_demand*1000*$AU55/100)/1000000</f>
        <v>2521.5810917065692</v>
      </c>
      <c r="CS55" s="63">
        <f>Storage!$K$57/((1-Shipping!$L$37)^($F55/24/Shipping!$L$44+0.5*Shipping!$L$59))</f>
        <v>108044444.44444443</v>
      </c>
      <c r="CT55" s="28">
        <f>IF($E55="","No Port",IF(AND(ship_choice="VLCC",G55="Panama"),"Ship cannot pass through Panama",IF(ship_choice="VLCC",((F55/24/Shipping!$AD$44+F55/24/Shipping!$AD$50+Shipping!$AD$59+Shipping!$AD$64)*(Shipping!$AD$22+wacc_nl*Shipping!$AD$19/365.25*1000000+Shipping!$AD$35)+(F55/24/Shipping!$AD$44*Shipping!$AD$45+Shipping!$AD$64*Shipping!$AD$65)*IF(bunker_choice="HFO",$H55,IF(bunker_choice="hydrogen",$BD55*hfo_e_density_lhv/h2_e_density_lhv,(CO55+CQ55)*1000000/CS55*hfo_e_density_lhv/meoh_e_density_lhv))+(F55/24/Shipping!$AD$50*Shipping!$AD$51+Shipping!$AD$59*Shipping!$AD$60)*IF(bunker_choice="HFO",bunker_price_ROT,IF(bunker_choice="hydrogen",$BD55*hfo_e_density_lhv/h2_e_density_lhv,(CO55+CQ55)*1000000/CS55*hfo_e_density_lhv/meoh_e_density_lhv))+Shipping!$AD$73+IF(G55="Panama",Shipping!$AD$55,0)+IF(G55="Suez",Shipping!$AD$56,0))/Shipping!$AD$31*CS55/1000000+IF(inland_transport_to_port="hv dc grid",$BM55/100*1000*CV55,IF(inland_transport_to_port="pipeline",$BN55,0)),((F55/24/Shipping!$L$44+F55/24/Shipping!$L$50+Shipping!$L$59+Shipping!$L$64)*(Shipping!$L$22+wacc_nl*Shipping!$L$19/365.25*1000000+Shipping!$L$35)+(F55/24/Shipping!$L$44*Shipping!$L$45+Shipping!$L$64*Shipping!$L$65)*IF(bunker_choice="HFO",$H55,IF(bunker_choice="hydrogen",$BD55*hfo_e_density_lhv/h2_e_density_lhv,(CO55+CQ55)*1000000/CS55*hfo_e_density_lhv/meoh_e_density_lhv))+(F55/24/Shipping!$L$50*Shipping!$L$51+Shipping!$L$59*Shipping!$L$60)*IF(bunker_choice="HFO",bunker_price_ROT,IF(bunker_choice="hydrogen",$BD55*hfo_e_density_lhv/h2_e_density_lhv,(CO55+CQ55)*1000000/CS55*hfo_e_density_lhv/meoh_e_density_lhv))+Shipping!$L$73+IF(G55="Panama",Shipping!$L$55,0)+IF(G55="Suez",Shipping!$L$56,0))/Shipping!$L$31*CS55/1000000+IF(inland_transport_to_port="hv dc grid",$BM55/100*1000*CV55,IF(inland_transport_to_port="pipeline",$BN55,0)))))</f>
        <v>3462.0549426279676</v>
      </c>
      <c r="CU55" s="28">
        <f t="shared" si="37"/>
        <v>107665.0077104119</v>
      </c>
      <c r="CV55" s="29">
        <f>((Carriers!$R$18/Carriers!$R$23*alk_el_e_demand)+meoh_e_demand)*(CS55+meoh_st_ab_losses)/1000000+meoh_st_e_demand*CS55/1000000</f>
        <v>1119.9789871111109</v>
      </c>
      <c r="CW55" s="29">
        <f t="shared" si="81"/>
        <v>0.16206666666666666</v>
      </c>
      <c r="CX55" s="28">
        <f>IFERROR(CU55*1000000/Storage!$K$12,"")</f>
        <v>996.48814211611182</v>
      </c>
      <c r="CY55" s="28">
        <f>IF($E55="","No Port",((F55/24/Shipping!$L$44+F55/24/Shipping!$L$50+Shipping!$L$59+Shipping!$L$64)*Carriers!$R$39*wacc_nl))</f>
        <v>55.374051354855744</v>
      </c>
      <c r="CZ55" s="29">
        <f>H2_retrieval!$J$25*h2_demand_kt/1000+(co2_liq_e_demand+co2_st_e_demand*2)*Storage!$K$12*co2_density/meoh_density/1000000</f>
        <v>251.05079059698966</v>
      </c>
      <c r="DA55" s="28">
        <f>IFERROR((((CO55+CQ55+CT55)*(1+H2_retrieval!$J$34)+CY55)*1000000/H2_retrieval!$J$8)+h2_regen_meoh,"")</f>
        <v>7775.9299851432788</v>
      </c>
      <c r="DB55" s="149">
        <f>(DBT_invest*(M55+1/DBT_lifetime)/DBT_prod+DBT_opex+DBT_e_demand*1000*$AU55/100+Carriers!$T$18/Carriers!$T$23*BD55)*(DD55+DBT_st_ab_losses)/1000000</f>
        <v>54190.092140005407</v>
      </c>
      <c r="DC55" s="28">
        <f>2*(DBT_st_nl_cost*DBT_st_nl_demand/1000000+(DBT_st_invest*(M55+1/DBT_st_lifetime+DBT_st_opex)/(Storage!$M$63/1000000)+DBT_st_e_demand*1000*$AU55/100)*(DD55+DBT_st_ab_losses)/1000000)+Carriers!$T$18/Carriers!$T$23*((DD55+DBT_st_ab_losses)/365.25*short_st_duration_hrs/24)*(h2_short_st_invest*(1/gh2_short_st_lifetime+$M55+h2_short_st_opex)+h2_short_st_e_demand*1000*$AU55/100)/1000000</f>
        <v>5046.4626905786763</v>
      </c>
      <c r="DD55" s="63">
        <f>Storage!$M$57/((1-Shipping!$N$37)^($F55/24/Shipping!$N$44+0.5*Shipping!$N$59))</f>
        <v>219354838.70967743</v>
      </c>
      <c r="DE55" s="28">
        <f>IF($E55="","No Port",IF(AND(ship_choice="VLCC",G55="Panama"),"Ship cannot pass through Panama",IF(ship_choice="VLCC",((F55/24/Shipping!$AD$44+F55/24/Shipping!$AD$50+Shipping!$AD$59+Shipping!$AD$64)*(Shipping!$AD$22+wacc_nl*Shipping!$AD$19/365.25*1000000+Shipping!$AD$35)+(F55/24/Shipping!$AD$44*Shipping!$AD$45+Shipping!$AD$64*Shipping!$AD$65)*IF(bunker_choice="HFO",$H55,IF(bunker_choice="hydrogen",$BD55*hfo_e_density_lhv/h2_e_density_lhv,(DB55+DC55)*1000000/DD55*hfo_e_density_lhv/DBT_e_density_lhv))+(F55/24/Shipping!$AD$50*Shipping!$AD$51+Shipping!$AD$59*Shipping!$AD$60)*IF(bunker_choice="HFO",bunker_price_ROT,IF(bunker_choice="hydrogen",$BD55*hfo_e_density_lhv/h2_e_density_lhv,(DB55+DC55)*1000000/DD55*hfo_e_density_lhv/DBT_e_density_lhv))+Shipping!$AD$73+IF(G55="Panama",Shipping!$AD$55,0)+IF(G55="Suez",Shipping!$AD$56,0))/Shipping!$AD$31*DD55/1000000+IF(inland_transport_to_port="hv dc grid",$BM55/100*1000*DG55,IF(inland_transport_to_port="pipeline",$BN55,0)),((F55/24/Shipping!$N$44+F55/24/Shipping!$N$50+Shipping!$N$59+Shipping!$N$64)*(Shipping!$N$22+wacc_nl*Shipping!$N$19/365.25*1000000+Shipping!$N$35)+(F55/24/Shipping!$N$44*Shipping!$N$45+Shipping!$N$64*Shipping!$N$65)*IF(bunker_choice="HFO",$H55,IF(bunker_choice="hydrogen",$BD55*hfo_e_density_lhv/h2_e_density_lhv,(DB55+DC55)*1000000/DD55*hfo_e_density_lhv/DBT_e_density_lhv))+(F55/24/Shipping!$N$50*Shipping!$N$51+Shipping!$N$59*Shipping!$N$60)*IF(bunker_choice="HFO",bunker_price_ROT,IF(bunker_choice="hydrogen",$BD55*hfo_e_density_lhv/h2_e_density_lhv,(DB55+DC55)*1000000/DD55*hfo_e_density_lhv/DBT_e_density_lhv))+Shipping!$N$73+IF(G55="Panama",Shipping!$N$55,0)+IF(G55="Suez",Shipping!$N$56,0))/Shipping!$N$31*Shipping!$N$86/1000000+IF(inland_transport_to_port="hv dc grid",$BM55/100*1000*DG55,IF(inland_transport_to_port="pipeline",$BN55,0)))))</f>
        <v>6265.2065690837189</v>
      </c>
      <c r="DF55" s="28">
        <f t="shared" si="82"/>
        <v>65501.761399667805</v>
      </c>
      <c r="DG55" s="29">
        <f>((Carriers!$T$18/Carriers!$T$23*alk_el_e_demand)+DBT_e_demand)*(DD55+DBT_st_ab_losses)/1000000+DBT_st_e_demand*DD55/1000000</f>
        <v>703.88335483870969</v>
      </c>
      <c r="DH55" s="29">
        <f t="shared" si="83"/>
        <v>0.21935483870967742</v>
      </c>
      <c r="DI55" s="28">
        <f>IFERROR(DF55*1000000/Storage!$M$12,"")</f>
        <v>298.61097108672084</v>
      </c>
      <c r="DJ55" s="28">
        <f>IF($E55="","No Port",((F55/24/Shipping!$N$44+F55/24/Shipping!$N$50+Shipping!$N$59+Shipping!$N$64)*Carriers!$T$39*wacc_nl))</f>
        <v>4033.0740983083606</v>
      </c>
      <c r="DK55" s="100">
        <f>H2_retrieval!$L$25*h2_demand_kt/1000+(co2_liq_e_demand+co2_st_e_demand*2)*Storage!$M$12*co2_density/DBT_density/1000000</f>
        <v>206.61934861671787</v>
      </c>
      <c r="DL55" s="28">
        <f>IFERROR(((DF55*(1+H2_retrieval!$L$34)+DJ55)*1000000/H2_retrieval!$L$8)+h2_regen_lohc,"")</f>
        <v>5583.5053319605722</v>
      </c>
      <c r="DM55" s="149">
        <f t="shared" si="84"/>
        <v>59802.975479972869</v>
      </c>
      <c r="DN55" s="16">
        <f>2*(nabh4_st_nl_cost*nabh4_st_nl_demand/1000000+(nabh4_st_invest*(M55+1/nabh4_st_lifetime+nabh4_st_opex)/(Storage!$O$63/1000000)+nabh4_st_e_demand*1000*$AU55/100)*(DO55+nabh4_st_ab_losses)/1000000)+(h2_demand_kt*1000/365.25*short_st_duration_hrs/24)*(h2_short_st_invest*(1/gh2_short_st_lifetime+$M55+h2_short_st_opex)+h2_short_st_e_demand*1000*$AU55/100)/1000000</f>
        <v>1697.5049605018562</v>
      </c>
      <c r="DO55" s="63">
        <f>Storage!$O$57/((1-Shipping!$P$37)^($F55/24/Shipping!$P$44+0.5*Shipping!$P$59))</f>
        <v>63920000</v>
      </c>
      <c r="DP55" s="16">
        <f>IF($E55="","No Port",((F55/24/Shipping!$P$44+F55/24/Shipping!$P$50+Shipping!$P$59+Shipping!$P$64)*(Shipping!$P$22+wacc_nl*Shipping!$P$19/365.25*1000000+Shipping!$P$35)+(F55/24/Shipping!$P$44*Shipping!$P$45+Shipping!$P$64*Shipping!$P$65)*IF(bunker_choice="HFO",$H55,IF(bunker_choice="hydrogen",$BD55*hfo_e_density_lhv/h2_e_density_lhv,(DM55+DN55)*1000000/DO55*hfo_e_density_lhv/nabh4_e_density_lhv))+(F55/24/Shipping!$P$50*Shipping!$P$51+Shipping!$P$59*Shipping!$P$60)*IF(bunker_choice="HFO",bunker_price_ROT,IF(bunker_choice="hydrogen",$BD55*hfo_e_density_lhv/h2_e_density_lhv,(DM55+DN55)*1000000/DO55*hfo_e_density_lhv/nabh4_e_density_lhv))+Shipping!$P$73+IF(G55="Panama",Shipping!$P$55,0)+IF(G55="Suez",Shipping!$P$56,0))/Shipping!$P$31*(DO55+nabh4_st_ab_losses)/1000000+IF(inland_transport_to_port="hv dc grid",$BM55/100*1000*DR55,IF(inland_transport_to_port="pipeline",$BN55,0)))</f>
        <v>1860.6984775300002</v>
      </c>
      <c r="DQ55" s="28">
        <f t="shared" si="60"/>
        <v>63361.178918004727</v>
      </c>
      <c r="DR55" s="29">
        <f>((Carriers!$V$18/Carriers!$V$23*alk_el_e_demand)+nabh4_e_demand)*(DO55+nabh4_st_ab_losses)/1000000+nabh4_st_e_demand*DO55/1000000</f>
        <v>980.02139682539689</v>
      </c>
      <c r="DS55" s="28">
        <f t="shared" si="85"/>
        <v>3.1960000000000002</v>
      </c>
      <c r="DT55" s="28">
        <f>IFERROR(DQ55*1000000/Storage!$O$12,"")</f>
        <v>991.25749245939812</v>
      </c>
      <c r="DU55" s="28">
        <f>IF($E55="","No Port",((F55/24/Shipping!$P$44+F55/24/Shipping!$P$50+Shipping!$P$59+Shipping!$P$64)*Carriers!$V$39*wacc_nl))</f>
        <v>383.45226741305584</v>
      </c>
      <c r="DV55" s="100">
        <f>H2_retrieval!$N$25*h2_demand_kt/1000+(co2_liq_e_demand+co2_st_e_demand*2)*Storage!$O$12*co2_density/nabh4_density/1000000</f>
        <v>18.783638728971958</v>
      </c>
      <c r="DW55" s="28">
        <f>IFERROR(((DQ55*(1+H2_retrieval!$N$34)+DU55)*1000000/H2_retrieval!$N$8)+h2_regen_nabh4,"")</f>
        <v>4787.1576489637191</v>
      </c>
      <c r="DX55" s="149">
        <f>(Dme_invest*(M55+1/Dme_lifetime)/Dme_prod+Dme_opex+Dme_e_demand*1000*$AU55/100+Carriers!$X$21/Carriers!$X$23*(CO55*1000000/CS55))*(EB55+Dme_st_ab_losses)/1000000</f>
        <v>113204.52536179392</v>
      </c>
      <c r="DY55" s="86">
        <f>(Dme_invest*(M55+1/Dme_lifetime)/Dme_prod+Dme_opex+Dme_e_demand*1000*$AU55/100+Carriers!$X$21/Carriers!$X$23*(CP55*1000000/CS55))*(EB55+Dme_st_ab_losses)/1000000</f>
        <v>141913.76180145651</v>
      </c>
      <c r="DZ55" s="63">
        <f>Dme_st_nl_cost*Dme_st_nl_demand/1000000+(Dme_st_invest*(M55+1/Dme_st_lifetime+Dme_st_opex)/(Storage!$Q$63/1000000)+Dme_st_e_demand*1000*$AU55/100)*(EB55+Dme_st_ab_losses)/1000000+co2_st_nl_cost*Storage!$Q$12*co2_density/Dme_density/1000000+(co2_st_opex_lev+co2_st_invest_lev+co2_st_e_demand*1000*$AU55/100)*Storage!$Q$12/1000000+co2_st_invest_lev*Storage!$Q$12*co2_st_lifetime*M55/1000000+(h2_demand_kt*1000/365.25*short_st_duration_hrs/24)*(h2_short_st_invest*(1/gh2_short_st_lifetime+$M55+h2_short_st_opex)+h2_short_st_e_demand*1000*$AU55/100)/1000000</f>
        <v>6954.5137368830401</v>
      </c>
      <c r="EA55" s="63">
        <f>Dme_st_nl_cost*Dme_st_nl_demand/1000000+(Dme_st_invest*(M55+1/Dme_st_lifetime+Dme_st_opex)/(Storage!$Q$63/1000000)+Dme_st_e_demand*1000*$AU55/100)*(EB55+Dme_st_ab_losses)/1000000+(h2_demand_kt*1000/365.25*short_st_duration_hrs/24)*(h2_short_st_invest*(1/gh2_short_st_lifetime+$M55+h2_short_st_opex)+h2_short_st_e_demand*1000*$AU55/100)/1000000</f>
        <v>3683.9911813663698</v>
      </c>
      <c r="EB55" s="63">
        <f>Storage!$Q$57/((1-Shipping!$R$37)^($F55/24/Shipping!$R$44+0.5*Shipping!$R$59))</f>
        <v>103547089.94708996</v>
      </c>
      <c r="EC55" s="153">
        <f>IF($E55="","No Port",IF(AND(ship_choice="VLCC",G55="Panama"),"Ship cannot pass through Panama",IF(ship_choice="VLCC",((F55/24/Shipping!$AD$44+F55/24/Shipping!$AD$50+Shipping!$AD$59+Shipping!$AD$64)*(Shipping!$AD$22+wacc_nl*Shipping!$AD$19/365.25*1000000+Shipping!$AD$35)+(F55/24/Shipping!$AD$44*Shipping!$AD$45+Shipping!$AD$64*Shipping!$AD$65)*IF(bunker_choice="HFO",$H55,IF(bunker_choice="hydrogen",$BD55*hfo_e_density_lhv/h2_e_density_lhv,(DX55+DZ55)*1000000/EB55*hfo_e_density_lhv/Dme_e_density_lhv))+(F55/24/Shipping!$AD$50*Shipping!$AD$51+Shipping!$AD$59*Shipping!$AD$60)*IF(bunker_choice="HFO",bunker_price_ROT,IF(bunker_choice="hydrogen",$BD55*hfo_e_density_lhv/h2_e_density_lhv,(DX55+DZ55)*1000000/EB55*hfo_e_density_lhv/Dme_e_density_lhv))+Shipping!$AD$73+IF(G55="Panama",Shipping!$AD$55,0)+IF(G55="Suez",Shipping!$AD$56,0))/Shipping!$AD$31*(EB55+Dme_st_ab_losses)/1000000+IF(inland_transport_to_port="hv dc grid",$BM55/100*1000*EE55,IF(inland_transport_to_port="pipeline",$BN55,0)),((F55/24/Shipping!$R$44+F55/24/Shipping!$R$50+Shipping!$R$59+Shipping!$R$64)*(Shipping!$R$22+wacc_nl*Shipping!$R$19/365.25*1000000+Shipping!$R$35)+(F55/24/Shipping!$R$44*Shipping!$R$45+Shipping!$R$64*Shipping!$R$65)*IF(bunker_choice="HFO",$H55,IF(bunker_choice="hydrogen",$BD55*hfo_e_density_lhv/h2_e_density_lhv,(DX55+DZ55)*1000000/EB55*hfo_e_density_lhv/Dme_e_density_lhv))+(F55/24/Shipping!$R$50*Shipping!$R$51+Shipping!$R$59*Shipping!$R$60)*IF(bunker_choice="HFO",bunker_price_ROT,IF(bunker_choice="hydrogen",$BD55*hfo_e_density_lhv/h2_e_density_lhv,(DX55+DZ55)*1000000/EB55*hfo_e_density_lhv/Dme_e_density_lhv))+Shipping!$R$73+IF(G55="Panama",Shipping!$R$55,0)+IF(G55="Suez",Shipping!$R$56,0))/Shipping!$R$31*(EB55+Dme_st_ab_losses)/1000000+IF(inland_transport_to_port="hv dc grid",$BM55/100*1000*EE55,IF(inland_transport_to_port="pipeline",$BN55,0)))))</f>
        <v>3444.3461532374349</v>
      </c>
      <c r="ED55" s="28">
        <f t="shared" si="39"/>
        <v>149042.09913606034</v>
      </c>
      <c r="EE55" s="29">
        <f>(Dme_e_demand)*(EB55+Dme_st_ab_losses)/1000000+Dme_st_e_demand*DZ55/1000000+$CV55*(Carriers!$X$21/Carriers!$X$23*EB55)/$CS55</f>
        <v>1550.2168297121932</v>
      </c>
      <c r="EF55" s="29">
        <f t="shared" si="86"/>
        <v>1.0354708994708997</v>
      </c>
      <c r="EG55" s="28">
        <f>IFERROR(ED55*1000000/Storage!$Q$12,"")</f>
        <v>1439.3654057513081</v>
      </c>
      <c r="EH55" s="28">
        <f>IF($E55="","No Port",((F55/24/Shipping!$R$44+F55/24/Shipping!$R$50+Shipping!$R$59+Shipping!$R$64)*Carriers!$X$39*wacc_nl))</f>
        <v>56.870992932414474</v>
      </c>
      <c r="EI55" s="100">
        <f>H2_retrieval!$P$25*h2_demand_kt/1000+(co2_liq_e_demand+co2_st_e_demand*2)*Storage!$Q$12*co2_density/Dme_density/1000000</f>
        <v>252.45335899349112</v>
      </c>
      <c r="EJ55" s="28">
        <f>IFERROR((((DX55+DZ55+EC55)*(1+H2_retrieval!$P$34)+EH55)*1000000/H2_retrieval!$P$8)+h2_regen_dme,"")</f>
        <v>10262.794443552497</v>
      </c>
      <c r="EK55" s="149">
        <f>(ome_invest*(M55+1/ome_lifetime)/ome_prod+ome_opex+ome_e_demand*1000*$AU55/100+Carriers!$Z$21/Carriers!$Z$23*(CO55*1000000/CS55))*(EO55+ome_st_ab_losses)/1000000</f>
        <v>246107.17243664648</v>
      </c>
      <c r="EL55" s="86">
        <f>(ome_invest*(M55+1/ome_lifetime)/ome_prod+ome_opex+ome_e_demand*1000*$AU55/100+Carriers!$Z$21/Carriers!$Z$23*(CP55*1000000/CS55))*(EO55+ome_st_ab_losses)/1000000</f>
        <v>306373.44835054938</v>
      </c>
      <c r="EM55" s="63">
        <f>ome_st_nl_cost*ome_st_nl_demand/1000000+(ome_st_invest*(M55+1/ome_st_lifetime+ome_st_opex)/(Storage!$S$63/1000000)+ome_st_e_demand*1000*$AU55/100)*(EO55+ome_st_ab_losses)/1000000+co2_st_nl_cost*Storage!$S$12*co2_density/ome_density/1000000+(co2_st_opex_lev+co2_st_invest_lev+co2_st_e_demand*1000*$AU55/100)*Storage!$S$12/1000000+co2_st_invest_lev*Storage!$S$12*co2_st_lifetime*M55/1000000+(h2_demand_kt*1000/365.25*short_st_duration_hrs/24)*(h2_short_st_invest*(1/gh2_short_st_lifetime+$M55+h2_short_st_opex)+h2_short_st_e_demand*1000*$AU55/100)/1000000</f>
        <v>5957.8169590757925</v>
      </c>
      <c r="EN55" s="63">
        <f>ome_st_nl_cost*ome_st_nl_demand/1000000+(ome_st_invest*(M55+1/ome_st_lifetime+ome_st_opex)/(Storage!$S$63/1000000)+ome_st_e_demand*1000*$AU55/100)*(EO55+ome_st_ab_losses)/1000000+(h2_demand_kt*1000/365.25*short_st_duration_hrs/24)*(h2_short_st_invest*(1/gh2_short_st_lifetime+$M55+h2_short_st_opex)+h2_short_st_e_demand*1000*$AU55/100)/1000000</f>
        <v>2244.9959953437187</v>
      </c>
      <c r="EO55" s="63">
        <f>Storage!$S$57/((1-Shipping!$T$37)^($F55/24/Shipping!$T$44+0.5*Shipping!$T$59))</f>
        <v>128282539.68253967</v>
      </c>
      <c r="EP55" s="28">
        <f>IF($E55="","No Port",IF(AND(ship_choice="VLCC",G55="Panama"),"Ship cannot pass through Panama",IF(ship_choice="VLCC",((F55/24/Shipping!$AD$44+F55/24/Shipping!$AD$50+Shipping!$AD$59+Shipping!$AD$64)*(Shipping!$AD$22+wacc_nl*Shipping!$AD$19/365.25*1000000+Shipping!$AD$35)+(F55/24/Shipping!$AD$44*Shipping!$AD$45+Shipping!$AD$64*Shipping!$AD$65)*IF(bunker_choice="HFO",$H55,IF(bunker_choice="hydrogen",$BD55*hfo_e_density_lhv/h2_e_density_lhv,(EK55+EM55)*1000000/EO55*hfo_e_density_lhv/Dme_e_density_lhv))+(F55/24/Shipping!$AD$50*Shipping!$AD$51+Shipping!$AD$59*Shipping!$AD$60)*IF(bunker_choice="HFO",bunker_price_ROT,IF(bunker_choice="hydrogen",$BD55*hfo_e_density_lhv/h2_e_density_lhv,(EK55+EM55)*1000000/EO55*hfo_e_density_lhv/ome_e_density_lhv))+Shipping!$AD$73+IF(G55="Panama",Shipping!$AD$55,0)+IF(G55="Suez",Shipping!$AD$56,0))/Shipping!$AD$31*(EO55+ome_st_ab_losses)/1000000+IF(inland_transport_to_port="hv dc grid",$BM55/100*1000*ER55,IF(inland_transport_to_port="pipeline",$BN55,0)),((F55/24/Shipping!$T$44+F55/24/Shipping!$T$50+Shipping!$T$59+Shipping!$T$64)*(Shipping!$T$22+wacc_nl*Shipping!$T$19/365.25*1000000+Shipping!$T$35)+(F55/24/Shipping!$T$44*Shipping!$T$45+Shipping!$T$64*Shipping!$T$65)*IF(bunker_choice="HFO",$H55,IF(bunker_choice="hydrogen",$BD55*hfo_e_density_lhv/h2_e_density_lhv,(EK55+EM55)*1000000/EO55*hfo_e_density_lhv/Dme_e_density_lhv))+(F55/24/Shipping!$T$50*Shipping!$T$51+Shipping!$T$59*Shipping!$T$60)*IF(bunker_choice="HFO",bunker_price_ROT,IF(bunker_choice="hydrogen",$BD55*hfo_e_density_lhv/h2_e_density_lhv,(EK55+EM55)*1000000/EO55*hfo_e_density_lhv/ome_e_density_lhv))+Shipping!$T$73+IF(G55="Panama",Shipping!$T$55,0)+IF(G55="Suez",Shipping!$T$56,0))/Shipping!$T$31*(EO55+ome_st_ab_losses)/1000000+IF(inland_transport_to_port="hv dc grid",$BM55/100*1000*ER55,IF(inland_transport_to_port="pipeline",$BN55,0)))))</f>
        <v>3850.2155376305354</v>
      </c>
      <c r="EQ55" s="28">
        <f t="shared" si="40"/>
        <v>312468.65988352365</v>
      </c>
      <c r="ER55" s="29">
        <f>(ome_e_demand)*(EO55+ome_st_ab_losses)/1000000+ome_st_e_demand*EM55/1000000+$CV55*(Carriers!$Z$21/Carriers!$Z$23*EO55)/$CS55</f>
        <v>3352.081459077509</v>
      </c>
      <c r="ES55" s="29">
        <f t="shared" si="87"/>
        <v>0.1924238095238095</v>
      </c>
      <c r="ET55" s="28">
        <f>IFERROR(EQ55*1000000/Storage!$S$12,"")</f>
        <v>2435.7847970330854</v>
      </c>
      <c r="EU55" s="28">
        <f>IF($E55="","No Port",((F55/24/Shipping!$T$44+F55/24/Shipping!$T$50+Shipping!$T$59+Shipping!$T$64)*Carriers!$Z$39*wacc_nl))</f>
        <v>65.746313721524515</v>
      </c>
      <c r="EV55" s="100">
        <f>H2_retrieval!$R$25*h2_demand_kt/1000+(co2_liq_e_demand+co2_st_e_demand*2)*Storage!$S$12*co2_density/ome_density/1000000</f>
        <v>254.51942895252085</v>
      </c>
      <c r="EW55" s="28">
        <f>IFERROR((((EK55+EM55+EP55)*(1+H2_retrieval!$R$34)+EU55)*1000000/H2_retrieval!$R$8)+h2_regen_ome,"")</f>
        <v>19992.257311363344</v>
      </c>
      <c r="EX55" s="149">
        <f>(sng_invest*(M55+1/sng_lifetime)/sng_prod+lng_invest*(M55+1/lng_lifetime)/lng_prod+sng_opex+lng_opex+(sng_e_demand+lng_e_demand)*1000*$AU55/100+Carriers!$AB$18/Carriers!$AB$23*BD55+Carriers!$AB$20/Carriers!$AB$23*co2_liq_cost)*(FB55+lng_st_ab_losses)/1000000</f>
        <v>87253.697304070811</v>
      </c>
      <c r="EY55" s="86">
        <f>(sng_invest*(M55+1/sng_lifetime)/sng_prod+lng_invest*(M55+1/lng_lifetime)/lng_prod+sng_opex+lng_opex+(sng_e_demand+lng_e_demand)*1000*$AU55/100+Carriers!$AB$18/Carriers!$AB$23*BD55+Carriers!$AB$20/Carriers!$AB$23*BP55)*(FB55+lng_st_ab_losses)/1000000</f>
        <v>103036.21714194336</v>
      </c>
      <c r="EZ55" s="63">
        <f>lng_st_nl_cost*lng_st_nl_demand/1000000+(lng_st_invest*(M55+1/lng_st_lifetime+lng_st_opex)/(Storage!$U$63/1000000)+lng_st_e_demand*1000*$AU55/100)*(FB55+lng_st_ab_losses)/1000000+co2_st_nl_cost*Storage!$U$12*co2_density/lng_density/1000000+(co2_st_opex_lev+co2_st_invest_lev+co2_st_e_demand*1000*$AU55/100)*Storage!$U$12/1000000+co2_st_invest_lev*Storage!$U$12*co2_st_lifetime*M55/1000000+Carriers!$AB$18/Carriers!$AB$23*((FB55+lng_st_ab_losses)/365.25*short_st_duration_hrs/24)*(h2_short_st_invest*(1/gh2_short_st_lifetime+$M55+h2_short_st_opex)+h2_short_st_e_demand*1000*$AU55/100)/1000000+Carriers!$AB$20/Carriers!$AB$23*((FB55+lng_st_ab_losses)/365.25*short_st_duration_hrs/24)*(co2_short_st_invest*(1/co2_short_st_lifetime+$M55+co2_short_st_opex)+co2_short_st_e_demand*1000*$AU55/100)/1000000</f>
        <v>7474.4423520482223</v>
      </c>
      <c r="FA55" s="63">
        <f>lng_st_nl_cost*lng_st_nl_demand/1000000+(lng_st_invest*(M55+1/lng_st_lifetime+lng_st_opex)/(Storage!$U$63/1000000)+lng_st_e_demand*1000*$AU55/100)*(FB55+lng_st_ab_losses)/1000000+Carriers!$AB$18/Carriers!$AB$23*((FB55+lng_st_ab_losses)/365.25*short_st_duration_hrs/24)*(h2_short_st_invest*(1/gh2_short_st_lifetime+$M55+h2_short_st_opex)+h2_short_st_e_demand*1000*$AU55/100)/1000000+Carriers!$AB$20/Carriers!$AB$23*((FB55+lng_st_ab_losses)/365.25*short_st_duration_hrs/24)*(co2_short_st_invest*(1/co2_short_st_lifetime+$M55+co2_short_st_opex)+co2_short_st_e_demand*1000*$AU55/100)/1000000</f>
        <v>5754.9091688626213</v>
      </c>
      <c r="FB55" s="63">
        <f>Storage!$U$57/((1-Shipping!$V$37)^($F55/24/Shipping!$V$44+0.5*Shipping!$V$59))</f>
        <v>41057994.95648814</v>
      </c>
      <c r="FC55" s="28">
        <f>IF($E55="","No Port",IF(G55="Panama","Ship cannot pass through Panama",((F55/24/Shipping!$V$44+F55/24/Shipping!$V$50+Shipping!$V$59+Shipping!$V$64)*(Shipping!$V$22+wacc_nl*Shipping!$V$19/365.25*1000000+Shipping!$V$35)+(F55/24/Shipping!$V$44*Shipping!$V$45+Shipping!$V$64*Shipping!$V$65)*IF(bunker_choice="HFO",$H55,IF(bunker_choice="hydrogen",$BD55*hfo_e_density_lhv/h2_e_density_lhv,(EX55+EZ55)*1000000/FB55*hfo_e_density_lhv/lng_e_density_lhv))+(F55/24/Shipping!$V$50*Shipping!$V$51+Shipping!$V$59*Shipping!$V$60)*IF(bunker_choice="HFO",bunker_price_ROT,IF(bunker_choice="hydrogen",$BD55*hfo_e_density_lhv/h2_e_density_lhv,(EX55+EZ55)*1000000/FB55*hfo_e_density_lhv/lng_e_density_lhv))+Shipping!$V$73+IF(G55="Panama",Shipping!$V$55,0)+IF(G55="Suez",Shipping!$V$56,0))/Shipping!$V$31*(FB55+lng_st_ab_losses)/1000000)+IF(inland_transport_to_port="hv dc grid",$BM55/100*1000*FE55,IF(inland_transport_to_port="pipeline",$BN55,0)))</f>
        <v>1490.0040364755546</v>
      </c>
      <c r="FD55" s="28">
        <f t="shared" si="41"/>
        <v>110281.13034728153</v>
      </c>
      <c r="FE55" s="29">
        <f>((Carriers!$AB$18/Carriers!$AB$23*alk_el_e_demand)+sng_e_demand+lng_e_demand)*(FB55+lng_st_ab_losses)/1000000+lng_st_e_demand*EZ55/1000000</f>
        <v>1101.1484412474322</v>
      </c>
      <c r="FF55" s="29">
        <f t="shared" si="88"/>
        <v>0.8126185861001558</v>
      </c>
      <c r="FG55" s="28">
        <f>IFERROR(FD55*1000000/Storage!$U$12,"")</f>
        <v>2717.346375109018</v>
      </c>
      <c r="FH55" s="28">
        <f>IF($E55="","No Port",((F55/24/Shipping!$V$44+F55/24/Shipping!$V$50+Shipping!$V$59+Shipping!$V$64)*Carriers!$AB$39*wacc_nl))</f>
        <v>19.624489540933933</v>
      </c>
      <c r="FI55" s="100">
        <f>H2_retrieval!$T$25*h2_demand_kt/1000+(co2_liq_e_demand+co2_st_e_demand*2)*Storage!$U$12*co2_density/lng_density/1000000</f>
        <v>236.51371749646054</v>
      </c>
      <c r="FJ55" s="28">
        <f>IFERROR((((EX55+EZ55+FC55)*(1+H2_retrieval!$T$34)+FH55)*1000000/H2_retrieval!$T$8)+h2_regen_lng,"")</f>
        <v>8246.4350271766689</v>
      </c>
      <c r="FK55" s="149">
        <f>(lh2_invest*(M55+1/lh2_lifetime)/lh2_prod+lh2_opex+lh2_e_demand*1000*$AU55/100+Carriers!$AD$18/Carriers!$AD$23*BD55)*(FM55+lh2_st_ab_losses)/1000000</f>
        <v>68626.450293013346</v>
      </c>
      <c r="FL55" s="28">
        <f>lh2_st_nl_cost*lh2_st_nl_demand/1000000+(lh2_st_invest*(M55+1/lh2_st_lifetime+lh2_st_opex)/(Storage!$Y$63/1000000)+lh2_st_e_demand*1000*$AU55/100)*(FM55+lh2_st_ab_losses)/1000000+((FM55+lh2_st_ab_losses)/365.25*short_st_duration_hrs/24)*(h2_short_st_invest*(1/gh2_short_st_lifetime+$M55+h2_short_st_opex)+h2_short_st_e_demand*1000*$AU55/100)/1000000</f>
        <v>65679.856331607894</v>
      </c>
      <c r="FM55" s="63">
        <f>Storage!$Y$57/((1-Shipping!$Z$37)^($F55/24/Shipping!$Z$44+0.5*Shipping!$Z$59))</f>
        <v>13848868.917630367</v>
      </c>
      <c r="FN55" s="28">
        <f>IF($E55="","No Port",IF(G55="Panama","Ship cannot pass through Panama",((F55/24/Shipping!$Z$44+F55/24/Shipping!$Z$50+Shipping!$Z$59+Shipping!$Z$64)*(Shipping!$Z$22+wacc_nl*Shipping!$Z$19/365.25*1000000+Shipping!$Z$35)+(F55/24/Shipping!$Z$44*Shipping!$Z$45+Shipping!$Z$64*Shipping!$Z$65)*IF(bunker_choice="HFO",$H55,IF(bunker_choice="hydrogen",$BD55*hfo_e_density_lhv/h2_e_density_lhv,(FK55+FL55)*1000000/FM55*hfo_e_density_lhv/lh2_e_density_lhv))+(F55/24/Shipping!$Z$50*Shipping!$Z$51+Shipping!$Z$59*Shipping!$Z$60)*IF(bunker_choice="HFO",bunker_price_ROT,IF(bunker_choice="hydrogen",$BD55*hfo_e_density_lhv/h2_e_density_lhv,(FK55+FL55)*1000000/FM55*hfo_e_density_lhv/lh2_e_density_lhv))+Shipping!$Z$73+IF(G55="Panama",Shipping!$Z$55,0)+IF(G55="Suez",Shipping!$Z$56,0))/Shipping!$Z$31*(FM55+lh2_st_ab_losses)/1000000)+IF(inland_transport_to_port="hv dc grid",$BM55/100*1000*FP55,IF(inland_transport_to_port="pipeline",$BN55,0)))</f>
        <v>2376.438051130237</v>
      </c>
      <c r="FO55" s="28">
        <f t="shared" si="42"/>
        <v>136682.74467575148</v>
      </c>
      <c r="FP55" s="29">
        <f>((Carriers!$AD$18/Carriers!$AD$23*alk_el_e_demand)+lh2_e_demand)*(FM55+lh2_st_ab_losses)/1000000+lh2_st_e_demand*FM55/1000000</f>
        <v>802.53309741327303</v>
      </c>
      <c r="FQ55" s="100">
        <f t="shared" si="89"/>
        <v>1.361902463475859</v>
      </c>
      <c r="FR55" s="28">
        <f>IFERROR(FO55*1000000/Storage!$Y$12,"")</f>
        <v>10050.201814393491</v>
      </c>
      <c r="FS55" s="100">
        <f>H2_retrieval!$V$25*h2_demand_kt/1000</f>
        <v>8.16</v>
      </c>
      <c r="FT55" s="28">
        <f>IFERROR(FR55*(1+H2_retrieval!$V$34)/Carrier_properties!$U$7+H2_retrieval!$V$38,"")</f>
        <v>10082.170540261959</v>
      </c>
      <c r="FU55" s="12"/>
      <c r="FV55" s="24">
        <f t="shared" si="90"/>
        <v>2.9807921690029193</v>
      </c>
      <c r="FW55" s="24" t="str">
        <f t="shared" si="57"/>
        <v/>
      </c>
      <c r="FX55" s="24" t="str">
        <f t="shared" si="58"/>
        <v/>
      </c>
      <c r="FY55" s="24">
        <f t="shared" si="45"/>
        <v>2.9807921690029193</v>
      </c>
      <c r="FZ55" s="28">
        <f t="shared" si="59"/>
        <v>3692.1669486982032</v>
      </c>
      <c r="GA55" s="28">
        <f t="shared" si="47"/>
        <v>841.75768453596902</v>
      </c>
      <c r="GB55" s="28">
        <f t="shared" si="48"/>
        <v>534.2364255882236</v>
      </c>
      <c r="GC55" s="28">
        <f t="shared" si="49"/>
        <v>941.10689539767213</v>
      </c>
      <c r="GD55" s="28">
        <f t="shared" si="50"/>
        <v>1370.5239024483546</v>
      </c>
      <c r="GE55" s="28">
        <f t="shared" si="51"/>
        <v>2388.2708364577957</v>
      </c>
      <c r="GF55" s="28">
        <f t="shared" si="52"/>
        <v>2509.5287105748253</v>
      </c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</row>
    <row r="56" spans="1:214" x14ac:dyDescent="0.2">
      <c r="A56" s="40" t="s">
        <v>61</v>
      </c>
      <c r="B56" s="12">
        <v>3033</v>
      </c>
      <c r="C56" s="12">
        <v>1</v>
      </c>
      <c r="D56" s="12">
        <f t="shared" si="61"/>
        <v>0</v>
      </c>
      <c r="E56" s="12" t="s">
        <v>725</v>
      </c>
      <c r="F56" s="12">
        <v>3764</v>
      </c>
      <c r="G56" s="12"/>
      <c r="H56" s="16">
        <f t="shared" si="62"/>
        <v>382.75862068965517</v>
      </c>
      <c r="I56" s="16">
        <v>69490</v>
      </c>
      <c r="J56" s="16">
        <f t="shared" si="31"/>
        <v>148.72576774356088</v>
      </c>
      <c r="K56" s="27">
        <f t="shared" si="32"/>
        <v>178.47092129227306</v>
      </c>
      <c r="L56" s="103">
        <v>0.17799999999999999</v>
      </c>
      <c r="M56" s="103">
        <f t="shared" si="63"/>
        <v>0.1672993669236236</v>
      </c>
      <c r="N56" s="122">
        <f t="shared" si="33"/>
        <v>0.9</v>
      </c>
      <c r="O56" s="46">
        <f t="shared" si="64"/>
        <v>40</v>
      </c>
      <c r="P56" s="70">
        <f t="array" ref="P56">SUMPRODUCT(IF(Solar_data!A$4:A$777=A56,Solar_data!C$4:C$777),IF(Solar_data!A$4:A$777=A56,Solar_data!I$4:I$777))/SUMIF(Solar_data!A$4:A$777,A56,Solar_data!I$4:I$777)</f>
        <v>1461.2890113442504</v>
      </c>
      <c r="Q56" s="16">
        <f t="array" ref="Q56">MAX(IF(Solar_data!$A$777:'Solar_data'!$A$4=Country_details!$A56,Solar_data!$C$4:'Solar_data'!$C$777))</f>
        <v>1733.75</v>
      </c>
      <c r="R56" s="16">
        <f t="array" ref="R56">MIN(IF(Solar_data!$A$777:'Solar_data'!$A$4=Country_details!A56,Solar_data!$C$4:'Solar_data'!$C$777))</f>
        <v>1368.75</v>
      </c>
      <c r="S56" s="24">
        <f t="shared" si="65"/>
        <v>3.8775236465372549</v>
      </c>
      <c r="T56" s="24">
        <f t="shared" si="66"/>
        <v>3.2681659385219199</v>
      </c>
      <c r="U56" s="24">
        <f t="shared" si="67"/>
        <v>4.1396768554610981</v>
      </c>
      <c r="V56" s="16">
        <f t="array" ref="V56">SUM(IF(Solar_data!$A$777:'Solar_data'!$A$4=Country_details!$A56,Solar_data!$I$4:'Solar_data'!$I$777))</f>
        <v>415.99667655335179</v>
      </c>
      <c r="W56" s="148"/>
      <c r="X56" s="16" t="str">
        <f>IFERROR(INDEX(Onshore_wind_data!$J$5:'Onshore_wind_data'!$J$221,MATCH(A56,Onshore_wind_data!$B$5:'Onshore_wind_data'!$B$221,0)),"")</f>
        <v/>
      </c>
      <c r="Y56" s="16" t="str">
        <f>IFERROR(INDEX(Onshore_wind_data!$K$5:'Onshore_wind_data'!$K$221,MATCH(A56,Onshore_wind_data!$B$5:'Onshore_wind_data'!$B$221,0)),"")</f>
        <v/>
      </c>
      <c r="Z56" s="16" t="str">
        <f>IFERROR(INDEX(Onshore_wind_data!$L$5:'Onshore_wind_data'!$L$221,MATCH(A56,Onshore_wind_data!$B$5:'Onshore_wind_data'!$B$221,0)),"")</f>
        <v/>
      </c>
      <c r="AA56" s="24" t="str">
        <f t="shared" si="68"/>
        <v/>
      </c>
      <c r="AB56" s="24" t="str">
        <f t="shared" si="69"/>
        <v/>
      </c>
      <c r="AC56" s="24" t="str">
        <f t="shared" si="70"/>
        <v/>
      </c>
      <c r="AD56" s="16">
        <f>IFERROR(INDEX(Onshore_wind_data!$I$5:'Onshore_wind_data'!$I$221,MATCH(A56,Onshore_wind_data!$B$5:'Onshore_wind_data'!$B$221,0)),"")</f>
        <v>0</v>
      </c>
      <c r="AE56" s="148"/>
      <c r="AF56" s="16" t="str">
        <f>INDEX(Offshore_wind_data!$AA$7:$AA$192,MATCH(Country_details!A56,Offshore_wind_data!$A$7:$A$192,0))</f>
        <v/>
      </c>
      <c r="AG56" s="16" t="str">
        <f>INDEX(Offshore_wind_data!$Y$7:$Y$192,MATCH(Country_details!A56,Offshore_wind_data!$A$7:$A$192,0))</f>
        <v/>
      </c>
      <c r="AH56" s="16" t="str">
        <f>INDEX(Offshore_wind_data!$Z$7:$Z$192,MATCH(Country_details!A56,Offshore_wind_data!$A$7:$A$192,0))</f>
        <v/>
      </c>
      <c r="AI56" s="24" t="str">
        <f t="shared" si="71"/>
        <v/>
      </c>
      <c r="AJ56" s="24" t="str">
        <f t="shared" si="72"/>
        <v/>
      </c>
      <c r="AK56" s="24" t="str">
        <f t="shared" si="73"/>
        <v/>
      </c>
      <c r="AL56" s="16">
        <f>INDEX(Offshore_wind_data!$W$7:$W$191,MATCH(A56,Offshore_wind_data!$A$7:$A$191,0))</f>
        <v>0</v>
      </c>
      <c r="AM56" s="148"/>
      <c r="AN56" s="12">
        <v>3.9</v>
      </c>
      <c r="AO56" s="12">
        <v>3.4</v>
      </c>
      <c r="AP56" s="34">
        <f>1.032*11.63</f>
        <v>12.002160000000002</v>
      </c>
      <c r="AQ56" s="15">
        <f t="shared" si="74"/>
        <v>50</v>
      </c>
      <c r="AR56" s="12">
        <f t="shared" si="34"/>
        <v>170</v>
      </c>
      <c r="AS56" s="16">
        <f t="shared" si="35"/>
        <v>245.99667655335179</v>
      </c>
      <c r="AT56" s="12"/>
      <c r="AU56" s="24">
        <f t="shared" si="75"/>
        <v>3.8775236465372549</v>
      </c>
      <c r="AV56" s="16">
        <f t="shared" si="76"/>
        <v>1461.2890113442504</v>
      </c>
      <c r="AW56" s="149">
        <f>HV_DC_Grid!$E$3/(1-AX56)*AU56/100*1000</f>
        <v>4173.9339749490928</v>
      </c>
      <c r="AX56" s="31">
        <f>(1-(1-HV_DC_Grid!$E$25)^(B56*C56*HV_DC_Grid!$E$8/1000))+(1-(1-HV_DC_Grid!$E$26)^(B56*D56*HV_DC_Grid!$E$8/1000))+HV_DC_Grid!$E$35*HV_DC_Grid!$E$28</f>
        <v>7.1014618388987136E-2</v>
      </c>
      <c r="AY56" s="28">
        <f>B56*nl_e_demand/IF(hv_dc_flh="electricity FLH",$AV56,hv_dc_custom)*1000*hv_dc_capacity_multiplier*hv_dc_length_multiplier*1000*(C56*hv_dc_overhead_invest*(hv_dc_overhead_opex+M56+1/hv_dc_lifetime)+D56*hv_dc_sea_invest*(hv_dc_sea_opex+M56+1/hv_dc_lifetime))/1000000+HV_DC_Grid!$E$10*1000*hv_dc_station_invest*hv_dc_station_number*(hv_dc_station_opex+M56+1/hv_dc_lifetime)/1000000</f>
        <v>3773.7409424413358</v>
      </c>
      <c r="AZ56" s="24">
        <f>(AW56+AY56)/(HV_DC_Grid!$E$3*1000)*100</f>
        <v>7.9476749173904278</v>
      </c>
      <c r="BA56" s="28">
        <f>MIN(((Carriers!$F$26+Carriers!$F$27)*(alk_el_opex+wacc_nl+1/alk_el_lifetime)+IF(hv_dc_flh="electricity FLH",$AV56,hv_dc_custom)*AZ56/100)/(IF(hv_dc_flh="electricity FLH",$AV56,hv_dc_custom)/alk_el_e_demand)*1000,((Carriers!$H$26+Carriers!$H$27)*(pem_el_opex+wacc_nl+1/pem_el_lifetime)+IF(hv_dc_flh="electricity FLH",$AV56,hv_dc_custom)*AZ56/100)/(IF(hv_dc_flh="electricity FLH",$AV56,hv_dc_custom)/pem_el_e_demand)*1000)</f>
        <v>4406.7670149306059</v>
      </c>
      <c r="BB56" s="12"/>
      <c r="BC56" s="12"/>
      <c r="BD56" s="149">
        <f>MIN(((Carriers!$F$26+Carriers!$F$27)*(alk_el_opex+M56+1/alk_el_lifetime)+$AV56*$AU56/100)/($AV56/alk_el_e_demand)*1000,((Carriers!$H$26+Carriers!$H$27)*(pem_el_opex+M56+1/pem_el_lifetime)+$AV56*$AU56/100)/($AV56/pem_el_e_demand)*1000)</f>
        <v>4829.5570762336811</v>
      </c>
      <c r="BE56" s="28">
        <f>Storage!$AC$50</f>
        <v>8.1664117557772418</v>
      </c>
      <c r="BF56" s="28">
        <f>((Pipeline!$D$22*Pipeline!$D$24*B56*(pipeline_opex+M56+1/pipeline_lifetime))*(Pipeline!$D$39/Pipeline!$D$3)+(Pipeline!$D$57*(pipeline_comp_opex+M56+1/pipeline_comp_lifetime)+Pipeline!$D$47*1000*Pipeline!$D$45*$AU56/100/1000000))*(Pipeline!$D$75/Pipeline!$D$45)</f>
        <v>8409.9220586584615</v>
      </c>
      <c r="BG56" s="28">
        <f>BD56+(BE56+BF56)/Storage!$AC$12*1000000</f>
        <v>5448.534169646493</v>
      </c>
      <c r="BH56" s="28"/>
      <c r="BI56" s="28"/>
      <c r="BJ56" s="28">
        <f>IF($E56="","No Port",BK56*HV_DC_Grid!$E$3*$AU56/100*1000)</f>
        <v>67.6565501612546</v>
      </c>
      <c r="BK56" s="31">
        <f>IFERROR((1-(1-HV_DC_Grid!$E$25)^(K56*HV_DC_Grid!$E$8/1000))+HV_DC_Grid!$E$35*HV_DC_Grid!$E$28,"")</f>
        <v>1.7448391377747993E-2</v>
      </c>
      <c r="BL56" s="28">
        <f>IFERROR(K56*nl_e_demand/IF(hv_dc_flh="electricity FLH",$AV56,hv_dc_custom)*1000*hv_dc_capacity_multiplier*hv_dc_length_multiplier*1000*(hv_dc_overhead_invest*(hv_dc_overhead_opex+M56+1/hv_dc_lifetime))/1000000+HV_DC_Grid!$E$10*1000*hv_dc_station_invest*hv_dc_station_number*(hv_dc_station_opex+M56+1/hv_dc_lifetime)/1000000,"")</f>
        <v>724.70237586655662</v>
      </c>
      <c r="BM56" s="29">
        <f>IFERROR((BJ56+BL56)/(HV_DC_Grid!$E$3*1000)*100,"")</f>
        <v>0.79235892602781111</v>
      </c>
      <c r="BN56" s="28">
        <f>IFERROR(((Pipeline!$D$22*Pipeline!$D$24*K56*(pipeline_opex+M56+1/pipeline_lifetime))*(Pipeline!$D$39/Pipeline!$D$3)+(Pipeline!$D$57*(pipeline_comp_opex+M56+1/pipeline_comp_lifetime)+Pipeline!$D$47*1000*Pipeline!$D$45*S56/100/1000000))*(Pipeline!$D$75/Pipeline!$D$45),"")</f>
        <v>611.08760398756692</v>
      </c>
      <c r="BO56" s="28"/>
      <c r="BP56" s="150">
        <f t="shared" si="77"/>
        <v>141.4760635177667</v>
      </c>
      <c r="BQ56" s="34">
        <f t="shared" si="78"/>
        <v>41.837236797343969</v>
      </c>
      <c r="BR56" s="151">
        <f>(nh3_invest*(M56+1/nh3_lifetime)/nh3_prod+nh3_opex+nh3_e_demand*1000*$AU56/100+Carriers!$N$18/Carriers!$N$23*BD56+Carriers!$N$19/Carriers!$N$23*BQ56)*(BT56+nh3_st_ab_losses)/1000000</f>
        <v>81663.515172034327</v>
      </c>
      <c r="BS56" s="63">
        <f>nh3_st_nl_cost*nh3_st_nl_demand/1000000+(nh3_st_invest*(M56+1/nh3_st_lifetime+nh3_st_opex)/(Storage!$G$63/1000000)+nh3_st_e_demand*1000*$AU56/100)*(BT56+nh3_st_ab_losses)/1000000+Carriers!$N$18/Carriers!$N$23*((BT56+nh3_st_ab_losses)/365.25*short_st_duration_hrs/24)*(h2_short_st_invest*(1/gh2_short_st_lifetime+$M56+h2_short_st_opex)+h2_short_st_e_demand*1000*$AU56/100)/1000000+Carriers!$N$19/Carriers!$N$23*((BT56+nh3_st_ab_losses)/365.25*short_st_duration_hrs/24)*(n2_short_st_invest*(1/n2_short_st_lifetime+$M56+n2_short_st_opex)+n2_short_st_e_demand*1000*$AU56/100)/1000000</f>
        <v>3938.0247626744504</v>
      </c>
      <c r="BT56" s="63">
        <f>Storage!$G$57/((1-Shipping!$H$37)^(F56/24/Shipping!$H$44+0.5*Shipping!$H$59))</f>
        <v>78707284.819512665</v>
      </c>
      <c r="BU56" s="63">
        <f>IF($E56="","No Port",((F56/24/Shipping!$H$44+F56/24/Shipping!$H$50+Shipping!$H$59+Shipping!$H$64)*(Shipping!$H$22+wacc_nl*Shipping!$H$19/365.25*1000000+Shipping!$H$35)+(F56/24/Shipping!$H$44*Shipping!$H$45+Shipping!$H$64*Shipping!$H$65)*IF(bunker_choice="HFO",H56,IF(bunker_choice="hydrogen",BD56*hfo_e_density_lhv/h2_e_density_lhv,(BR56+BS56)*1000000/BT56*hfo_e_density_lhv/nh3_e_density_lhv))+(F56/24/Shipping!$H$50*Shipping!$H$51+Shipping!$H$59*Shipping!$H$60)*IF(bunker_choice="HFO",bunker_price_ROT,IF(bunker_choice="hydrogen",BD56*hfo_e_density_lhv/h2_e_density_lhv,(BR56+BS56)*1000000/BT56*hfo_e_density_lhv/nh3_e_density_lhv))+Shipping!$H$73+IF(G56="Panama",Shipping!$H$55,0)+IF(G56="Suez",Shipping!$H$56,0))/Shipping!$H$31*BT56/1000000+IF(inland_transport_to_port="hv dc grid",$BM56/100*1000*BW56,IF(inland_transport_to_port="pipeline",$BN56,0)))</f>
        <v>3842.4973493405932</v>
      </c>
      <c r="BV56" s="63">
        <f t="shared" si="91"/>
        <v>89444.03728404938</v>
      </c>
      <c r="BW56" s="33">
        <f>((Carriers!$N$18/Carriers!$N$23*alk_el_e_demand)+(Carriers!$N$19/Carriers!$N$23*n2_e_demand)+nh3_e_demand)*(BT56+nh3_st_ab_losses)/1000000+nh3_st_e_demand*BT56/1000000</f>
        <v>777.25694102695627</v>
      </c>
      <c r="BX56" s="33">
        <f t="shared" si="79"/>
        <v>0.76626754477640768</v>
      </c>
      <c r="BY56" s="63">
        <f>IFERROR(BV56*1000000/Storage!$G$12,"")</f>
        <v>1168.2415860436015</v>
      </c>
      <c r="BZ56" s="63">
        <f>H2_retrieval!$F$25*h2_demand_kt/1000</f>
        <v>80</v>
      </c>
      <c r="CA56" s="63">
        <f>IFERROR(BY56*(1+H2_retrieval!$F$34)/Carrier_properties!$E$7+H2_retrieval!$F$38,"")</f>
        <v>6985.9934270003068</v>
      </c>
      <c r="CB56" s="149">
        <f>(FA_invest*(M56+1/FA_lifetime)/FA_prod+FA_opex+FA_e_demand*1000*$AU56/100+Carriers!$P$18/Carriers!$P$23*BD56+Carriers!$P$20/Carriers!$P$23*co2_liq_cost)*(CF56+FA_st_ab_losses)/1000000</f>
        <v>156754.24140308422</v>
      </c>
      <c r="CC56" s="86">
        <f>(FA_invest*(M56+1/FA_lifetime)/FA_prod+FA_opex+FA_e_demand*1000*$AU56/100+Carriers!$P$18/Carriers!$P$23*BD56+Carriers!$P$20/Carriers!$P$23*BP56)*(CF56+FA_st_ab_losses)/1000000</f>
        <v>191340.65304889611</v>
      </c>
      <c r="CD56" s="63">
        <f>FA_st_nl_cost*FA_st_nl_demand/1000000+(FA_st_invest*(M56+1/FA_st_lifetime+FA_st_opex)/(Storage!$I$63/1000000)+FA_st_e_demand*1000*$AU56/100)*(CF56+FA_st_ab_losses)/1000000+co2_st_nl_cost*Storage!$I$12*co2_density/FA_density/1000000+(co2_st_opex_lev+co2_st_invest_lev+co2_st_e_demand*1000*$AU56/100)*Storage!$I$12/1000000+co2_st_invest_lev*Storage!$I$12*co2_st_lifetime*M56/1000000+Carriers!$P$18/Carriers!$P$23*((CF56+FA_st_ab_losses)/365.25*short_st_duration_hrs/24)*(h2_short_st_invest*(1/gh2_short_st_lifetime+$M56+h2_short_st_opex)+h2_short_st_e_demand*1000*$AU56/100)/1000000+Carriers!$P$20/Carriers!$P$23*((CF56+FA_st_ab_losses)/365.25*short_st_duration_hrs/24)*(co2_short_st_invest*(1/co2_short_st_lifetime+$M56+co2_short_st_opex)+co2_short_st_e_demand*1000*$AU56/100)/1000000</f>
        <v>13519.125667477982</v>
      </c>
      <c r="CE56" s="63">
        <f>FA_st_nl_cost*FA_st_nl_demand/1000000+(FA_st_invest*(M56+1/FA_st_lifetime+FA_st_opex)/(Storage!$I$63/1000000)+FA_st_e_demand*1000*$AU56/100)*(CF56+FA_st_ab_losses)/1000000+Carriers!$P$18/Carriers!$P$23*((CF56+FA_st_ab_losses)/365.25*short_st_duration_hrs/24)*(h2_short_st_invest*(1/gh2_short_st_lifetime+$M56+h2_short_st_opex)+h2_short_st_e_demand*1000*$AU56/100)/1000000+Carriers!$P$20/Carriers!$P$23*((CF56+FA_st_ab_losses)/365.25*short_st_duration_hrs/24)*(co2_short_st_invest*(1/co2_short_st_lifetime+$M56+co2_short_st_opex)+co2_short_st_e_demand*1000*$AU56/100)/1000000</f>
        <v>5846.2436367732589</v>
      </c>
      <c r="CF56" s="63">
        <f>Storage!$I$57/((1-Shipping!$J$37)^($F56/24/Shipping!$J$44+0.5*Shipping!$J$59))</f>
        <v>310425396.82539684</v>
      </c>
      <c r="CG56" s="28">
        <f>IF($E56="","No Port",((F56/24/Shipping!$J$44+F56/24/Shipping!$J$50+Shipping!$J$59+Shipping!$J$64)*(Shipping!$J$22+wacc_nl*Shipping!$J$19/365.25*1000000+Shipping!$J$35)+(F56/24/Shipping!$J$44*Shipping!$J$45+Shipping!$J$64*Shipping!$J$65)*IF(bunker_choice="HFO",$H56,IF(bunker_choice="hydrogen",$BD56*hfo_e_density_lhv/h2_e_density_lhv,(CB56+CD56)*1000000/CF56*hfo_e_density_lhv/FA_e_density_lhv))+(F56/24/Shipping!$J$50*Shipping!$J$51+Shipping!$J$59*Shipping!$J$60)*IF(bunker_choice="HFO",bunker_price_ROT,IF(bunker_choice="hydrogen",$BD56*hfo_e_density_lhv/h2_e_density_lhv,(CB56+CD56)*1000000/CF56*hfo_e_density_lhv/FA_e_density_lhv))+Shipping!$J$73+IF(G56="Panama",Shipping!$J$55,0)+IF(G56="Suez",Shipping!$J$56,0))/Shipping!$J$31*CF56/1000000+IF(inland_transport_to_port="hv dc grid",$BM56/100*1000*CI56,IF(inland_transport_to_port="pipeline",$BN56,0)))</f>
        <v>15724.664672224786</v>
      </c>
      <c r="CH56" s="28">
        <f t="shared" si="36"/>
        <v>212911.56135789416</v>
      </c>
      <c r="CI56" s="29">
        <f>((Carriers!$P$18/Carriers!$P$23*alk_el_e_demand)+FA_e_demand)*(CF56+FA_st_ab_losses)/1000000+FA_st_e_demand*CF56/1000000</f>
        <v>1897.8881241622576</v>
      </c>
      <c r="CJ56" s="29">
        <f t="shared" si="80"/>
        <v>0.46563809523809524</v>
      </c>
      <c r="CK56" s="28">
        <f>IFERROR(CH56*1000000/Storage!$I$12,"")</f>
        <v>685.8703042188564</v>
      </c>
      <c r="CL56" s="28">
        <f>IF($E56="","No Port",((F56/24/Shipping!$J$44+F56/24/Shipping!$J$50+Shipping!$J$59+Shipping!$J$64)*Carriers!$P$39*wacc_nl))</f>
        <v>200.74790730554525</v>
      </c>
      <c r="CM56" s="29">
        <f>H2_retrieval!$H$25*h2_demand_kt/1000+(co2_liq_e_demand+co2_st_e_demand*2)*Storage!$I$12*co2_density/FA_density/1000000</f>
        <v>94.204253879484654</v>
      </c>
      <c r="CN56" s="28">
        <f>IFERROR((((CB56+CD56+CG56)*(1+H2_retrieval!$H$34)+CL56)*1000000/H2_retrieval!$H$8)+h2_regen_fa,"")</f>
        <v>13780.774106744348</v>
      </c>
      <c r="CO56" s="149">
        <f>(meoh_invest*(M56+1/meoh_lifetime)/meoh_prod+meoh_opex+meoh_e_demand*1000*$AU56/100+Carriers!$R$18/Carriers!$R$23*BD56+Carriers!$R$20/Carriers!$R$23*co2_liq_cost)*(CS56+meoh_st_ab_losses)/1000000</f>
        <v>104592.60872653603</v>
      </c>
      <c r="CP56" s="86">
        <f>(meoh_invest*(M56+1/meoh_lifetime)/meoh_prod+meoh_opex+meoh_e_demand*1000*$AU56/100+Carriers!$R$18/Carriers!$R$23*BD56+Carriers!$R$20/Carriers!$R$23*BP56)*(CS56+meoh_st_ab_losses)/1000000</f>
        <v>124895.90010867066</v>
      </c>
      <c r="CQ56" s="63">
        <f>meoh_st_nl_cost*meoh_st_nl_demand/1000000+(meoh_st_invest*(M56+1/meoh_st_lifetime+meoh_st_opex)/(Storage!$K$63/1000000)+meoh_st_e_demand*1000*$AU56/100)*(CS56+meoh_st_ab_losses)/1000000+co2_st_nl_cost*Storage!$K$12*co2_density/meoh_density/1000000+(co2_st_opex_lev+co2_st_invest_lev+co2_st_e_demand*1000*IFERROR(MIN(S56,AA56,AI56),S56)/100)*Storage!$K$12/1000000+co2_st_invest_lev*Storage!$K$12*co2_st_lifetime*M56/1000000+Carriers!$R$18/Carriers!$R$23*((CS56+meoh_st_ab_losses)/365.25*short_st_duration_hrs/24)*(h2_short_st_invest*(1/gh2_short_st_lifetime+$M56+h2_short_st_opex)+h2_short_st_e_demand*1000*$AU56/100)/1000000+Carriers!$R$20/Carriers!$R$23*((CF56+meoh_st_ab_losses)/365.25*short_st_duration_hrs/24)*(co2_short_st_invest*(1/co2_short_st_lifetime+$M56+co2_short_st_opex)+co2_short_st_e_demand*1000*$AU56/100)/1000000</f>
        <v>5621.3364285903735</v>
      </c>
      <c r="CR56" s="63">
        <f>meoh_st_nl_cost*meoh_st_nl_demand/1000000+(meoh_st_invest*(M56+1/meoh_st_lifetime+meoh_st_opex)/(Storage!$K$63/1000000)+meoh_st_e_demand*1000*$AU56/100)*(CS56+meoh_st_ab_losses)/1000000+Carriers!$R$18/Carriers!$R$23*((CS56+meoh_st_ab_losses)/365.25*short_st_duration_hrs/24)*(h2_short_st_invest*(1/gh2_short_st_lifetime+$M56+h2_short_st_opex)+h2_short_st_e_demand*1000*$AU56/100)/1000000+Carriers!$R$20/Carriers!$R$23*((CF56+meoh_st_ab_losses)/365.25*short_st_duration_hrs/24)*(co2_short_st_invest*(1/co2_short_st_lifetime+$M56+co2_short_st_opex)+co2_short_st_e_demand*1000*$AU56/100)/1000000</f>
        <v>2351.7705229942476</v>
      </c>
      <c r="CS56" s="63">
        <f>Storage!$K$57/((1-Shipping!$L$37)^($F56/24/Shipping!$L$44+0.5*Shipping!$L$59))</f>
        <v>108044444.44444443</v>
      </c>
      <c r="CT56" s="28">
        <f>IF($E56="","No Port",IF(AND(ship_choice="VLCC",G56="Panama"),"Ship cannot pass through Panama",IF(ship_choice="VLCC",((F56/24/Shipping!$AD$44+F56/24/Shipping!$AD$50+Shipping!$AD$59+Shipping!$AD$64)*(Shipping!$AD$22+wacc_nl*Shipping!$AD$19/365.25*1000000+Shipping!$AD$35)+(F56/24/Shipping!$AD$44*Shipping!$AD$45+Shipping!$AD$64*Shipping!$AD$65)*IF(bunker_choice="HFO",$H56,IF(bunker_choice="hydrogen",$BD56*hfo_e_density_lhv/h2_e_density_lhv,(CO56+CQ56)*1000000/CS56*hfo_e_density_lhv/meoh_e_density_lhv))+(F56/24/Shipping!$AD$50*Shipping!$AD$51+Shipping!$AD$59*Shipping!$AD$60)*IF(bunker_choice="HFO",bunker_price_ROT,IF(bunker_choice="hydrogen",$BD56*hfo_e_density_lhv/h2_e_density_lhv,(CO56+CQ56)*1000000/CS56*hfo_e_density_lhv/meoh_e_density_lhv))+Shipping!$AD$73+IF(G56="Panama",Shipping!$AD$55,0)+IF(G56="Suez",Shipping!$AD$56,0))/Shipping!$AD$31*CS56/1000000+IF(inland_transport_to_port="hv dc grid",$BM56/100*1000*CV56,IF(inland_transport_to_port="pipeline",$BN56,0)),((F56/24/Shipping!$L$44+F56/24/Shipping!$L$50+Shipping!$L$59+Shipping!$L$64)*(Shipping!$L$22+wacc_nl*Shipping!$L$19/365.25*1000000+Shipping!$L$35)+(F56/24/Shipping!$L$44*Shipping!$L$45+Shipping!$L$64*Shipping!$L$65)*IF(bunker_choice="HFO",$H56,IF(bunker_choice="hydrogen",$BD56*hfo_e_density_lhv/h2_e_density_lhv,(CO56+CQ56)*1000000/CS56*hfo_e_density_lhv/meoh_e_density_lhv))+(F56/24/Shipping!$L$50*Shipping!$L$51+Shipping!$L$59*Shipping!$L$60)*IF(bunker_choice="HFO",bunker_price_ROT,IF(bunker_choice="hydrogen",$BD56*hfo_e_density_lhv/h2_e_density_lhv,(CO56+CQ56)*1000000/CS56*hfo_e_density_lhv/meoh_e_density_lhv))+Shipping!$L$73+IF(G56="Panama",Shipping!$L$55,0)+IF(G56="Suez",Shipping!$L$56,0))/Shipping!$L$31*CS56/1000000+IF(inland_transport_to_port="hv dc grid",$BM56/100*1000*CV56,IF(inland_transport_to_port="pipeline",$BN56,0)))))</f>
        <v>5586.5526857483092</v>
      </c>
      <c r="CU56" s="28">
        <f t="shared" si="37"/>
        <v>132834.22331741321</v>
      </c>
      <c r="CV56" s="29">
        <f>((Carriers!$R$18/Carriers!$R$23*alk_el_e_demand)+meoh_e_demand)*(CS56+meoh_st_ab_losses)/1000000+meoh_st_e_demand*CS56/1000000</f>
        <v>1119.9789871111109</v>
      </c>
      <c r="CW56" s="29">
        <f t="shared" si="81"/>
        <v>0.16206666666666666</v>
      </c>
      <c r="CX56" s="28">
        <f>IFERROR(CU56*1000000/Storage!$K$12,"")</f>
        <v>1229.4405695770454</v>
      </c>
      <c r="CY56" s="28">
        <f>IF($E56="","No Port",((F56/24/Shipping!$L$44+F56/24/Shipping!$L$50+Shipping!$L$59+Shipping!$L$64)*Carriers!$R$39*wacc_nl))</f>
        <v>71.743044708743312</v>
      </c>
      <c r="CZ56" s="29">
        <f>H2_retrieval!$J$25*h2_demand_kt/1000+(co2_liq_e_demand+co2_st_e_demand*2)*Storage!$K$12*co2_density/meoh_density/1000000</f>
        <v>251.05079059698966</v>
      </c>
      <c r="DA56" s="28">
        <f>IFERROR((((CO56+CQ56+CT56)*(1+H2_retrieval!$J$34)+CY56)*1000000/H2_retrieval!$J$8)+h2_regen_meoh,"")</f>
        <v>9690.1462553713682</v>
      </c>
      <c r="DB56" s="149">
        <f>(DBT_invest*(M56+1/DBT_lifetime)/DBT_prod+DBT_opex+DBT_e_demand*1000*$AU56/100+Carriers!$T$18/Carriers!$T$23*BD56)*(DD56+DBT_st_ab_losses)/1000000</f>
        <v>69470.7261031534</v>
      </c>
      <c r="DC56" s="28">
        <f>2*(DBT_st_nl_cost*DBT_st_nl_demand/1000000+(DBT_st_invest*(M56+1/DBT_st_lifetime+DBT_st_opex)/(Storage!$M$63/1000000)+DBT_st_e_demand*1000*$AU56/100)*(DD56+DBT_st_ab_losses)/1000000)+Carriers!$T$18/Carriers!$T$23*((DD56+DBT_st_ab_losses)/365.25*short_st_duration_hrs/24)*(h2_short_st_invest*(1/gh2_short_st_lifetime+$M56+h2_short_st_opex)+h2_short_st_e_demand*1000*$AU56/100)/1000000</f>
        <v>4748.5416749544529</v>
      </c>
      <c r="DD56" s="63">
        <f>Storage!$M$57/((1-Shipping!$N$37)^($F56/24/Shipping!$N$44+0.5*Shipping!$N$59))</f>
        <v>219354838.70967743</v>
      </c>
      <c r="DE56" s="28">
        <f>IF($E56="","No Port",IF(AND(ship_choice="VLCC",G56="Panama"),"Ship cannot pass through Panama",IF(ship_choice="VLCC",((F56/24/Shipping!$AD$44+F56/24/Shipping!$AD$50+Shipping!$AD$59+Shipping!$AD$64)*(Shipping!$AD$22+wacc_nl*Shipping!$AD$19/365.25*1000000+Shipping!$AD$35)+(F56/24/Shipping!$AD$44*Shipping!$AD$45+Shipping!$AD$64*Shipping!$AD$65)*IF(bunker_choice="HFO",$H56,IF(bunker_choice="hydrogen",$BD56*hfo_e_density_lhv/h2_e_density_lhv,(DB56+DC56)*1000000/DD56*hfo_e_density_lhv/DBT_e_density_lhv))+(F56/24/Shipping!$AD$50*Shipping!$AD$51+Shipping!$AD$59*Shipping!$AD$60)*IF(bunker_choice="HFO",bunker_price_ROT,IF(bunker_choice="hydrogen",$BD56*hfo_e_density_lhv/h2_e_density_lhv,(DB56+DC56)*1000000/DD56*hfo_e_density_lhv/DBT_e_density_lhv))+Shipping!$AD$73+IF(G56="Panama",Shipping!$AD$55,0)+IF(G56="Suez",Shipping!$AD$56,0))/Shipping!$AD$31*DD56/1000000+IF(inland_transport_to_port="hv dc grid",$BM56/100*1000*DG56,IF(inland_transport_to_port="pipeline",$BN56,0)),((F56/24/Shipping!$N$44+F56/24/Shipping!$N$50+Shipping!$N$59+Shipping!$N$64)*(Shipping!$N$22+wacc_nl*Shipping!$N$19/365.25*1000000+Shipping!$N$35)+(F56/24/Shipping!$N$44*Shipping!$N$45+Shipping!$N$64*Shipping!$N$65)*IF(bunker_choice="HFO",$H56,IF(bunker_choice="hydrogen",$BD56*hfo_e_density_lhv/h2_e_density_lhv,(DB56+DC56)*1000000/DD56*hfo_e_density_lhv/DBT_e_density_lhv))+(F56/24/Shipping!$N$50*Shipping!$N$51+Shipping!$N$59*Shipping!$N$60)*IF(bunker_choice="HFO",bunker_price_ROT,IF(bunker_choice="hydrogen",$BD56*hfo_e_density_lhv/h2_e_density_lhv,(DB56+DC56)*1000000/DD56*hfo_e_density_lhv/DBT_e_density_lhv))+Shipping!$N$73+IF(G56="Panama",Shipping!$N$55,0)+IF(G56="Suez",Shipping!$N$56,0))/Shipping!$N$31*Shipping!$N$86/1000000+IF(inland_transport_to_port="hv dc grid",$BM56/100*1000*DG56,IF(inland_transport_to_port="pipeline",$BN56,0)))))</f>
        <v>10063.841806920407</v>
      </c>
      <c r="DF56" s="28">
        <f t="shared" si="82"/>
        <v>84283.109585028258</v>
      </c>
      <c r="DG56" s="29">
        <f>((Carriers!$T$18/Carriers!$T$23*alk_el_e_demand)+DBT_e_demand)*(DD56+DBT_st_ab_losses)/1000000+DBT_st_e_demand*DD56/1000000</f>
        <v>703.88335483870969</v>
      </c>
      <c r="DH56" s="29">
        <f t="shared" si="83"/>
        <v>0.21935483870967742</v>
      </c>
      <c r="DI56" s="28">
        <f>IFERROR(DF56*1000000/Storage!$M$12,"")</f>
        <v>384.23182310821704</v>
      </c>
      <c r="DJ56" s="28">
        <f>IF($E56="","No Port",((F56/24/Shipping!$N$44+F56/24/Shipping!$N$50+Shipping!$N$59+Shipping!$N$64)*Carriers!$T$39*wacc_nl))</f>
        <v>5225.281666576825</v>
      </c>
      <c r="DK56" s="100">
        <f>H2_retrieval!$L$25*h2_demand_kt/1000+(co2_liq_e_demand+co2_st_e_demand*2)*Storage!$M$12*co2_density/DBT_density/1000000</f>
        <v>206.61934861671787</v>
      </c>
      <c r="DL56" s="28">
        <f>IFERROR(((DF56*(1+H2_retrieval!$L$34)+DJ56)*1000000/H2_retrieval!$L$8)+h2_regen_lohc,"")</f>
        <v>7052.149137374462</v>
      </c>
      <c r="DM56" s="149">
        <f t="shared" si="84"/>
        <v>66799.743941171575</v>
      </c>
      <c r="DN56" s="16">
        <f>2*(nabh4_st_nl_cost*nabh4_st_nl_demand/1000000+(nabh4_st_invest*(M56+1/nabh4_st_lifetime+nabh4_st_opex)/(Storage!$O$63/1000000)+nabh4_st_e_demand*1000*$AU56/100)*(DO56+nabh4_st_ab_losses)/1000000)+(h2_demand_kt*1000/365.25*short_st_duration_hrs/24)*(h2_short_st_invest*(1/gh2_short_st_lifetime+$M56+h2_short_st_opex)+h2_short_st_e_demand*1000*$AU56/100)/1000000</f>
        <v>1665.6853088763678</v>
      </c>
      <c r="DO56" s="63">
        <f>Storage!$O$57/((1-Shipping!$P$37)^($F56/24/Shipping!$P$44+0.5*Shipping!$P$59))</f>
        <v>63920000</v>
      </c>
      <c r="DP56" s="16">
        <f>IF($E56="","No Port",((F56/24/Shipping!$P$44+F56/24/Shipping!$P$50+Shipping!$P$59+Shipping!$P$64)*(Shipping!$P$22+wacc_nl*Shipping!$P$19/365.25*1000000+Shipping!$P$35)+(F56/24/Shipping!$P$44*Shipping!$P$45+Shipping!$P$64*Shipping!$P$65)*IF(bunker_choice="HFO",$H56,IF(bunker_choice="hydrogen",$BD56*hfo_e_density_lhv/h2_e_density_lhv,(DM56+DN56)*1000000/DO56*hfo_e_density_lhv/nabh4_e_density_lhv))+(F56/24/Shipping!$P$50*Shipping!$P$51+Shipping!$P$59*Shipping!$P$60)*IF(bunker_choice="HFO",bunker_price_ROT,IF(bunker_choice="hydrogen",$BD56*hfo_e_density_lhv/h2_e_density_lhv,(DM56+DN56)*1000000/DO56*hfo_e_density_lhv/nabh4_e_density_lhv))+Shipping!$P$73+IF(G56="Panama",Shipping!$P$55,0)+IF(G56="Suez",Shipping!$P$56,0))/Shipping!$P$31*(DO56+nabh4_st_ab_losses)/1000000+IF(inland_transport_to_port="hv dc grid",$BM56/100*1000*DR56,IF(inland_transport_to_port="pipeline",$BN56,0)))</f>
        <v>3141.8207420384506</v>
      </c>
      <c r="DQ56" s="28">
        <f t="shared" si="60"/>
        <v>71607.249992086407</v>
      </c>
      <c r="DR56" s="29">
        <f>((Carriers!$V$18/Carriers!$V$23*alk_el_e_demand)+nabh4_e_demand)*(DO56+nabh4_st_ab_losses)/1000000+nabh4_st_e_demand*DO56/1000000</f>
        <v>980.02139682539689</v>
      </c>
      <c r="DS56" s="28">
        <f t="shared" si="85"/>
        <v>3.1960000000000002</v>
      </c>
      <c r="DT56" s="28">
        <f>IFERROR(DQ56*1000000/Storage!$O$12,"")</f>
        <v>1120.2636106396496</v>
      </c>
      <c r="DU56" s="28">
        <f>IF($E56="","No Port",((F56/24/Shipping!$P$44+F56/24/Shipping!$P$50+Shipping!$P$59+Shipping!$P$64)*Carriers!$V$39*wacc_nl))</f>
        <v>490.17757754451219</v>
      </c>
      <c r="DV56" s="100">
        <f>H2_retrieval!$N$25*h2_demand_kt/1000+(co2_liq_e_demand+co2_st_e_demand*2)*Storage!$O$12*co2_density/nabh4_density/1000000</f>
        <v>18.783638728971958</v>
      </c>
      <c r="DW56" s="28">
        <f>IFERROR(((DQ56*(1+H2_retrieval!$N$34)+DU56)*1000000/H2_retrieval!$N$8)+h2_regen_nabh4,"")</f>
        <v>5413.4604287942157</v>
      </c>
      <c r="DX56" s="149">
        <f>(Dme_invest*(M56+1/Dme_lifetime)/Dme_prod+Dme_opex+Dme_e_demand*1000*$AU56/100+Carriers!$X$21/Carriers!$X$23*(CO56*1000000/CS56))*(EB56+Dme_st_ab_losses)/1000000</f>
        <v>145912.33463878906</v>
      </c>
      <c r="DY56" s="86">
        <f>(Dme_invest*(M56+1/Dme_lifetime)/Dme_prod+Dme_opex+Dme_e_demand*1000*$AU56/100+Carriers!$X$21/Carriers!$X$23*(CP56*1000000/CS56))*(EB56+Dme_st_ab_losses)/1000000</f>
        <v>173457.07938132572</v>
      </c>
      <c r="DZ56" s="63">
        <f>Dme_st_nl_cost*Dme_st_nl_demand/1000000+(Dme_st_invest*(M56+1/Dme_st_lifetime+Dme_st_opex)/(Storage!$Q$63/1000000)+Dme_st_e_demand*1000*$AU56/100)*(EB56+Dme_st_ab_losses)/1000000+co2_st_nl_cost*Storage!$Q$12*co2_density/Dme_density/1000000+(co2_st_opex_lev+co2_st_invest_lev+co2_st_e_demand*1000*$AU56/100)*Storage!$Q$12/1000000+co2_st_invest_lev*Storage!$Q$12*co2_st_lifetime*M56/1000000+(h2_demand_kt*1000/365.25*short_st_duration_hrs/24)*(h2_short_st_invest*(1/gh2_short_st_lifetime+$M56+h2_short_st_opex)+h2_short_st_e_demand*1000*$AU56/100)/1000000</f>
        <v>6731.0029735237686</v>
      </c>
      <c r="EA56" s="63">
        <f>Dme_st_nl_cost*Dme_st_nl_demand/1000000+(Dme_st_invest*(M56+1/Dme_st_lifetime+Dme_st_opex)/(Storage!$Q$63/1000000)+Dme_st_e_demand*1000*$AU56/100)*(EB56+Dme_st_ab_losses)/1000000+(h2_demand_kt*1000/365.25*short_st_duration_hrs/24)*(h2_short_st_invest*(1/gh2_short_st_lifetime+$M56+h2_short_st_opex)+h2_short_st_e_demand*1000*$AU56/100)/1000000</f>
        <v>3470.6321898703559</v>
      </c>
      <c r="EB56" s="63">
        <f>Storage!$Q$57/((1-Shipping!$R$37)^($F56/24/Shipping!$R$44+0.5*Shipping!$R$59))</f>
        <v>103547089.94708996</v>
      </c>
      <c r="EC56" s="153">
        <f>IF($E56="","No Port",IF(AND(ship_choice="VLCC",G56="Panama"),"Ship cannot pass through Panama",IF(ship_choice="VLCC",((F56/24/Shipping!$AD$44+F56/24/Shipping!$AD$50+Shipping!$AD$59+Shipping!$AD$64)*(Shipping!$AD$22+wacc_nl*Shipping!$AD$19/365.25*1000000+Shipping!$AD$35)+(F56/24/Shipping!$AD$44*Shipping!$AD$45+Shipping!$AD$64*Shipping!$AD$65)*IF(bunker_choice="HFO",$H56,IF(bunker_choice="hydrogen",$BD56*hfo_e_density_lhv/h2_e_density_lhv,(DX56+DZ56)*1000000/EB56*hfo_e_density_lhv/Dme_e_density_lhv))+(F56/24/Shipping!$AD$50*Shipping!$AD$51+Shipping!$AD$59*Shipping!$AD$60)*IF(bunker_choice="HFO",bunker_price_ROT,IF(bunker_choice="hydrogen",$BD56*hfo_e_density_lhv/h2_e_density_lhv,(DX56+DZ56)*1000000/EB56*hfo_e_density_lhv/Dme_e_density_lhv))+Shipping!$AD$73+IF(G56="Panama",Shipping!$AD$55,0)+IF(G56="Suez",Shipping!$AD$56,0))/Shipping!$AD$31*(EB56+Dme_st_ab_losses)/1000000+IF(inland_transport_to_port="hv dc grid",$BM56/100*1000*EE56,IF(inland_transport_to_port="pipeline",$BN56,0)),((F56/24/Shipping!$R$44+F56/24/Shipping!$R$50+Shipping!$R$59+Shipping!$R$64)*(Shipping!$R$22+wacc_nl*Shipping!$R$19/365.25*1000000+Shipping!$R$35)+(F56/24/Shipping!$R$44*Shipping!$R$45+Shipping!$R$64*Shipping!$R$65)*IF(bunker_choice="HFO",$H56,IF(bunker_choice="hydrogen",$BD56*hfo_e_density_lhv/h2_e_density_lhv,(DX56+DZ56)*1000000/EB56*hfo_e_density_lhv/Dme_e_density_lhv))+(F56/24/Shipping!$R$50*Shipping!$R$51+Shipping!$R$59*Shipping!$R$60)*IF(bunker_choice="HFO",bunker_price_ROT,IF(bunker_choice="hydrogen",$BD56*hfo_e_density_lhv/h2_e_density_lhv,(DX56+DZ56)*1000000/EB56*hfo_e_density_lhv/Dme_e_density_lhv))+Shipping!$R$73+IF(G56="Panama",Shipping!$R$55,0)+IF(G56="Suez",Shipping!$R$56,0))/Shipping!$R$31*(EB56+Dme_st_ab_losses)/1000000+IF(inland_transport_to_port="hv dc grid",$BM56/100*1000*EE56,IF(inland_transport_to_port="pipeline",$BN56,0)))))</f>
        <v>5412.283930666883</v>
      </c>
      <c r="ED56" s="28">
        <f t="shared" si="39"/>
        <v>182339.99550186296</v>
      </c>
      <c r="EE56" s="29">
        <f>(Dme_e_demand)*(EB56+Dme_st_ab_losses)/1000000+Dme_st_e_demand*DZ56/1000000+$CV56*(Carriers!$X$21/Carriers!$X$23*EB56)/$CS56</f>
        <v>1550.2168274770856</v>
      </c>
      <c r="EF56" s="29">
        <f t="shared" si="86"/>
        <v>1.0354708994708997</v>
      </c>
      <c r="EG56" s="28">
        <f>IFERROR(ED56*1000000/Storage!$Q$12,"")</f>
        <v>1760.9379036632922</v>
      </c>
      <c r="EH56" s="28">
        <f>IF($E56="","No Port",((F56/24/Shipping!$R$44+F56/24/Shipping!$R$50+Shipping!$R$59+Shipping!$R$64)*Carriers!$X$39*wacc_nl))</f>
        <v>74.117490208595896</v>
      </c>
      <c r="EI56" s="100">
        <f>H2_retrieval!$P$25*h2_demand_kt/1000+(co2_liq_e_demand+co2_st_e_demand*2)*Storage!$Q$12*co2_density/Dme_density/1000000</f>
        <v>252.45335899349112</v>
      </c>
      <c r="EJ56" s="28">
        <f>IFERROR((((DX56+DZ56+EC56)*(1+H2_retrieval!$P$34)+EH56)*1000000/H2_retrieval!$P$8)+h2_regen_dme,"")</f>
        <v>12797.315236812903</v>
      </c>
      <c r="EK56" s="149">
        <f>(ome_invest*(M56+1/ome_lifetime)/ome_prod+ome_opex+ome_e_demand*1000*$AU56/100+Carriers!$Z$21/Carriers!$Z$23*(CO56*1000000/CS56))*(EO56+ome_st_ab_losses)/1000000</f>
        <v>315177.28688837879</v>
      </c>
      <c r="EL56" s="86">
        <f>(ome_invest*(M56+1/ome_lifetime)/ome_prod+ome_opex+ome_e_demand*1000*$AU56/100+Carriers!$Z$21/Carriers!$Z$23*(CP56*1000000/CS56))*(EO56+ome_st_ab_losses)/1000000</f>
        <v>372999.06804652826</v>
      </c>
      <c r="EM56" s="63">
        <f>ome_st_nl_cost*ome_st_nl_demand/1000000+(ome_st_invest*(M56+1/ome_st_lifetime+ome_st_opex)/(Storage!$S$63/1000000)+ome_st_e_demand*1000*$AU56/100)*(EO56+ome_st_ab_losses)/1000000+co2_st_nl_cost*Storage!$S$12*co2_density/ome_density/1000000+(co2_st_opex_lev+co2_st_invest_lev+co2_st_e_demand*1000*$AU56/100)*Storage!$S$12/1000000+co2_st_invest_lev*Storage!$S$12*co2_st_lifetime*M56/1000000+(h2_demand_kt*1000/365.25*short_st_duration_hrs/24)*(h2_short_st_invest*(1/gh2_short_st_lifetime+$M56+h2_short_st_opex)+h2_short_st_e_demand*1000*$AU56/100)/1000000</f>
        <v>5801.6692395982391</v>
      </c>
      <c r="EN56" s="63">
        <f>ome_st_nl_cost*ome_st_nl_demand/1000000+(ome_st_invest*(M56+1/ome_st_lifetime+ome_st_opex)/(Storage!$S$63/1000000)+ome_st_e_demand*1000*$AU56/100)*(EO56+ome_st_ab_losses)/1000000+(h2_demand_kt*1000/365.25*short_st_duration_hrs/24)*(h2_short_st_invest*(1/gh2_short_st_lifetime+$M56+h2_short_st_opex)+h2_short_st_e_demand*1000*$AU56/100)/1000000</f>
        <v>2101.425114844084</v>
      </c>
      <c r="EO56" s="63">
        <f>Storage!$S$57/((1-Shipping!$T$37)^($F56/24/Shipping!$T$44+0.5*Shipping!$T$59))</f>
        <v>128282539.68253967</v>
      </c>
      <c r="EP56" s="28">
        <f>IF($E56="","No Port",IF(AND(ship_choice="VLCC",G56="Panama"),"Ship cannot pass through Panama",IF(ship_choice="VLCC",((F56/24/Shipping!$AD$44+F56/24/Shipping!$AD$50+Shipping!$AD$59+Shipping!$AD$64)*(Shipping!$AD$22+wacc_nl*Shipping!$AD$19/365.25*1000000+Shipping!$AD$35)+(F56/24/Shipping!$AD$44*Shipping!$AD$45+Shipping!$AD$64*Shipping!$AD$65)*IF(bunker_choice="HFO",$H56,IF(bunker_choice="hydrogen",$BD56*hfo_e_density_lhv/h2_e_density_lhv,(EK56+EM56)*1000000/EO56*hfo_e_density_lhv/Dme_e_density_lhv))+(F56/24/Shipping!$AD$50*Shipping!$AD$51+Shipping!$AD$59*Shipping!$AD$60)*IF(bunker_choice="HFO",bunker_price_ROT,IF(bunker_choice="hydrogen",$BD56*hfo_e_density_lhv/h2_e_density_lhv,(EK56+EM56)*1000000/EO56*hfo_e_density_lhv/ome_e_density_lhv))+Shipping!$AD$73+IF(G56="Panama",Shipping!$AD$55,0)+IF(G56="Suez",Shipping!$AD$56,0))/Shipping!$AD$31*(EO56+ome_st_ab_losses)/1000000+IF(inland_transport_to_port="hv dc grid",$BM56/100*1000*ER56,IF(inland_transport_to_port="pipeline",$BN56,0)),((F56/24/Shipping!$T$44+F56/24/Shipping!$T$50+Shipping!$T$59+Shipping!$T$64)*(Shipping!$T$22+wacc_nl*Shipping!$T$19/365.25*1000000+Shipping!$T$35)+(F56/24/Shipping!$T$44*Shipping!$T$45+Shipping!$T$64*Shipping!$T$65)*IF(bunker_choice="HFO",$H56,IF(bunker_choice="hydrogen",$BD56*hfo_e_density_lhv/h2_e_density_lhv,(EK56+EM56)*1000000/EO56*hfo_e_density_lhv/Dme_e_density_lhv))+(F56/24/Shipping!$T$50*Shipping!$T$51+Shipping!$T$59*Shipping!$T$60)*IF(bunker_choice="HFO",bunker_price_ROT,IF(bunker_choice="hydrogen",$BD56*hfo_e_density_lhv/h2_e_density_lhv,(EK56+EM56)*1000000/EO56*hfo_e_density_lhv/ome_e_density_lhv))+Shipping!$T$73+IF(G56="Panama",Shipping!$T$55,0)+IF(G56="Suez",Shipping!$T$56,0))/Shipping!$T$31*(EO56+ome_st_ab_losses)/1000000+IF(inland_transport_to_port="hv dc grid",$BM56/100*1000*ER56,IF(inland_transport_to_port="pipeline",$BN56,0)))))</f>
        <v>6217.3838552533416</v>
      </c>
      <c r="EQ56" s="28">
        <f t="shared" si="40"/>
        <v>381317.87701662572</v>
      </c>
      <c r="ER56" s="29">
        <f>(ome_e_demand)*(EO56+ome_st_ab_losses)/1000000+ome_st_e_demand*EM56/1000000+$CV56*(Carriers!$Z$21/Carriers!$Z$23*EO56)/$CS56</f>
        <v>3352.0814588432872</v>
      </c>
      <c r="ES56" s="29">
        <f t="shared" si="87"/>
        <v>0.1924238095238095</v>
      </c>
      <c r="ET56" s="28">
        <f>IFERROR(EQ56*1000000/Storage!$S$12,"")</f>
        <v>2972.4846262030023</v>
      </c>
      <c r="EU56" s="28">
        <f>IF($E56="","No Port",((F56/24/Shipping!$T$44+F56/24/Shipping!$T$50+Shipping!$T$59+Shipping!$T$64)*Carriers!$Z$39*wacc_nl))</f>
        <v>85.181427209132281</v>
      </c>
      <c r="EV56" s="100">
        <f>H2_retrieval!$R$25*h2_demand_kt/1000+(co2_liq_e_demand+co2_st_e_demand*2)*Storage!$S$12*co2_density/ome_density/1000000</f>
        <v>254.51942895252085</v>
      </c>
      <c r="EW56" s="28">
        <f>IFERROR((((EK56+EM56+EP56)*(1+H2_retrieval!$R$34)+EU56)*1000000/H2_retrieval!$R$8)+h2_regen_ome,"")</f>
        <v>25234.946293963723</v>
      </c>
      <c r="EX56" s="149">
        <f>(sng_invest*(M56+1/sng_lifetime)/sng_prod+lng_invest*(M56+1/lng_lifetime)/lng_prod+sng_opex+lng_opex+(sng_e_demand+lng_e_demand)*1000*$AU56/100+Carriers!$AB$18/Carriers!$AB$23*BD56+Carriers!$AB$20/Carriers!$AB$23*co2_liq_cost)*(FB56+lng_st_ab_losses)/1000000</f>
        <v>110827.24483696574</v>
      </c>
      <c r="EY56" s="86">
        <f>(sng_invest*(M56+1/sng_lifetime)/sng_prod+lng_invest*(M56+1/lng_lifetime)/lng_prod+sng_opex+lng_opex+(sng_e_demand+lng_e_demand)*1000*$AU56/100+Carriers!$AB$18/Carriers!$AB$23*BD56+Carriers!$AB$20/Carriers!$AB$23*BP56)*(FB56+lng_st_ab_losses)/1000000</f>
        <v>126023.07298973738</v>
      </c>
      <c r="EZ56" s="63">
        <f>lng_st_nl_cost*lng_st_nl_demand/1000000+(lng_st_invest*(M56+1/lng_st_lifetime+lng_st_opex)/(Storage!$U$63/1000000)+lng_st_e_demand*1000*$AU56/100)*(FB56+lng_st_ab_losses)/1000000+co2_st_nl_cost*Storage!$U$12*co2_density/lng_density/1000000+(co2_st_opex_lev+co2_st_invest_lev+co2_st_e_demand*1000*$AU56/100)*Storage!$U$12/1000000+co2_st_invest_lev*Storage!$U$12*co2_st_lifetime*M56/1000000+Carriers!$AB$18/Carriers!$AB$23*((FB56+lng_st_ab_losses)/365.25*short_st_duration_hrs/24)*(h2_short_st_invest*(1/gh2_short_st_lifetime+$M56+h2_short_st_opex)+h2_short_st_e_demand*1000*$AU56/100)/1000000+Carriers!$AB$20/Carriers!$AB$23*((FB56+lng_st_ab_losses)/365.25*short_st_duration_hrs/24)*(co2_short_st_invest*(1/co2_short_st_lifetime+$M56+co2_short_st_opex)+co2_short_st_e_demand*1000*$AU56/100)/1000000</f>
        <v>7141.5478083273201</v>
      </c>
      <c r="FA56" s="63">
        <f>lng_st_nl_cost*lng_st_nl_demand/1000000+(lng_st_invest*(M56+1/lng_st_lifetime+lng_st_opex)/(Storage!$U$63/1000000)+lng_st_e_demand*1000*$AU56/100)*(FB56+lng_st_ab_losses)/1000000+Carriers!$AB$18/Carriers!$AB$23*((FB56+lng_st_ab_losses)/365.25*short_st_duration_hrs/24)*(h2_short_st_invest*(1/gh2_short_st_lifetime+$M56+h2_short_st_opex)+h2_short_st_e_demand*1000*$AU56/100)/1000000+Carriers!$AB$20/Carriers!$AB$23*((FB56+lng_st_ab_losses)/365.25*short_st_duration_hrs/24)*(co2_short_st_invest*(1/co2_short_st_lifetime+$M56+co2_short_st_opex)+co2_short_st_e_demand*1000*$AU56/100)/1000000</f>
        <v>5425.9934988949353</v>
      </c>
      <c r="FB56" s="63">
        <f>Storage!$U$57/((1-Shipping!$V$37)^($F56/24/Shipping!$V$44+0.5*Shipping!$V$59))</f>
        <v>41203148.03565257</v>
      </c>
      <c r="FC56" s="28">
        <f>IF($E56="","No Port",IF(G56="Panama","Ship cannot pass through Panama",((F56/24/Shipping!$V$44+F56/24/Shipping!$V$50+Shipping!$V$59+Shipping!$V$64)*(Shipping!$V$22+wacc_nl*Shipping!$V$19/365.25*1000000+Shipping!$V$35)+(F56/24/Shipping!$V$44*Shipping!$V$45+Shipping!$V$64*Shipping!$V$65)*IF(bunker_choice="HFO",$H56,IF(bunker_choice="hydrogen",$BD56*hfo_e_density_lhv/h2_e_density_lhv,(EX56+EZ56)*1000000/FB56*hfo_e_density_lhv/lng_e_density_lhv))+(F56/24/Shipping!$V$50*Shipping!$V$51+Shipping!$V$59*Shipping!$V$60)*IF(bunker_choice="HFO",bunker_price_ROT,IF(bunker_choice="hydrogen",$BD56*hfo_e_density_lhv/h2_e_density_lhv,(EX56+EZ56)*1000000/FB56*hfo_e_density_lhv/lng_e_density_lhv))+Shipping!$V$73+IF(G56="Panama",Shipping!$V$55,0)+IF(G56="Suez",Shipping!$V$56,0))/Shipping!$V$31*(FB56+lng_st_ab_losses)/1000000)+IF(inland_transport_to_port="hv dc grid",$BM56/100*1000*FE56,IF(inland_transport_to_port="pipeline",$BN56,0)))</f>
        <v>2463.0047413614475</v>
      </c>
      <c r="FD56" s="28">
        <f t="shared" si="41"/>
        <v>133912.07122999377</v>
      </c>
      <c r="FE56" s="29">
        <f>((Carriers!$AB$18/Carriers!$AB$23*alk_el_e_demand)+sng_e_demand+lng_e_demand)*(FB56+lng_st_ab_losses)/1000000+lng_st_e_demand*EZ56/1000000</f>
        <v>1105.0369117443336</v>
      </c>
      <c r="FF56" s="29">
        <f t="shared" si="88"/>
        <v>0.8126185861001558</v>
      </c>
      <c r="FG56" s="28">
        <f>IFERROR(FD56*1000000/Storage!$U$12,"")</f>
        <v>3299.6168990494398</v>
      </c>
      <c r="FH56" s="28">
        <f>IF($E56="","No Port",((F56/24/Shipping!$V$44+F56/24/Shipping!$V$50+Shipping!$V$59+Shipping!$V$64)*Carriers!$AB$39*wacc_nl))</f>
        <v>25.240408836182155</v>
      </c>
      <c r="FI56" s="100">
        <f>H2_retrieval!$T$25*h2_demand_kt/1000+(co2_liq_e_demand+co2_st_e_demand*2)*Storage!$U$12*co2_density/lng_density/1000000</f>
        <v>236.51371749646054</v>
      </c>
      <c r="FJ56" s="28">
        <f>IFERROR((((EX56+EZ56+FC56)*(1+H2_retrieval!$T$34)+FH56)*1000000/H2_retrieval!$T$8)+h2_regen_lng,"")</f>
        <v>10027.263675217489</v>
      </c>
      <c r="FK56" s="149">
        <f>(lh2_invest*(M56+1/lh2_lifetime)/lh2_prod+lh2_opex+lh2_e_demand*1000*$AU56/100+Carriers!$AD$18/Carriers!$AD$23*BD56)*(FM56+lh2_st_ab_losses)/1000000</f>
        <v>84425.655542890177</v>
      </c>
      <c r="FL56" s="28">
        <f>lh2_st_nl_cost*lh2_st_nl_demand/1000000+(lh2_st_invest*(M56+1/lh2_st_lifetime+lh2_st_opex)/(Storage!$Y$63/1000000)+lh2_st_e_demand*1000*$AU56/100)*(FM56+lh2_st_ab_losses)/1000000+((FM56+lh2_st_ab_losses)/365.25*short_st_duration_hrs/24)*(h2_short_st_invest*(1/gh2_short_st_lifetime+$M56+h2_short_st_opex)+h2_short_st_e_demand*1000*$AU56/100)/1000000</f>
        <v>62220.421609988487</v>
      </c>
      <c r="FM56" s="63">
        <f>Storage!$Y$57/((1-Shipping!$Z$37)^($F56/24/Shipping!$Z$44+0.5*Shipping!$Z$59))</f>
        <v>13927317.752099823</v>
      </c>
      <c r="FN56" s="28">
        <f>IF($E56="","No Port",IF(G56="Panama","Ship cannot pass through Panama",((F56/24/Shipping!$Z$44+F56/24/Shipping!$Z$50+Shipping!$Z$59+Shipping!$Z$64)*(Shipping!$Z$22+wacc_nl*Shipping!$Z$19/365.25*1000000+Shipping!$Z$35)+(F56/24/Shipping!$Z$44*Shipping!$Z$45+Shipping!$Z$64*Shipping!$Z$65)*IF(bunker_choice="HFO",$H56,IF(bunker_choice="hydrogen",$BD56*hfo_e_density_lhv/h2_e_density_lhv,(FK56+FL56)*1000000/FM56*hfo_e_density_lhv/lh2_e_density_lhv))+(F56/24/Shipping!$Z$50*Shipping!$Z$51+Shipping!$Z$59*Shipping!$Z$60)*IF(bunker_choice="HFO",bunker_price_ROT,IF(bunker_choice="hydrogen",$BD56*hfo_e_density_lhv/h2_e_density_lhv,(FK56+FL56)*1000000/FM56*hfo_e_density_lhv/lh2_e_density_lhv))+Shipping!$Z$73+IF(G56="Panama",Shipping!$Z$55,0)+IF(G56="Suez",Shipping!$Z$56,0))/Shipping!$Z$31*(FM56+lh2_st_ab_losses)/1000000)+IF(inland_transport_to_port="hv dc grid",$BM56/100*1000*FP56,IF(inland_transport_to_port="pipeline",$BN56,0)))</f>
        <v>3676.3761903898676</v>
      </c>
      <c r="FO56" s="28">
        <f t="shared" si="42"/>
        <v>150322.45334326851</v>
      </c>
      <c r="FP56" s="29">
        <f>((Carriers!$AD$18/Carriers!$AD$23*alk_el_e_demand)+lh2_e_demand)*(FM56+lh2_st_ab_losses)/1000000+lh2_st_e_demand*FM56/1000000</f>
        <v>807.07293146402048</v>
      </c>
      <c r="FQ56" s="100">
        <f t="shared" si="89"/>
        <v>1.361902463475859</v>
      </c>
      <c r="FR56" s="28">
        <f>IFERROR(FO56*1000000/Storage!$Y$12,"")</f>
        <v>11053.12156935798</v>
      </c>
      <c r="FS56" s="100">
        <f>H2_retrieval!$V$25*h2_demand_kt/1000</f>
        <v>8.16</v>
      </c>
      <c r="FT56" s="28">
        <f>IFERROR(FR56*(1+H2_retrieval!$V$34)/Carrier_properties!$U$7+H2_retrieval!$V$38,"")</f>
        <v>11085.090295226448</v>
      </c>
      <c r="FU56" s="12"/>
      <c r="FV56" s="24">
        <f t="shared" si="90"/>
        <v>3.8775236465372549</v>
      </c>
      <c r="FW56" s="24" t="str">
        <f t="shared" si="57"/>
        <v/>
      </c>
      <c r="FX56" s="24" t="str">
        <f t="shared" si="58"/>
        <v/>
      </c>
      <c r="FY56" s="24">
        <f t="shared" si="45"/>
        <v>3.8775236465372549</v>
      </c>
      <c r="FZ56" s="28">
        <f t="shared" si="59"/>
        <v>4829.5570762336811</v>
      </c>
      <c r="GA56" s="28">
        <f t="shared" si="47"/>
        <v>1037.5598060497289</v>
      </c>
      <c r="GB56" s="28">
        <f t="shared" si="48"/>
        <v>616.38208408739956</v>
      </c>
      <c r="GC56" s="28">
        <f t="shared" si="49"/>
        <v>1155.9678126059605</v>
      </c>
      <c r="GD56" s="28">
        <f t="shared" si="50"/>
        <v>1675.1516577622613</v>
      </c>
      <c r="GE56" s="28">
        <f t="shared" si="51"/>
        <v>2907.6370718071817</v>
      </c>
      <c r="GF56" s="28">
        <f t="shared" si="52"/>
        <v>3058.5787493880612</v>
      </c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2"/>
      <c r="HC56" s="12"/>
      <c r="HD56" s="12"/>
      <c r="HE56" s="12"/>
      <c r="HF56" s="12"/>
    </row>
    <row r="57" spans="1:214" x14ac:dyDescent="0.2">
      <c r="A57" s="40" t="s">
        <v>62</v>
      </c>
      <c r="B57" s="12">
        <v>372</v>
      </c>
      <c r="C57" s="12">
        <v>1</v>
      </c>
      <c r="D57" s="12">
        <f t="shared" si="61"/>
        <v>0</v>
      </c>
      <c r="E57" s="12" t="s">
        <v>726</v>
      </c>
      <c r="F57" s="12">
        <v>305</v>
      </c>
      <c r="G57" s="12"/>
      <c r="H57" s="16">
        <f t="shared" si="62"/>
        <v>382.75862068965517</v>
      </c>
      <c r="I57" s="16">
        <v>349130</v>
      </c>
      <c r="J57" s="16">
        <f t="shared" si="31"/>
        <v>333.36396110459634</v>
      </c>
      <c r="K57" s="27">
        <f t="shared" si="32"/>
        <v>400.03675332551558</v>
      </c>
      <c r="L57" s="103">
        <v>9.1999999999999998E-2</v>
      </c>
      <c r="M57" s="103">
        <f t="shared" si="63"/>
        <v>0.10648818374158051</v>
      </c>
      <c r="N57" s="122">
        <f t="shared" si="33"/>
        <v>0.9</v>
      </c>
      <c r="O57" s="46">
        <f t="shared" si="64"/>
        <v>40</v>
      </c>
      <c r="P57" s="70">
        <f t="array" ref="P57">SUMPRODUCT(IF(Solar_data!A$4:A$777=A57,Solar_data!C$4:C$777),IF(Solar_data!A$4:A$777=A57,Solar_data!I$4:I$777))/SUMIF(Solar_data!A$4:A$777,A57,Solar_data!I$4:I$777)</f>
        <v>1173.9905447657627</v>
      </c>
      <c r="Q57" s="16">
        <f t="array" ref="Q57">MAX(IF(Solar_data!$A$777:'Solar_data'!$A$4=Country_details!$A57,Solar_data!$C$4:'Solar_data'!$C$777))</f>
        <v>1551.25</v>
      </c>
      <c r="R57" s="16">
        <f t="array" ref="R57">MIN(IF(Solar_data!$A$777:'Solar_data'!$A$4=Country_details!A57,Solar_data!$C$4:'Solar_data'!$C$777))</f>
        <v>1003.75</v>
      </c>
      <c r="S57" s="24">
        <f t="shared" si="65"/>
        <v>3.4105984698557261</v>
      </c>
      <c r="T57" s="24">
        <f t="shared" si="66"/>
        <v>2.5811509141680582</v>
      </c>
      <c r="U57" s="24">
        <f t="shared" si="67"/>
        <v>3.9890514128051806</v>
      </c>
      <c r="V57" s="16">
        <f t="array" ref="V57">SUM(IF(Solar_data!$A$777:'Solar_data'!$A$4=Country_details!$A57,Solar_data!$I$4:'Solar_data'!$I$777))</f>
        <v>1670.4872673238913</v>
      </c>
      <c r="W57" s="148"/>
      <c r="X57" s="16">
        <f>IFERROR(INDEX(Onshore_wind_data!$J$5:'Onshore_wind_data'!$J$221,MATCH(A57,Onshore_wind_data!$B$5:'Onshore_wind_data'!$B$221,0)),"")</f>
        <v>3103.6794555558085</v>
      </c>
      <c r="Y57" s="16">
        <f>IFERROR(INDEX(Onshore_wind_data!$K$5:'Onshore_wind_data'!$K$221,MATCH(A57,Onshore_wind_data!$B$5:'Onshore_wind_data'!$B$221,0)),"")</f>
        <v>3971</v>
      </c>
      <c r="Z57" s="16">
        <f>IFERROR(INDEX(Onshore_wind_data!$L$5:'Onshore_wind_data'!$L$221,MATCH(A57,Onshore_wind_data!$B$5:'Onshore_wind_data'!$B$221,0)),"")</f>
        <v>2847.5</v>
      </c>
      <c r="AA57" s="24">
        <f t="shared" si="68"/>
        <v>4.178727120242046</v>
      </c>
      <c r="AB57" s="24">
        <f t="shared" si="69"/>
        <v>3.2660361403850722</v>
      </c>
      <c r="AC57" s="24">
        <f t="shared" si="70"/>
        <v>4.5546723488917031</v>
      </c>
      <c r="AD57" s="16">
        <f>IFERROR(INDEX(Onshore_wind_data!$I$5:'Onshore_wind_data'!$I$221,MATCH(A57,Onshore_wind_data!$B$5:'Onshore_wind_data'!$B$221,0)),"")</f>
        <v>238.62872270000003</v>
      </c>
      <c r="AE57" s="148"/>
      <c r="AF57" s="16">
        <f>INDEX(Offshore_wind_data!$AA$7:$AA$192,MATCH(Country_details!A57,Offshore_wind_data!$A$7:$A$192,0))</f>
        <v>4204.8</v>
      </c>
      <c r="AG57" s="16">
        <f>INDEX(Offshore_wind_data!$Y$7:$Y$192,MATCH(Country_details!A57,Offshore_wind_data!$A$7:$A$192,0))</f>
        <v>4204.8</v>
      </c>
      <c r="AH57" s="16">
        <f>INDEX(Offshore_wind_data!$Z$7:$Z$192,MATCH(Country_details!A57,Offshore_wind_data!$A$7:$A$192,0))</f>
        <v>4204.8</v>
      </c>
      <c r="AI57" s="24">
        <f t="shared" si="71"/>
        <v>5.876223773739838</v>
      </c>
      <c r="AJ57" s="24">
        <f t="shared" si="72"/>
        <v>5.876223773739838</v>
      </c>
      <c r="AK57" s="24">
        <f t="shared" si="73"/>
        <v>5.876223773739838</v>
      </c>
      <c r="AL57" s="16">
        <f>INDEX(Offshore_wind_data!$W$7:$W$191,MATCH(A57,Offshore_wind_data!$A$7:$A$191,0))</f>
        <v>522.82483200000001</v>
      </c>
      <c r="AM57" s="148"/>
      <c r="AN57" s="12">
        <v>82.1</v>
      </c>
      <c r="AO57" s="12">
        <v>79.2</v>
      </c>
      <c r="AP57" s="34">
        <f>3.867*11.63</f>
        <v>44.973210000000002</v>
      </c>
      <c r="AQ57" s="15">
        <f t="shared" si="74"/>
        <v>50</v>
      </c>
      <c r="AR57" s="12">
        <f t="shared" si="34"/>
        <v>3960</v>
      </c>
      <c r="AS57" s="16">
        <f t="shared" si="35"/>
        <v>-1528.0591779761089</v>
      </c>
      <c r="AT57" s="12"/>
      <c r="AU57" s="24">
        <f t="shared" si="75"/>
        <v>3.967917082850327</v>
      </c>
      <c r="AV57" s="16">
        <f t="shared" si="76"/>
        <v>4277.670000321571</v>
      </c>
      <c r="AW57" s="149">
        <f>HV_DC_Grid!$E$3/(1-AX57)*AU57/100*1000</f>
        <v>4053.7524412897765</v>
      </c>
      <c r="AX57" s="31">
        <f>(1-(1-HV_DC_Grid!$E$25)^(B57*C57*HV_DC_Grid!$E$8/1000))+(1-(1-HV_DC_Grid!$E$26)^(B57*D57*HV_DC_Grid!$E$8/1000))+HV_DC_Grid!$E$35*HV_DC_Grid!$E$28</f>
        <v>2.117429706983763E-2</v>
      </c>
      <c r="AY57" s="28">
        <f>B57*nl_e_demand/IF(hv_dc_flh="electricity FLH",$AV57,hv_dc_custom)*1000*hv_dc_capacity_multiplier*hv_dc_length_multiplier*1000*(C57*hv_dc_overhead_invest*(hv_dc_overhead_opex+M57+1/hv_dc_lifetime)+D57*hv_dc_sea_invest*(hv_dc_sea_opex+M57+1/hv_dc_lifetime))/1000000+HV_DC_Grid!$E$10*1000*hv_dc_station_invest*hv_dc_station_number*(hv_dc_station_opex+M57+1/hv_dc_lifetime)/1000000</f>
        <v>651.43423605563532</v>
      </c>
      <c r="AZ57" s="24">
        <f>(AW57+AY57)/(HV_DC_Grid!$E$3*1000)*100</f>
        <v>4.7051866773454121</v>
      </c>
      <c r="BA57" s="28">
        <f>MIN(((Carriers!$F$26+Carriers!$F$27)*(alk_el_opex+wacc_nl+1/alk_el_lifetime)+IF(hv_dc_flh="electricity FLH",$AV57,hv_dc_custom)*AZ57/100)/(IF(hv_dc_flh="electricity FLH",$AV57,hv_dc_custom)/alk_el_e_demand)*1000,((Carriers!$H$26+Carriers!$H$27)*(pem_el_opex+wacc_nl+1/pem_el_lifetime)+IF(hv_dc_flh="electricity FLH",$AV57,hv_dc_custom)*AZ57/100)/(IF(hv_dc_flh="electricity FLH",$AV57,hv_dc_custom)/pem_el_e_demand)*1000)</f>
        <v>2741.1008060194822</v>
      </c>
      <c r="BB57" s="12"/>
      <c r="BC57" s="12"/>
      <c r="BD57" s="149">
        <f>MIN(((Carriers!$F$26+Carriers!$F$27)*(alk_el_opex+M57+1/alk_el_lifetime)+$AV57*$AU57/100)/($AV57/alk_el_e_demand)*1000,((Carriers!$H$26+Carriers!$H$27)*(pem_el_opex+M57+1/pem_el_lifetime)+$AV57*$AU57/100)/($AV57/pem_el_e_demand)*1000)</f>
        <v>2752.096825165539</v>
      </c>
      <c r="BE57" s="28">
        <f>Storage!$AC$50</f>
        <v>8.1664117557772418</v>
      </c>
      <c r="BF57" s="28">
        <f>((Pipeline!$D$22*Pipeline!$D$24*B57*(pipeline_opex+M57+1/pipeline_lifetime))*(Pipeline!$D$39/Pipeline!$D$3)+(Pipeline!$D$57*(pipeline_comp_opex+M57+1/pipeline_comp_lifetime)+Pipeline!$D$47*1000*Pipeline!$D$45*$AU57/100/1000000))*(Pipeline!$D$75/Pipeline!$D$45)</f>
        <v>872.22743268675026</v>
      </c>
      <c r="BG57" s="28">
        <f>BD57+(BE57+BF57)/Storage!$AC$12*1000000</f>
        <v>2816.831666668666</v>
      </c>
      <c r="BH57" s="28"/>
      <c r="BI57" s="28"/>
      <c r="BJ57" s="28">
        <f>IF($E57="","No Port",BK57*HV_DC_Grid!$E$3*$AU57/100*1000)</f>
        <v>86.155051594003126</v>
      </c>
      <c r="BK57" s="31">
        <f>IFERROR((1-(1-HV_DC_Grid!$E$25)^(K57*HV_DC_Grid!$E$8/1000))+HV_DC_Grid!$E$35*HV_DC_Grid!$E$28,"")</f>
        <v>2.1712916322362816E-2</v>
      </c>
      <c r="BL57" s="28">
        <f>IFERROR(K57*nl_e_demand/IF(hv_dc_flh="electricity FLH",$AV57,hv_dc_custom)*1000*hv_dc_capacity_multiplier*hv_dc_length_multiplier*1000*(hv_dc_overhead_invest*(hv_dc_overhead_opex+M57+1/hv_dc_lifetime))/1000000+HV_DC_Grid!$E$10*1000*hv_dc_station_invest*hv_dc_station_number*(hv_dc_station_opex+M57+1/hv_dc_lifetime)/1000000,"")</f>
        <v>672.37930599151559</v>
      </c>
      <c r="BM57" s="29">
        <f>IFERROR((BJ57+BL57)/(HV_DC_Grid!$E$3*1000)*100,"")</f>
        <v>0.75853435758551868</v>
      </c>
      <c r="BN57" s="28">
        <f>IFERROR(((Pipeline!$D$22*Pipeline!$D$24*K57*(pipeline_opex+M57+1/pipeline_lifetime))*(Pipeline!$D$39/Pipeline!$D$3)+(Pipeline!$D$57*(pipeline_comp_opex+M57+1/pipeline_comp_lifetime)+Pipeline!$D$47*1000*Pipeline!$D$45*S57/100/1000000))*(Pipeline!$D$75/Pipeline!$D$45),"")</f>
        <v>913.38601439512536</v>
      </c>
      <c r="BO57" s="28"/>
      <c r="BP57" s="150">
        <f t="shared" si="77"/>
        <v>111.56763582646705</v>
      </c>
      <c r="BQ57" s="34">
        <f t="shared" si="78"/>
        <v>32.389182058463135</v>
      </c>
      <c r="BR57" s="151">
        <f>(nh3_invest*(M57+1/nh3_lifetime)/nh3_prod+nh3_opex+nh3_e_demand*1000*$AU57/100+Carriers!$N$18/Carriers!$N$23*BD57+Carriers!$N$19/Carriers!$N$23*BQ57)*(BT57+nh3_st_ab_losses)/1000000</f>
        <v>48636.690585199503</v>
      </c>
      <c r="BS57" s="63">
        <f>nh3_st_nl_cost*nh3_st_nl_demand/1000000+(nh3_st_invest*(M57+1/nh3_st_lifetime+nh3_st_opex)/(Storage!$G$63/1000000)+nh3_st_e_demand*1000*$AU57/100)*(BT57+nh3_st_ab_losses)/1000000+Carriers!$N$18/Carriers!$N$23*((BT57+nh3_st_ab_losses)/365.25*short_st_duration_hrs/24)*(h2_short_st_invest*(1/gh2_short_st_lifetime+$M57+h2_short_st_opex)+h2_short_st_e_demand*1000*$AU57/100)/1000000+Carriers!$N$19/Carriers!$N$23*((BT57+nh3_st_ab_losses)/365.25*short_st_duration_hrs/24)*(n2_short_st_invest*(1/n2_short_st_lifetime+$M57+n2_short_st_opex)+n2_short_st_e_demand*1000*$AU57/100)/1000000</f>
        <v>3173.1964341280545</v>
      </c>
      <c r="BT57" s="63">
        <f>Storage!$G$57/((1-Shipping!$H$37)^(F57/24/Shipping!$H$44+0.5*Shipping!$H$59))</f>
        <v>77005490.773798063</v>
      </c>
      <c r="BU57" s="63">
        <f>IF($E57="","No Port",((F57/24/Shipping!$H$44+F57/24/Shipping!$H$50+Shipping!$H$59+Shipping!$H$64)*(Shipping!$H$22+wacc_nl*Shipping!$H$19/365.25*1000000+Shipping!$H$35)+(F57/24/Shipping!$H$44*Shipping!$H$45+Shipping!$H$64*Shipping!$H$65)*IF(bunker_choice="HFO",H57,IF(bunker_choice="hydrogen",BD57*hfo_e_density_lhv/h2_e_density_lhv,(BR57+BS57)*1000000/BT57*hfo_e_density_lhv/nh3_e_density_lhv))+(F57/24/Shipping!$H$50*Shipping!$H$51+Shipping!$H$59*Shipping!$H$60)*IF(bunker_choice="HFO",bunker_price_ROT,IF(bunker_choice="hydrogen",BD57*hfo_e_density_lhv/h2_e_density_lhv,(BR57+BS57)*1000000/BT57*hfo_e_density_lhv/nh3_e_density_lhv))+Shipping!$H$73+IF(G57="Panama",Shipping!$H$55,0)+IF(G57="Suez",Shipping!$H$56,0))/Shipping!$H$31*BT57/1000000+IF(inland_transport_to_port="hv dc grid",$BM57/100*1000*BW57,IF(inland_transport_to_port="pipeline",$BN57,0)))</f>
        <v>1523.6409406098765</v>
      </c>
      <c r="BV57" s="63">
        <f t="shared" si="91"/>
        <v>53333.527959937433</v>
      </c>
      <c r="BW57" s="33">
        <f>((Carriers!$N$18/Carriers!$N$23*alk_el_e_demand)+(Carriers!$N$19/Carriers!$N$23*n2_e_demand)+nh3_e_demand)*(BT57+nh3_st_ab_losses)/1000000+nh3_st_e_demand*BT57/1000000</f>
        <v>760.46483431232343</v>
      </c>
      <c r="BX57" s="33">
        <f t="shared" si="79"/>
        <v>0.76626754477640768</v>
      </c>
      <c r="BY57" s="63">
        <f>IFERROR(BV57*1000000/Storage!$G$12,"")</f>
        <v>696.59696929097834</v>
      </c>
      <c r="BZ57" s="63">
        <f>H2_retrieval!$F$25*h2_demand_kt/1000</f>
        <v>80</v>
      </c>
      <c r="CA57" s="63">
        <f>IFERROR(BY57*(1+H2_retrieval!$F$34)/Carrier_properties!$E$7+H2_retrieval!$F$38,"")</f>
        <v>4330.8089178744285</v>
      </c>
      <c r="CB57" s="149">
        <f>(FA_invest*(M57+1/FA_lifetime)/FA_prod+FA_opex+FA_e_demand*1000*$AU57/100+Carriers!$P$18/Carriers!$P$23*BD57+Carriers!$P$20/Carriers!$P$23*co2_liq_cost)*(CF57+FA_st_ab_losses)/1000000</f>
        <v>112365.5363971654</v>
      </c>
      <c r="CC57" s="86">
        <f>(FA_invest*(M57+1/FA_lifetime)/FA_prod+FA_opex+FA_e_demand*1000*$AU57/100+Carriers!$P$18/Carriers!$P$23*BD57+Carriers!$P$20/Carriers!$P$23*BP57)*(CF57+FA_st_ab_losses)/1000000</f>
        <v>139245.34273003016</v>
      </c>
      <c r="CD57" s="63">
        <f>FA_st_nl_cost*FA_st_nl_demand/1000000+(FA_st_invest*(M57+1/FA_st_lifetime+FA_st_opex)/(Storage!$I$63/1000000)+FA_st_e_demand*1000*$AU57/100)*(CF57+FA_st_ab_losses)/1000000+co2_st_nl_cost*Storage!$I$12*co2_density/FA_density/1000000+(co2_st_opex_lev+co2_st_invest_lev+co2_st_e_demand*1000*$AU57/100)*Storage!$I$12/1000000+co2_st_invest_lev*Storage!$I$12*co2_st_lifetime*M57/1000000+Carriers!$P$18/Carriers!$P$23*((CF57+FA_st_ab_losses)/365.25*short_st_duration_hrs/24)*(h2_short_st_invest*(1/gh2_short_st_lifetime+$M57+h2_short_st_opex)+h2_short_st_e_demand*1000*$AU57/100)/1000000+Carriers!$P$20/Carriers!$P$23*((CF57+FA_st_ab_losses)/365.25*short_st_duration_hrs/24)*(co2_short_st_invest*(1/co2_short_st_lifetime+$M57+co2_short_st_opex)+co2_short_st_e_demand*1000*$AU57/100)/1000000</f>
        <v>11588.671246915361</v>
      </c>
      <c r="CE57" s="63">
        <f>FA_st_nl_cost*FA_st_nl_demand/1000000+(FA_st_invest*(M57+1/FA_st_lifetime+FA_st_opex)/(Storage!$I$63/1000000)+FA_st_e_demand*1000*$AU57/100)*(CF57+FA_st_ab_losses)/1000000+Carriers!$P$18/Carriers!$P$23*((CF57+FA_st_ab_losses)/365.25*short_st_duration_hrs/24)*(h2_short_st_invest*(1/gh2_short_st_lifetime+$M57+h2_short_st_opex)+h2_short_st_e_demand*1000*$AU57/100)/1000000+Carriers!$P$20/Carriers!$P$23*((CF57+FA_st_ab_losses)/365.25*short_st_duration_hrs/24)*(co2_short_st_invest*(1/co2_short_st_lifetime+$M57+co2_short_st_opex)+co2_short_st_e_demand*1000*$AU57/100)/1000000</f>
        <v>4772.9622761037735</v>
      </c>
      <c r="CF57" s="63">
        <f>Storage!$I$57/((1-Shipping!$J$37)^($F57/24/Shipping!$J$44+0.5*Shipping!$J$59))</f>
        <v>310425396.82539684</v>
      </c>
      <c r="CG57" s="28">
        <f>IF($E57="","No Port",((F57/24/Shipping!$J$44+F57/24/Shipping!$J$50+Shipping!$J$59+Shipping!$J$64)*(Shipping!$J$22+wacc_nl*Shipping!$J$19/365.25*1000000+Shipping!$J$35)+(F57/24/Shipping!$J$44*Shipping!$J$45+Shipping!$J$64*Shipping!$J$65)*IF(bunker_choice="HFO",$H57,IF(bunker_choice="hydrogen",$BD57*hfo_e_density_lhv/h2_e_density_lhv,(CB57+CD57)*1000000/CF57*hfo_e_density_lhv/FA_e_density_lhv))+(F57/24/Shipping!$J$50*Shipping!$J$51+Shipping!$J$59*Shipping!$J$60)*IF(bunker_choice="HFO",bunker_price_ROT,IF(bunker_choice="hydrogen",$BD57*hfo_e_density_lhv/h2_e_density_lhv,(CB57+CD57)*1000000/CF57*hfo_e_density_lhv/FA_e_density_lhv))+Shipping!$J$73+IF(G57="Panama",Shipping!$J$55,0)+IF(G57="Suez",Shipping!$J$56,0))/Shipping!$J$31*CF57/1000000+IF(inland_transport_to_port="hv dc grid",$BM57/100*1000*CI57,IF(inland_transport_to_port="pipeline",$BN57,0)))</f>
        <v>3382.0155497983833</v>
      </c>
      <c r="CH57" s="28">
        <f t="shared" si="36"/>
        <v>147400.3205559323</v>
      </c>
      <c r="CI57" s="29">
        <f>((Carriers!$P$18/Carriers!$P$23*alk_el_e_demand)+FA_e_demand)*(CF57+FA_st_ab_losses)/1000000+FA_st_e_demand*CF57/1000000</f>
        <v>1897.8881241622576</v>
      </c>
      <c r="CJ57" s="29">
        <f t="shared" si="80"/>
        <v>0.46563809523809524</v>
      </c>
      <c r="CK57" s="28">
        <f>IFERROR(CH57*1000000/Storage!$I$12,"")</f>
        <v>474.83331603451143</v>
      </c>
      <c r="CL57" s="28">
        <f>IF($E57="","No Port",((F57/24/Shipping!$J$44+F57/24/Shipping!$J$50+Shipping!$J$59+Shipping!$J$64)*Carriers!$P$39*wacc_nl))</f>
        <v>57.397987534719277</v>
      </c>
      <c r="CM57" s="29">
        <f>H2_retrieval!$H$25*h2_demand_kt/1000+(co2_liq_e_demand+co2_st_e_demand*2)*Storage!$I$12*co2_density/FA_density/1000000</f>
        <v>94.204253879484654</v>
      </c>
      <c r="CN57" s="28">
        <f>IFERROR((((CB57+CD57+CG57)*(1+H2_retrieval!$H$34)+CL57)*1000000/H2_retrieval!$H$8)+h2_regen_fa,"")</f>
        <v>9456.8653958120922</v>
      </c>
      <c r="CO57" s="149">
        <f>(meoh_invest*(M57+1/meoh_lifetime)/meoh_prod+meoh_opex+meoh_e_demand*1000*$AU57/100+Carriers!$R$18/Carriers!$R$23*BD57+Carriers!$R$20/Carriers!$R$23*co2_liq_cost)*(CS57+meoh_st_ab_losses)/1000000</f>
        <v>61085.019675925527</v>
      </c>
      <c r="CP57" s="86">
        <f>(meoh_invest*(M57+1/meoh_lifetime)/meoh_prod+meoh_opex+meoh_e_demand*1000*$AU57/100+Carriers!$R$18/Carriers!$R$23*BD57+Carriers!$R$20/Carriers!$R$23*BP57)*(CS57+meoh_st_ab_losses)/1000000</f>
        <v>76864.29582230153</v>
      </c>
      <c r="CQ57" s="63">
        <f>meoh_st_nl_cost*meoh_st_nl_demand/1000000+(meoh_st_invest*(M57+1/meoh_st_lifetime+meoh_st_opex)/(Storage!$K$63/1000000)+meoh_st_e_demand*1000*$AU57/100)*(CS57+meoh_st_ab_losses)/1000000+co2_st_nl_cost*Storage!$K$12*co2_density/meoh_density/1000000+(co2_st_opex_lev+co2_st_invest_lev+co2_st_e_demand*1000*IFERROR(MIN(S57,AA57,AI57),S57)/100)*Storage!$K$12/1000000+co2_st_invest_lev*Storage!$K$12*co2_st_lifetime*M57/1000000+Carriers!$R$18/Carriers!$R$23*((CS57+meoh_st_ab_losses)/365.25*short_st_duration_hrs/24)*(h2_short_st_invest*(1/gh2_short_st_lifetime+$M57+h2_short_st_opex)+h2_short_st_e_demand*1000*$AU57/100)/1000000+Carriers!$R$20/Carriers!$R$23*((CF57+meoh_st_ab_losses)/365.25*short_st_duration_hrs/24)*(co2_short_st_invest*(1/co2_short_st_lifetime+$M57+co2_short_st_opex)+co2_short_st_e_demand*1000*$AU57/100)/1000000</f>
        <v>4770.938877513121</v>
      </c>
      <c r="CR57" s="63">
        <f>meoh_st_nl_cost*meoh_st_nl_demand/1000000+(meoh_st_invest*(M57+1/meoh_st_lifetime+meoh_st_opex)/(Storage!$K$63/1000000)+meoh_st_e_demand*1000*$AU57/100)*(CS57+meoh_st_ab_losses)/1000000+Carriers!$R$18/Carriers!$R$23*((CS57+meoh_st_ab_losses)/365.25*short_st_duration_hrs/24)*(h2_short_st_invest*(1/gh2_short_st_lifetime+$M57+h2_short_st_opex)+h2_short_st_e_demand*1000*$AU57/100)/1000000+Carriers!$R$20/Carriers!$R$23*((CF57+meoh_st_ab_losses)/365.25*short_st_duration_hrs/24)*(co2_short_st_invest*(1/co2_short_st_lifetime+$M57+co2_short_st_opex)+co2_short_st_e_demand*1000*$AU57/100)/1000000</f>
        <v>1859.9296792889188</v>
      </c>
      <c r="CS57" s="63">
        <f>Storage!$K$57/((1-Shipping!$L$37)^($F57/24/Shipping!$L$44+0.5*Shipping!$L$59))</f>
        <v>108044444.44444443</v>
      </c>
      <c r="CT57" s="28">
        <f>IF($E57="","No Port",IF(AND(ship_choice="VLCC",G57="Panama"),"Ship cannot pass through Panama",IF(ship_choice="VLCC",((F57/24/Shipping!$AD$44+F57/24/Shipping!$AD$50+Shipping!$AD$59+Shipping!$AD$64)*(Shipping!$AD$22+wacc_nl*Shipping!$AD$19/365.25*1000000+Shipping!$AD$35)+(F57/24/Shipping!$AD$44*Shipping!$AD$45+Shipping!$AD$64*Shipping!$AD$65)*IF(bunker_choice="HFO",$H57,IF(bunker_choice="hydrogen",$BD57*hfo_e_density_lhv/h2_e_density_lhv,(CO57+CQ57)*1000000/CS57*hfo_e_density_lhv/meoh_e_density_lhv))+(F57/24/Shipping!$AD$50*Shipping!$AD$51+Shipping!$AD$59*Shipping!$AD$60)*IF(bunker_choice="HFO",bunker_price_ROT,IF(bunker_choice="hydrogen",$BD57*hfo_e_density_lhv/h2_e_density_lhv,(CO57+CQ57)*1000000/CS57*hfo_e_density_lhv/meoh_e_density_lhv))+Shipping!$AD$73+IF(G57="Panama",Shipping!$AD$55,0)+IF(G57="Suez",Shipping!$AD$56,0))/Shipping!$AD$31*CS57/1000000+IF(inland_transport_to_port="hv dc grid",$BM57/100*1000*CV57,IF(inland_transport_to_port="pipeline",$BN57,0)),((F57/24/Shipping!$L$44+F57/24/Shipping!$L$50+Shipping!$L$59+Shipping!$L$64)*(Shipping!$L$22+wacc_nl*Shipping!$L$19/365.25*1000000+Shipping!$L$35)+(F57/24/Shipping!$L$44*Shipping!$L$45+Shipping!$L$64*Shipping!$L$65)*IF(bunker_choice="HFO",$H57,IF(bunker_choice="hydrogen",$BD57*hfo_e_density_lhv/h2_e_density_lhv,(CO57+CQ57)*1000000/CS57*hfo_e_density_lhv/meoh_e_density_lhv))+(F57/24/Shipping!$L$50*Shipping!$L$51+Shipping!$L$59*Shipping!$L$60)*IF(bunker_choice="HFO",bunker_price_ROT,IF(bunker_choice="hydrogen",$BD57*hfo_e_density_lhv/h2_e_density_lhv,(CO57+CQ57)*1000000/CS57*hfo_e_density_lhv/meoh_e_density_lhv))+Shipping!$L$73+IF(G57="Panama",Shipping!$L$55,0)+IF(G57="Suez",Shipping!$L$56,0))/Shipping!$L$31*CS57/1000000+IF(inland_transport_to_port="hv dc grid",$BM57/100*1000*CV57,IF(inland_transport_to_port="pipeline",$BN57,0)))))</f>
        <v>1716.2767667141839</v>
      </c>
      <c r="CU57" s="28">
        <f t="shared" si="37"/>
        <v>80440.502268304641</v>
      </c>
      <c r="CV57" s="29">
        <f>((Carriers!$R$18/Carriers!$R$23*alk_el_e_demand)+meoh_e_demand)*(CS57+meoh_st_ab_losses)/1000000+meoh_st_e_demand*CS57/1000000</f>
        <v>1119.9789871111109</v>
      </c>
      <c r="CW57" s="29">
        <f t="shared" si="81"/>
        <v>0.16206666666666666</v>
      </c>
      <c r="CX57" s="28">
        <f>IFERROR(CU57*1000000/Storage!$K$12,"")</f>
        <v>744.51308146312408</v>
      </c>
      <c r="CY57" s="28">
        <f>IF($E57="","No Port",((F57/24/Shipping!$L$44+F57/24/Shipping!$L$50+Shipping!$L$59+Shipping!$L$64)*Carriers!$R$39*wacc_nl))</f>
        <v>20.129236129803395</v>
      </c>
      <c r="CZ57" s="29">
        <f>H2_retrieval!$J$25*h2_demand_kt/1000+(co2_liq_e_demand+co2_st_e_demand*2)*Storage!$K$12*co2_density/meoh_density/1000000</f>
        <v>251.05079059698966</v>
      </c>
      <c r="DA57" s="28">
        <f>IFERROR((((CO57+CQ57+CT57)*(1+H2_retrieval!$J$34)+CY57)*1000000/H2_retrieval!$J$8)+h2_regen_meoh,"")</f>
        <v>6140.1553488051331</v>
      </c>
      <c r="DB57" s="149">
        <f>(DBT_invest*(M57+1/DBT_lifetime)/DBT_prod+DBT_opex+DBT_e_demand*1000*$AU57/100+Carriers!$T$18/Carriers!$T$23*BD57)*(DD57+DBT_st_ab_losses)/1000000</f>
        <v>40553.895428394295</v>
      </c>
      <c r="DC57" s="28">
        <f>2*(DBT_st_nl_cost*DBT_st_nl_demand/1000000+(DBT_st_invest*(M57+1/DBT_st_lifetime+DBT_st_opex)/(Storage!$M$63/1000000)+DBT_st_e_demand*1000*$AU57/100)*(DD57+DBT_st_ab_losses)/1000000)+Carriers!$T$18/Carriers!$T$23*((DD57+DBT_st_ab_losses)/365.25*short_st_duration_hrs/24)*(h2_short_st_invest*(1/gh2_short_st_lifetime+$M57+h2_short_st_opex)+h2_short_st_e_demand*1000*$AU57/100)/1000000</f>
        <v>3883.5896076207928</v>
      </c>
      <c r="DD57" s="63">
        <f>Storage!$M$57/((1-Shipping!$N$37)^($F57/24/Shipping!$N$44+0.5*Shipping!$N$59))</f>
        <v>219354838.70967743</v>
      </c>
      <c r="DE57" s="28">
        <f>IF($E57="","No Port",IF(AND(ship_choice="VLCC",G57="Panama"),"Ship cannot pass through Panama",IF(ship_choice="VLCC",((F57/24/Shipping!$AD$44+F57/24/Shipping!$AD$50+Shipping!$AD$59+Shipping!$AD$64)*(Shipping!$AD$22+wacc_nl*Shipping!$AD$19/365.25*1000000+Shipping!$AD$35)+(F57/24/Shipping!$AD$44*Shipping!$AD$45+Shipping!$AD$64*Shipping!$AD$65)*IF(bunker_choice="HFO",$H57,IF(bunker_choice="hydrogen",$BD57*hfo_e_density_lhv/h2_e_density_lhv,(DB57+DC57)*1000000/DD57*hfo_e_density_lhv/DBT_e_density_lhv))+(F57/24/Shipping!$AD$50*Shipping!$AD$51+Shipping!$AD$59*Shipping!$AD$60)*IF(bunker_choice="HFO",bunker_price_ROT,IF(bunker_choice="hydrogen",$BD57*hfo_e_density_lhv/h2_e_density_lhv,(DB57+DC57)*1000000/DD57*hfo_e_density_lhv/DBT_e_density_lhv))+Shipping!$AD$73+IF(G57="Panama",Shipping!$AD$55,0)+IF(G57="Suez",Shipping!$AD$56,0))/Shipping!$AD$31*DD57/1000000+IF(inland_transport_to_port="hv dc grid",$BM57/100*1000*DG57,IF(inland_transport_to_port="pipeline",$BN57,0)),((F57/24/Shipping!$N$44+F57/24/Shipping!$N$50+Shipping!$N$59+Shipping!$N$64)*(Shipping!$N$22+wacc_nl*Shipping!$N$19/365.25*1000000+Shipping!$N$35)+(F57/24/Shipping!$N$44*Shipping!$N$45+Shipping!$N$64*Shipping!$N$65)*IF(bunker_choice="HFO",$H57,IF(bunker_choice="hydrogen",$BD57*hfo_e_density_lhv/h2_e_density_lhv,(DB57+DC57)*1000000/DD57*hfo_e_density_lhv/DBT_e_density_lhv))+(F57/24/Shipping!$N$50*Shipping!$N$51+Shipping!$N$59*Shipping!$N$60)*IF(bunker_choice="HFO",bunker_price_ROT,IF(bunker_choice="hydrogen",$BD57*hfo_e_density_lhv/h2_e_density_lhv,(DB57+DC57)*1000000/DD57*hfo_e_density_lhv/DBT_e_density_lhv))+Shipping!$N$73+IF(G57="Panama",Shipping!$N$55,0)+IF(G57="Suez",Shipping!$N$56,0))/Shipping!$N$31*Shipping!$N$86/1000000+IF(inland_transport_to_port="hv dc grid",$BM57/100*1000*DG57,IF(inland_transport_to_port="pipeline",$BN57,0)))))</f>
        <v>2398.3771357355763</v>
      </c>
      <c r="DF57" s="28">
        <f t="shared" si="82"/>
        <v>46835.862171750661</v>
      </c>
      <c r="DG57" s="29">
        <f>((Carriers!$T$18/Carriers!$T$23*alk_el_e_demand)+DBT_e_demand)*(DD57+DBT_st_ab_losses)/1000000+DBT_st_e_demand*DD57/1000000</f>
        <v>703.88335483870969</v>
      </c>
      <c r="DH57" s="29">
        <f t="shared" si="83"/>
        <v>0.21935483870967742</v>
      </c>
      <c r="DI57" s="28">
        <f>IFERROR(DF57*1000000/Storage!$M$12,"")</f>
        <v>213.51643048886331</v>
      </c>
      <c r="DJ57" s="28">
        <f>IF($E57="","No Port",((F57/24/Shipping!$N$44+F57/24/Shipping!$N$50+Shipping!$N$59+Shipping!$N$64)*Carriers!$T$39*wacc_nl))</f>
        <v>1466.0784043702447</v>
      </c>
      <c r="DK57" s="100">
        <f>H2_retrieval!$L$25*h2_demand_kt/1000+(co2_liq_e_demand+co2_st_e_demand*2)*Storage!$M$12*co2_density/DBT_density/1000000</f>
        <v>206.61934861671787</v>
      </c>
      <c r="DL57" s="28">
        <f>IFERROR(((DF57*(1+H2_retrieval!$L$34)+DJ57)*1000000/H2_retrieval!$L$8)+h2_regen_lohc,"")</f>
        <v>4022.2630582947436</v>
      </c>
      <c r="DM57" s="149">
        <f t="shared" si="84"/>
        <v>62629.563906445794</v>
      </c>
      <c r="DN57" s="16">
        <f>2*(nabh4_st_nl_cost*nabh4_st_nl_demand/1000000+(nabh4_st_invest*(M57+1/nabh4_st_lifetime+nabh4_st_opex)/(Storage!$O$63/1000000)+nabh4_st_e_demand*1000*$AU57/100)*(DO57+nabh4_st_ab_losses)/1000000)+(h2_demand_kt*1000/365.25*short_st_duration_hrs/24)*(h2_short_st_invest*(1/gh2_short_st_lifetime+$M57+h2_short_st_opex)+h2_short_st_e_demand*1000*$AU57/100)/1000000</f>
        <v>1415.901454323475</v>
      </c>
      <c r="DO57" s="63">
        <f>Storage!$O$57/((1-Shipping!$P$37)^($F57/24/Shipping!$P$44+0.5*Shipping!$P$59))</f>
        <v>63920000</v>
      </c>
      <c r="DP57" s="16">
        <f>IF($E57="","No Port",((F57/24/Shipping!$P$44+F57/24/Shipping!$P$50+Shipping!$P$59+Shipping!$P$64)*(Shipping!$P$22+wacc_nl*Shipping!$P$19/365.25*1000000+Shipping!$P$35)+(F57/24/Shipping!$P$44*Shipping!$P$45+Shipping!$P$64*Shipping!$P$65)*IF(bunker_choice="HFO",$H57,IF(bunker_choice="hydrogen",$BD57*hfo_e_density_lhv/h2_e_density_lhv,(DM57+DN57)*1000000/DO57*hfo_e_density_lhv/nabh4_e_density_lhv))+(F57/24/Shipping!$P$50*Shipping!$P$51+Shipping!$P$59*Shipping!$P$60)*IF(bunker_choice="HFO",bunker_price_ROT,IF(bunker_choice="hydrogen",$BD57*hfo_e_density_lhv/h2_e_density_lhv,(DM57+DN57)*1000000/DO57*hfo_e_density_lhv/nabh4_e_density_lhv))+Shipping!$P$73+IF(G57="Panama",Shipping!$P$55,0)+IF(G57="Suez",Shipping!$P$56,0))/Shipping!$P$31*(DO57+nabh4_st_ab_losses)/1000000+IF(inland_transport_to_port="hv dc grid",$BM57/100*1000*DR57,IF(inland_transport_to_port="pipeline",$BN57,0)))</f>
        <v>1297.6292803540969</v>
      </c>
      <c r="DQ57" s="28">
        <f t="shared" si="60"/>
        <v>65343.094641123367</v>
      </c>
      <c r="DR57" s="29">
        <f>((Carriers!$V$18/Carriers!$V$23*alk_el_e_demand)+nabh4_e_demand)*(DO57+nabh4_st_ab_losses)/1000000+nabh4_st_e_demand*DO57/1000000</f>
        <v>980.02139682539689</v>
      </c>
      <c r="DS57" s="28">
        <f t="shared" si="85"/>
        <v>3.1960000000000002</v>
      </c>
      <c r="DT57" s="28">
        <f>IFERROR(DQ57*1000000/Storage!$O$12,"")</f>
        <v>1022.2636833717673</v>
      </c>
      <c r="DU57" s="28">
        <f>IF($E57="","No Port",((F57/24/Shipping!$P$44+F57/24/Shipping!$P$50+Shipping!$P$59+Shipping!$P$64)*Carriers!$V$39*wacc_nl))</f>
        <v>153.65720585380328</v>
      </c>
      <c r="DV57" s="100">
        <f>H2_retrieval!$N$25*h2_demand_kt/1000+(co2_liq_e_demand+co2_st_e_demand*2)*Storage!$O$12*co2_density/nabh4_density/1000000</f>
        <v>18.783638728971958</v>
      </c>
      <c r="DW57" s="28">
        <f>IFERROR(((DQ57*(1+H2_retrieval!$N$34)+DU57)*1000000/H2_retrieval!$N$8)+h2_regen_nabh4,"")</f>
        <v>4918.9046324947303</v>
      </c>
      <c r="DX57" s="149">
        <f>(Dme_invest*(M57+1/Dme_lifetime)/Dme_prod+Dme_opex+Dme_e_demand*1000*$AU57/100+Carriers!$X$21/Carriers!$X$23*(CO57*1000000/CS57))*(EB57+Dme_st_ab_losses)/1000000</f>
        <v>86233.864626417213</v>
      </c>
      <c r="DY57" s="86">
        <f>(Dme_invest*(M57+1/Dme_lifetime)/Dme_prod+Dme_opex+Dme_e_demand*1000*$AU57/100+Carriers!$X$21/Carriers!$X$23*(CP57*1000000/CS57))*(EB57+Dme_st_ab_losses)/1000000</f>
        <v>107641.04070902872</v>
      </c>
      <c r="DZ57" s="63">
        <f>Dme_st_nl_cost*Dme_st_nl_demand/1000000+(Dme_st_invest*(M57+1/Dme_st_lifetime+Dme_st_opex)/(Storage!$Q$63/1000000)+Dme_st_e_demand*1000*$AU57/100)*(EB57+Dme_st_ab_losses)/1000000+co2_st_nl_cost*Storage!$Q$12*co2_density/Dme_density/1000000+(co2_st_opex_lev+co2_st_invest_lev+co2_st_e_demand*1000*$AU57/100)*Storage!$Q$12/1000000+co2_st_invest_lev*Storage!$Q$12*co2_st_lifetime*M57/1000000+(h2_demand_kt*1000/365.25*short_st_duration_hrs/24)*(h2_short_st_invest*(1/gh2_short_st_lifetime+$M57+h2_short_st_opex)+h2_short_st_e_demand*1000*$AU57/100)/1000000</f>
        <v>5807.717231254539</v>
      </c>
      <c r="EA57" s="63">
        <f>Dme_st_nl_cost*Dme_st_nl_demand/1000000+(Dme_st_invest*(M57+1/Dme_st_lifetime+Dme_st_opex)/(Storage!$Q$63/1000000)+Dme_st_e_demand*1000*$AU57/100)*(EB57+Dme_st_ab_losses)/1000000+(h2_demand_kt*1000/365.25*short_st_duration_hrs/24)*(h2_short_st_invest*(1/gh2_short_st_lifetime+$M57+h2_short_st_opex)+h2_short_st_e_demand*1000*$AU57/100)/1000000</f>
        <v>2833.2694965548171</v>
      </c>
      <c r="EB57" s="63">
        <f>Storage!$Q$57/((1-Shipping!$R$37)^($F57/24/Shipping!$R$44+0.5*Shipping!$R$59))</f>
        <v>103547089.94708996</v>
      </c>
      <c r="EC57" s="153">
        <f>IF($E57="","No Port",IF(AND(ship_choice="VLCC",G57="Panama"),"Ship cannot pass through Panama",IF(ship_choice="VLCC",((F57/24/Shipping!$AD$44+F57/24/Shipping!$AD$50+Shipping!$AD$59+Shipping!$AD$64)*(Shipping!$AD$22+wacc_nl*Shipping!$AD$19/365.25*1000000+Shipping!$AD$35)+(F57/24/Shipping!$AD$44*Shipping!$AD$45+Shipping!$AD$64*Shipping!$AD$65)*IF(bunker_choice="HFO",$H57,IF(bunker_choice="hydrogen",$BD57*hfo_e_density_lhv/h2_e_density_lhv,(DX57+DZ57)*1000000/EB57*hfo_e_density_lhv/Dme_e_density_lhv))+(F57/24/Shipping!$AD$50*Shipping!$AD$51+Shipping!$AD$59*Shipping!$AD$60)*IF(bunker_choice="HFO",bunker_price_ROT,IF(bunker_choice="hydrogen",$BD57*hfo_e_density_lhv/h2_e_density_lhv,(DX57+DZ57)*1000000/EB57*hfo_e_density_lhv/Dme_e_density_lhv))+Shipping!$AD$73+IF(G57="Panama",Shipping!$AD$55,0)+IF(G57="Suez",Shipping!$AD$56,0))/Shipping!$AD$31*(EB57+Dme_st_ab_losses)/1000000+IF(inland_transport_to_port="hv dc grid",$BM57/100*1000*EE57,IF(inland_transport_to_port="pipeline",$BN57,0)),((F57/24/Shipping!$R$44+F57/24/Shipping!$R$50+Shipping!$R$59+Shipping!$R$64)*(Shipping!$R$22+wacc_nl*Shipping!$R$19/365.25*1000000+Shipping!$R$35)+(F57/24/Shipping!$R$44*Shipping!$R$45+Shipping!$R$64*Shipping!$R$65)*IF(bunker_choice="HFO",$H57,IF(bunker_choice="hydrogen",$BD57*hfo_e_density_lhv/h2_e_density_lhv,(DX57+DZ57)*1000000/EB57*hfo_e_density_lhv/Dme_e_density_lhv))+(F57/24/Shipping!$R$50*Shipping!$R$51+Shipping!$R$59*Shipping!$R$60)*IF(bunker_choice="HFO",bunker_price_ROT,IF(bunker_choice="hydrogen",$BD57*hfo_e_density_lhv/h2_e_density_lhv,(DX57+DZ57)*1000000/EB57*hfo_e_density_lhv/Dme_e_density_lhv))+Shipping!$R$73+IF(G57="Panama",Shipping!$R$55,0)+IF(G57="Suez",Shipping!$R$56,0))/Shipping!$R$31*(EB57+Dme_st_ab_losses)/1000000+IF(inland_transport_to_port="hv dc grid",$BM57/100*1000*EE57,IF(inland_transport_to_port="pipeline",$BN57,0)))))</f>
        <v>1766.9240638246715</v>
      </c>
      <c r="ED57" s="28">
        <f t="shared" si="39"/>
        <v>112241.2342694082</v>
      </c>
      <c r="EE57" s="29">
        <f>(Dme_e_demand)*(EB57+Dme_st_ab_losses)/1000000+Dme_st_e_demand*DZ57/1000000+$CV57*(Carriers!$X$21/Carriers!$X$23*EB57)/$CS57</f>
        <v>1550.2168182442281</v>
      </c>
      <c r="EF57" s="29">
        <f t="shared" si="86"/>
        <v>1.0354708994708997</v>
      </c>
      <c r="EG57" s="28">
        <f>IFERROR(ED57*1000000/Storage!$Q$12,"")</f>
        <v>1083.9631932366303</v>
      </c>
      <c r="EH57" s="28">
        <f>IF($E57="","No Port",((F57/24/Shipping!$R$44+F57/24/Shipping!$R$50+Shipping!$R$59+Shipping!$R$64)*Carriers!$X$39*wacc_nl))</f>
        <v>19.73678457658902</v>
      </c>
      <c r="EI57" s="100">
        <f>H2_retrieval!$P$25*h2_demand_kt/1000+(co2_liq_e_demand+co2_st_e_demand*2)*Storage!$Q$12*co2_density/Dme_density/1000000</f>
        <v>252.45335899349112</v>
      </c>
      <c r="EJ57" s="28">
        <f>IFERROR((((DX57+DZ57+EC57)*(1+H2_retrieval!$P$34)+EH57)*1000000/H2_retrieval!$P$8)+h2_regen_dme,"")</f>
        <v>8069.26403628972</v>
      </c>
      <c r="EK57" s="149">
        <f>(ome_invest*(M57+1/ome_lifetime)/ome_prod+ome_opex+ome_e_demand*1000*$AU57/100+Carriers!$Z$21/Carriers!$Z$23*(CO57*1000000/CS57))*(EO57+ome_st_ab_losses)/1000000</f>
        <v>188712.15038635125</v>
      </c>
      <c r="EL57" s="86">
        <f>(ome_invest*(M57+1/ome_lifetime)/ome_prod+ome_opex+ome_e_demand*1000*$AU57/100+Carriers!$Z$21/Carriers!$Z$23*(CP57*1000000/CS57))*(EO57+ome_st_ab_losses)/1000000</f>
        <v>233649.98016958492</v>
      </c>
      <c r="EM57" s="63">
        <f>ome_st_nl_cost*ome_st_nl_demand/1000000+(ome_st_invest*(M57+1/ome_st_lifetime+ome_st_opex)/(Storage!$S$63/1000000)+ome_st_e_demand*1000*$AU57/100)*(EO57+ome_st_ab_losses)/1000000+co2_st_nl_cost*Storage!$S$12*co2_density/ome_density/1000000+(co2_st_opex_lev+co2_st_invest_lev+co2_st_e_demand*1000*$AU57/100)*Storage!$S$12/1000000+co2_st_invest_lev*Storage!$S$12*co2_st_lifetime*M57/1000000+(h2_demand_kt*1000/365.25*short_st_duration_hrs/24)*(h2_short_st_invest*(1/gh2_short_st_lifetime+$M57+h2_short_st_opex)+h2_short_st_e_demand*1000*$AU57/100)/1000000</f>
        <v>5031.0713516522674</v>
      </c>
      <c r="EN57" s="63">
        <f>ome_st_nl_cost*ome_st_nl_demand/1000000+(ome_st_invest*(M57+1/ome_st_lifetime+ome_st_opex)/(Storage!$S$63/1000000)+ome_st_e_demand*1000*$AU57/100)*(EO57+ome_st_ab_losses)/1000000+(h2_demand_kt*1000/365.25*short_st_duration_hrs/24)*(h2_short_st_invest*(1/gh2_short_st_lifetime+$M57+h2_short_st_opex)+h2_short_st_e_demand*1000*$AU57/100)/1000000</f>
        <v>1685.0519075945624</v>
      </c>
      <c r="EO57" s="63">
        <f>Storage!$S$57/((1-Shipping!$T$37)^($F57/24/Shipping!$T$44+0.5*Shipping!$T$59))</f>
        <v>128282539.68253967</v>
      </c>
      <c r="EP57" s="28">
        <f>IF($E57="","No Port",IF(AND(ship_choice="VLCC",G57="Panama"),"Ship cannot pass through Panama",IF(ship_choice="VLCC",((F57/24/Shipping!$AD$44+F57/24/Shipping!$AD$50+Shipping!$AD$59+Shipping!$AD$64)*(Shipping!$AD$22+wacc_nl*Shipping!$AD$19/365.25*1000000+Shipping!$AD$35)+(F57/24/Shipping!$AD$44*Shipping!$AD$45+Shipping!$AD$64*Shipping!$AD$65)*IF(bunker_choice="HFO",$H57,IF(bunker_choice="hydrogen",$BD57*hfo_e_density_lhv/h2_e_density_lhv,(EK57+EM57)*1000000/EO57*hfo_e_density_lhv/Dme_e_density_lhv))+(F57/24/Shipping!$AD$50*Shipping!$AD$51+Shipping!$AD$59*Shipping!$AD$60)*IF(bunker_choice="HFO",bunker_price_ROT,IF(bunker_choice="hydrogen",$BD57*hfo_e_density_lhv/h2_e_density_lhv,(EK57+EM57)*1000000/EO57*hfo_e_density_lhv/ome_e_density_lhv))+Shipping!$AD$73+IF(G57="Panama",Shipping!$AD$55,0)+IF(G57="Suez",Shipping!$AD$56,0))/Shipping!$AD$31*(EO57+ome_st_ab_losses)/1000000+IF(inland_transport_to_port="hv dc grid",$BM57/100*1000*ER57,IF(inland_transport_to_port="pipeline",$BN57,0)),((F57/24/Shipping!$T$44+F57/24/Shipping!$T$50+Shipping!$T$59+Shipping!$T$64)*(Shipping!$T$22+wacc_nl*Shipping!$T$19/365.25*1000000+Shipping!$T$35)+(F57/24/Shipping!$T$44*Shipping!$T$45+Shipping!$T$64*Shipping!$T$65)*IF(bunker_choice="HFO",$H57,IF(bunker_choice="hydrogen",$BD57*hfo_e_density_lhv/h2_e_density_lhv,(EK57+EM57)*1000000/EO57*hfo_e_density_lhv/Dme_e_density_lhv))+(F57/24/Shipping!$T$50*Shipping!$T$51+Shipping!$T$59*Shipping!$T$60)*IF(bunker_choice="HFO",bunker_price_ROT,IF(bunker_choice="hydrogen",$BD57*hfo_e_density_lhv/h2_e_density_lhv,(EK57+EM57)*1000000/EO57*hfo_e_density_lhv/ome_e_density_lhv))+Shipping!$T$73+IF(G57="Panama",Shipping!$T$55,0)+IF(G57="Suez",Shipping!$T$56,0))/Shipping!$T$31*(EO57+ome_st_ab_losses)/1000000+IF(inland_transport_to_port="hv dc grid",$BM57/100*1000*ER57,IF(inland_transport_to_port="pipeline",$BN57,0)))))</f>
        <v>1803.7645707901397</v>
      </c>
      <c r="EQ57" s="28">
        <f t="shared" si="40"/>
        <v>237138.7966479696</v>
      </c>
      <c r="ER57" s="29">
        <f>(ome_e_demand)*(EO57+ome_st_ab_losses)/1000000+ome_st_e_demand*EM57/1000000+$CV57*(Carriers!$Z$21/Carriers!$Z$23*EO57)/$CS57</f>
        <v>3352.0814576873904</v>
      </c>
      <c r="ES57" s="29">
        <f t="shared" si="87"/>
        <v>0.1924238095238095</v>
      </c>
      <c r="ET57" s="28">
        <f>IFERROR(EQ57*1000000/Storage!$S$12,"")</f>
        <v>1848.5664318372251</v>
      </c>
      <c r="EU57" s="28">
        <f>IF($E57="","No Port",((F57/24/Shipping!$T$44+F57/24/Shipping!$T$50+Shipping!$T$59+Shipping!$T$64)*Carriers!$Z$39*wacc_nl))</f>
        <v>23.899697442828508</v>
      </c>
      <c r="EV57" s="100">
        <f>H2_retrieval!$R$25*h2_demand_kt/1000+(co2_liq_e_demand+co2_st_e_demand*2)*Storage!$S$12*co2_density/ome_density/1000000</f>
        <v>254.51942895252085</v>
      </c>
      <c r="EW57" s="28">
        <f>IFERROR((((EK57+EM57+EP57)*(1+H2_retrieval!$R$34)+EU57)*1000000/H2_retrieval!$R$8)+h2_regen_ome,"")</f>
        <v>15550.340749537032</v>
      </c>
      <c r="EX57" s="149">
        <f>(sng_invest*(M57+1/sng_lifetime)/sng_prod+lng_invest*(M57+1/lng_lifetime)/lng_prod+sng_opex+lng_opex+(sng_e_demand+lng_e_demand)*1000*$AU57/100+Carriers!$AB$18/Carriers!$AB$23*BD57+Carriers!$AB$20/Carriers!$AB$23*co2_liq_cost)*(FB57+lng_st_ab_losses)/1000000</f>
        <v>65067.342635158559</v>
      </c>
      <c r="EY57" s="86">
        <f>(sng_invest*(M57+1/sng_lifetime)/sng_prod+lng_invest*(M57+1/lng_lifetime)/lng_prod+sng_opex+lng_opex+(sng_e_demand+lng_e_demand)*1000*$AU57/100+Carriers!$AB$18/Carriers!$AB$23*BD57+Carriers!$AB$20/Carriers!$AB$23*BP57)*(FB57+lng_st_ab_losses)/1000000</f>
        <v>76746.669483501537</v>
      </c>
      <c r="EZ57" s="63">
        <f>lng_st_nl_cost*lng_st_nl_demand/1000000+(lng_st_invest*(M57+1/lng_st_lifetime+lng_st_opex)/(Storage!$U$63/1000000)+lng_st_e_demand*1000*$AU57/100)*(FB57+lng_st_ab_losses)/1000000+co2_st_nl_cost*Storage!$U$12*co2_density/lng_density/1000000+(co2_st_opex_lev+co2_st_invest_lev+co2_st_e_demand*1000*$AU57/100)*Storage!$U$12/1000000+co2_st_invest_lev*Storage!$U$12*co2_st_lifetime*M57/1000000+Carriers!$AB$18/Carriers!$AB$23*((FB57+lng_st_ab_losses)/365.25*short_st_duration_hrs/24)*(h2_short_st_invest*(1/gh2_short_st_lifetime+$M57+h2_short_st_opex)+h2_short_st_e_demand*1000*$AU57/100)/1000000+Carriers!$AB$20/Carriers!$AB$23*((FB57+lng_st_ab_losses)/365.25*short_st_duration_hrs/24)*(co2_short_st_invest*(1/co2_short_st_lifetime+$M57+co2_short_st_opex)+co2_short_st_e_demand*1000*$AU57/100)/1000000</f>
        <v>5993.2508226825166</v>
      </c>
      <c r="FA57" s="63">
        <f>lng_st_nl_cost*lng_st_nl_demand/1000000+(lng_st_invest*(M57+1/lng_st_lifetime+lng_st_opex)/(Storage!$U$63/1000000)+lng_st_e_demand*1000*$AU57/100)*(FB57+lng_st_ab_losses)/1000000+Carriers!$AB$18/Carriers!$AB$23*((FB57+lng_st_ab_losses)/365.25*short_st_duration_hrs/24)*(h2_short_st_invest*(1/gh2_short_st_lifetime+$M57+h2_short_st_opex)+h2_short_st_e_demand*1000*$AU57/100)/1000000+Carriers!$AB$20/Carriers!$AB$23*((FB57+lng_st_ab_losses)/365.25*short_st_duration_hrs/24)*(co2_short_st_invest*(1/co2_short_st_lifetime+$M57+co2_short_st_opex)+co2_short_st_e_demand*1000*$AU57/100)/1000000</f>
        <v>4389.7608632222536</v>
      </c>
      <c r="FB57" s="63">
        <f>Storage!$U$57/((1-Shipping!$V$37)^($F57/24/Shipping!$V$44+0.5*Shipping!$V$59))</f>
        <v>40747192.826709293</v>
      </c>
      <c r="FC57" s="28">
        <f>IF($E57="","No Port",IF(G57="Panama","Ship cannot pass through Panama",((F57/24/Shipping!$V$44+F57/24/Shipping!$V$50+Shipping!$V$59+Shipping!$V$64)*(Shipping!$V$22+wacc_nl*Shipping!$V$19/365.25*1000000+Shipping!$V$35)+(F57/24/Shipping!$V$44*Shipping!$V$45+Shipping!$V$64*Shipping!$V$65)*IF(bunker_choice="HFO",$H57,IF(bunker_choice="hydrogen",$BD57*hfo_e_density_lhv/h2_e_density_lhv,(EX57+EZ57)*1000000/FB57*hfo_e_density_lhv/lng_e_density_lhv))+(F57/24/Shipping!$V$50*Shipping!$V$51+Shipping!$V$59*Shipping!$V$60)*IF(bunker_choice="HFO",bunker_price_ROT,IF(bunker_choice="hydrogen",$BD57*hfo_e_density_lhv/h2_e_density_lhv,(EX57+EZ57)*1000000/FB57*hfo_e_density_lhv/lng_e_density_lhv))+Shipping!$V$73+IF(G57="Panama",Shipping!$V$55,0)+IF(G57="Suez",Shipping!$V$56,0))/Shipping!$V$31*(FB57+lng_st_ab_losses)/1000000)+IF(inland_transport_to_port="hv dc grid",$BM57/100*1000*FE57,IF(inland_transport_to_port="pipeline",$BN57,0)))</f>
        <v>1242.5349544117821</v>
      </c>
      <c r="FD57" s="28">
        <f t="shared" si="41"/>
        <v>82378.965301135569</v>
      </c>
      <c r="FE57" s="29">
        <f>((Carriers!$AB$18/Carriers!$AB$23*alk_el_e_demand)+sng_e_demand+lng_e_demand)*(FB57+lng_st_ab_losses)/1000000+lng_st_e_demand*EZ57/1000000</f>
        <v>1092.8223947849458</v>
      </c>
      <c r="FF57" s="29">
        <f t="shared" si="88"/>
        <v>0.8126185861001558</v>
      </c>
      <c r="FG57" s="28">
        <f>IFERROR(FD57*1000000/Storage!$U$12,"")</f>
        <v>2029.8321393818605</v>
      </c>
      <c r="FH57" s="28">
        <f>IF($E57="","No Port",((F57/24/Shipping!$V$44+F57/24/Shipping!$V$50+Shipping!$V$59+Shipping!$V$64)*Carriers!$AB$39*wacc_nl))</f>
        <v>7.5326013227240018</v>
      </c>
      <c r="FI57" s="100">
        <f>H2_retrieval!$T$25*h2_demand_kt/1000+(co2_liq_e_demand+co2_st_e_demand*2)*Storage!$U$12*co2_density/lng_density/1000000</f>
        <v>236.51371749646054</v>
      </c>
      <c r="FJ57" s="28">
        <f>IFERROR((((EX57+EZ57+FC57)*(1+H2_retrieval!$T$34)+FH57)*1000000/H2_retrieval!$T$8)+h2_regen_lng,"")</f>
        <v>6487.0889118413788</v>
      </c>
      <c r="FK57" s="149">
        <f>(lh2_invest*(M57+1/lh2_lifetime)/lh2_prod+lh2_opex+lh2_e_demand*1000*$AU57/100+Carriers!$AD$18/Carriers!$AD$23*BD57)*(FM57+lh2_st_ab_losses)/1000000</f>
        <v>51029.039070469473</v>
      </c>
      <c r="FL57" s="28">
        <f>lh2_st_nl_cost*lh2_st_nl_demand/1000000+(lh2_st_invest*(M57+1/lh2_st_lifetime+lh2_st_opex)/(Storage!$Y$63/1000000)+lh2_st_e_demand*1000*$AU57/100)*(FM57+lh2_st_ab_losses)/1000000+((FM57+lh2_st_ab_losses)/365.25*short_st_duration_hrs/24)*(h2_short_st_invest*(1/gh2_short_st_lifetime+$M57+h2_short_st_opex)+h2_short_st_e_demand*1000*$AU57/100)/1000000</f>
        <v>51060.345367181602</v>
      </c>
      <c r="FM57" s="63">
        <f>Storage!$Y$57/((1-Shipping!$Z$37)^($F57/24/Shipping!$Z$44+0.5*Shipping!$Z$59))</f>
        <v>13681453.964613948</v>
      </c>
      <c r="FN57" s="28">
        <f>IF($E57="","No Port",IF(G57="Panama","Ship cannot pass through Panama",((F57/24/Shipping!$Z$44+F57/24/Shipping!$Z$50+Shipping!$Z$59+Shipping!$Z$64)*(Shipping!$Z$22+wacc_nl*Shipping!$Z$19/365.25*1000000+Shipping!$Z$35)+(F57/24/Shipping!$Z$44*Shipping!$Z$45+Shipping!$Z$64*Shipping!$Z$65)*IF(bunker_choice="HFO",$H57,IF(bunker_choice="hydrogen",$BD57*hfo_e_density_lhv/h2_e_density_lhv,(FK57+FL57)*1000000/FM57*hfo_e_density_lhv/lh2_e_density_lhv))+(F57/24/Shipping!$Z$50*Shipping!$Z$51+Shipping!$Z$59*Shipping!$Z$60)*IF(bunker_choice="HFO",bunker_price_ROT,IF(bunker_choice="hydrogen",$BD57*hfo_e_density_lhv/h2_e_density_lhv,(FK57+FL57)*1000000/FM57*hfo_e_density_lhv/lh2_e_density_lhv))+Shipping!$Z$73+IF(G57="Panama",Shipping!$Z$55,0)+IF(G57="Suez",Shipping!$Z$56,0))/Shipping!$Z$31*(FM57+lh2_st_ab_losses)/1000000)+IF(inland_transport_to_port="hv dc grid",$BM57/100*1000*FP57,IF(inland_transport_to_port="pipeline",$BN57,0)))</f>
        <v>1551.2565189830341</v>
      </c>
      <c r="FO57" s="28">
        <f t="shared" si="42"/>
        <v>103640.64095663412</v>
      </c>
      <c r="FP57" s="29">
        <f>((Carriers!$AD$18/Carriers!$AD$23*alk_el_e_demand)+lh2_e_demand)*(FM57+lh2_st_ab_losses)/1000000+lh2_st_e_demand*FM57/1000000</f>
        <v>792.84479408221284</v>
      </c>
      <c r="FQ57" s="100">
        <f t="shared" si="89"/>
        <v>1.361902463475859</v>
      </c>
      <c r="FR57" s="28">
        <f>IFERROR(FO57*1000000/Storage!$Y$12,"")</f>
        <v>7620.6353644583915</v>
      </c>
      <c r="FS57" s="100">
        <f>H2_retrieval!$V$25*h2_demand_kt/1000</f>
        <v>8.16</v>
      </c>
      <c r="FT57" s="28">
        <f>IFERROR(FR57*(1+H2_retrieval!$V$34)/Carrier_properties!$U$7+H2_retrieval!$V$38,"")</f>
        <v>7652.6040903268586</v>
      </c>
      <c r="FU57" s="12"/>
      <c r="FV57" s="24">
        <f t="shared" si="90"/>
        <v>3.4105984698557261</v>
      </c>
      <c r="FW57" s="24">
        <f t="shared" si="57"/>
        <v>4.178727120242046</v>
      </c>
      <c r="FX57" s="24">
        <f t="shared" si="58"/>
        <v>5.876223773739838</v>
      </c>
      <c r="FY57" s="24">
        <f t="shared" si="45"/>
        <v>3.4105984698557261</v>
      </c>
      <c r="FZ57" s="28">
        <f t="shared" si="59"/>
        <v>2752.096825165539</v>
      </c>
      <c r="GA57" s="28">
        <f t="shared" si="47"/>
        <v>631.60029364748436</v>
      </c>
      <c r="GB57" s="28">
        <f t="shared" si="48"/>
        <v>448.56298535506318</v>
      </c>
      <c r="GC57" s="28">
        <f t="shared" si="49"/>
        <v>711.41367996782583</v>
      </c>
      <c r="GD57" s="28">
        <f t="shared" si="50"/>
        <v>1039.5370914241112</v>
      </c>
      <c r="GE57" s="28">
        <f t="shared" si="51"/>
        <v>1821.3700847192274</v>
      </c>
      <c r="GF57" s="28">
        <f t="shared" si="52"/>
        <v>1883.4836011867553</v>
      </c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</row>
    <row r="58" spans="1:214" x14ac:dyDescent="0.2">
      <c r="A58" s="40" t="s">
        <v>63</v>
      </c>
      <c r="B58" s="12">
        <v>4947</v>
      </c>
      <c r="C58" s="12">
        <v>0.9</v>
      </c>
      <c r="D58" s="12">
        <f t="shared" si="61"/>
        <v>9.9999999999999978E-2</v>
      </c>
      <c r="E58" s="12" t="s">
        <v>727</v>
      </c>
      <c r="F58" s="12">
        <v>3973</v>
      </c>
      <c r="G58" s="12"/>
      <c r="H58" s="16">
        <f t="shared" si="62"/>
        <v>382.75862068965517</v>
      </c>
      <c r="I58" s="16">
        <v>227540</v>
      </c>
      <c r="J58" s="16">
        <f t="shared" si="31"/>
        <v>269.12493660428373</v>
      </c>
      <c r="K58" s="27">
        <f t="shared" si="32"/>
        <v>322.94992392514047</v>
      </c>
      <c r="L58" s="103">
        <v>0.19400000000000001</v>
      </c>
      <c r="M58" s="103">
        <f t="shared" si="63"/>
        <v>0.17861307542260837</v>
      </c>
      <c r="N58" s="122">
        <f t="shared" si="33"/>
        <v>0.85</v>
      </c>
      <c r="O58" s="46">
        <f t="shared" si="64"/>
        <v>40</v>
      </c>
      <c r="P58" s="70">
        <f t="array" ref="P58">SUMPRODUCT(IF(Solar_data!A$4:A$777=A58,Solar_data!C$4:C$777),IF(Solar_data!A$4:A$777=A58,Solar_data!I$4:I$777))/SUMIF(Solar_data!A$4:A$777,A58,Solar_data!I$4:I$777)</f>
        <v>1963.7130878757746</v>
      </c>
      <c r="Q58" s="16">
        <f t="array" ref="Q58">MAX(IF(Solar_data!$A$777:'Solar_data'!$A$4=Country_details!$A58,Solar_data!$C$4:'Solar_data'!$C$777))</f>
        <v>2281.25</v>
      </c>
      <c r="R58" s="16">
        <f t="array" ref="R58">MIN(IF(Solar_data!$A$777:'Solar_data'!$A$4=Country_details!A58,Solar_data!$C$4:'Solar_data'!$C$777))</f>
        <v>1733.75</v>
      </c>
      <c r="S58" s="24">
        <f t="shared" si="65"/>
        <v>3.221916497703746</v>
      </c>
      <c r="T58" s="24">
        <f t="shared" si="66"/>
        <v>2.7734442058449202</v>
      </c>
      <c r="U58" s="24">
        <f t="shared" si="67"/>
        <v>3.6492686919012107</v>
      </c>
      <c r="V58" s="16">
        <f t="array" ref="V58">SUM(IF(Solar_data!$A$777:'Solar_data'!$A$4=Country_details!$A58,Solar_data!$I$4:'Solar_data'!$I$777))</f>
        <v>1800.4403400836193</v>
      </c>
      <c r="W58" s="148"/>
      <c r="X58" s="16">
        <f>IFERROR(INDEX(Onshore_wind_data!$J$5:'Onshore_wind_data'!$J$221,MATCH(A58,Onshore_wind_data!$B$5:'Onshore_wind_data'!$B$221,0)),"")</f>
        <v>3077.9933510638298</v>
      </c>
      <c r="Y58" s="16">
        <f>IFERROR(INDEX(Onshore_wind_data!$K$5:'Onshore_wind_data'!$K$221,MATCH(A58,Onshore_wind_data!$B$5:'Onshore_wind_data'!$B$221,0)),"")</f>
        <v>3971</v>
      </c>
      <c r="Z58" s="16">
        <f>IFERROR(INDEX(Onshore_wind_data!$L$5:'Onshore_wind_data'!$L$221,MATCH(A58,Onshore_wind_data!$B$5:'Onshore_wind_data'!$B$221,0)),"")</f>
        <v>2847.5</v>
      </c>
      <c r="AA58" s="24">
        <f t="shared" si="68"/>
        <v>6.0389859416027463</v>
      </c>
      <c r="AB58" s="24">
        <f t="shared" si="69"/>
        <v>4.6809263599650448</v>
      </c>
      <c r="AC58" s="24">
        <f t="shared" si="70"/>
        <v>6.5278168833788213</v>
      </c>
      <c r="AD58" s="16">
        <f>IFERROR(INDEX(Onshore_wind_data!$I$5:'Onshore_wind_data'!$I$221,MATCH(A58,Onshore_wind_data!$B$5:'Onshore_wind_data'!$B$221,0)),"")</f>
        <v>17.359882500000001</v>
      </c>
      <c r="AE58" s="148"/>
      <c r="AF58" s="16" t="str">
        <f>INDEX(Offshore_wind_data!$AA$7:$AA$192,MATCH(Country_details!A58,Offshore_wind_data!$A$7:$A$192,0))</f>
        <v/>
      </c>
      <c r="AG58" s="16" t="str">
        <f>INDEX(Offshore_wind_data!$Y$7:$Y$192,MATCH(Country_details!A58,Offshore_wind_data!$A$7:$A$192,0))</f>
        <v/>
      </c>
      <c r="AH58" s="16" t="str">
        <f>INDEX(Offshore_wind_data!$Z$7:$Z$192,MATCH(Country_details!A58,Offshore_wind_data!$A$7:$A$192,0))</f>
        <v/>
      </c>
      <c r="AI58" s="24" t="str">
        <f t="shared" si="71"/>
        <v/>
      </c>
      <c r="AJ58" s="24" t="str">
        <f t="shared" si="72"/>
        <v/>
      </c>
      <c r="AK58" s="24" t="str">
        <f t="shared" si="73"/>
        <v/>
      </c>
      <c r="AL58" s="16">
        <f>INDEX(Offshore_wind_data!$W$7:$W$191,MATCH(A58,Offshore_wind_data!$A$7:$A$191,0))</f>
        <v>0</v>
      </c>
      <c r="AM58" s="148"/>
      <c r="AN58" s="12">
        <v>28.8</v>
      </c>
      <c r="AO58" s="12">
        <v>51.3</v>
      </c>
      <c r="AP58" s="34">
        <f>0.3436*11.63</f>
        <v>3.9960680000000006</v>
      </c>
      <c r="AQ58" s="15">
        <f t="shared" si="74"/>
        <v>50</v>
      </c>
      <c r="AR58" s="12">
        <f t="shared" si="34"/>
        <v>2565</v>
      </c>
      <c r="AS58" s="16">
        <f t="shared" si="35"/>
        <v>-747.19977741638081</v>
      </c>
      <c r="AT58" s="12"/>
      <c r="AU58" s="24">
        <f t="shared" si="75"/>
        <v>4.9417550330925524</v>
      </c>
      <c r="AV58" s="16">
        <f t="shared" si="76"/>
        <v>5041.7064389396046</v>
      </c>
      <c r="AW58" s="149">
        <f>HV_DC_Grid!$E$3/(1-AX58)*AU58/100*1000</f>
        <v>5528.2842517603913</v>
      </c>
      <c r="AX58" s="31">
        <f>(1-(1-HV_DC_Grid!$E$25)^(B58*C58*HV_DC_Grid!$E$8/1000))+(1-(1-HV_DC_Grid!$E$26)^(B58*D58*HV_DC_Grid!$E$8/1000))+HV_DC_Grid!$E$35*HV_DC_Grid!$E$28</f>
        <v>0.10609606741568477</v>
      </c>
      <c r="AY58" s="28">
        <f>B58*nl_e_demand/IF(hv_dc_flh="electricity FLH",$AV58,hv_dc_custom)*1000*hv_dc_capacity_multiplier*hv_dc_length_multiplier*1000*(C58*hv_dc_overhead_invest*(hv_dc_overhead_opex+M58+1/hv_dc_lifetime)+D58*hv_dc_sea_invest*(hv_dc_sea_opex+M58+1/hv_dc_lifetime))/1000000+HV_DC_Grid!$E$10*1000*hv_dc_station_invest*hv_dc_station_number*(hv_dc_station_opex+M58+1/hv_dc_lifetime)/1000000</f>
        <v>7367.0942124767571</v>
      </c>
      <c r="AZ58" s="24">
        <f>(AW58+AY58)/(HV_DC_Grid!$E$3*1000)*100</f>
        <v>12.895378464237147</v>
      </c>
      <c r="BA58" s="28">
        <f>MIN(((Carriers!$F$26+Carriers!$F$27)*(alk_el_opex+wacc_nl+1/alk_el_lifetime)+IF(hv_dc_flh="electricity FLH",$AV58,hv_dc_custom)*AZ58/100)/(IF(hv_dc_flh="electricity FLH",$AV58,hv_dc_custom)/alk_el_e_demand)*1000,((Carriers!$H$26+Carriers!$H$27)*(pem_el_opex+wacc_nl+1/pem_el_lifetime)+IF(hv_dc_flh="electricity FLH",$AV58,hv_dc_custom)*AZ58/100)/(IF(hv_dc_flh="electricity FLH",$AV58,hv_dc_custom)/pem_el_e_demand)*1000)</f>
        <v>6948.4023269457657</v>
      </c>
      <c r="BB58" s="12"/>
      <c r="BC58" s="12"/>
      <c r="BD58" s="149">
        <f>MIN(((Carriers!$F$26+Carriers!$F$27)*(alk_el_opex+M58+1/alk_el_lifetime)+$AV58*$AU58/100)/($AV58/alk_el_e_demand)*1000,((Carriers!$H$26+Carriers!$H$27)*(pem_el_opex+M58+1/pem_el_lifetime)+$AV58*$AU58/100)/($AV58/pem_el_e_demand)*1000)</f>
        <v>3401.3976378533071</v>
      </c>
      <c r="BE58" s="28">
        <f>Storage!$AC$50</f>
        <v>8.1664117557772418</v>
      </c>
      <c r="BF58" s="28">
        <f>((Pipeline!$D$22*Pipeline!$D$24*B58*(pipeline_opex+M58+1/pipeline_lifetime))*(Pipeline!$D$39/Pipeline!$D$3)+(Pipeline!$D$57*(pipeline_comp_opex+M58+1/pipeline_comp_lifetime)+Pipeline!$D$47*1000*Pipeline!$D$45*$AU58/100/1000000))*(Pipeline!$D$75/Pipeline!$D$45)</f>
        <v>14327.53633010048</v>
      </c>
      <c r="BG58" s="28">
        <f>BD58+(BE58+BF58)/Storage!$AC$12*1000000</f>
        <v>4455.4934276956792</v>
      </c>
      <c r="BH58" s="28"/>
      <c r="BI58" s="28"/>
      <c r="BJ58" s="28">
        <f>IF($E58="","No Port",BK58*HV_DC_Grid!$E$3*$AU58/100*1000)</f>
        <v>99.978048159833961</v>
      </c>
      <c r="BK58" s="31">
        <f>IFERROR((1-(1-HV_DC_Grid!$E$25)^(K58*HV_DC_Grid!$E$8/1000))+HV_DC_Grid!$E$35*HV_DC_Grid!$E$28,"")</f>
        <v>2.0231283722145096E-2</v>
      </c>
      <c r="BL58" s="28">
        <f>IFERROR(K58*nl_e_demand/IF(hv_dc_flh="electricity FLH",$AV58,hv_dc_custom)*1000*hv_dc_capacity_multiplier*hv_dc_length_multiplier*1000*(hv_dc_overhead_invest*(hv_dc_overhead_opex+M58+1/hv_dc_lifetime))/1000000+HV_DC_Grid!$E$10*1000*hv_dc_station_invest*hv_dc_station_number*(hv_dc_station_opex+M58+1/hv_dc_lifetime)/1000000,"")</f>
        <v>928.18632280942063</v>
      </c>
      <c r="BM58" s="29">
        <f>IFERROR((BJ58+BL58)/(HV_DC_Grid!$E$3*1000)*100,"")</f>
        <v>1.0281643709692545</v>
      </c>
      <c r="BN58" s="28">
        <f>IFERROR(((Pipeline!$D$22*Pipeline!$D$24*K58*(pipeline_opex+M58+1/pipeline_lifetime))*(Pipeline!$D$39/Pipeline!$D$3)+(Pipeline!$D$57*(pipeline_comp_opex+M58+1/pipeline_comp_lifetime)+Pipeline!$D$47*1000*Pipeline!$D$45*S58/100/1000000))*(Pipeline!$D$75/Pipeline!$D$45),"")</f>
        <v>1031.4387998586803</v>
      </c>
      <c r="BO58" s="28"/>
      <c r="BP58" s="150">
        <f t="shared" si="77"/>
        <v>152.98619039331322</v>
      </c>
      <c r="BQ58" s="34">
        <f t="shared" si="78"/>
        <v>44.76449271970592</v>
      </c>
      <c r="BR58" s="151">
        <f>(nh3_invest*(M58+1/nh3_lifetime)/nh3_prod+nh3_opex+nh3_e_demand*1000*$AU58/100+Carriers!$N$18/Carriers!$N$23*BD58+Carriers!$N$19/Carriers!$N$23*BQ58)*(BT58+nh3_st_ab_losses)/1000000</f>
        <v>62917.113076303765</v>
      </c>
      <c r="BS58" s="63">
        <f>nh3_st_nl_cost*nh3_st_nl_demand/1000000+(nh3_st_invest*(M58+1/nh3_st_lifetime+nh3_st_opex)/(Storage!$G$63/1000000)+nh3_st_e_demand*1000*$AU58/100)*(BT58+nh3_st_ab_losses)/1000000+Carriers!$N$18/Carriers!$N$23*((BT58+nh3_st_ab_losses)/365.25*short_st_duration_hrs/24)*(h2_short_st_invest*(1/gh2_short_st_lifetime+$M58+h2_short_st_opex)+h2_short_st_e_demand*1000*$AU58/100)/1000000+Carriers!$N$19/Carriers!$N$23*((BT58+nh3_st_ab_losses)/365.25*short_st_duration_hrs/24)*(n2_short_st_invest*(1/n2_short_st_lifetime+$M58+n2_short_st_opex)+n2_short_st_e_demand*1000*$AU58/100)/1000000</f>
        <v>4084.6324100389706</v>
      </c>
      <c r="BT58" s="63">
        <f>Storage!$G$57/((1-Shipping!$H$37)^(F58/24/Shipping!$H$44+0.5*Shipping!$H$59))</f>
        <v>78811307.377358362</v>
      </c>
      <c r="BU58" s="63">
        <f>IF($E58="","No Port",((F58/24/Shipping!$H$44+F58/24/Shipping!$H$50+Shipping!$H$59+Shipping!$H$64)*(Shipping!$H$22+wacc_nl*Shipping!$H$19/365.25*1000000+Shipping!$H$35)+(F58/24/Shipping!$H$44*Shipping!$H$45+Shipping!$H$64*Shipping!$H$65)*IF(bunker_choice="HFO",H58,IF(bunker_choice="hydrogen",BD58*hfo_e_density_lhv/h2_e_density_lhv,(BR58+BS58)*1000000/BT58*hfo_e_density_lhv/nh3_e_density_lhv))+(F58/24/Shipping!$H$50*Shipping!$H$51+Shipping!$H$59*Shipping!$H$60)*IF(bunker_choice="HFO",bunker_price_ROT,IF(bunker_choice="hydrogen",BD58*hfo_e_density_lhv/h2_e_density_lhv,(BR58+BS58)*1000000/BT58*hfo_e_density_lhv/nh3_e_density_lhv))+Shipping!$H$73+IF(G58="Panama",Shipping!$H$55,0)+IF(G58="Suez",Shipping!$H$56,0))/Shipping!$H$31*BT58/1000000+IF(inland_transport_to_port="hv dc grid",$BM58/100*1000*BW58,IF(inland_transport_to_port="pipeline",$BN58,0)))</f>
        <v>3923.652866508578</v>
      </c>
      <c r="BV58" s="63">
        <f t="shared" si="91"/>
        <v>70925.39835285132</v>
      </c>
      <c r="BW58" s="33">
        <f>((Carriers!$N$18/Carriers!$N$23*alk_el_e_demand)+(Carriers!$N$19/Carriers!$N$23*n2_e_demand)+nh3_e_demand)*(BT58+nh3_st_ab_losses)/1000000+nh3_st_e_demand*BT58/1000000</f>
        <v>778.2833624652452</v>
      </c>
      <c r="BX58" s="33">
        <f t="shared" si="79"/>
        <v>0.76626754477640768</v>
      </c>
      <c r="BY58" s="63">
        <f>IFERROR(BV58*1000000/Storage!$G$12,"")</f>
        <v>926.36694830059275</v>
      </c>
      <c r="BZ58" s="63">
        <f>H2_retrieval!$F$25*h2_demand_kt/1000</f>
        <v>80</v>
      </c>
      <c r="CA58" s="63">
        <f>IFERROR(BY58*(1+H2_retrieval!$F$34)/Carrier_properties!$E$7+H2_retrieval!$F$38,"")</f>
        <v>5624.3287997063317</v>
      </c>
      <c r="CB58" s="149">
        <f>(FA_invest*(M58+1/FA_lifetime)/FA_prod+FA_opex+FA_e_demand*1000*$AU58/100+Carriers!$P$18/Carriers!$P$23*BD58+Carriers!$P$20/Carriers!$P$23*co2_liq_cost)*(CF58+FA_st_ab_losses)/1000000</f>
        <v>142007.31661167907</v>
      </c>
      <c r="CC58" s="86">
        <f>(FA_invest*(M58+1/FA_lifetime)/FA_prod+FA_opex+FA_e_demand*1000*$AU58/100+Carriers!$P$18/Carriers!$P$23*BD58+Carriers!$P$20/Carriers!$P$23*BP58)*(CF58+FA_st_ab_losses)/1000000</f>
        <v>179559.58142260354</v>
      </c>
      <c r="CD58" s="63">
        <f>FA_st_nl_cost*FA_st_nl_demand/1000000+(FA_st_invest*(M58+1/FA_st_lifetime+FA_st_opex)/(Storage!$I$63/1000000)+FA_st_e_demand*1000*$AU58/100)*(CF58+FA_st_ab_losses)/1000000+co2_st_nl_cost*Storage!$I$12*co2_density/FA_density/1000000+(co2_st_opex_lev+co2_st_invest_lev+co2_st_e_demand*1000*$AU58/100)*Storage!$I$12/1000000+co2_st_invest_lev*Storage!$I$12*co2_st_lifetime*M58/1000000+Carriers!$P$18/Carriers!$P$23*((CF58+FA_st_ab_losses)/365.25*short_st_duration_hrs/24)*(h2_short_st_invest*(1/gh2_short_st_lifetime+$M58+h2_short_st_opex)+h2_short_st_e_demand*1000*$AU58/100)/1000000+Carriers!$P$20/Carriers!$P$23*((CF58+FA_st_ab_losses)/365.25*short_st_duration_hrs/24)*(co2_short_st_invest*(1/co2_short_st_lifetime+$M58+co2_short_st_opex)+co2_short_st_e_demand*1000*$AU58/100)/1000000</f>
        <v>14219.171078295582</v>
      </c>
      <c r="CE58" s="63">
        <f>FA_st_nl_cost*FA_st_nl_demand/1000000+(FA_st_invest*(M58+1/FA_st_lifetime+FA_st_opex)/(Storage!$I$63/1000000)+FA_st_e_demand*1000*$AU58/100)*(CF58+FA_st_ab_losses)/1000000+Carriers!$P$18/Carriers!$P$23*((CF58+FA_st_ab_losses)/365.25*short_st_duration_hrs/24)*(h2_short_st_invest*(1/gh2_short_st_lifetime+$M58+h2_short_st_opex)+h2_short_st_e_demand*1000*$AU58/100)/1000000+Carriers!$P$20/Carriers!$P$23*((CF58+FA_st_ab_losses)/365.25*short_st_duration_hrs/24)*(co2_short_st_invest*(1/co2_short_st_lifetime+$M58+co2_short_st_opex)+co2_short_st_e_demand*1000*$AU58/100)/1000000</f>
        <v>6051.2299965042648</v>
      </c>
      <c r="CF58" s="63">
        <f>Storage!$I$57/((1-Shipping!$J$37)^($F58/24/Shipping!$J$44+0.5*Shipping!$J$59))</f>
        <v>310425396.82539684</v>
      </c>
      <c r="CG58" s="28">
        <f>IF($E58="","No Port",((F58/24/Shipping!$J$44+F58/24/Shipping!$J$50+Shipping!$J$59+Shipping!$J$64)*(Shipping!$J$22+wacc_nl*Shipping!$J$19/365.25*1000000+Shipping!$J$35)+(F58/24/Shipping!$J$44*Shipping!$J$45+Shipping!$J$64*Shipping!$J$65)*IF(bunker_choice="HFO",$H58,IF(bunker_choice="hydrogen",$BD58*hfo_e_density_lhv/h2_e_density_lhv,(CB58+CD58)*1000000/CF58*hfo_e_density_lhv/FA_e_density_lhv))+(F58/24/Shipping!$J$50*Shipping!$J$51+Shipping!$J$59*Shipping!$J$60)*IF(bunker_choice="HFO",bunker_price_ROT,IF(bunker_choice="hydrogen",$BD58*hfo_e_density_lhv/h2_e_density_lhv,(CB58+CD58)*1000000/CF58*hfo_e_density_lhv/FA_e_density_lhv))+Shipping!$J$73+IF(G58="Panama",Shipping!$J$55,0)+IF(G58="Suez",Shipping!$J$56,0))/Shipping!$J$31*CF58/1000000+IF(inland_transport_to_port="hv dc grid",$BM58/100*1000*CI58,IF(inland_transport_to_port="pipeline",$BN58,0)))</f>
        <v>13903.451453174968</v>
      </c>
      <c r="CH58" s="28">
        <f t="shared" si="36"/>
        <v>199514.26287228276</v>
      </c>
      <c r="CI58" s="29">
        <f>((Carriers!$P$18/Carriers!$P$23*alk_el_e_demand)+FA_e_demand)*(CF58+FA_st_ab_losses)/1000000+FA_st_e_demand*CF58/1000000</f>
        <v>1897.8881241622576</v>
      </c>
      <c r="CJ58" s="29">
        <f t="shared" si="80"/>
        <v>0.46563809523809524</v>
      </c>
      <c r="CK58" s="28">
        <f>IFERROR(CH58*1000000/Storage!$I$12,"")</f>
        <v>642.71243562105326</v>
      </c>
      <c r="CL58" s="28">
        <f>IF($E58="","No Port",((F58/24/Shipping!$J$44+F58/24/Shipping!$J$50+Shipping!$J$59+Shipping!$J$64)*Carriers!$P$39*wacc_nl))</f>
        <v>209.40940867360035</v>
      </c>
      <c r="CM58" s="29">
        <f>H2_retrieval!$H$25*h2_demand_kt/1000+(co2_liq_e_demand+co2_st_e_demand*2)*Storage!$I$12*co2_density/FA_density/1000000</f>
        <v>94.204253879484654</v>
      </c>
      <c r="CN58" s="28">
        <f>IFERROR((((CB58+CD58+CG58)*(1+H2_retrieval!$H$34)+CL58)*1000000/H2_retrieval!$H$8)+h2_regen_fa,"")</f>
        <v>12614.639467165722</v>
      </c>
      <c r="CO58" s="149">
        <f>(meoh_invest*(M58+1/meoh_lifetime)/meoh_prod+meoh_opex+meoh_e_demand*1000*$AU58/100+Carriers!$R$18/Carriers!$R$23*BD58+Carriers!$R$20/Carriers!$R$23*co2_liq_cost)*(CS58+meoh_st_ab_losses)/1000000</f>
        <v>75372.234467846574</v>
      </c>
      <c r="CP58" s="86">
        <f>(meoh_invest*(M58+1/meoh_lifetime)/meoh_prod+meoh_opex+meoh_e_demand*1000*$AU58/100+Carriers!$R$18/Carriers!$R$23*BD58+Carriers!$R$20/Carriers!$R$23*BP58)*(CS58+meoh_st_ab_losses)/1000000</f>
        <v>97416.573219236088</v>
      </c>
      <c r="CQ58" s="63">
        <f>meoh_st_nl_cost*meoh_st_nl_demand/1000000+(meoh_st_invest*(M58+1/meoh_st_lifetime+meoh_st_opex)/(Storage!$K$63/1000000)+meoh_st_e_demand*1000*$AU58/100)*(CS58+meoh_st_ab_losses)/1000000+co2_st_nl_cost*Storage!$K$12*co2_density/meoh_density/1000000+(co2_st_opex_lev+co2_st_invest_lev+co2_st_e_demand*1000*IFERROR(MIN(S58,AA58,AI58),S58)/100)*Storage!$K$12/1000000+co2_st_invest_lev*Storage!$K$12*co2_st_lifetime*M58/1000000+Carriers!$R$18/Carriers!$R$23*((CS58+meoh_st_ab_losses)/365.25*short_st_duration_hrs/24)*(h2_short_st_invest*(1/gh2_short_st_lifetime+$M58+h2_short_st_opex)+h2_short_st_e_demand*1000*$AU58/100)/1000000+Carriers!$R$20/Carriers!$R$23*((CF58+meoh_st_ab_losses)/365.25*short_st_duration_hrs/24)*(co2_short_st_invest*(1/co2_short_st_lifetime+$M58+co2_short_st_opex)+co2_short_st_e_demand*1000*$AU58/100)/1000000</f>
        <v>5701.5307742604173</v>
      </c>
      <c r="CR58" s="63">
        <f>meoh_st_nl_cost*meoh_st_nl_demand/1000000+(meoh_st_invest*(M58+1/meoh_st_lifetime+meoh_st_opex)/(Storage!$K$63/1000000)+meoh_st_e_demand*1000*$AU58/100)*(CS58+meoh_st_ab_losses)/1000000+Carriers!$R$18/Carriers!$R$23*((CS58+meoh_st_ab_losses)/365.25*short_st_duration_hrs/24)*(h2_short_st_invest*(1/gh2_short_st_lifetime+$M58+h2_short_st_opex)+h2_short_st_e_demand*1000*$AU58/100)/1000000+Carriers!$R$20/Carriers!$R$23*((CF58+meoh_st_ab_losses)/365.25*short_st_duration_hrs/24)*(co2_short_st_invest*(1/co2_short_st_lifetime+$M58+co2_short_st_opex)+co2_short_st_e_demand*1000*$AU58/100)/1000000</f>
        <v>2445.4771535202785</v>
      </c>
      <c r="CS58" s="63">
        <f>Storage!$K$57/((1-Shipping!$L$37)^($F58/24/Shipping!$L$44+0.5*Shipping!$L$59))</f>
        <v>108044444.44444443</v>
      </c>
      <c r="CT58" s="28">
        <f>IF($E58="","No Port",IF(AND(ship_choice="VLCC",G58="Panama"),"Ship cannot pass through Panama",IF(ship_choice="VLCC",((F58/24/Shipping!$AD$44+F58/24/Shipping!$AD$50+Shipping!$AD$59+Shipping!$AD$64)*(Shipping!$AD$22+wacc_nl*Shipping!$AD$19/365.25*1000000+Shipping!$AD$35)+(F58/24/Shipping!$AD$44*Shipping!$AD$45+Shipping!$AD$64*Shipping!$AD$65)*IF(bunker_choice="HFO",$H58,IF(bunker_choice="hydrogen",$BD58*hfo_e_density_lhv/h2_e_density_lhv,(CO58+CQ58)*1000000/CS58*hfo_e_density_lhv/meoh_e_density_lhv))+(F58/24/Shipping!$AD$50*Shipping!$AD$51+Shipping!$AD$59*Shipping!$AD$60)*IF(bunker_choice="HFO",bunker_price_ROT,IF(bunker_choice="hydrogen",$BD58*hfo_e_density_lhv/h2_e_density_lhv,(CO58+CQ58)*1000000/CS58*hfo_e_density_lhv/meoh_e_density_lhv))+Shipping!$AD$73+IF(G58="Panama",Shipping!$AD$55,0)+IF(G58="Suez",Shipping!$AD$56,0))/Shipping!$AD$31*CS58/1000000+IF(inland_transport_to_port="hv dc grid",$BM58/100*1000*CV58,IF(inland_transport_to_port="pipeline",$BN58,0)),((F58/24/Shipping!$L$44+F58/24/Shipping!$L$50+Shipping!$L$59+Shipping!$L$64)*(Shipping!$L$22+wacc_nl*Shipping!$L$19/365.25*1000000+Shipping!$L$35)+(F58/24/Shipping!$L$44*Shipping!$L$45+Shipping!$L$64*Shipping!$L$65)*IF(bunker_choice="HFO",$H58,IF(bunker_choice="hydrogen",$BD58*hfo_e_density_lhv/h2_e_density_lhv,(CO58+CQ58)*1000000/CS58*hfo_e_density_lhv/meoh_e_density_lhv))+(F58/24/Shipping!$L$50*Shipping!$L$51+Shipping!$L$59*Shipping!$L$60)*IF(bunker_choice="HFO",bunker_price_ROT,IF(bunker_choice="hydrogen",$BD58*hfo_e_density_lhv/h2_e_density_lhv,(CO58+CQ58)*1000000/CS58*hfo_e_density_lhv/meoh_e_density_lhv))+Shipping!$L$73+IF(G58="Panama",Shipping!$L$55,0)+IF(G58="Suez",Shipping!$L$56,0))/Shipping!$L$31*CS58/1000000+IF(inland_transport_to_port="hv dc grid",$BM58/100*1000*CV58,IF(inland_transport_to_port="pipeline",$BN58,0)))))</f>
        <v>5253.6213031965726</v>
      </c>
      <c r="CU58" s="28">
        <f t="shared" si="37"/>
        <v>105115.67167595294</v>
      </c>
      <c r="CV58" s="29">
        <f>((Carriers!$R$18/Carriers!$R$23*alk_el_e_demand)+meoh_e_demand)*(CS58+meoh_st_ab_losses)/1000000+meoh_st_e_demand*CS58/1000000</f>
        <v>1119.9789871111109</v>
      </c>
      <c r="CW58" s="29">
        <f t="shared" si="81"/>
        <v>0.16206666666666666</v>
      </c>
      <c r="CX58" s="28">
        <f>IFERROR(CU58*1000000/Storage!$K$12,"")</f>
        <v>972.89288881486686</v>
      </c>
      <c r="CY58" s="28">
        <f>IF($E58="","No Port",((F58/24/Shipping!$L$44+F58/24/Shipping!$L$50+Shipping!$L$59+Shipping!$L$64)*Carriers!$R$39*wacc_nl))</f>
        <v>74.861658757022695</v>
      </c>
      <c r="CZ58" s="29">
        <f>H2_retrieval!$J$25*h2_demand_kt/1000+(co2_liq_e_demand+co2_st_e_demand*2)*Storage!$K$12*co2_density/meoh_density/1000000</f>
        <v>251.05079059698966</v>
      </c>
      <c r="DA58" s="28">
        <f>IFERROR((((CO58+CQ58+CT58)*(1+H2_retrieval!$J$34)+CY58)*1000000/H2_retrieval!$J$8)+h2_regen_meoh,"")</f>
        <v>7523.2350287888066</v>
      </c>
      <c r="DB58" s="149">
        <f>(DBT_invest*(M58+1/DBT_lifetime)/DBT_prod+DBT_opex+DBT_e_demand*1000*$AU58/100+Carriers!$T$18/Carriers!$T$23*BD58)*(DD58+DBT_st_ab_losses)/1000000</f>
        <v>50225.574024169924</v>
      </c>
      <c r="DC58" s="28">
        <f>2*(DBT_st_nl_cost*DBT_st_nl_demand/1000000+(DBT_st_invest*(M58+1/DBT_st_lifetime+DBT_st_opex)/(Storage!$M$63/1000000)+DBT_st_e_demand*1000*$AU58/100)*(DD58+DBT_st_ab_losses)/1000000)+Carriers!$T$18/Carriers!$T$23*((DD58+DBT_st_ab_losses)/365.25*short_st_duration_hrs/24)*(h2_short_st_invest*(1/gh2_short_st_lifetime+$M58+h2_short_st_opex)+h2_short_st_e_demand*1000*$AU58/100)/1000000</f>
        <v>4914.2190729134409</v>
      </c>
      <c r="DD58" s="63">
        <f>Storage!$M$57/((1-Shipping!$N$37)^($F58/24/Shipping!$N$44+0.5*Shipping!$N$59))</f>
        <v>219354838.70967743</v>
      </c>
      <c r="DE58" s="28">
        <f>IF($E58="","No Port",IF(AND(ship_choice="VLCC",G58="Panama"),"Ship cannot pass through Panama",IF(ship_choice="VLCC",((F58/24/Shipping!$AD$44+F58/24/Shipping!$AD$50+Shipping!$AD$59+Shipping!$AD$64)*(Shipping!$AD$22+wacc_nl*Shipping!$AD$19/365.25*1000000+Shipping!$AD$35)+(F58/24/Shipping!$AD$44*Shipping!$AD$45+Shipping!$AD$64*Shipping!$AD$65)*IF(bunker_choice="HFO",$H58,IF(bunker_choice="hydrogen",$BD58*hfo_e_density_lhv/h2_e_density_lhv,(DB58+DC58)*1000000/DD58*hfo_e_density_lhv/DBT_e_density_lhv))+(F58/24/Shipping!$AD$50*Shipping!$AD$51+Shipping!$AD$59*Shipping!$AD$60)*IF(bunker_choice="HFO",bunker_price_ROT,IF(bunker_choice="hydrogen",$BD58*hfo_e_density_lhv/h2_e_density_lhv,(DB58+DC58)*1000000/DD58*hfo_e_density_lhv/DBT_e_density_lhv))+Shipping!$AD$73+IF(G58="Panama",Shipping!$AD$55,0)+IF(G58="Suez",Shipping!$AD$56,0))/Shipping!$AD$31*DD58/1000000+IF(inland_transport_to_port="hv dc grid",$BM58/100*1000*DG58,IF(inland_transport_to_port="pipeline",$BN58,0)),((F58/24/Shipping!$N$44+F58/24/Shipping!$N$50+Shipping!$N$59+Shipping!$N$64)*(Shipping!$N$22+wacc_nl*Shipping!$N$19/365.25*1000000+Shipping!$N$35)+(F58/24/Shipping!$N$44*Shipping!$N$45+Shipping!$N$64*Shipping!$N$65)*IF(bunker_choice="HFO",$H58,IF(bunker_choice="hydrogen",$BD58*hfo_e_density_lhv/h2_e_density_lhv,(DB58+DC58)*1000000/DD58*hfo_e_density_lhv/DBT_e_density_lhv))+(F58/24/Shipping!$N$50*Shipping!$N$51+Shipping!$N$59*Shipping!$N$60)*IF(bunker_choice="HFO",bunker_price_ROT,IF(bunker_choice="hydrogen",$BD58*hfo_e_density_lhv/h2_e_density_lhv,(DB58+DC58)*1000000/DD58*hfo_e_density_lhv/DBT_e_density_lhv))+Shipping!$N$73+IF(G58="Panama",Shipping!$N$55,0)+IF(G58="Suez",Shipping!$N$56,0))/Shipping!$N$31*Shipping!$N$86/1000000+IF(inland_transport_to_port="hv dc grid",$BM58/100*1000*DG58,IF(inland_transport_to_port="pipeline",$BN58,0)))))</f>
        <v>9001.2802400429682</v>
      </c>
      <c r="DF58" s="28">
        <f t="shared" si="82"/>
        <v>64141.073337126334</v>
      </c>
      <c r="DG58" s="29">
        <f>((Carriers!$T$18/Carriers!$T$23*alk_el_e_demand)+DBT_e_demand)*(DD58+DBT_st_ab_losses)/1000000+DBT_st_e_demand*DD58/1000000</f>
        <v>703.88335483870969</v>
      </c>
      <c r="DH58" s="29">
        <f t="shared" si="83"/>
        <v>0.21935483870967742</v>
      </c>
      <c r="DI58" s="28">
        <f>IFERROR(DF58*1000000/Storage!$M$12,"")</f>
        <v>292.40783433101711</v>
      </c>
      <c r="DJ58" s="28">
        <f>IF($E58="","No Port",((F58/24/Shipping!$N$44+F58/24/Shipping!$N$50+Shipping!$N$59+Shipping!$N$64)*Carriers!$T$39*wacc_nl))</f>
        <v>5452.4205742961585</v>
      </c>
      <c r="DK58" s="100">
        <f>H2_retrieval!$L$25*h2_demand_kt/1000+(co2_liq_e_demand+co2_st_e_demand*2)*Storage!$M$12*co2_density/DBT_density/1000000</f>
        <v>206.61934861671787</v>
      </c>
      <c r="DL58" s="28">
        <f>IFERROR(((DF58*(1+H2_retrieval!$L$34)+DJ58)*1000000/H2_retrieval!$L$8)+h2_regen_lohc,"")</f>
        <v>5587.8184505963318</v>
      </c>
      <c r="DM58" s="149">
        <f t="shared" si="84"/>
        <v>78135.550327462421</v>
      </c>
      <c r="DN58" s="16">
        <f>2*(nabh4_st_nl_cost*nabh4_st_nl_demand/1000000+(nabh4_st_invest*(M58+1/nabh4_st_lifetime+nabh4_st_opex)/(Storage!$O$63/1000000)+nabh4_st_e_demand*1000*$AU58/100)*(DO58+nabh4_st_ab_losses)/1000000)+(h2_demand_kt*1000/365.25*short_st_duration_hrs/24)*(h2_short_st_invest*(1/gh2_short_st_lifetime+$M58+h2_short_st_opex)+h2_short_st_e_demand*1000*$AU58/100)/1000000</f>
        <v>1781.2707785932053</v>
      </c>
      <c r="DO58" s="63">
        <f>Storage!$O$57/((1-Shipping!$P$37)^($F58/24/Shipping!$P$44+0.5*Shipping!$P$59))</f>
        <v>63920000</v>
      </c>
      <c r="DP58" s="16">
        <f>IF($E58="","No Port",((F58/24/Shipping!$P$44+F58/24/Shipping!$P$50+Shipping!$P$59+Shipping!$P$64)*(Shipping!$P$22+wacc_nl*Shipping!$P$19/365.25*1000000+Shipping!$P$35)+(F58/24/Shipping!$P$44*Shipping!$P$45+Shipping!$P$64*Shipping!$P$65)*IF(bunker_choice="HFO",$H58,IF(bunker_choice="hydrogen",$BD58*hfo_e_density_lhv/h2_e_density_lhv,(DM58+DN58)*1000000/DO58*hfo_e_density_lhv/nabh4_e_density_lhv))+(F58/24/Shipping!$P$50*Shipping!$P$51+Shipping!$P$59*Shipping!$P$60)*IF(bunker_choice="HFO",bunker_price_ROT,IF(bunker_choice="hydrogen",$BD58*hfo_e_density_lhv/h2_e_density_lhv,(DM58+DN58)*1000000/DO58*hfo_e_density_lhv/nabh4_e_density_lhv))+Shipping!$P$73+IF(G58="Panama",Shipping!$P$55,0)+IF(G58="Suez",Shipping!$P$56,0))/Shipping!$P$31*(DO58+nabh4_st_ab_losses)/1000000+IF(inland_transport_to_port="hv dc grid",$BM58/100*1000*DR58,IF(inland_transport_to_port="pipeline",$BN58,0)))</f>
        <v>3094.3965435154423</v>
      </c>
      <c r="DQ58" s="28">
        <f t="shared" si="60"/>
        <v>83011.217649571059</v>
      </c>
      <c r="DR58" s="29">
        <f>((Carriers!$V$18/Carriers!$V$23*alk_el_e_demand)+nabh4_e_demand)*(DO58+nabh4_st_ab_losses)/1000000+nabh4_st_e_demand*DO58/1000000</f>
        <v>980.02139682539689</v>
      </c>
      <c r="DS58" s="28">
        <f t="shared" si="85"/>
        <v>3.1960000000000002</v>
      </c>
      <c r="DT58" s="28">
        <f>IFERROR(DQ58*1000000/Storage!$O$12,"")</f>
        <v>1298.6736177967939</v>
      </c>
      <c r="DU58" s="28">
        <f>IF($E58="","No Port",((F58/24/Shipping!$P$44+F58/24/Shipping!$P$50+Shipping!$P$59+Shipping!$P$64)*Carriers!$V$39*wacc_nl))</f>
        <v>510.51084082388707</v>
      </c>
      <c r="DV58" s="100">
        <f>H2_retrieval!$N$25*h2_demand_kt/1000+(co2_liq_e_demand+co2_st_e_demand*2)*Storage!$O$12*co2_density/nabh4_density/1000000</f>
        <v>18.783638728971958</v>
      </c>
      <c r="DW58" s="28">
        <f>IFERROR(((DQ58*(1+H2_retrieval!$N$34)+DU58)*1000000/H2_retrieval!$N$8)+h2_regen_nabh4,"")</f>
        <v>6270.253095993754</v>
      </c>
      <c r="DX58" s="149">
        <f>(Dme_invest*(M58+1/Dme_lifetime)/Dme_prod+Dme_opex+Dme_e_demand*1000*$AU58/100+Carriers!$X$21/Carriers!$X$23*(CO58*1000000/CS58))*(EB58+Dme_st_ab_losses)/1000000</f>
        <v>106737.62034363297</v>
      </c>
      <c r="DY58" s="86">
        <f>(Dme_invest*(M58+1/Dme_lifetime)/Dme_prod+Dme_opex+Dme_e_demand*1000*$AU58/100+Carriers!$X$21/Carriers!$X$23*(CP58*1000000/CS58))*(EB58+Dme_st_ab_losses)/1000000</f>
        <v>136644.38139516031</v>
      </c>
      <c r="DZ58" s="63">
        <f>Dme_st_nl_cost*Dme_st_nl_demand/1000000+(Dme_st_invest*(M58+1/Dme_st_lifetime+Dme_st_opex)/(Storage!$Q$63/1000000)+Dme_st_e_demand*1000*$AU58/100)*(EB58+Dme_st_ab_losses)/1000000+co2_st_nl_cost*Storage!$Q$12*co2_density/Dme_density/1000000+(co2_st_opex_lev+co2_st_invest_lev+co2_st_e_demand*1000*$AU58/100)*Storage!$Q$12/1000000+co2_st_invest_lev*Storage!$Q$12*co2_st_lifetime*M58/1000000+(h2_demand_kt*1000/365.25*short_st_duration_hrs/24)*(h2_short_st_invest*(1/gh2_short_st_lifetime+$M58+h2_short_st_opex)+h2_short_st_e_demand*1000*$AU58/100)/1000000</f>
        <v>7025.9328917956482</v>
      </c>
      <c r="EA58" s="63">
        <f>Dme_st_nl_cost*Dme_st_nl_demand/1000000+(Dme_st_invest*(M58+1/Dme_st_lifetime+Dme_st_opex)/(Storage!$Q$63/1000000)+Dme_st_e_demand*1000*$AU58/100)*(EB58+Dme_st_ab_losses)/1000000+(h2_demand_kt*1000/365.25*short_st_duration_hrs/24)*(h2_short_st_invest*(1/gh2_short_st_lifetime+$M58+h2_short_st_opex)+h2_short_st_e_demand*1000*$AU58/100)/1000000</f>
        <v>3600.4276680602675</v>
      </c>
      <c r="EB58" s="63">
        <f>Storage!$Q$57/((1-Shipping!$R$37)^($F58/24/Shipping!$R$44+0.5*Shipping!$R$59))</f>
        <v>103547089.94708996</v>
      </c>
      <c r="EC58" s="153">
        <f>IF($E58="","No Port",IF(AND(ship_choice="VLCC",G58="Panama"),"Ship cannot pass through Panama",IF(ship_choice="VLCC",((F58/24/Shipping!$AD$44+F58/24/Shipping!$AD$50+Shipping!$AD$59+Shipping!$AD$64)*(Shipping!$AD$22+wacc_nl*Shipping!$AD$19/365.25*1000000+Shipping!$AD$35)+(F58/24/Shipping!$AD$44*Shipping!$AD$45+Shipping!$AD$64*Shipping!$AD$65)*IF(bunker_choice="HFO",$H58,IF(bunker_choice="hydrogen",$BD58*hfo_e_density_lhv/h2_e_density_lhv,(DX58+DZ58)*1000000/EB58*hfo_e_density_lhv/Dme_e_density_lhv))+(F58/24/Shipping!$AD$50*Shipping!$AD$51+Shipping!$AD$59*Shipping!$AD$60)*IF(bunker_choice="HFO",bunker_price_ROT,IF(bunker_choice="hydrogen",$BD58*hfo_e_density_lhv/h2_e_density_lhv,(DX58+DZ58)*1000000/EB58*hfo_e_density_lhv/Dme_e_density_lhv))+Shipping!$AD$73+IF(G58="Panama",Shipping!$AD$55,0)+IF(G58="Suez",Shipping!$AD$56,0))/Shipping!$AD$31*(EB58+Dme_st_ab_losses)/1000000+IF(inland_transport_to_port="hv dc grid",$BM58/100*1000*EE58,IF(inland_transport_to_port="pipeline",$BN58,0)),((F58/24/Shipping!$R$44+F58/24/Shipping!$R$50+Shipping!$R$59+Shipping!$R$64)*(Shipping!$R$22+wacc_nl*Shipping!$R$19/365.25*1000000+Shipping!$R$35)+(F58/24/Shipping!$R$44*Shipping!$R$45+Shipping!$R$64*Shipping!$R$65)*IF(bunker_choice="HFO",$H58,IF(bunker_choice="hydrogen",$BD58*hfo_e_density_lhv/h2_e_density_lhv,(DX58+DZ58)*1000000/EB58*hfo_e_density_lhv/Dme_e_density_lhv))+(F58/24/Shipping!$R$50*Shipping!$R$51+Shipping!$R$59*Shipping!$R$60)*IF(bunker_choice="HFO",bunker_price_ROT,IF(bunker_choice="hydrogen",$BD58*hfo_e_density_lhv/h2_e_density_lhv,(DX58+DZ58)*1000000/EB58*hfo_e_density_lhv/Dme_e_density_lhv))+Shipping!$R$73+IF(G58="Panama",Shipping!$R$55,0)+IF(G58="Suez",Shipping!$R$56,0))/Shipping!$R$31*(EB58+Dme_st_ab_losses)/1000000+IF(inland_transport_to_port="hv dc grid",$BM58/100*1000*EE58,IF(inland_transport_to_port="pipeline",$BN58,0)))))</f>
        <v>5240.2327979262718</v>
      </c>
      <c r="ED58" s="28">
        <f t="shared" si="39"/>
        <v>145485.04186114683</v>
      </c>
      <c r="EE58" s="29">
        <f>(Dme_e_demand)*(EB58+Dme_st_ab_losses)/1000000+Dme_st_e_demand*DZ58/1000000+$CV58*(Carriers!$X$21/Carriers!$X$23*EB58)/$CS58</f>
        <v>1550.2168304263848</v>
      </c>
      <c r="EF58" s="29">
        <f t="shared" si="86"/>
        <v>1.0354708994708997</v>
      </c>
      <c r="EG58" s="28">
        <f>IFERROR(ED58*1000000/Storage!$Q$12,"")</f>
        <v>1405.0133319583017</v>
      </c>
      <c r="EH58" s="28">
        <f>IF($E58="","No Port",((F58/24/Shipping!$R$44+F58/24/Shipping!$R$50+Shipping!$R$59+Shipping!$R$64)*Carriers!$X$39*wacc_nl))</f>
        <v>77.40328595218925</v>
      </c>
      <c r="EI58" s="100">
        <f>H2_retrieval!$P$25*h2_demand_kt/1000+(co2_liq_e_demand+co2_st_e_demand*2)*Storage!$Q$12*co2_density/Dme_density/1000000</f>
        <v>252.45335899349112</v>
      </c>
      <c r="EJ58" s="28">
        <f>IFERROR((((DX58+DZ58+EC58)*(1+H2_retrieval!$P$34)+EH58)*1000000/H2_retrieval!$P$8)+h2_regen_dme,"")</f>
        <v>9926.0983460863408</v>
      </c>
      <c r="EK58" s="149">
        <f>(ome_invest*(M58+1/ome_lifetime)/ome_prod+ome_opex+ome_e_demand*1000*$AU58/100+Carriers!$Z$21/Carriers!$Z$23*(CO58*1000000/CS58))*(EO58+ome_st_ab_losses)/1000000</f>
        <v>234193.37874013584</v>
      </c>
      <c r="EL58" s="86">
        <f>(ome_invest*(M58+1/ome_lifetime)/ome_prod+ome_opex+ome_e_demand*1000*$AU58/100+Carriers!$Z$21/Carriers!$Z$23*(CP58*1000000/CS58))*(EO58+ome_st_ab_losses)/1000000</f>
        <v>296973.49192811619</v>
      </c>
      <c r="EM58" s="63">
        <f>ome_st_nl_cost*ome_st_nl_demand/1000000+(ome_st_invest*(M58+1/ome_st_lifetime+ome_st_opex)/(Storage!$S$63/1000000)+ome_st_e_demand*1000*$AU58/100)*(EO58+ome_st_ab_losses)/1000000+co2_st_nl_cost*Storage!$S$12*co2_density/ome_density/1000000+(co2_st_opex_lev+co2_st_invest_lev+co2_st_e_demand*1000*$AU58/100)*Storage!$S$12/1000000+co2_st_invest_lev*Storage!$S$12*co2_st_lifetime*M58/1000000+(h2_demand_kt*1000/365.25*short_st_duration_hrs/24)*(h2_short_st_invest*(1/gh2_short_st_lifetime+$M58+h2_short_st_opex)+h2_short_st_e_demand*1000*$AU58/100)/1000000</f>
        <v>6085.8095830223219</v>
      </c>
      <c r="EN58" s="63">
        <f>ome_st_nl_cost*ome_st_nl_demand/1000000+(ome_st_invest*(M58+1/ome_st_lifetime+ome_st_opex)/(Storage!$S$63/1000000)+ome_st_e_demand*1000*$AU58/100)*(EO58+ome_st_ab_losses)/1000000+(h2_demand_kt*1000/365.25*short_st_duration_hrs/24)*(h2_short_st_invest*(1/gh2_short_st_lifetime+$M58+h2_short_st_opex)+h2_short_st_e_demand*1000*$AU58/100)/1000000</f>
        <v>2180.9835103486898</v>
      </c>
      <c r="EO58" s="63">
        <f>Storage!$S$57/((1-Shipping!$T$37)^($F58/24/Shipping!$T$44+0.5*Shipping!$T$59))</f>
        <v>128282539.68253967</v>
      </c>
      <c r="EP58" s="28">
        <f>IF($E58="","No Port",IF(AND(ship_choice="VLCC",G58="Panama"),"Ship cannot pass through Panama",IF(ship_choice="VLCC",((F58/24/Shipping!$AD$44+F58/24/Shipping!$AD$50+Shipping!$AD$59+Shipping!$AD$64)*(Shipping!$AD$22+wacc_nl*Shipping!$AD$19/365.25*1000000+Shipping!$AD$35)+(F58/24/Shipping!$AD$44*Shipping!$AD$45+Shipping!$AD$64*Shipping!$AD$65)*IF(bunker_choice="HFO",$H58,IF(bunker_choice="hydrogen",$BD58*hfo_e_density_lhv/h2_e_density_lhv,(EK58+EM58)*1000000/EO58*hfo_e_density_lhv/Dme_e_density_lhv))+(F58/24/Shipping!$AD$50*Shipping!$AD$51+Shipping!$AD$59*Shipping!$AD$60)*IF(bunker_choice="HFO",bunker_price_ROT,IF(bunker_choice="hydrogen",$BD58*hfo_e_density_lhv/h2_e_density_lhv,(EK58+EM58)*1000000/EO58*hfo_e_density_lhv/ome_e_density_lhv))+Shipping!$AD$73+IF(G58="Panama",Shipping!$AD$55,0)+IF(G58="Suez",Shipping!$AD$56,0))/Shipping!$AD$31*(EO58+ome_st_ab_losses)/1000000+IF(inland_transport_to_port="hv dc grid",$BM58/100*1000*ER58,IF(inland_transport_to_port="pipeline",$BN58,0)),((F58/24/Shipping!$T$44+F58/24/Shipping!$T$50+Shipping!$T$59+Shipping!$T$64)*(Shipping!$T$22+wacc_nl*Shipping!$T$19/365.25*1000000+Shipping!$T$35)+(F58/24/Shipping!$T$44*Shipping!$T$45+Shipping!$T$64*Shipping!$T$65)*IF(bunker_choice="HFO",$H58,IF(bunker_choice="hydrogen",$BD58*hfo_e_density_lhv/h2_e_density_lhv,(EK58+EM58)*1000000/EO58*hfo_e_density_lhv/Dme_e_density_lhv))+(F58/24/Shipping!$T$50*Shipping!$T$51+Shipping!$T$59*Shipping!$T$60)*IF(bunker_choice="HFO",bunker_price_ROT,IF(bunker_choice="hydrogen",$BD58*hfo_e_density_lhv/h2_e_density_lhv,(EK58+EM58)*1000000/EO58*hfo_e_density_lhv/ome_e_density_lhv))+Shipping!$T$73+IF(G58="Panama",Shipping!$T$55,0)+IF(G58="Suez",Shipping!$T$56,0))/Shipping!$T$31*(EO58+ome_st_ab_losses)/1000000+IF(inland_transport_to_port="hv dc grid",$BM58/100*1000*ER58,IF(inland_transport_to_port="pipeline",$BN58,0)))))</f>
        <v>5773.8993531218621</v>
      </c>
      <c r="EQ58" s="28">
        <f t="shared" si="40"/>
        <v>304928.37479158677</v>
      </c>
      <c r="ER58" s="29">
        <f>(ome_e_demand)*(EO58+ome_st_ab_losses)/1000000+ome_st_e_demand*EM58/1000000+$CV58*(Carriers!$Z$21/Carriers!$Z$23*EO58)/$CS58</f>
        <v>3352.0814592694978</v>
      </c>
      <c r="ES58" s="29">
        <f t="shared" si="87"/>
        <v>0.1924238095238095</v>
      </c>
      <c r="ET58" s="28">
        <f>IFERROR(EQ58*1000000/Storage!$S$12,"")</f>
        <v>2377.0060644744945</v>
      </c>
      <c r="EU58" s="28">
        <f>IF($E58="","No Port",((F58/24/Shipping!$T$44+F58/24/Shipping!$T$50+Shipping!$T$59+Shipping!$T$64)*Carriers!$Z$39*wacc_nl))</f>
        <v>88.884197235485985</v>
      </c>
      <c r="EV58" s="100">
        <f>H2_retrieval!$R$25*h2_demand_kt/1000+(co2_liq_e_demand+co2_st_e_demand*2)*Storage!$S$12*co2_density/ome_density/1000000</f>
        <v>254.51942895252085</v>
      </c>
      <c r="EW58" s="28">
        <f>IFERROR((((EK58+EM58+EP58)*(1+H2_retrieval!$R$34)+EU58)*1000000/H2_retrieval!$R$8)+h2_regen_ome,"")</f>
        <v>19268.802945660493</v>
      </c>
      <c r="EX58" s="149">
        <f>(sng_invest*(M58+1/sng_lifetime)/sng_prod+lng_invest*(M58+1/lng_lifetime)/lng_prod+sng_opex+lng_opex+(sng_e_demand+lng_e_demand)*1000*$AU58/100+Carriers!$AB$18/Carriers!$AB$23*BD58+Carriers!$AB$20/Carriers!$AB$23*co2_liq_cost)*(FB58+lng_st_ab_losses)/1000000</f>
        <v>82032.611579359422</v>
      </c>
      <c r="EY58" s="86">
        <f>(sng_invest*(M58+1/sng_lifetime)/sng_prod+lng_invest*(M58+1/lng_lifetime)/lng_prod+sng_opex+lng_opex+(sng_e_demand+lng_e_demand)*1000*$AU58/100+Carriers!$AB$18/Carriers!$AB$23*BD58+Carriers!$AB$20/Carriers!$AB$23*BP58)*(FB58+lng_st_ab_losses)/1000000</f>
        <v>98542.59636747546</v>
      </c>
      <c r="EZ58" s="63">
        <f>lng_st_nl_cost*lng_st_nl_demand/1000000+(lng_st_invest*(M58+1/lng_st_lifetime+lng_st_opex)/(Storage!$U$63/1000000)+lng_st_e_demand*1000*$AU58/100)*(FB58+lng_st_ab_losses)/1000000+co2_st_nl_cost*Storage!$U$12*co2_density/lng_density/1000000+(co2_st_opex_lev+co2_st_invest_lev+co2_st_e_demand*1000*$AU58/100)*Storage!$U$12/1000000+co2_st_invest_lev*Storage!$U$12*co2_st_lifetime*M58/1000000+Carriers!$AB$18/Carriers!$AB$23*((FB58+lng_st_ab_losses)/365.25*short_st_duration_hrs/24)*(h2_short_st_invest*(1/gh2_short_st_lifetime+$M58+h2_short_st_opex)+h2_short_st_e_demand*1000*$AU58/100)/1000000+Carriers!$AB$20/Carriers!$AB$23*((FB58+lng_st_ab_losses)/365.25*short_st_duration_hrs/24)*(co2_short_st_invest*(1/co2_short_st_lifetime+$M58+co2_short_st_opex)+co2_short_st_e_demand*1000*$AU58/100)/1000000</f>
        <v>7405.0536484987124</v>
      </c>
      <c r="FA58" s="63">
        <f>lng_st_nl_cost*lng_st_nl_demand/1000000+(lng_st_invest*(M58+1/lng_st_lifetime+lng_st_opex)/(Storage!$U$63/1000000)+lng_st_e_demand*1000*$AU58/100)*(FB58+lng_st_ab_losses)/1000000+Carriers!$AB$18/Carriers!$AB$23*((FB58+lng_st_ab_losses)/365.25*short_st_duration_hrs/24)*(h2_short_st_invest*(1/gh2_short_st_lifetime+$M58+h2_short_st_opex)+h2_short_st_e_demand*1000*$AU58/100)/1000000+Carriers!$AB$20/Carriers!$AB$23*((FB58+lng_st_ab_losses)/365.25*short_st_duration_hrs/24)*(co2_short_st_invest*(1/co2_short_st_lifetime+$M58+co2_short_st_opex)+co2_short_st_e_demand*1000*$AU58/100)/1000000</f>
        <v>5624.7767371162026</v>
      </c>
      <c r="FB58" s="63">
        <f>Storage!$U$57/((1-Shipping!$V$37)^($F58/24/Shipping!$V$44+0.5*Shipping!$V$59))</f>
        <v>41230860.683699429</v>
      </c>
      <c r="FC58" s="28">
        <f>IF($E58="","No Port",IF(G58="Panama","Ship cannot pass through Panama",((F58/24/Shipping!$V$44+F58/24/Shipping!$V$50+Shipping!$V$59+Shipping!$V$64)*(Shipping!$V$22+wacc_nl*Shipping!$V$19/365.25*1000000+Shipping!$V$35)+(F58/24/Shipping!$V$44*Shipping!$V$45+Shipping!$V$64*Shipping!$V$65)*IF(bunker_choice="HFO",$H58,IF(bunker_choice="hydrogen",$BD58*hfo_e_density_lhv/h2_e_density_lhv,(EX58+EZ58)*1000000/FB58*hfo_e_density_lhv/lng_e_density_lhv))+(F58/24/Shipping!$V$50*Shipping!$V$51+Shipping!$V$59*Shipping!$V$60)*IF(bunker_choice="HFO",bunker_price_ROT,IF(bunker_choice="hydrogen",$BD58*hfo_e_density_lhv/h2_e_density_lhv,(EX58+EZ58)*1000000/FB58*hfo_e_density_lhv/lng_e_density_lhv))+Shipping!$V$73+IF(G58="Panama",Shipping!$V$55,0)+IF(G58="Suez",Shipping!$V$56,0))/Shipping!$V$31*(FB58+lng_st_ab_losses)/1000000)+IF(inland_transport_to_port="hv dc grid",$BM58/100*1000*FE58,IF(inland_transport_to_port="pipeline",$BN58,0)))</f>
        <v>2610.6263980348003</v>
      </c>
      <c r="FD58" s="28">
        <f t="shared" si="41"/>
        <v>106777.99950262647</v>
      </c>
      <c r="FE58" s="29">
        <f>((Carriers!$AB$18/Carriers!$AB$23*alk_el_e_demand)+sng_e_demand+lng_e_demand)*(FB58+lng_st_ab_losses)/1000000+lng_st_e_demand*EZ58/1000000</f>
        <v>1105.7793056668256</v>
      </c>
      <c r="FF58" s="29">
        <f t="shared" si="88"/>
        <v>0.8126185861001558</v>
      </c>
      <c r="FG58" s="28">
        <f>IFERROR(FD58*1000000/Storage!$U$12,"")</f>
        <v>2631.0286172815499</v>
      </c>
      <c r="FH58" s="28">
        <f>IF($E58="","No Port",((F58/24/Shipping!$V$44+F58/24/Shipping!$V$50+Shipping!$V$59+Shipping!$V$64)*Carriers!$AB$39*wacc_nl))</f>
        <v>26.310351527801913</v>
      </c>
      <c r="FI58" s="100">
        <f>H2_retrieval!$T$25*h2_demand_kt/1000+(co2_liq_e_demand+co2_st_e_demand*2)*Storage!$U$12*co2_density/lng_density/1000000</f>
        <v>236.51371749646054</v>
      </c>
      <c r="FJ58" s="28">
        <f>IFERROR((((EX58+EZ58+FC58)*(1+H2_retrieval!$T$34)+FH58)*1000000/H2_retrieval!$T$8)+h2_regen_lng,"")</f>
        <v>7940.3198650652876</v>
      </c>
      <c r="FK58" s="149">
        <f>(lh2_invest*(M58+1/lh2_lifetime)/lh2_prod+lh2_opex+lh2_e_demand*1000*$AU58/100+Carriers!$AD$18/Carriers!$AD$23*BD58)*(FM58+lh2_st_ab_losses)/1000000</f>
        <v>66196.698311484273</v>
      </c>
      <c r="FL58" s="28">
        <f>lh2_st_nl_cost*lh2_st_nl_demand/1000000+(lh2_st_invest*(M58+1/lh2_st_lifetime+lh2_st_opex)/(Storage!$Y$63/1000000)+lh2_st_e_demand*1000*$AU58/100)*(FM58+lh2_st_ab_losses)/1000000+((FM58+lh2_st_ab_losses)/365.25*short_st_duration_hrs/24)*(h2_short_st_invest*(1/gh2_short_st_lifetime+$M58+h2_short_st_opex)+h2_short_st_e_demand*1000*$AU58/100)/1000000</f>
        <v>64261.595844858348</v>
      </c>
      <c r="FM58" s="63">
        <f>Storage!$Y$57/((1-Shipping!$Z$37)^($F58/24/Shipping!$Z$44+0.5*Shipping!$Z$59))</f>
        <v>13942314.112768786</v>
      </c>
      <c r="FN58" s="28">
        <f>IF($E58="","No Port",IF(G58="Panama","Ship cannot pass through Panama",((F58/24/Shipping!$Z$44+F58/24/Shipping!$Z$50+Shipping!$Z$59+Shipping!$Z$64)*(Shipping!$Z$22+wacc_nl*Shipping!$Z$19/365.25*1000000+Shipping!$Z$35)+(F58/24/Shipping!$Z$44*Shipping!$Z$45+Shipping!$Z$64*Shipping!$Z$65)*IF(bunker_choice="HFO",$H58,IF(bunker_choice="hydrogen",$BD58*hfo_e_density_lhv/h2_e_density_lhv,(FK58+FL58)*1000000/FM58*hfo_e_density_lhv/lh2_e_density_lhv))+(F58/24/Shipping!$Z$50*Shipping!$Z$51+Shipping!$Z$59*Shipping!$Z$60)*IF(bunker_choice="HFO",bunker_price_ROT,IF(bunker_choice="hydrogen",$BD58*hfo_e_density_lhv/h2_e_density_lhv,(FK58+FL58)*1000000/FM58*hfo_e_density_lhv/lh2_e_density_lhv))+Shipping!$Z$73+IF(G58="Panama",Shipping!$Z$55,0)+IF(G58="Suez",Shipping!$Z$56,0))/Shipping!$Z$31*(FM58+lh2_st_ab_losses)/1000000)+IF(inland_transport_to_port="hv dc grid",$BM58/100*1000*FP58,IF(inland_transport_to_port="pipeline",$BN58,0)))</f>
        <v>3808.7760589548434</v>
      </c>
      <c r="FO58" s="28">
        <f t="shared" si="42"/>
        <v>134267.07021529748</v>
      </c>
      <c r="FP58" s="29">
        <f>((Carriers!$AD$18/Carriers!$AD$23*alk_el_e_demand)+lh2_e_demand)*(FM58+lh2_st_ab_losses)/1000000+lh2_st_e_demand*FM58/1000000</f>
        <v>807.94077085593335</v>
      </c>
      <c r="FQ58" s="100">
        <f t="shared" si="89"/>
        <v>1.361902463475859</v>
      </c>
      <c r="FR58" s="28">
        <f>IFERROR(FO58*1000000/Storage!$Y$12,"")</f>
        <v>9872.5786923012856</v>
      </c>
      <c r="FS58" s="100">
        <f>H2_retrieval!$V$25*h2_demand_kt/1000</f>
        <v>8.16</v>
      </c>
      <c r="FT58" s="28">
        <f>IFERROR(FR58*(1+H2_retrieval!$V$34)/Carrier_properties!$U$7+H2_retrieval!$V$38,"")</f>
        <v>9904.5474181697537</v>
      </c>
      <c r="FU58" s="12"/>
      <c r="FV58" s="24">
        <f t="shared" si="90"/>
        <v>3.221916497703746</v>
      </c>
      <c r="FW58" s="24">
        <f t="shared" si="57"/>
        <v>6.0389859416027463</v>
      </c>
      <c r="FX58" s="24" t="str">
        <f t="shared" si="58"/>
        <v/>
      </c>
      <c r="FY58" s="24">
        <f t="shared" si="45"/>
        <v>3.221916497703746</v>
      </c>
      <c r="FZ58" s="28">
        <f t="shared" si="59"/>
        <v>3401.3976378533071</v>
      </c>
      <c r="GA58" s="28">
        <f t="shared" si="47"/>
        <v>798.32596577860056</v>
      </c>
      <c r="GB58" s="28">
        <f t="shared" si="48"/>
        <v>578.43070592448782</v>
      </c>
      <c r="GC58" s="28">
        <f t="shared" si="49"/>
        <v>901.63426467824445</v>
      </c>
      <c r="GD58" s="28">
        <f t="shared" si="50"/>
        <v>1319.6351675839685</v>
      </c>
      <c r="GE58" s="28">
        <f t="shared" si="51"/>
        <v>2314.9954207566784</v>
      </c>
      <c r="GF58" s="28">
        <f t="shared" si="52"/>
        <v>2390.0203569224582</v>
      </c>
      <c r="GG58" s="12"/>
      <c r="GH58" s="12"/>
      <c r="GI58" s="12"/>
      <c r="GJ58" s="12"/>
      <c r="GK58" s="12"/>
      <c r="GL58" s="12"/>
      <c r="GM58" s="12"/>
      <c r="GN58" s="12"/>
      <c r="GO58" s="12"/>
      <c r="GP58" s="12"/>
      <c r="GQ58" s="12"/>
      <c r="GR58" s="12"/>
      <c r="GS58" s="12"/>
      <c r="GT58" s="12"/>
      <c r="GU58" s="12"/>
      <c r="GV58" s="12"/>
      <c r="GW58" s="12"/>
      <c r="GX58" s="12"/>
      <c r="GY58" s="12"/>
      <c r="GZ58" s="12"/>
      <c r="HA58" s="12"/>
      <c r="HB58" s="12"/>
      <c r="HC58" s="12"/>
      <c r="HD58" s="12"/>
      <c r="HE58" s="12"/>
      <c r="HF58" s="12"/>
    </row>
    <row r="59" spans="1:214" x14ac:dyDescent="0.2">
      <c r="A59" s="40" t="s">
        <v>214</v>
      </c>
      <c r="B59" s="12">
        <v>3170</v>
      </c>
      <c r="C59" s="12">
        <v>0</v>
      </c>
      <c r="D59" s="12">
        <f t="shared" si="61"/>
        <v>1</v>
      </c>
      <c r="E59" s="12" t="s">
        <v>1061</v>
      </c>
      <c r="F59" s="12">
        <v>2199</v>
      </c>
      <c r="G59" s="12"/>
      <c r="H59" s="16">
        <f t="shared" si="62"/>
        <v>382.75862068965517</v>
      </c>
      <c r="I59" s="16">
        <v>410450</v>
      </c>
      <c r="J59" s="16">
        <f t="shared" si="31"/>
        <v>361.45579644561917</v>
      </c>
      <c r="K59" s="27">
        <f t="shared" si="32"/>
        <v>433.74695573474298</v>
      </c>
      <c r="L59" s="103">
        <v>0.08</v>
      </c>
      <c r="M59" s="103">
        <f t="shared" si="63"/>
        <v>9.8002902367341937E-2</v>
      </c>
      <c r="N59" s="122">
        <f t="shared" si="33"/>
        <v>0.9</v>
      </c>
      <c r="O59" s="46">
        <f t="shared" si="64"/>
        <v>40</v>
      </c>
      <c r="P59" s="70">
        <f t="array" ref="P59">SUMPRODUCT(IF(Solar_data!A$4:A$777=A59,Solar_data!C$4:C$777),IF(Solar_data!A$4:A$777=A59,Solar_data!I$4:I$777))/SUMIF(Solar_data!A$4:A$777,A59,Solar_data!I$4:I$777)</f>
        <v>1337.0300483614383</v>
      </c>
      <c r="Q59" s="16">
        <f t="array" ref="Q59">MAX(IF(Solar_data!$A$777:'Solar_data'!$A$4=Country_details!$A59,Solar_data!$C$4:'Solar_data'!$C$777))</f>
        <v>1551.25</v>
      </c>
      <c r="R59" s="16">
        <f t="array" ref="R59">MIN(IF(Solar_data!$A$777:'Solar_data'!$A$4=Country_details!A59,Solar_data!$C$4:'Solar_data'!$C$777))</f>
        <v>638.75</v>
      </c>
      <c r="S59" s="24">
        <f t="shared" si="65"/>
        <v>2.8212375151903162</v>
      </c>
      <c r="T59" s="24">
        <f t="shared" si="66"/>
        <v>2.4316385697817973</v>
      </c>
      <c r="U59" s="24">
        <f t="shared" si="67"/>
        <v>5.9054079551843639</v>
      </c>
      <c r="V59" s="16">
        <f t="array" ref="V59">SUM(IF(Solar_data!$A$777:'Solar_data'!$A$4=Country_details!$A59,Solar_data!$I$4:'Solar_data'!$I$777))</f>
        <v>11055.971198627722</v>
      </c>
      <c r="W59" s="148"/>
      <c r="X59" s="16">
        <f>IFERROR(INDEX(Onshore_wind_data!$J$5:'Onshore_wind_data'!$J$221,MATCH(A59,Onshore_wind_data!$B$5:'Onshore_wind_data'!$B$221,0)),"")</f>
        <v>2859.8460092145647</v>
      </c>
      <c r="Y59" s="16">
        <f>IFERROR(INDEX(Onshore_wind_data!$K$5:'Onshore_wind_data'!$K$221,MATCH(A59,Onshore_wind_data!$B$5:'Onshore_wind_data'!$B$221,0)),"")</f>
        <v>3285.5</v>
      </c>
      <c r="Z59" s="16">
        <f>IFERROR(INDEX(Onshore_wind_data!$L$5:'Onshore_wind_data'!$L$221,MATCH(A59,Onshore_wind_data!$B$5:'Onshore_wind_data'!$B$221,0)),"")</f>
        <v>2847.5</v>
      </c>
      <c r="AA59" s="24">
        <f t="shared" si="68"/>
        <v>4.3038772209264353</v>
      </c>
      <c r="AB59" s="24">
        <f t="shared" si="69"/>
        <v>3.7462870474557715</v>
      </c>
      <c r="AC59" s="24">
        <f t="shared" si="70"/>
        <v>4.3225376977755703</v>
      </c>
      <c r="AD59" s="16">
        <f>IFERROR(INDEX(Onshore_wind_data!$I$5:'Onshore_wind_data'!$I$221,MATCH(A59,Onshore_wind_data!$B$5:'Onshore_wind_data'!$B$221,0)),"")</f>
        <v>2159.5882621750002</v>
      </c>
      <c r="AE59" s="148"/>
      <c r="AF59" s="16">
        <f>Offshore_wind_data!AJ10</f>
        <v>3854.4</v>
      </c>
      <c r="AG59" s="16">
        <f>Offshore_wind_data!AJ10</f>
        <v>3854.4</v>
      </c>
      <c r="AH59" s="16">
        <f>Offshore_wind_data!AJ10</f>
        <v>3854.4</v>
      </c>
      <c r="AI59" s="24">
        <f t="shared" si="71"/>
        <v>6.1022224811716148</v>
      </c>
      <c r="AJ59" s="24">
        <f t="shared" si="72"/>
        <v>6.1022224811716148</v>
      </c>
      <c r="AK59" s="24">
        <f t="shared" si="73"/>
        <v>6.1022224811716148</v>
      </c>
      <c r="AL59" s="16">
        <f>Offshore_wind_data!AE41</f>
        <v>7548.6111359999995</v>
      </c>
      <c r="AM59" s="148"/>
      <c r="AN59" s="12">
        <v>0.1</v>
      </c>
      <c r="AO59" s="12">
        <v>0.1</v>
      </c>
      <c r="AP59" s="34"/>
      <c r="AQ59" s="15">
        <f t="shared" si="74"/>
        <v>50</v>
      </c>
      <c r="AR59" s="12">
        <f t="shared" si="34"/>
        <v>5</v>
      </c>
      <c r="AS59" s="16">
        <f t="shared" si="35"/>
        <v>20759.170596802724</v>
      </c>
      <c r="AT59" s="12"/>
      <c r="AU59" s="24">
        <f t="shared" si="75"/>
        <v>3.8315416526924069</v>
      </c>
      <c r="AV59" s="16">
        <f t="shared" si="76"/>
        <v>4196.8760575760025</v>
      </c>
      <c r="AW59" s="149">
        <f>HV_DC_Grid!$E$3/(1-AX59)*AU59/100*1000</f>
        <v>4135.5536116586272</v>
      </c>
      <c r="AX59" s="31">
        <f>(1-(1-HV_DC_Grid!$E$25)^(B59*C59*HV_DC_Grid!$E$8/1000))+(1-(1-HV_DC_Grid!$E$26)^(B59*D59*HV_DC_Grid!$E$8/1000))+HV_DC_Grid!$E$35*HV_DC_Grid!$E$28</f>
        <v>7.3511792498391001E-2</v>
      </c>
      <c r="AY59" s="28">
        <f>B59*nl_e_demand/IF(hv_dc_flh="electricity FLH",$AV59,hv_dc_custom)*1000*hv_dc_capacity_multiplier*hv_dc_length_multiplier*1000*(C59*hv_dc_overhead_invest*(hv_dc_overhead_opex+M59+1/hv_dc_lifetime)+D59*hv_dc_sea_invest*(hv_dc_sea_opex+M59+1/hv_dc_lifetime))/1000000+HV_DC_Grid!$E$10*1000*hv_dc_station_invest*hv_dc_station_number*(hv_dc_station_opex+M59+1/hv_dc_lifetime)/1000000</f>
        <v>7269.4975911285237</v>
      </c>
      <c r="AZ59" s="24">
        <f>(AW59+AY59)/(HV_DC_Grid!$E$3*1000)*100</f>
        <v>11.405051202787151</v>
      </c>
      <c r="BA59" s="28">
        <f>MIN(((Carriers!$F$26+Carriers!$F$27)*(alk_el_opex+wacc_nl+1/alk_el_lifetime)+IF(hv_dc_flh="electricity FLH",$AV59,hv_dc_custom)*AZ59/100)/(IF(hv_dc_flh="electricity FLH",$AV59,hv_dc_custom)/alk_el_e_demand)*1000,((Carriers!$H$26+Carriers!$H$27)*(pem_el_opex+wacc_nl+1/pem_el_lifetime)+IF(hv_dc_flh="electricity FLH",$AV59,hv_dc_custom)*AZ59/100)/(IF(hv_dc_flh="electricity FLH",$AV59,hv_dc_custom)/pem_el_e_demand)*1000)</f>
        <v>6182.8212127389024</v>
      </c>
      <c r="BB59" s="12"/>
      <c r="BC59" s="12"/>
      <c r="BD59" s="149">
        <f>MIN(((Carriers!$F$26+Carriers!$F$27)*(alk_el_opex+M59+1/alk_el_lifetime)+$AV59*$AU59/100)/($AV59/alk_el_e_demand)*1000,((Carriers!$H$26+Carriers!$H$27)*(pem_el_opex+M59+1/pem_el_lifetime)+$AV59*$AU59/100)/($AV59/pem_el_e_demand)*1000)</f>
        <v>2659.4305702358629</v>
      </c>
      <c r="BE59" s="28">
        <f>Storage!$AC$50</f>
        <v>8.1664117557772418</v>
      </c>
      <c r="BF59" s="28">
        <f>((Pipeline!$D$22*Pipeline!$D$24*B59*(pipeline_opex+M59+1/pipeline_lifetime))*(Pipeline!$D$39/Pipeline!$D$3)+(Pipeline!$D$57*(pipeline_comp_opex+M59+1/pipeline_comp_lifetime)+Pipeline!$D$47*1000*Pipeline!$D$45*$AU59/100/1000000))*(Pipeline!$D$75/Pipeline!$D$45)</f>
        <v>6194.792518680073</v>
      </c>
      <c r="BG59" s="28">
        <f>BD59+(BE59+BF59)/Storage!$AC$12*1000000</f>
        <v>3115.5304915914403</v>
      </c>
      <c r="BH59" s="28"/>
      <c r="BI59" s="28"/>
      <c r="BJ59" s="28">
        <f>IF($E59="","No Port",BK59*HV_DC_Grid!$E$3*$AU59/100*1000)</f>
        <v>85.673816901413588</v>
      </c>
      <c r="BK59" s="31">
        <f>IFERROR((1-(1-HV_DC_Grid!$E$25)^(K59*HV_DC_Grid!$E$8/1000))+HV_DC_Grid!$E$35*HV_DC_Grid!$E$28,"")</f>
        <v>2.236014238321303E-2</v>
      </c>
      <c r="BL59" s="28">
        <f>IFERROR(K59*nl_e_demand/IF(hv_dc_flh="electricity FLH",$AV59,hv_dc_custom)*1000*hv_dc_capacity_multiplier*hv_dc_length_multiplier*1000*(hv_dc_overhead_invest*(hv_dc_overhead_opex+M59+1/hv_dc_lifetime))/1000000+HV_DC_Grid!$E$10*1000*hv_dc_station_invest*hv_dc_station_number*(hv_dc_station_opex+M59+1/hv_dc_lifetime)/1000000,"")</f>
        <v>655.72877139998332</v>
      </c>
      <c r="BM59" s="29">
        <f>IFERROR((BJ59+BL59)/(HV_DC_Grid!$E$3*1000)*100,"")</f>
        <v>0.74140258830139694</v>
      </c>
      <c r="BN59" s="28">
        <f>IFERROR(((Pipeline!$D$22*Pipeline!$D$24*K59*(pipeline_opex+M59+1/pipeline_lifetime))*(Pipeline!$D$39/Pipeline!$D$3)+(Pipeline!$D$57*(pipeline_comp_opex+M59+1/pipeline_comp_lifetime)+Pipeline!$D$47*1000*Pipeline!$D$45*S59/100/1000000))*(Pipeline!$D$75/Pipeline!$D$45),"")</f>
        <v>921.25275659160832</v>
      </c>
      <c r="BO59" s="28"/>
      <c r="BP59" s="150">
        <f t="shared" si="77"/>
        <v>106.5749302734792</v>
      </c>
      <c r="BQ59" s="34">
        <f t="shared" si="78"/>
        <v>30.909673150872301</v>
      </c>
      <c r="BR59" s="151">
        <f>(nh3_invest*(M59+1/nh3_lifetime)/nh3_prod+nh3_opex+nh3_e_demand*1000*$AU59/100+Carriers!$N$18/Carriers!$N$23*BD59+Carriers!$N$19/Carriers!$N$23*BQ59)*(BT59+nh3_st_ab_losses)/1000000</f>
        <v>47455.086327228637</v>
      </c>
      <c r="BS59" s="63">
        <f>nh3_st_nl_cost*nh3_st_nl_demand/1000000+(nh3_st_invest*(M59+1/nh3_st_lifetime+nh3_st_opex)/(Storage!$G$63/1000000)+nh3_st_e_demand*1000*$AU59/100)*(BT59+nh3_st_ab_losses)/1000000+Carriers!$N$18/Carriers!$N$23*((BT59+nh3_st_ab_losses)/365.25*short_st_duration_hrs/24)*(h2_short_st_invest*(1/gh2_short_st_lifetime+$M59+h2_short_st_opex)+h2_short_st_e_demand*1000*$AU59/100)/1000000+Carriers!$N$19/Carriers!$N$23*((BT59+nh3_st_ab_losses)/365.25*short_st_duration_hrs/24)*(n2_short_st_invest*(1/n2_short_st_lifetime+$M59+n2_short_st_opex)+n2_short_st_e_demand*1000*$AU59/100)/1000000</f>
        <v>3095.9899773312131</v>
      </c>
      <c r="BT59" s="63">
        <f>Storage!$G$57/((1-Shipping!$H$37)^(F59/24/Shipping!$H$44+0.5*Shipping!$H$59))</f>
        <v>77932710.760445207</v>
      </c>
      <c r="BU59" s="63">
        <f>IF($E59="","No Port",((F59/24/Shipping!$H$44+F59/24/Shipping!$H$50+Shipping!$H$59+Shipping!$H$64)*(Shipping!$H$22+wacc_nl*Shipping!$H$19/365.25*1000000+Shipping!$H$35)+(F59/24/Shipping!$H$44*Shipping!$H$45+Shipping!$H$64*Shipping!$H$65)*IF(bunker_choice="HFO",H59,IF(bunker_choice="hydrogen",BD59*hfo_e_density_lhv/h2_e_density_lhv,(BR59+BS59)*1000000/BT59*hfo_e_density_lhv/nh3_e_density_lhv))+(F59/24/Shipping!$H$50*Shipping!$H$51+Shipping!$H$59*Shipping!$H$60)*IF(bunker_choice="HFO",bunker_price_ROT,IF(bunker_choice="hydrogen",BD59*hfo_e_density_lhv/h2_e_density_lhv,(BR59+BS59)*1000000/BT59*hfo_e_density_lhv/nh3_e_density_lhv))+Shipping!$H$73+IF(G59="Panama",Shipping!$H$55,0)+IF(G59="Suez",Shipping!$H$56,0))/Shipping!$H$31*BT59/1000000+IF(inland_transport_to_port="hv dc grid",$BM59/100*1000*BW59,IF(inland_transport_to_port="pipeline",$BN59,0)))</f>
        <v>2563.3795839218542</v>
      </c>
      <c r="BV59" s="63">
        <f t="shared" si="91"/>
        <v>53114.455888481702</v>
      </c>
      <c r="BW59" s="33">
        <f>((Carriers!$N$18/Carriers!$N$23*alk_el_e_demand)+(Carriers!$N$19/Carriers!$N$23*n2_e_demand)+nh3_e_demand)*(BT59+nh3_st_ab_losses)/1000000+nh3_st_e_demand*BT59/1000000</f>
        <v>769.61398899583344</v>
      </c>
      <c r="BX59" s="33">
        <f t="shared" si="79"/>
        <v>0.76626754477640768</v>
      </c>
      <c r="BY59" s="63">
        <f>IFERROR(BV59*1000000/Storage!$G$12,"")</f>
        <v>693.7356370883349</v>
      </c>
      <c r="BZ59" s="63">
        <f>H2_retrieval!$F$25*h2_demand_kt/1000</f>
        <v>80</v>
      </c>
      <c r="CA59" s="63">
        <f>IFERROR(BY59*(1+H2_retrieval!$F$34)/Carrier_properties!$E$7+H2_retrieval!$F$38,"")</f>
        <v>4314.7006773262137</v>
      </c>
      <c r="CB59" s="149">
        <f>(FA_invest*(M59+1/FA_lifetime)/FA_prod+FA_opex+FA_e_demand*1000*$AU59/100+Carriers!$P$18/Carriers!$P$23*BD59+Carriers!$P$20/Carriers!$P$23*co2_liq_cost)*(CF59+FA_st_ab_losses)/1000000</f>
        <v>108371.30606182299</v>
      </c>
      <c r="CC59" s="86">
        <f>(FA_invest*(M59+1/FA_lifetime)/FA_prod+FA_opex+FA_e_demand*1000*$AU59/100+Carriers!$P$18/Carriers!$P$23*BD59+Carriers!$P$20/Carriers!$P$23*BP59)*(CF59+FA_st_ab_losses)/1000000</f>
        <v>133964.62513638794</v>
      </c>
      <c r="CD59" s="63">
        <f>FA_st_nl_cost*FA_st_nl_demand/1000000+(FA_st_invest*(M59+1/FA_st_lifetime+FA_st_opex)/(Storage!$I$63/1000000)+FA_st_e_demand*1000*$AU59/100)*(CF59+FA_st_ab_losses)/1000000+co2_st_nl_cost*Storage!$I$12*co2_density/FA_density/1000000+(co2_st_opex_lev+co2_st_invest_lev+co2_st_e_demand*1000*$AU59/100)*Storage!$I$12/1000000+co2_st_invest_lev*Storage!$I$12*co2_st_lifetime*M59/1000000+Carriers!$P$18/Carriers!$P$23*((CF59+FA_st_ab_losses)/365.25*short_st_duration_hrs/24)*(h2_short_st_invest*(1/gh2_short_st_lifetime+$M59+h2_short_st_opex)+h2_short_st_e_demand*1000*$AU59/100)/1000000+Carriers!$P$20/Carriers!$P$23*((CF59+FA_st_ab_losses)/365.25*short_st_duration_hrs/24)*(co2_short_st_invest*(1/co2_short_st_lifetime+$M59+co2_short_st_opex)+co2_short_st_e_demand*1000*$AU59/100)/1000000</f>
        <v>11272.324430185403</v>
      </c>
      <c r="CE59" s="63">
        <f>FA_st_nl_cost*FA_st_nl_demand/1000000+(FA_st_invest*(M59+1/FA_st_lifetime+FA_st_opex)/(Storage!$I$63/1000000)+FA_st_e_demand*1000*$AU59/100)*(CF59+FA_st_ab_losses)/1000000+Carriers!$P$18/Carriers!$P$23*((CF59+FA_st_ab_losses)/365.25*short_st_duration_hrs/24)*(h2_short_st_invest*(1/gh2_short_st_lifetime+$M59+h2_short_st_opex)+h2_short_st_e_demand*1000*$AU59/100)/1000000+Carriers!$P$20/Carriers!$P$23*((CF59+FA_st_ab_losses)/365.25*short_st_duration_hrs/24)*(co2_short_st_invest*(1/co2_short_st_lifetime+$M59+co2_short_st_opex)+co2_short_st_e_demand*1000*$AU59/100)/1000000</f>
        <v>4622.4708068486634</v>
      </c>
      <c r="CF59" s="63">
        <f>Storage!$I$57/((1-Shipping!$J$37)^($F59/24/Shipping!$J$44+0.5*Shipping!$J$59))</f>
        <v>310425396.82539684</v>
      </c>
      <c r="CG59" s="28">
        <f>IF($E59="","No Port",((F59/24/Shipping!$J$44+F59/24/Shipping!$J$50+Shipping!$J$59+Shipping!$J$64)*(Shipping!$J$22+wacc_nl*Shipping!$J$19/365.25*1000000+Shipping!$J$35)+(F59/24/Shipping!$J$44*Shipping!$J$45+Shipping!$J$64*Shipping!$J$65)*IF(bunker_choice="HFO",$H59,IF(bunker_choice="hydrogen",$BD59*hfo_e_density_lhv/h2_e_density_lhv,(CB59+CD59)*1000000/CF59*hfo_e_density_lhv/FA_e_density_lhv))+(F59/24/Shipping!$J$50*Shipping!$J$51+Shipping!$J$59*Shipping!$J$60)*IF(bunker_choice="HFO",bunker_price_ROT,IF(bunker_choice="hydrogen",$BD59*hfo_e_density_lhv/h2_e_density_lhv,(CB59+CD59)*1000000/CF59*hfo_e_density_lhv/FA_e_density_lhv))+Shipping!$J$73+IF(G59="Panama",Shipping!$J$55,0)+IF(G59="Suez",Shipping!$J$56,0))/Shipping!$J$31*CF59/1000000+IF(inland_transport_to_port="hv dc grid",$BM59/100*1000*CI59,IF(inland_transport_to_port="pipeline",$BN59,0)))</f>
        <v>7953.1098397719252</v>
      </c>
      <c r="CH59" s="28">
        <f t="shared" si="36"/>
        <v>146540.20578300854</v>
      </c>
      <c r="CI59" s="29">
        <f>((Carriers!$P$18/Carriers!$P$23*alk_el_e_demand)+FA_e_demand)*(CF59+FA_st_ab_losses)/1000000+FA_st_e_demand*CF59/1000000</f>
        <v>1897.8881241622576</v>
      </c>
      <c r="CJ59" s="29">
        <f t="shared" si="80"/>
        <v>0.46563809523809524</v>
      </c>
      <c r="CK59" s="28">
        <f>IFERROR(CH59*1000000/Storage!$I$12,"")</f>
        <v>472.06255442247902</v>
      </c>
      <c r="CL59" s="28">
        <f>IF($E59="","No Port",((F59/24/Shipping!$J$44+F59/24/Shipping!$J$50+Shipping!$J$59+Shipping!$J$64)*Carriers!$P$39*wacc_nl))</f>
        <v>135.89025352082638</v>
      </c>
      <c r="CM59" s="29">
        <f>H2_retrieval!$H$25*h2_demand_kt/1000+(co2_liq_e_demand+co2_st_e_demand*2)*Storage!$I$12*co2_density/FA_density/1000000</f>
        <v>94.204253879484654</v>
      </c>
      <c r="CN59" s="28">
        <f>IFERROR((((CB59+CD59+CG59)*(1+H2_retrieval!$H$34)+CL59)*1000000/H2_retrieval!$H$8)+h2_regen_fa,"")</f>
        <v>9481.7925578626273</v>
      </c>
      <c r="CO59" s="149">
        <f>(meoh_invest*(M59+1/meoh_lifetime)/meoh_prod+meoh_opex+meoh_e_demand*1000*$AU59/100+Carriers!$R$18/Carriers!$R$23*BD59+Carriers!$R$20/Carriers!$R$23*co2_liq_cost)*(CS59+meoh_st_ab_losses)/1000000</f>
        <v>59054.13199669015</v>
      </c>
      <c r="CP59" s="86">
        <f>(meoh_invest*(M59+1/meoh_lifetime)/meoh_prod+meoh_opex+meoh_e_demand*1000*$AU59/100+Carriers!$R$18/Carriers!$R$23*BD59+Carriers!$R$20/Carriers!$R$23*BP59)*(CS59+meoh_st_ab_losses)/1000000</f>
        <v>74078.20040621997</v>
      </c>
      <c r="CQ59" s="63">
        <f>meoh_st_nl_cost*meoh_st_nl_demand/1000000+(meoh_st_invest*(M59+1/meoh_st_lifetime+meoh_st_opex)/(Storage!$K$63/1000000)+meoh_st_e_demand*1000*$AU59/100)*(CS59+meoh_st_ab_losses)/1000000+co2_st_nl_cost*Storage!$K$12*co2_density/meoh_density/1000000+(co2_st_opex_lev+co2_st_invest_lev+co2_st_e_demand*1000*IFERROR(MIN(S59,AA59,AI59),S59)/100)*Storage!$K$12/1000000+co2_st_invest_lev*Storage!$K$12*co2_st_lifetime*M59/1000000+Carriers!$R$18/Carriers!$R$23*((CS59+meoh_st_ab_losses)/365.25*short_st_duration_hrs/24)*(h2_short_st_invest*(1/gh2_short_st_lifetime+$M59+h2_short_st_opex)+h2_short_st_e_demand*1000*$AU59/100)/1000000+Carriers!$R$20/Carriers!$R$23*((CF59+meoh_st_ab_losses)/365.25*short_st_duration_hrs/24)*(co2_short_st_invest*(1/co2_short_st_lifetime+$M59+co2_short_st_opex)+co2_short_st_e_demand*1000*$AU59/100)/1000000</f>
        <v>4595.3375390163392</v>
      </c>
      <c r="CR59" s="63">
        <f>meoh_st_nl_cost*meoh_st_nl_demand/1000000+(meoh_st_invest*(M59+1/meoh_st_lifetime+meoh_st_opex)/(Storage!$K$63/1000000)+meoh_st_e_demand*1000*$AU59/100)*(CS59+meoh_st_ab_losses)/1000000+Carriers!$R$18/Carriers!$R$23*((CS59+meoh_st_ab_losses)/365.25*short_st_duration_hrs/24)*(h2_short_st_invest*(1/gh2_short_st_lifetime+$M59+h2_short_st_opex)+h2_short_st_e_demand*1000*$AU59/100)/1000000+Carriers!$R$20/Carriers!$R$23*((CF59+meoh_st_ab_losses)/365.25*short_st_duration_hrs/24)*(co2_short_st_invest*(1/co2_short_st_lifetime+$M59+co2_short_st_opex)+co2_short_st_e_demand*1000*$AU59/100)/1000000</f>
        <v>1790.9973367013595</v>
      </c>
      <c r="CS59" s="63">
        <f>Storage!$K$57/((1-Shipping!$L$37)^($F59/24/Shipping!$L$44+0.5*Shipping!$L$59))</f>
        <v>108044444.44444443</v>
      </c>
      <c r="CT59" s="28">
        <f>IF($E59="","No Port",IF(AND(ship_choice="VLCC",G59="Panama"),"Ship cannot pass through Panama",IF(ship_choice="VLCC",((F59/24/Shipping!$AD$44+F59/24/Shipping!$AD$50+Shipping!$AD$59+Shipping!$AD$64)*(Shipping!$AD$22+wacc_nl*Shipping!$AD$19/365.25*1000000+Shipping!$AD$35)+(F59/24/Shipping!$AD$44*Shipping!$AD$45+Shipping!$AD$64*Shipping!$AD$65)*IF(bunker_choice="HFO",$H59,IF(bunker_choice="hydrogen",$BD59*hfo_e_density_lhv/h2_e_density_lhv,(CO59+CQ59)*1000000/CS59*hfo_e_density_lhv/meoh_e_density_lhv))+(F59/24/Shipping!$AD$50*Shipping!$AD$51+Shipping!$AD$59*Shipping!$AD$60)*IF(bunker_choice="HFO",bunker_price_ROT,IF(bunker_choice="hydrogen",$BD59*hfo_e_density_lhv/h2_e_density_lhv,(CO59+CQ59)*1000000/CS59*hfo_e_density_lhv/meoh_e_density_lhv))+Shipping!$AD$73+IF(G59="Panama",Shipping!$AD$55,0)+IF(G59="Suez",Shipping!$AD$56,0))/Shipping!$AD$31*CS59/1000000+IF(inland_transport_to_port="hv dc grid",$BM59/100*1000*CV59,IF(inland_transport_to_port="pipeline",$BN59,0)),((F59/24/Shipping!$L$44+F59/24/Shipping!$L$50+Shipping!$L$59+Shipping!$L$64)*(Shipping!$L$22+wacc_nl*Shipping!$L$19/365.25*1000000+Shipping!$L$35)+(F59/24/Shipping!$L$44*Shipping!$L$45+Shipping!$L$64*Shipping!$L$65)*IF(bunker_choice="HFO",$H59,IF(bunker_choice="hydrogen",$BD59*hfo_e_density_lhv/h2_e_density_lhv,(CO59+CQ59)*1000000/CS59*hfo_e_density_lhv/meoh_e_density_lhv))+(F59/24/Shipping!$L$50*Shipping!$L$51+Shipping!$L$59*Shipping!$L$60)*IF(bunker_choice="HFO",bunker_price_ROT,IF(bunker_choice="hydrogen",$BD59*hfo_e_density_lhv/h2_e_density_lhv,(CO59+CQ59)*1000000/CS59*hfo_e_density_lhv/meoh_e_density_lhv))+Shipping!$L$73+IF(G59="Panama",Shipping!$L$55,0)+IF(G59="Suez",Shipping!$L$56,0))/Shipping!$L$31*CS59/1000000+IF(inland_transport_to_port="hv dc grid",$BM59/100*1000*CV59,IF(inland_transport_to_port="pipeline",$BN59,0)))))</f>
        <v>3219.2304954326814</v>
      </c>
      <c r="CU59" s="28">
        <f t="shared" si="37"/>
        <v>79088.428238354012</v>
      </c>
      <c r="CV59" s="29">
        <f>((Carriers!$R$18/Carriers!$R$23*alk_el_e_demand)+meoh_e_demand)*(CS59+meoh_st_ab_losses)/1000000+meoh_st_e_demand*CS59/1000000</f>
        <v>1119.9789871111109</v>
      </c>
      <c r="CW59" s="29">
        <f t="shared" si="81"/>
        <v>0.16206666666666666</v>
      </c>
      <c r="CX59" s="28">
        <f>IFERROR(CU59*1000000/Storage!$K$12,"")</f>
        <v>731.99902729862845</v>
      </c>
      <c r="CY59" s="28">
        <f>IF($E59="","No Port",((F59/24/Shipping!$L$44+F59/24/Shipping!$L$50+Shipping!$L$59+Shipping!$L$64)*Carriers!$R$39*wacc_nl))</f>
        <v>48.390743342440629</v>
      </c>
      <c r="CZ59" s="29">
        <f>H2_retrieval!$J$25*h2_demand_kt/1000+(co2_liq_e_demand+co2_st_e_demand*2)*Storage!$K$12*co2_density/meoh_density/1000000</f>
        <v>251.05079059698966</v>
      </c>
      <c r="DA59" s="28">
        <f>IFERROR((((CO59+CQ59+CT59)*(1+H2_retrieval!$J$34)+CY59)*1000000/H2_retrieval!$J$8)+h2_regen_meoh,"")</f>
        <v>6090.5028648491761</v>
      </c>
      <c r="DB59" s="149">
        <f>(DBT_invest*(M59+1/DBT_lifetime)/DBT_prod+DBT_opex+DBT_e_demand*1000*$AU59/100+Carriers!$T$18/Carriers!$T$23*BD59)*(DD59+DBT_st_ab_losses)/1000000</f>
        <v>39193.573829991532</v>
      </c>
      <c r="DC59" s="28">
        <f>2*(DBT_st_nl_cost*DBT_st_nl_demand/1000000+(DBT_st_invest*(M59+1/DBT_st_lifetime+DBT_st_opex)/(Storage!$M$63/1000000)+DBT_st_e_demand*1000*$AU59/100)*(DD59+DBT_st_ab_losses)/1000000)+Carriers!$T$18/Carriers!$T$23*((DD59+DBT_st_ab_losses)/365.25*short_st_duration_hrs/24)*(h2_short_st_invest*(1/gh2_short_st_lifetime+$M59+h2_short_st_opex)+h2_short_st_e_demand*1000*$AU59/100)/1000000</f>
        <v>3762.2431454709977</v>
      </c>
      <c r="DD59" s="63">
        <f>Storage!$M$57/((1-Shipping!$N$37)^($F59/24/Shipping!$N$44+0.5*Shipping!$N$59))</f>
        <v>219354838.70967743</v>
      </c>
      <c r="DE59" s="28">
        <f>IF($E59="","No Port",IF(AND(ship_choice="VLCC",G59="Panama"),"Ship cannot pass through Panama",IF(ship_choice="VLCC",((F59/24/Shipping!$AD$44+F59/24/Shipping!$AD$50+Shipping!$AD$59+Shipping!$AD$64)*(Shipping!$AD$22+wacc_nl*Shipping!$AD$19/365.25*1000000+Shipping!$AD$35)+(F59/24/Shipping!$AD$44*Shipping!$AD$45+Shipping!$AD$64*Shipping!$AD$65)*IF(bunker_choice="HFO",$H59,IF(bunker_choice="hydrogen",$BD59*hfo_e_density_lhv/h2_e_density_lhv,(DB59+DC59)*1000000/DD59*hfo_e_density_lhv/DBT_e_density_lhv))+(F59/24/Shipping!$AD$50*Shipping!$AD$51+Shipping!$AD$59*Shipping!$AD$60)*IF(bunker_choice="HFO",bunker_price_ROT,IF(bunker_choice="hydrogen",$BD59*hfo_e_density_lhv/h2_e_density_lhv,(DB59+DC59)*1000000/DD59*hfo_e_density_lhv/DBT_e_density_lhv))+Shipping!$AD$73+IF(G59="Panama",Shipping!$AD$55,0)+IF(G59="Suez",Shipping!$AD$56,0))/Shipping!$AD$31*DD59/1000000+IF(inland_transport_to_port="hv dc grid",$BM59/100*1000*DG59,IF(inland_transport_to_port="pipeline",$BN59,0)),((F59/24/Shipping!$N$44+F59/24/Shipping!$N$50+Shipping!$N$59+Shipping!$N$64)*(Shipping!$N$22+wacc_nl*Shipping!$N$19/365.25*1000000+Shipping!$N$35)+(F59/24/Shipping!$N$44*Shipping!$N$45+Shipping!$N$64*Shipping!$N$65)*IF(bunker_choice="HFO",$H59,IF(bunker_choice="hydrogen",$BD59*hfo_e_density_lhv/h2_e_density_lhv,(DB59+DC59)*1000000/DD59*hfo_e_density_lhv/DBT_e_density_lhv))+(F59/24/Shipping!$N$50*Shipping!$N$51+Shipping!$N$59*Shipping!$N$60)*IF(bunker_choice="HFO",bunker_price_ROT,IF(bunker_choice="hydrogen",$BD59*hfo_e_density_lhv/h2_e_density_lhv,(DB59+DC59)*1000000/DD59*hfo_e_density_lhv/DBT_e_density_lhv))+Shipping!$N$73+IF(G59="Panama",Shipping!$N$55,0)+IF(G59="Suez",Shipping!$N$56,0))/Shipping!$N$31*Shipping!$N$86/1000000+IF(inland_transport_to_port="hv dc grid",$BM59/100*1000*DG59,IF(inland_transport_to_port="pipeline",$BN59,0)))))</f>
        <v>5226.263126123079</v>
      </c>
      <c r="DF59" s="28">
        <f t="shared" si="82"/>
        <v>48182.080101585605</v>
      </c>
      <c r="DG59" s="29">
        <f>((Carriers!$T$18/Carriers!$T$23*alk_el_e_demand)+DBT_e_demand)*(DD59+DBT_st_ab_losses)/1000000+DBT_st_e_demand*DD59/1000000</f>
        <v>703.88335483870969</v>
      </c>
      <c r="DH59" s="29">
        <f t="shared" si="83"/>
        <v>0.21935483870967742</v>
      </c>
      <c r="DI59" s="28">
        <f>IFERROR(DF59*1000000/Storage!$M$12,"")</f>
        <v>219.65360046311082</v>
      </c>
      <c r="DJ59" s="28">
        <f>IF($E59="","No Port",((F59/24/Shipping!$N$44+F59/24/Shipping!$N$50+Shipping!$N$59+Shipping!$N$64)*Carriers!$T$39*wacc_nl))</f>
        <v>3524.4568312621968</v>
      </c>
      <c r="DK59" s="100">
        <f>H2_retrieval!$L$25*h2_demand_kt/1000+(co2_liq_e_demand+co2_st_e_demand*2)*Storage!$M$12*co2_density/DBT_density/1000000</f>
        <v>206.61934861671787</v>
      </c>
      <c r="DL59" s="28">
        <f>IFERROR(((DF59*(1+H2_retrieval!$L$34)+DJ59)*1000000/H2_retrieval!$L$8)+h2_regen_lohc,"")</f>
        <v>4272.601025701133</v>
      </c>
      <c r="DM59" s="149">
        <f t="shared" si="84"/>
        <v>60592.321128559626</v>
      </c>
      <c r="DN59" s="16">
        <f>2*(nabh4_st_nl_cost*nabh4_st_nl_demand/1000000+(nabh4_st_invest*(M59+1/nabh4_st_lifetime+nabh4_st_opex)/(Storage!$O$63/1000000)+nabh4_st_e_demand*1000*$AU59/100)*(DO59+nabh4_st_ab_losses)/1000000)+(h2_demand_kt*1000/365.25*short_st_duration_hrs/24)*(h2_short_st_invest*(1/gh2_short_st_lifetime+$M59+h2_short_st_opex)+h2_short_st_e_demand*1000*$AU59/100)/1000000</f>
        <v>1371.5227011785703</v>
      </c>
      <c r="DO59" s="63">
        <f>Storage!$O$57/((1-Shipping!$P$37)^($F59/24/Shipping!$P$44+0.5*Shipping!$P$59))</f>
        <v>63920000</v>
      </c>
      <c r="DP59" s="16">
        <f>IF($E59="","No Port",((F59/24/Shipping!$P$44+F59/24/Shipping!$P$50+Shipping!$P$59+Shipping!$P$64)*(Shipping!$P$22+wacc_nl*Shipping!$P$19/365.25*1000000+Shipping!$P$35)+(F59/24/Shipping!$P$44*Shipping!$P$45+Shipping!$P$64*Shipping!$P$65)*IF(bunker_choice="HFO",$H59,IF(bunker_choice="hydrogen",$BD59*hfo_e_density_lhv/h2_e_density_lhv,(DM59+DN59)*1000000/DO59*hfo_e_density_lhv/nabh4_e_density_lhv))+(F59/24/Shipping!$P$50*Shipping!$P$51+Shipping!$P$59*Shipping!$P$60)*IF(bunker_choice="HFO",bunker_price_ROT,IF(bunker_choice="hydrogen",$BD59*hfo_e_density_lhv/h2_e_density_lhv,(DM59+DN59)*1000000/DO59*hfo_e_density_lhv/nabh4_e_density_lhv))+Shipping!$P$73+IF(G59="Panama",Shipping!$P$55,0)+IF(G59="Suez",Shipping!$P$56,0))/Shipping!$P$31*(DO59+nabh4_st_ab_losses)/1000000+IF(inland_transport_to_port="hv dc grid",$BM59/100*1000*DR59,IF(inland_transport_to_port="pipeline",$BN59,0)))</f>
        <v>2011.5474978596853</v>
      </c>
      <c r="DQ59" s="28">
        <f t="shared" si="60"/>
        <v>63975.391327597878</v>
      </c>
      <c r="DR59" s="29">
        <f>((Carriers!$V$18/Carriers!$V$23*alk_el_e_demand)+nabh4_e_demand)*(DO59+nabh4_st_ab_losses)/1000000+nabh4_st_e_demand*DO59/1000000</f>
        <v>980.02139682539689</v>
      </c>
      <c r="DS59" s="28">
        <f t="shared" si="85"/>
        <v>3.1960000000000002</v>
      </c>
      <c r="DT59" s="28">
        <f>IFERROR(DQ59*1000000/Storage!$O$12,"")</f>
        <v>1000.8665727096038</v>
      </c>
      <c r="DU59" s="28">
        <f>IF($E59="","No Port",((F59/24/Shipping!$P$44+F59/24/Shipping!$P$50+Shipping!$P$59+Shipping!$P$64)*Carriers!$V$39*wacc_nl))</f>
        <v>337.92132380182369</v>
      </c>
      <c r="DV59" s="100">
        <f>H2_retrieval!$N$25*h2_demand_kt/1000+(co2_liq_e_demand+co2_st_e_demand*2)*Storage!$O$12*co2_density/nabh4_density/1000000</f>
        <v>18.783638728971958</v>
      </c>
      <c r="DW59" s="28">
        <f>IFERROR(((DQ59*(1+H2_retrieval!$N$34)+DU59)*1000000/H2_retrieval!$N$8)+h2_regen_nabh4,"")</f>
        <v>4829.8757161823787</v>
      </c>
      <c r="DX59" s="149">
        <f>(Dme_invest*(M59+1/Dme_lifetime)/Dme_prod+Dme_opex+Dme_e_demand*1000*$AU59/100+Carriers!$X$21/Carriers!$X$23*(CO59*1000000/CS59))*(EB59+Dme_st_ab_losses)/1000000</f>
        <v>83339.794150318761</v>
      </c>
      <c r="DY59" s="86">
        <f>(Dme_invest*(M59+1/Dme_lifetime)/Dme_prod+Dme_opex+Dme_e_demand*1000*$AU59/100+Carriers!$X$21/Carriers!$X$23*(CP59*1000000/CS59))*(EB59+Dme_st_ab_losses)/1000000</f>
        <v>103722.40707479516</v>
      </c>
      <c r="DZ59" s="63">
        <f>Dme_st_nl_cost*Dme_st_nl_demand/1000000+(Dme_st_invest*(M59+1/Dme_st_lifetime+Dme_st_opex)/(Storage!$Q$63/1000000)+Dme_st_e_demand*1000*$AU59/100)*(EB59+Dme_st_ab_losses)/1000000+co2_st_nl_cost*Storage!$Q$12*co2_density/Dme_density/1000000+(co2_st_opex_lev+co2_st_invest_lev+co2_st_e_demand*1000*$AU59/100)*Storage!$Q$12/1000000+co2_st_invest_lev*Storage!$Q$12*co2_st_lifetime*M59/1000000+(h2_demand_kt*1000/365.25*short_st_duration_hrs/24)*(h2_short_st_invest*(1/gh2_short_st_lifetime+$M59+h2_short_st_opex)+h2_short_st_e_demand*1000*$AU59/100)/1000000</f>
        <v>5661.9135172046699</v>
      </c>
      <c r="EA59" s="63">
        <f>Dme_st_nl_cost*Dme_st_nl_demand/1000000+(Dme_st_invest*(M59+1/Dme_st_lifetime+Dme_st_opex)/(Storage!$Q$63/1000000)+Dme_st_e_demand*1000*$AU59/100)*(EB59+Dme_st_ab_losses)/1000000+(h2_demand_kt*1000/365.25*short_st_duration_hrs/24)*(h2_short_st_invest*(1/gh2_short_st_lifetime+$M59+h2_short_st_opex)+h2_short_st_e_demand*1000*$AU59/100)/1000000</f>
        <v>2742.7893441684409</v>
      </c>
      <c r="EB59" s="63">
        <f>Storage!$Q$57/((1-Shipping!$R$37)^($F59/24/Shipping!$R$44+0.5*Shipping!$R$59))</f>
        <v>103547089.94708996</v>
      </c>
      <c r="EC59" s="153">
        <f>IF($E59="","No Port",IF(AND(ship_choice="VLCC",G59="Panama"),"Ship cannot pass through Panama",IF(ship_choice="VLCC",((F59/24/Shipping!$AD$44+F59/24/Shipping!$AD$50+Shipping!$AD$59+Shipping!$AD$64)*(Shipping!$AD$22+wacc_nl*Shipping!$AD$19/365.25*1000000+Shipping!$AD$35)+(F59/24/Shipping!$AD$44*Shipping!$AD$45+Shipping!$AD$64*Shipping!$AD$65)*IF(bunker_choice="HFO",$H59,IF(bunker_choice="hydrogen",$BD59*hfo_e_density_lhv/h2_e_density_lhv,(DX59+DZ59)*1000000/EB59*hfo_e_density_lhv/Dme_e_density_lhv))+(F59/24/Shipping!$AD$50*Shipping!$AD$51+Shipping!$AD$59*Shipping!$AD$60)*IF(bunker_choice="HFO",bunker_price_ROT,IF(bunker_choice="hydrogen",$BD59*hfo_e_density_lhv/h2_e_density_lhv,(DX59+DZ59)*1000000/EB59*hfo_e_density_lhv/Dme_e_density_lhv))+Shipping!$AD$73+IF(G59="Panama",Shipping!$AD$55,0)+IF(G59="Suez",Shipping!$AD$56,0))/Shipping!$AD$31*(EB59+Dme_st_ab_losses)/1000000+IF(inland_transport_to_port="hv dc grid",$BM59/100*1000*EE59,IF(inland_transport_to_port="pipeline",$BN59,0)),((F59/24/Shipping!$R$44+F59/24/Shipping!$R$50+Shipping!$R$59+Shipping!$R$64)*(Shipping!$R$22+wacc_nl*Shipping!$R$19/365.25*1000000+Shipping!$R$35)+(F59/24/Shipping!$R$44*Shipping!$R$45+Shipping!$R$64*Shipping!$R$65)*IF(bunker_choice="HFO",$H59,IF(bunker_choice="hydrogen",$BD59*hfo_e_density_lhv/h2_e_density_lhv,(DX59+DZ59)*1000000/EB59*hfo_e_density_lhv/Dme_e_density_lhv))+(F59/24/Shipping!$R$50*Shipping!$R$51+Shipping!$R$59*Shipping!$R$60)*IF(bunker_choice="HFO",bunker_price_ROT,IF(bunker_choice="hydrogen",$BD59*hfo_e_density_lhv/h2_e_density_lhv,(DX59+DZ59)*1000000/EB59*hfo_e_density_lhv/Dme_e_density_lhv))+Shipping!$R$73+IF(G59="Panama",Shipping!$R$55,0)+IF(G59="Suez",Shipping!$R$56,0))/Shipping!$R$31*(EB59+Dme_st_ab_losses)/1000000+IF(inland_transport_to_port="hv dc grid",$BM59/100*1000*EE59,IF(inland_transport_to_port="pipeline",$BN59,0)))))</f>
        <v>3283.7647485613675</v>
      </c>
      <c r="ED59" s="28">
        <f t="shared" si="39"/>
        <v>109748.96116752498</v>
      </c>
      <c r="EE59" s="29">
        <f>(Dme_e_demand)*(EB59+Dme_st_ab_losses)/1000000+Dme_st_e_demand*DZ59/1000000+$CV59*(Carriers!$X$21/Carriers!$X$23*EB59)/$CS59</f>
        <v>1550.216816786191</v>
      </c>
      <c r="EF59" s="29">
        <f t="shared" si="86"/>
        <v>1.0354708994708997</v>
      </c>
      <c r="EG59" s="28">
        <f>IFERROR(ED59*1000000/Storage!$Q$12,"")</f>
        <v>1059.8942106784848</v>
      </c>
      <c r="EH59" s="28">
        <f>IF($E59="","No Port",((F59/24/Shipping!$R$44+F59/24/Shipping!$R$50+Shipping!$R$59+Shipping!$R$64)*Carriers!$X$39*wacc_nl))</f>
        <v>49.513325908482926</v>
      </c>
      <c r="EI59" s="100">
        <f>H2_retrieval!$P$25*h2_demand_kt/1000+(co2_liq_e_demand+co2_st_e_demand*2)*Storage!$Q$12*co2_density/Dme_density/1000000</f>
        <v>252.45335899349112</v>
      </c>
      <c r="EJ59" s="28">
        <f>IFERROR((((DX59+DZ59+EC59)*(1+H2_retrieval!$P$34)+EH59)*1000000/H2_retrieval!$P$8)+h2_regen_dme,"")</f>
        <v>7959.4657301073867</v>
      </c>
      <c r="EK59" s="149">
        <f>(ome_invest*(M59+1/ome_lifetime)/ome_prod+ome_opex+ome_e_demand*1000*$AU59/100+Carriers!$Z$21/Carriers!$Z$23*(CO59*1000000/CS59))*(EO59+ome_st_ab_losses)/1000000</f>
        <v>182329.10800669354</v>
      </c>
      <c r="EL59" s="86">
        <f>(ome_invest*(M59+1/ome_lifetime)/ome_prod+ome_opex+ome_e_demand*1000*$AU59/100+Carriers!$Z$21/Carriers!$Z$23*(CP59*1000000/CS59))*(EO59+ome_st_ab_losses)/1000000</f>
        <v>225116.18027642946</v>
      </c>
      <c r="EM59" s="63">
        <f>ome_st_nl_cost*ome_st_nl_demand/1000000+(ome_st_invest*(M59+1/ome_st_lifetime+ome_st_opex)/(Storage!$S$63/1000000)+ome_st_e_demand*1000*$AU59/100)*(EO59+ome_st_ab_losses)/1000000+co2_st_nl_cost*Storage!$S$12*co2_density/ome_density/1000000+(co2_st_opex_lev+co2_st_invest_lev+co2_st_e_demand*1000*$AU59/100)*Storage!$S$12/1000000+co2_st_invest_lev*Storage!$S$12*co2_st_lifetime*M59/1000000+(h2_demand_kt*1000/365.25*short_st_duration_hrs/24)*(h2_short_st_invest*(1/gh2_short_st_lifetime+$M59+h2_short_st_opex)+h2_short_st_e_demand*1000*$AU59/100)/1000000</f>
        <v>4904.144907462246</v>
      </c>
      <c r="EN59" s="63">
        <f>ome_st_nl_cost*ome_st_nl_demand/1000000+(ome_st_invest*(M59+1/ome_st_lifetime+ome_st_opex)/(Storage!$S$63/1000000)+ome_st_e_demand*1000*$AU59/100)*(EO59+ome_st_ab_losses)/1000000+(h2_demand_kt*1000/365.25*short_st_duration_hrs/24)*(h2_short_st_invest*(1/gh2_short_st_lifetime+$M59+h2_short_st_opex)+h2_short_st_e_demand*1000*$AU59/100)/1000000</f>
        <v>1626.6647820672185</v>
      </c>
      <c r="EO59" s="63">
        <f>Storage!$S$57/((1-Shipping!$T$37)^($F59/24/Shipping!$T$44+0.5*Shipping!$T$59))</f>
        <v>128282539.68253967</v>
      </c>
      <c r="EP59" s="28">
        <f>IF($E59="","No Port",IF(AND(ship_choice="VLCC",G59="Panama"),"Ship cannot pass through Panama",IF(ship_choice="VLCC",((F59/24/Shipping!$AD$44+F59/24/Shipping!$AD$50+Shipping!$AD$59+Shipping!$AD$64)*(Shipping!$AD$22+wacc_nl*Shipping!$AD$19/365.25*1000000+Shipping!$AD$35)+(F59/24/Shipping!$AD$44*Shipping!$AD$45+Shipping!$AD$64*Shipping!$AD$65)*IF(bunker_choice="HFO",$H59,IF(bunker_choice="hydrogen",$BD59*hfo_e_density_lhv/h2_e_density_lhv,(EK59+EM59)*1000000/EO59*hfo_e_density_lhv/Dme_e_density_lhv))+(F59/24/Shipping!$AD$50*Shipping!$AD$51+Shipping!$AD$59*Shipping!$AD$60)*IF(bunker_choice="HFO",bunker_price_ROT,IF(bunker_choice="hydrogen",$BD59*hfo_e_density_lhv/h2_e_density_lhv,(EK59+EM59)*1000000/EO59*hfo_e_density_lhv/ome_e_density_lhv))+Shipping!$AD$73+IF(G59="Panama",Shipping!$AD$55,0)+IF(G59="Suez",Shipping!$AD$56,0))/Shipping!$AD$31*(EO59+ome_st_ab_losses)/1000000+IF(inland_transport_to_port="hv dc grid",$BM59/100*1000*ER59,IF(inland_transport_to_port="pipeline",$BN59,0)),((F59/24/Shipping!$T$44+F59/24/Shipping!$T$50+Shipping!$T$59+Shipping!$T$64)*(Shipping!$T$22+wacc_nl*Shipping!$T$19/365.25*1000000+Shipping!$T$35)+(F59/24/Shipping!$T$44*Shipping!$T$45+Shipping!$T$64*Shipping!$T$65)*IF(bunker_choice="HFO",$H59,IF(bunker_choice="hydrogen",$BD59*hfo_e_density_lhv/h2_e_density_lhv,(EK59+EM59)*1000000/EO59*hfo_e_density_lhv/Dme_e_density_lhv))+(F59/24/Shipping!$T$50*Shipping!$T$51+Shipping!$T$59*Shipping!$T$60)*IF(bunker_choice="HFO",bunker_price_ROT,IF(bunker_choice="hydrogen",$BD59*hfo_e_density_lhv/h2_e_density_lhv,(EK59+EM59)*1000000/EO59*hfo_e_density_lhv/ome_e_density_lhv))+Shipping!$T$73+IF(G59="Panama",Shipping!$T$55,0)+IF(G59="Suez",Shipping!$T$56,0))/Shipping!$T$31*(EO59+ome_st_ab_losses)/1000000+IF(inland_transport_to_port="hv dc grid",$BM59/100*1000*ER59,IF(inland_transport_to_port="pipeline",$BN59,0)))))</f>
        <v>3491.6173403725356</v>
      </c>
      <c r="EQ59" s="28">
        <f t="shared" si="40"/>
        <v>230234.46239886919</v>
      </c>
      <c r="ER59" s="29">
        <f>(ome_e_demand)*(EO59+ome_st_ab_losses)/1000000+ome_st_e_demand*EM59/1000000+$CV59*(Carriers!$Z$21/Carriers!$Z$23*EO59)/$CS59</f>
        <v>3352.0814574970009</v>
      </c>
      <c r="ES59" s="29">
        <f t="shared" si="87"/>
        <v>0.1924238095238095</v>
      </c>
      <c r="ET59" s="28">
        <f>IFERROR(EQ59*1000000/Storage!$S$12,"")</f>
        <v>1794.7451225133957</v>
      </c>
      <c r="EU59" s="28">
        <f>IF($E59="","No Port",((F59/24/Shipping!$T$44+F59/24/Shipping!$T$50+Shipping!$T$59+Shipping!$T$64)*Carriers!$Z$39*wacc_nl))</f>
        <v>57.45494351897171</v>
      </c>
      <c r="EV59" s="100">
        <f>H2_retrieval!$R$25*h2_demand_kt/1000+(co2_liq_e_demand+co2_st_e_demand*2)*Storage!$S$12*co2_density/ome_density/1000000</f>
        <v>254.51942895252085</v>
      </c>
      <c r="EW59" s="28">
        <f>IFERROR((((EK59+EM59+EP59)*(1+H2_retrieval!$R$34)+EU59)*1000000/H2_retrieval!$R$8)+h2_regen_ome,"")</f>
        <v>15198.240690111355</v>
      </c>
      <c r="EX59" s="149">
        <f>(sng_invest*(M59+1/sng_lifetime)/sng_prod+lng_invest*(M59+1/lng_lifetime)/lng_prod+sng_opex+lng_opex+(sng_e_demand+lng_e_demand)*1000*$AU59/100+Carriers!$AB$18/Carriers!$AB$23*BD59+Carriers!$AB$20/Carriers!$AB$23*co2_liq_cost)*(FB59+lng_st_ab_losses)/1000000</f>
        <v>63225.681002364632</v>
      </c>
      <c r="EY59" s="86">
        <f>(sng_invest*(M59+1/sng_lifetime)/sng_prod+lng_invest*(M59+1/lng_lifetime)/lng_prod+sng_opex+lng_opex+(sng_e_demand+lng_e_demand)*1000*$AU59/100+Carriers!$AB$18/Carriers!$AB$23*BD59+Carriers!$AB$20/Carriers!$AB$23*BP59)*(FB59+lng_st_ab_losses)/1000000</f>
        <v>74413.912476223049</v>
      </c>
      <c r="EZ59" s="63">
        <f>lng_st_nl_cost*lng_st_nl_demand/1000000+(lng_st_invest*(M59+1/lng_st_lifetime+lng_st_opex)/(Storage!$U$63/1000000)+lng_st_e_demand*1000*$AU59/100)*(FB59+lng_st_ab_losses)/1000000+co2_st_nl_cost*Storage!$U$12*co2_density/lng_density/1000000+(co2_st_opex_lev+co2_st_invest_lev+co2_st_e_demand*1000*$AU59/100)*Storage!$U$12/1000000+co2_st_invest_lev*Storage!$U$12*co2_st_lifetime*M59/1000000+Carriers!$AB$18/Carriers!$AB$23*((FB59+lng_st_ab_losses)/365.25*short_st_duration_hrs/24)*(h2_short_st_invest*(1/gh2_short_st_lifetime+$M59+h2_short_st_opex)+h2_short_st_e_demand*1000*$AU59/100)/1000000+Carriers!$AB$20/Carriers!$AB$23*((FB59+lng_st_ab_losses)/365.25*short_st_duration_hrs/24)*(co2_short_st_invest*(1/co2_short_st_lifetime+$M59+co2_short_st_opex)+co2_short_st_e_demand*1000*$AU59/100)/1000000</f>
        <v>5847.5812553480855</v>
      </c>
      <c r="FA59" s="63">
        <f>lng_st_nl_cost*lng_st_nl_demand/1000000+(lng_st_invest*(M59+1/lng_st_lifetime+lng_st_opex)/(Storage!$U$63/1000000)+lng_st_e_demand*1000*$AU59/100)*(FB59+lng_st_ab_losses)/1000000+Carriers!$AB$18/Carriers!$AB$23*((FB59+lng_st_ab_losses)/365.25*short_st_duration_hrs/24)*(h2_short_st_invest*(1/gh2_short_st_lifetime+$M59+h2_short_st_opex)+h2_short_st_e_demand*1000*$AU59/100)/1000000+Carriers!$AB$20/Carriers!$AB$23*((FB59+lng_st_ab_losses)/365.25*short_st_duration_hrs/24)*(co2_short_st_invest*(1/co2_short_st_lifetime+$M59+co2_short_st_opex)+co2_short_st_e_demand*1000*$AU59/100)/1000000</f>
        <v>4265.7747488261193</v>
      </c>
      <c r="FB59" s="63">
        <f>Storage!$U$57/((1-Shipping!$V$37)^($F59/24/Shipping!$V$44+0.5*Shipping!$V$59))</f>
        <v>40996225.748491429</v>
      </c>
      <c r="FC59" s="28">
        <f>IF($E59="","No Port",IF(G59="Panama","Ship cannot pass through Panama",((F59/24/Shipping!$V$44+F59/24/Shipping!$V$50+Shipping!$V$59+Shipping!$V$64)*(Shipping!$V$22+wacc_nl*Shipping!$V$19/365.25*1000000+Shipping!$V$35)+(F59/24/Shipping!$V$44*Shipping!$V$45+Shipping!$V$64*Shipping!$V$65)*IF(bunker_choice="HFO",$H59,IF(bunker_choice="hydrogen",$BD59*hfo_e_density_lhv/h2_e_density_lhv,(EX59+EZ59)*1000000/FB59*hfo_e_density_lhv/lng_e_density_lhv))+(F59/24/Shipping!$V$50*Shipping!$V$51+Shipping!$V$59*Shipping!$V$60)*IF(bunker_choice="HFO",bunker_price_ROT,IF(bunker_choice="hydrogen",$BD59*hfo_e_density_lhv/h2_e_density_lhv,(EX59+EZ59)*1000000/FB59*hfo_e_density_lhv/lng_e_density_lhv))+Shipping!$V$73+IF(G59="Panama",Shipping!$V$55,0)+IF(G59="Suez",Shipping!$V$56,0))/Shipping!$V$31*(FB59+lng_st_ab_losses)/1000000)+IF(inland_transport_to_port="hv dc grid",$BM59/100*1000*FE59,IF(inland_transport_to_port="pipeline",$BN59,0)))</f>
        <v>1794.3372894386084</v>
      </c>
      <c r="FD59" s="28">
        <f t="shared" si="41"/>
        <v>80474.024514487784</v>
      </c>
      <c r="FE59" s="29">
        <f>((Carriers!$AB$18/Carriers!$AB$23*alk_el_e_demand)+sng_e_demand+lng_e_demand)*(FB59+lng_st_ab_losses)/1000000+lng_st_e_demand*EZ59/1000000</f>
        <v>1099.4936856030779</v>
      </c>
      <c r="FF59" s="29">
        <f t="shared" si="88"/>
        <v>0.8126185861001558</v>
      </c>
      <c r="FG59" s="28">
        <f>IFERROR(FD59*1000000/Storage!$U$12,"")</f>
        <v>1982.8940646169938</v>
      </c>
      <c r="FH59" s="28">
        <f>IF($E59="","No Port",((F59/24/Shipping!$V$44+F59/24/Shipping!$V$50+Shipping!$V$59+Shipping!$V$64)*Carriers!$AB$39*wacc_nl))</f>
        <v>17.228637006589203</v>
      </c>
      <c r="FI59" s="100">
        <f>H2_retrieval!$T$25*h2_demand_kt/1000+(co2_liq_e_demand+co2_st_e_demand*2)*Storage!$U$12*co2_density/lng_density/1000000</f>
        <v>236.51371749646054</v>
      </c>
      <c r="FJ59" s="28">
        <f>IFERROR((((EX59+EZ59+FC59)*(1+H2_retrieval!$T$34)+FH59)*1000000/H2_retrieval!$T$8)+h2_regen_lng,"")</f>
        <v>6382.2482626194924</v>
      </c>
      <c r="FK59" s="149">
        <f>(lh2_invest*(M59+1/lh2_lifetime)/lh2_prod+lh2_opex+lh2_e_demand*1000*$AU59/100+Carriers!$AD$18/Carriers!$AD$23*BD59)*(FM59+lh2_st_ab_losses)/1000000</f>
        <v>49628.979023850457</v>
      </c>
      <c r="FL59" s="28">
        <f>lh2_st_nl_cost*lh2_st_nl_demand/1000000+(lh2_st_invest*(M59+1/lh2_st_lifetime+lh2_st_opex)/(Storage!$Y$63/1000000)+lh2_st_e_demand*1000*$AU59/100)*(FM59+lh2_st_ab_losses)/1000000+((FM59+lh2_st_ab_losses)/365.25*short_st_duration_hrs/24)*(h2_short_st_invest*(1/gh2_short_st_lifetime+$M59+h2_short_st_opex)+h2_short_st_e_demand*1000*$AU59/100)/1000000</f>
        <v>49862.436367680384</v>
      </c>
      <c r="FM59" s="63">
        <f>Storage!$Y$57/((1-Shipping!$Z$37)^($F59/24/Shipping!$Z$44+0.5*Shipping!$Z$59))</f>
        <v>13815535.843077352</v>
      </c>
      <c r="FN59" s="28">
        <f>IF($E59="","No Port",IF(G59="Panama","Ship cannot pass through Panama",((F59/24/Shipping!$Z$44+F59/24/Shipping!$Z$50+Shipping!$Z$59+Shipping!$Z$64)*(Shipping!$Z$22+wacc_nl*Shipping!$Z$19/365.25*1000000+Shipping!$Z$35)+(F59/24/Shipping!$Z$44*Shipping!$Z$45+Shipping!$Z$64*Shipping!$Z$65)*IF(bunker_choice="HFO",$H59,IF(bunker_choice="hydrogen",$BD59*hfo_e_density_lhv/h2_e_density_lhv,(FK59+FL59)*1000000/FM59*hfo_e_density_lhv/lh2_e_density_lhv))+(F59/24/Shipping!$Z$50*Shipping!$Z$51+Shipping!$Z$59*Shipping!$Z$60)*IF(bunker_choice="HFO",bunker_price_ROT,IF(bunker_choice="hydrogen",$BD59*hfo_e_density_lhv/h2_e_density_lhv,(FK59+FL59)*1000000/FM59*hfo_e_density_lhv/lh2_e_density_lhv))+Shipping!$Z$73+IF(G59="Panama",Shipping!$Z$55,0)+IF(G59="Suez",Shipping!$Z$56,0))/Shipping!$Z$31*(FM59+lh2_st_ab_losses)/1000000)+IF(inland_transport_to_port="hv dc grid",$BM59/100*1000*FP59,IF(inland_transport_to_port="pipeline",$BN59,0)))</f>
        <v>2537.2369854463855</v>
      </c>
      <c r="FO59" s="28">
        <f t="shared" si="42"/>
        <v>102028.65237697723</v>
      </c>
      <c r="FP59" s="29">
        <f>((Carriers!$AD$18/Carriers!$AD$23*alk_el_e_demand)+lh2_e_demand)*(FM59+lh2_st_ab_losses)/1000000+lh2_st_e_demand*FM59/1000000</f>
        <v>800.60411238889014</v>
      </c>
      <c r="FQ59" s="100">
        <f t="shared" si="89"/>
        <v>1.361902463475859</v>
      </c>
      <c r="FR59" s="28">
        <f>IFERROR(FO59*1000000/Storage!$Y$12,"")</f>
        <v>7502.1067924247964</v>
      </c>
      <c r="FS59" s="100">
        <f>H2_retrieval!$V$25*h2_demand_kt/1000</f>
        <v>8.16</v>
      </c>
      <c r="FT59" s="28">
        <f>IFERROR(FR59*(1+H2_retrieval!$V$34)/Carrier_properties!$U$7+H2_retrieval!$V$38,"")</f>
        <v>7534.0755182932635</v>
      </c>
      <c r="FU59" s="12"/>
      <c r="FV59" s="24">
        <f t="shared" si="90"/>
        <v>2.8212375151903162</v>
      </c>
      <c r="FW59" s="24">
        <f t="shared" si="57"/>
        <v>4.3038772209264353</v>
      </c>
      <c r="FX59" s="24">
        <f t="shared" si="58"/>
        <v>6.1022224811716148</v>
      </c>
      <c r="FY59" s="24">
        <f t="shared" si="45"/>
        <v>2.8212375151903162</v>
      </c>
      <c r="FZ59" s="28">
        <f t="shared" si="59"/>
        <v>2659.4305702358629</v>
      </c>
      <c r="GA59" s="28">
        <f t="shared" si="47"/>
        <v>608.92385064211692</v>
      </c>
      <c r="GB59" s="28">
        <f t="shared" si="48"/>
        <v>431.55175609468012</v>
      </c>
      <c r="GC59" s="28">
        <f t="shared" si="49"/>
        <v>685.62711194568055</v>
      </c>
      <c r="GD59" s="28">
        <f t="shared" si="50"/>
        <v>1001.6931149662902</v>
      </c>
      <c r="GE59" s="28">
        <f t="shared" si="51"/>
        <v>1754.8466130583604</v>
      </c>
      <c r="GF59" s="28">
        <f t="shared" si="52"/>
        <v>1815.140567640213</v>
      </c>
      <c r="GG59" s="12"/>
      <c r="GH59" s="12"/>
      <c r="GI59" s="12"/>
      <c r="GJ59" s="12"/>
      <c r="GK59" s="12"/>
      <c r="GL59" s="12"/>
      <c r="GM59" s="12"/>
      <c r="GN59" s="12"/>
      <c r="GO59" s="12"/>
      <c r="GP59" s="12"/>
      <c r="GQ59" s="12"/>
      <c r="GR59" s="12"/>
      <c r="GS59" s="12"/>
      <c r="GT59" s="12"/>
      <c r="GU59" s="12"/>
      <c r="GV59" s="12"/>
      <c r="GW59" s="12"/>
      <c r="GX59" s="12"/>
      <c r="GY59" s="12"/>
      <c r="GZ59" s="12"/>
      <c r="HA59" s="12"/>
      <c r="HB59" s="12"/>
      <c r="HC59" s="12"/>
      <c r="HD59" s="12"/>
      <c r="HE59" s="12"/>
      <c r="HF59" s="12"/>
    </row>
    <row r="60" spans="1:214" x14ac:dyDescent="0.2">
      <c r="A60" s="40" t="s">
        <v>64</v>
      </c>
      <c r="B60" s="12">
        <v>7382</v>
      </c>
      <c r="C60" s="12">
        <v>0</v>
      </c>
      <c r="D60" s="12">
        <f t="shared" si="61"/>
        <v>1</v>
      </c>
      <c r="E60" s="12" t="s">
        <v>728</v>
      </c>
      <c r="F60" s="12">
        <v>3985</v>
      </c>
      <c r="G60" s="12"/>
      <c r="H60" s="16">
        <f t="shared" si="62"/>
        <v>382.75862068965517</v>
      </c>
      <c r="I60" s="16">
        <v>340</v>
      </c>
      <c r="J60" s="16">
        <f t="shared" si="31"/>
        <v>10.403141895720198</v>
      </c>
      <c r="K60" s="27">
        <f t="shared" si="32"/>
        <v>12.483770274864238</v>
      </c>
      <c r="L60" s="103">
        <v>0.11</v>
      </c>
      <c r="M60" s="103">
        <f t="shared" si="63"/>
        <v>0.11921610580293837</v>
      </c>
      <c r="N60" s="122">
        <f t="shared" si="33"/>
        <v>0.9</v>
      </c>
      <c r="O60" s="46">
        <f t="shared" si="64"/>
        <v>40</v>
      </c>
      <c r="P60" s="70">
        <f t="array" ref="P60">SUMPRODUCT(IF(Solar_data!A$4:A$777=A60,Solar_data!C$4:C$777),IF(Solar_data!A$4:A$777=A60,Solar_data!I$4:I$777))/SUMIF(Solar_data!A$4:A$777,A60,Solar_data!I$4:I$777)</f>
        <v>1916.2499999999998</v>
      </c>
      <c r="Q60" s="16">
        <f t="array" ref="Q60">MAX(IF(Solar_data!$A$777:'Solar_data'!$A$4=Country_details!$A60,Solar_data!$C$4:'Solar_data'!$C$777))</f>
        <v>1916.25</v>
      </c>
      <c r="R60" s="16">
        <f t="array" ref="R60">MIN(IF(Solar_data!$A$777:'Solar_data'!$A$4=Country_details!A60,Solar_data!$C$4:'Solar_data'!$C$777))</f>
        <v>1916.25</v>
      </c>
      <c r="S60" s="24">
        <f t="shared" si="65"/>
        <v>2.2710538248907932</v>
      </c>
      <c r="T60" s="24">
        <f t="shared" si="66"/>
        <v>2.2710538248907928</v>
      </c>
      <c r="U60" s="24">
        <f t="shared" si="67"/>
        <v>2.2710538248907928</v>
      </c>
      <c r="V60" s="16">
        <f t="array" ref="V60">SUM(IF(Solar_data!$A$777:'Solar_data'!$A$4=Country_details!$A60,Solar_data!$I$4:'Solar_data'!$I$777))</f>
        <v>1.3682587517309701</v>
      </c>
      <c r="W60" s="148"/>
      <c r="X60" s="16" t="str">
        <f>IFERROR(INDEX(Onshore_wind_data!$J$5:'Onshore_wind_data'!$J$221,MATCH(A60,Onshore_wind_data!$B$5:'Onshore_wind_data'!$B$221,0)),"")</f>
        <v/>
      </c>
      <c r="Y60" s="16" t="str">
        <f>IFERROR(INDEX(Onshore_wind_data!$K$5:'Onshore_wind_data'!$K$221,MATCH(A60,Onshore_wind_data!$B$5:'Onshore_wind_data'!$B$221,0)),"")</f>
        <v/>
      </c>
      <c r="Z60" s="16" t="str">
        <f>IFERROR(INDEX(Onshore_wind_data!$L$5:'Onshore_wind_data'!$L$221,MATCH(A60,Onshore_wind_data!$B$5:'Onshore_wind_data'!$B$221,0)),"")</f>
        <v/>
      </c>
      <c r="AA60" s="24" t="str">
        <f t="shared" si="68"/>
        <v/>
      </c>
      <c r="AB60" s="24" t="str">
        <f t="shared" si="69"/>
        <v/>
      </c>
      <c r="AC60" s="24" t="str">
        <f t="shared" si="70"/>
        <v/>
      </c>
      <c r="AD60" s="16">
        <f>IFERROR(INDEX(Onshore_wind_data!$I$5:'Onshore_wind_data'!$I$221,MATCH(A60,Onshore_wind_data!$B$5:'Onshore_wind_data'!$B$221,0)),"")</f>
        <v>0</v>
      </c>
      <c r="AE60" s="148"/>
      <c r="AF60" s="16" t="e">
        <f>INDEX(Offshore_wind_data!$AA$7:$AA$192,MATCH(Country_details!A60,Offshore_wind_data!$A$7:$A$192,0))</f>
        <v>#N/A</v>
      </c>
      <c r="AG60" s="16" t="e">
        <f>INDEX(Offshore_wind_data!$Y$7:$Y$192,MATCH(Country_details!A60,Offshore_wind_data!$A$7:$A$192,0))</f>
        <v>#N/A</v>
      </c>
      <c r="AH60" s="16" t="e">
        <f>INDEX(Offshore_wind_data!$Z$7:$Z$192,MATCH(Country_details!A60,Offshore_wind_data!$A$7:$A$192,0))</f>
        <v>#N/A</v>
      </c>
      <c r="AI60" s="24" t="e">
        <f t="shared" si="71"/>
        <v>#N/A</v>
      </c>
      <c r="AJ60" s="24" t="e">
        <f t="shared" si="72"/>
        <v>#N/A</v>
      </c>
      <c r="AK60" s="24" t="e">
        <f t="shared" si="73"/>
        <v>#N/A</v>
      </c>
      <c r="AL60" s="16" t="e">
        <f>INDEX(Offshore_wind_data!$W$7:$W$191,MATCH(A60,Offshore_wind_data!$A$7:$A$191,0))</f>
        <v>#N/A</v>
      </c>
      <c r="AM60" s="148"/>
      <c r="AN60" s="12">
        <v>0.1</v>
      </c>
      <c r="AO60" s="12">
        <v>0.1</v>
      </c>
      <c r="AP60" s="34"/>
      <c r="AQ60" s="15">
        <f t="shared" si="74"/>
        <v>50</v>
      </c>
      <c r="AR60" s="12">
        <f t="shared" si="34"/>
        <v>5</v>
      </c>
      <c r="AS60" s="16">
        <f t="shared" si="35"/>
        <v>-3.6317412482690301</v>
      </c>
      <c r="AT60" s="12"/>
      <c r="AU60" s="24">
        <f t="shared" si="75"/>
        <v>2.2710538248907932</v>
      </c>
      <c r="AV60" s="16">
        <f t="shared" si="76"/>
        <v>1916.2499999999998</v>
      </c>
      <c r="AW60" s="149">
        <f>HV_DC_Grid!$E$3/(1-AX60)*AU60/100*1000</f>
        <v>2662.8756370143665</v>
      </c>
      <c r="AX60" s="31">
        <f>(1-(1-HV_DC_Grid!$E$25)^(B60*C60*HV_DC_Grid!$E$8/1000))+(1-(1-HV_DC_Grid!$E$26)^(B60*D60*HV_DC_Grid!$E$8/1000))+HV_DC_Grid!$E$35*HV_DC_Grid!$E$28</f>
        <v>0.14714236244351475</v>
      </c>
      <c r="AY60" s="28">
        <f>B60*nl_e_demand/IF(hv_dc_flh="electricity FLH",$AV60,hv_dc_custom)*1000*hv_dc_capacity_multiplier*hv_dc_length_multiplier*1000*(C60*hv_dc_overhead_invest*(hv_dc_overhead_opex+M60+1/hv_dc_lifetime)+D60*hv_dc_sea_invest*(hv_dc_sea_opex+M60+1/hv_dc_lifetime))/1000000+HV_DC_Grid!$E$10*1000*hv_dc_station_invest*hv_dc_station_number*(hv_dc_station_opex+M60+1/hv_dc_lifetime)/1000000</f>
        <v>19274.071676776075</v>
      </c>
      <c r="AZ60" s="24">
        <f>(AW60+AY60)/(HV_DC_Grid!$E$3*1000)*100</f>
        <v>21.936947313790441</v>
      </c>
      <c r="BA60" s="28">
        <f>MIN(((Carriers!$F$26+Carriers!$F$27)*(alk_el_opex+wacc_nl+1/alk_el_lifetime)+IF(hv_dc_flh="electricity FLH",$AV60,hv_dc_custom)*AZ60/100)/(IF(hv_dc_flh="electricity FLH",$AV60,hv_dc_custom)/alk_el_e_demand)*1000,((Carriers!$H$26+Carriers!$H$27)*(pem_el_opex+wacc_nl+1/pem_el_lifetime)+IF(hv_dc_flh="electricity FLH",$AV60,hv_dc_custom)*AZ60/100)/(IF(hv_dc_flh="electricity FLH",$AV60,hv_dc_custom)/pem_el_e_demand)*1000)</f>
        <v>11472.33746233485</v>
      </c>
      <c r="BB60" s="12"/>
      <c r="BC60" s="12"/>
      <c r="BD60" s="149">
        <f>MIN(((Carriers!$F$26+Carriers!$F$27)*(alk_el_opex+M60+1/alk_el_lifetime)+$AV60*$AU60/100)/($AV60/alk_el_e_demand)*1000,((Carriers!$H$26+Carriers!$H$27)*(pem_el_opex+M60+1/pem_el_lifetime)+$AV60*$AU60/100)/($AV60/pem_el_e_demand)*1000)</f>
        <v>2879.4375532126614</v>
      </c>
      <c r="BE60" s="28">
        <f>Storage!$AC$50</f>
        <v>8.1664117557772418</v>
      </c>
      <c r="BF60" s="28">
        <f>((Pipeline!$D$22*Pipeline!$D$24*B60*(pipeline_opex+M60+1/pipeline_lifetime))*(Pipeline!$D$39/Pipeline!$D$3)+(Pipeline!$D$57*(pipeline_comp_opex+M60+1/pipeline_comp_lifetime)+Pipeline!$D$47*1000*Pipeline!$D$45*$AU60/100/1000000))*(Pipeline!$D$75/Pipeline!$D$45)</f>
        <v>16069.634479338762</v>
      </c>
      <c r="BG60" s="28">
        <f>BD60+(BE60+BF60)/Storage!$AC$12*1000000</f>
        <v>4061.628795204907</v>
      </c>
      <c r="BH60" s="28"/>
      <c r="BI60" s="28"/>
      <c r="BJ60" s="28">
        <f>IF($E60="","No Port",BK60*HV_DC_Grid!$E$3*$AU60/100*1000)</f>
        <v>32.343434268424076</v>
      </c>
      <c r="BK60" s="31">
        <f>IFERROR((1-(1-HV_DC_Grid!$E$25)^(K60*HV_DC_Grid!$E$8/1000))+HV_DC_Grid!$E$35*HV_DC_Grid!$E$28,"")</f>
        <v>1.4241597409070371E-2</v>
      </c>
      <c r="BL60" s="28">
        <f>IFERROR(K60*nl_e_demand/IF(hv_dc_flh="electricity FLH",$AV60,hv_dc_custom)*1000*hv_dc_capacity_multiplier*hv_dc_length_multiplier*1000*(hv_dc_overhead_invest*(hv_dc_overhead_opex+M60+1/hv_dc_lifetime))/1000000+HV_DC_Grid!$E$10*1000*hv_dc_station_invest*hv_dc_station_number*(hv_dc_station_opex+M60+1/hv_dc_lifetime)/1000000,"")</f>
        <v>417.29556706990536</v>
      </c>
      <c r="BM60" s="29">
        <f>IFERROR((BJ60+BL60)/(HV_DC_Grid!$E$3*1000)*100,"")</f>
        <v>0.4496390013383294</v>
      </c>
      <c r="BN60" s="28">
        <f>IFERROR(((Pipeline!$D$22*Pipeline!$D$24*K60*(pipeline_opex+M60+1/pipeline_lifetime))*(Pipeline!$D$39/Pipeline!$D$3)+(Pipeline!$D$57*(pipeline_comp_opex+M60+1/pipeline_comp_lifetime)+Pipeline!$D$47*1000*Pipeline!$D$45*S60/100/1000000))*(Pipeline!$D$75/Pipeline!$D$45),"")</f>
        <v>102.9853743206878</v>
      </c>
      <c r="BO60" s="28"/>
      <c r="BP60" s="150">
        <f t="shared" si="77"/>
        <v>108.59884893836855</v>
      </c>
      <c r="BQ60" s="34">
        <f t="shared" si="78"/>
        <v>32.55148279931813</v>
      </c>
      <c r="BR60" s="151">
        <f>(nh3_invest*(M60+1/nh3_lifetime)/nh3_prod+nh3_opex+nh3_e_demand*1000*$AU60/100+Carriers!$N$18/Carriers!$N$23*BD60+Carriers!$N$19/Carriers!$N$23*BQ60)*(BT60+nh3_st_ab_losses)/1000000</f>
        <v>51201.123676571544</v>
      </c>
      <c r="BS60" s="63">
        <f>nh3_st_nl_cost*nh3_st_nl_demand/1000000+(nh3_st_invest*(M60+1/nh3_st_lifetime+nh3_st_opex)/(Storage!$G$63/1000000)+nh3_st_e_demand*1000*$AU60/100)*(BT60+nh3_st_ab_losses)/1000000+Carriers!$N$18/Carriers!$N$23*((BT60+nh3_st_ab_losses)/365.25*short_st_duration_hrs/24)*(h2_short_st_invest*(1/gh2_short_st_lifetime+$M60+h2_short_st_opex)+h2_short_st_e_demand*1000*$AU60/100)/1000000+Carriers!$N$19/Carriers!$N$23*((BT60+nh3_st_ab_losses)/365.25*short_st_duration_hrs/24)*(n2_short_st_invest*(1/n2_short_st_lifetime+$M60+n2_short_st_opex)+n2_short_st_e_demand*1000*$AU60/100)/1000000</f>
        <v>3357.2455005107909</v>
      </c>
      <c r="BT60" s="63">
        <f>Storage!$G$57/((1-Shipping!$H$37)^(F60/24/Shipping!$H$44+0.5*Shipping!$H$59))</f>
        <v>78817284.136090055</v>
      </c>
      <c r="BU60" s="63">
        <f>IF($E60="","No Port",((F60/24/Shipping!$H$44+F60/24/Shipping!$H$50+Shipping!$H$59+Shipping!$H$64)*(Shipping!$H$22+wacc_nl*Shipping!$H$19/365.25*1000000+Shipping!$H$35)+(F60/24/Shipping!$H$44*Shipping!$H$45+Shipping!$H$64*Shipping!$H$65)*IF(bunker_choice="HFO",H60,IF(bunker_choice="hydrogen",BD60*hfo_e_density_lhv/h2_e_density_lhv,(BR60+BS60)*1000000/BT60*hfo_e_density_lhv/nh3_e_density_lhv))+(F60/24/Shipping!$H$50*Shipping!$H$51+Shipping!$H$59*Shipping!$H$60)*IF(bunker_choice="HFO",bunker_price_ROT,IF(bunker_choice="hydrogen",BD60*hfo_e_density_lhv/h2_e_density_lhv,(BR60+BS60)*1000000/BT60*hfo_e_density_lhv/nh3_e_density_lhv))+Shipping!$H$73+IF(G60="Panama",Shipping!$H$55,0)+IF(G60="Suez",Shipping!$H$56,0))/Shipping!$H$31*BT60/1000000+IF(inland_transport_to_port="hv dc grid",$BM60/100*1000*BW60,IF(inland_transport_to_port="pipeline",$BN60,0)))</f>
        <v>2820.5952926212944</v>
      </c>
      <c r="BV60" s="63">
        <f t="shared" si="91"/>
        <v>57378.964469703627</v>
      </c>
      <c r="BW60" s="33">
        <f>((Carriers!$N$18/Carriers!$N$23*alk_el_e_demand)+(Carriers!$N$19/Carriers!$N$23*n2_e_demand)+nh3_e_demand)*(BT60+nh3_st_ab_losses)/1000000+nh3_st_e_demand*BT60/1000000</f>
        <v>778.34233691675593</v>
      </c>
      <c r="BX60" s="33">
        <f t="shared" si="79"/>
        <v>0.76626754477640768</v>
      </c>
      <c r="BY60" s="63">
        <f>IFERROR(BV60*1000000/Storage!$G$12,"")</f>
        <v>749.43500419988288</v>
      </c>
      <c r="BZ60" s="63">
        <f>H2_retrieval!$F$25*h2_demand_kt/1000</f>
        <v>80</v>
      </c>
      <c r="CA60" s="63">
        <f>IFERROR(BY60*(1+H2_retrieval!$F$34)/Carrier_properties!$E$7+H2_retrieval!$F$38,"")</f>
        <v>4628.2674847690023</v>
      </c>
      <c r="CB60" s="149">
        <f>(FA_invest*(M60+1/FA_lifetime)/FA_prod+FA_opex+FA_e_demand*1000*$AU60/100+Carriers!$P$18/Carriers!$P$23*BD60+Carriers!$P$20/Carriers!$P$23*co2_liq_cost)*(CF60+FA_st_ab_losses)/1000000</f>
        <v>99999.802967102369</v>
      </c>
      <c r="CC60" s="86">
        <f>(FA_invest*(M60+1/FA_lifetime)/FA_prod+FA_opex+FA_e_demand*1000*$AU60/100+Carriers!$P$18/Carriers!$P$23*BD60+Carriers!$P$20/Carriers!$P$23*BP60)*(CF60+FA_st_ab_losses)/1000000</f>
        <v>126114.63198183535</v>
      </c>
      <c r="CD60" s="63">
        <f>FA_st_nl_cost*FA_st_nl_demand/1000000+(FA_st_invest*(M60+1/FA_st_lifetime+FA_st_opex)/(Storage!$I$63/1000000)+FA_st_e_demand*1000*$AU60/100)*(CF60+FA_st_ab_losses)/1000000+co2_st_nl_cost*Storage!$I$12*co2_density/FA_density/1000000+(co2_st_opex_lev+co2_st_invest_lev+co2_st_e_demand*1000*$AU60/100)*Storage!$I$12/1000000+co2_st_invest_lev*Storage!$I$12*co2_st_lifetime*M60/1000000+Carriers!$P$18/Carriers!$P$23*((CF60+FA_st_ab_losses)/365.25*short_st_duration_hrs/24)*(h2_short_st_invest*(1/gh2_short_st_lifetime+$M60+h2_short_st_opex)+h2_short_st_e_demand*1000*$AU60/100)/1000000+Carriers!$P$20/Carriers!$P$23*((CF60+FA_st_ab_losses)/365.25*short_st_duration_hrs/24)*(co2_short_st_invest*(1/co2_short_st_lifetime+$M60+co2_short_st_opex)+co2_short_st_e_demand*1000*$AU60/100)/1000000</f>
        <v>11463.60766401018</v>
      </c>
      <c r="CE60" s="63">
        <f>FA_st_nl_cost*FA_st_nl_demand/1000000+(FA_st_invest*(M60+1/FA_st_lifetime+FA_st_opex)/(Storage!$I$63/1000000)+FA_st_e_demand*1000*$AU60/100)*(CF60+FA_st_ab_losses)/1000000+Carriers!$P$18/Carriers!$P$23*((CF60+FA_st_ab_losses)/365.25*short_st_duration_hrs/24)*(h2_short_st_invest*(1/gh2_short_st_lifetime+$M60+h2_short_st_opex)+h2_short_st_e_demand*1000*$AU60/100)/1000000+Carriers!$P$20/Carriers!$P$23*((CF60+FA_st_ab_losses)/365.25*short_st_duration_hrs/24)*(co2_short_st_invest*(1/co2_short_st_lifetime+$M60+co2_short_st_opex)+co2_short_st_e_demand*1000*$AU60/100)/1000000</f>
        <v>4989.3667177328525</v>
      </c>
      <c r="CF60" s="63">
        <f>Storage!$I$57/((1-Shipping!$J$37)^($F60/24/Shipping!$J$44+0.5*Shipping!$J$59))</f>
        <v>310425396.82539684</v>
      </c>
      <c r="CG60" s="28">
        <f>IF($E60="","No Port",((F60/24/Shipping!$J$44+F60/24/Shipping!$J$50+Shipping!$J$59+Shipping!$J$64)*(Shipping!$J$22+wacc_nl*Shipping!$J$19/365.25*1000000+Shipping!$J$35)+(F60/24/Shipping!$J$44*Shipping!$J$45+Shipping!$J$64*Shipping!$J$65)*IF(bunker_choice="HFO",$H60,IF(bunker_choice="hydrogen",$BD60*hfo_e_density_lhv/h2_e_density_lhv,(CB60+CD60)*1000000/CF60*hfo_e_density_lhv/FA_e_density_lhv))+(F60/24/Shipping!$J$50*Shipping!$J$51+Shipping!$J$59*Shipping!$J$60)*IF(bunker_choice="HFO",bunker_price_ROT,IF(bunker_choice="hydrogen",$BD60*hfo_e_density_lhv/h2_e_density_lhv,(CB60+CD60)*1000000/CF60*hfo_e_density_lhv/FA_e_density_lhv))+Shipping!$J$73+IF(G60="Panama",Shipping!$J$55,0)+IF(G60="Suez",Shipping!$J$56,0))/Shipping!$J$31*CF60/1000000+IF(inland_transport_to_port="hv dc grid",$BM60/100*1000*CI60,IF(inland_transport_to_port="pipeline",$BN60,0)))</f>
        <v>11916.589173062384</v>
      </c>
      <c r="CH60" s="28">
        <f t="shared" si="36"/>
        <v>143020.5878726306</v>
      </c>
      <c r="CI60" s="29">
        <f>((Carriers!$P$18/Carriers!$P$23*alk_el_e_demand)+FA_e_demand)*(CF60+FA_st_ab_losses)/1000000+FA_st_e_demand*CF60/1000000</f>
        <v>1897.8881241622576</v>
      </c>
      <c r="CJ60" s="29">
        <f t="shared" si="80"/>
        <v>0.46563809523809524</v>
      </c>
      <c r="CK60" s="28">
        <f>IFERROR(CH60*1000000/Storage!$I$12,"")</f>
        <v>460.72450687104879</v>
      </c>
      <c r="CL60" s="28">
        <f>IF($E60="","No Port",((F60/24/Shipping!$J$44+F60/24/Shipping!$J$50+Shipping!$J$59+Shipping!$J$64)*Carriers!$P$39*wacc_nl))</f>
        <v>209.90671975693368</v>
      </c>
      <c r="CM60" s="29">
        <f>H2_retrieval!$H$25*h2_demand_kt/1000+(co2_liq_e_demand+co2_st_e_demand*2)*Storage!$I$12*co2_density/FA_density/1000000</f>
        <v>94.204253879484654</v>
      </c>
      <c r="CN60" s="28">
        <f>IFERROR((((CB60+CD60+CG60)*(1+H2_retrieval!$H$34)+CL60)*1000000/H2_retrieval!$H$8)+h2_regen_fa,"")</f>
        <v>9177.1804945266522</v>
      </c>
      <c r="CO60" s="149">
        <f>(meoh_invest*(M60+1/meoh_lifetime)/meoh_prod+meoh_opex+meoh_e_demand*1000*$AU60/100+Carriers!$R$18/Carriers!$R$23*BD60+Carriers!$R$20/Carriers!$R$23*co2_liq_cost)*(CS60+meoh_st_ab_losses)/1000000</f>
        <v>62963.764680981301</v>
      </c>
      <c r="CP60" s="86">
        <f>(meoh_invest*(M60+1/meoh_lifetime)/meoh_prod+meoh_opex+meoh_e_demand*1000*$AU60/100+Carriers!$R$18/Carriers!$R$23*BD60+Carriers!$R$20/Carriers!$R$23*BP60)*(CS60+meoh_st_ab_losses)/1000000</f>
        <v>78293.975525359332</v>
      </c>
      <c r="CQ60" s="63">
        <f>meoh_st_nl_cost*meoh_st_nl_demand/1000000+(meoh_st_invest*(M60+1/meoh_st_lifetime+meoh_st_opex)/(Storage!$K$63/1000000)+meoh_st_e_demand*1000*$AU60/100)*(CS60+meoh_st_ab_losses)/1000000+co2_st_nl_cost*Storage!$K$12*co2_density/meoh_density/1000000+(co2_st_opex_lev+co2_st_invest_lev+co2_st_e_demand*1000*IFERROR(MIN(S60,AA60,AI60),S60)/100)*Storage!$K$12/1000000+co2_st_invest_lev*Storage!$K$12*co2_st_lifetime*M60/1000000+Carriers!$R$18/Carriers!$R$23*((CS60+meoh_st_ab_losses)/365.25*short_st_duration_hrs/24)*(h2_short_st_invest*(1/gh2_short_st_lifetime+$M60+h2_short_st_opex)+h2_short_st_e_demand*1000*$AU60/100)/1000000+Carriers!$R$20/Carriers!$R$23*((CF60+meoh_st_ab_losses)/365.25*short_st_duration_hrs/24)*(co2_short_st_invest*(1/co2_short_st_lifetime+$M60+co2_short_st_opex)+co2_short_st_e_demand*1000*$AU60/100)/1000000</f>
        <v>4811.8317461266142</v>
      </c>
      <c r="CR60" s="63">
        <f>meoh_st_nl_cost*meoh_st_nl_demand/1000000+(meoh_st_invest*(M60+1/meoh_st_lifetime+meoh_st_opex)/(Storage!$K$63/1000000)+meoh_st_e_demand*1000*$AU60/100)*(CS60+meoh_st_ab_losses)/1000000+Carriers!$R$18/Carriers!$R$23*((CS60+meoh_st_ab_losses)/365.25*short_st_duration_hrs/24)*(h2_short_st_invest*(1/gh2_short_st_lifetime+$M60+h2_short_st_opex)+h2_short_st_e_demand*1000*$AU60/100)/1000000+Carriers!$R$20/Carriers!$R$23*((CF60+meoh_st_ab_losses)/365.25*short_st_duration_hrs/24)*(co2_short_st_invest*(1/co2_short_st_lifetime+$M60+co2_short_st_opex)+co2_short_st_e_demand*1000*$AU60/100)/1000000</f>
        <v>1959.4562875095646</v>
      </c>
      <c r="CS60" s="63">
        <f>Storage!$K$57/((1-Shipping!$L$37)^($F60/24/Shipping!$L$44+0.5*Shipping!$L$59))</f>
        <v>108044444.44444443</v>
      </c>
      <c r="CT60" s="28">
        <f>IF($E60="","No Port",IF(AND(ship_choice="VLCC",G60="Panama"),"Ship cannot pass through Panama",IF(ship_choice="VLCC",((F60/24/Shipping!$AD$44+F60/24/Shipping!$AD$50+Shipping!$AD$59+Shipping!$AD$64)*(Shipping!$AD$22+wacc_nl*Shipping!$AD$19/365.25*1000000+Shipping!$AD$35)+(F60/24/Shipping!$AD$44*Shipping!$AD$45+Shipping!$AD$64*Shipping!$AD$65)*IF(bunker_choice="HFO",$H60,IF(bunker_choice="hydrogen",$BD60*hfo_e_density_lhv/h2_e_density_lhv,(CO60+CQ60)*1000000/CS60*hfo_e_density_lhv/meoh_e_density_lhv))+(F60/24/Shipping!$AD$50*Shipping!$AD$51+Shipping!$AD$59*Shipping!$AD$60)*IF(bunker_choice="HFO",bunker_price_ROT,IF(bunker_choice="hydrogen",$BD60*hfo_e_density_lhv/h2_e_density_lhv,(CO60+CQ60)*1000000/CS60*hfo_e_density_lhv/meoh_e_density_lhv))+Shipping!$AD$73+IF(G60="Panama",Shipping!$AD$55,0)+IF(G60="Suez",Shipping!$AD$56,0))/Shipping!$AD$31*CS60/1000000+IF(inland_transport_to_port="hv dc grid",$BM60/100*1000*CV60,IF(inland_transport_to_port="pipeline",$BN60,0)),((F60/24/Shipping!$L$44+F60/24/Shipping!$L$50+Shipping!$L$59+Shipping!$L$64)*(Shipping!$L$22+wacc_nl*Shipping!$L$19/365.25*1000000+Shipping!$L$35)+(F60/24/Shipping!$L$44*Shipping!$L$45+Shipping!$L$64*Shipping!$L$65)*IF(bunker_choice="HFO",$H60,IF(bunker_choice="hydrogen",$BD60*hfo_e_density_lhv/h2_e_density_lhv,(CO60+CQ60)*1000000/CS60*hfo_e_density_lhv/meoh_e_density_lhv))+(F60/24/Shipping!$L$50*Shipping!$L$51+Shipping!$L$59*Shipping!$L$60)*IF(bunker_choice="HFO",bunker_price_ROT,IF(bunker_choice="hydrogen",$BD60*hfo_e_density_lhv/h2_e_density_lhv,(CO60+CQ60)*1000000/CS60*hfo_e_density_lhv/meoh_e_density_lhv))+Shipping!$L$73+IF(G60="Panama",Shipping!$L$55,0)+IF(G60="Suez",Shipping!$L$56,0))/Shipping!$L$31*CS60/1000000+IF(inland_transport_to_port="hv dc grid",$BM60/100*1000*CV60,IF(inland_transport_to_port="pipeline",$BN60,0)))))</f>
        <v>3970.8974206136249</v>
      </c>
      <c r="CU60" s="28">
        <f t="shared" si="37"/>
        <v>84224.329233482509</v>
      </c>
      <c r="CV60" s="29">
        <f>((Carriers!$R$18/Carriers!$R$23*alk_el_e_demand)+meoh_e_demand)*(CS60+meoh_st_ab_losses)/1000000+meoh_st_e_demand*CS60/1000000</f>
        <v>1119.9789871111109</v>
      </c>
      <c r="CW60" s="29">
        <f t="shared" si="81"/>
        <v>0.16206666666666666</v>
      </c>
      <c r="CX60" s="28">
        <f>IFERROR(CU60*1000000/Storage!$K$12,"")</f>
        <v>779.534104382294</v>
      </c>
      <c r="CY60" s="28">
        <f>IF($E60="","No Port",((F60/24/Shipping!$L$44+F60/24/Shipping!$L$50+Shipping!$L$59+Shipping!$L$64)*Carriers!$R$39*wacc_nl))</f>
        <v>75.040717936828216</v>
      </c>
      <c r="CZ60" s="29">
        <f>H2_retrieval!$J$25*h2_demand_kt/1000+(co2_liq_e_demand+co2_st_e_demand*2)*Storage!$K$12*co2_density/meoh_density/1000000</f>
        <v>251.05079059698966</v>
      </c>
      <c r="DA60" s="28">
        <f>IFERROR((((CO60+CQ60+CT60)*(1+H2_retrieval!$J$34)+CY60)*1000000/H2_retrieval!$J$8)+h2_regen_meoh,"")</f>
        <v>6451.1237318474668</v>
      </c>
      <c r="DB60" s="149">
        <f>(DBT_invest*(M60+1/DBT_lifetime)/DBT_prod+DBT_opex+DBT_e_demand*1000*$AU60/100+Carriers!$T$18/Carriers!$T$23*BD60)*(DD60+DBT_st_ab_losses)/1000000</f>
        <v>42340.140350265065</v>
      </c>
      <c r="DC60" s="28">
        <f>2*(DBT_st_nl_cost*DBT_st_nl_demand/1000000+(DBT_st_invest*(M60+1/DBT_st_lifetime+DBT_st_opex)/(Storage!$M$63/1000000)+DBT_st_e_demand*1000*$AU60/100)*(DD60+DBT_st_ab_losses)/1000000)+Carriers!$T$18/Carriers!$T$23*((DD60+DBT_st_ab_losses)/365.25*short_st_duration_hrs/24)*(h2_short_st_invest*(1/gh2_short_st_lifetime+$M60+h2_short_st_opex)+h2_short_st_e_demand*1000*$AU60/100)/1000000</f>
        <v>4057.2439594802777</v>
      </c>
      <c r="DD60" s="63">
        <f>Storage!$M$57/((1-Shipping!$N$37)^($F60/24/Shipping!$N$44+0.5*Shipping!$N$59))</f>
        <v>219354838.70967743</v>
      </c>
      <c r="DE60" s="28">
        <f>IF($E60="","No Port",IF(AND(ship_choice="VLCC",G60="Panama"),"Ship cannot pass through Panama",IF(ship_choice="VLCC",((F60/24/Shipping!$AD$44+F60/24/Shipping!$AD$50+Shipping!$AD$59+Shipping!$AD$64)*(Shipping!$AD$22+wacc_nl*Shipping!$AD$19/365.25*1000000+Shipping!$AD$35)+(F60/24/Shipping!$AD$44*Shipping!$AD$45+Shipping!$AD$64*Shipping!$AD$65)*IF(bunker_choice="HFO",$H60,IF(bunker_choice="hydrogen",$BD60*hfo_e_density_lhv/h2_e_density_lhv,(DB60+DC60)*1000000/DD60*hfo_e_density_lhv/DBT_e_density_lhv))+(F60/24/Shipping!$AD$50*Shipping!$AD$51+Shipping!$AD$59*Shipping!$AD$60)*IF(bunker_choice="HFO",bunker_price_ROT,IF(bunker_choice="hydrogen",$BD60*hfo_e_density_lhv/h2_e_density_lhv,(DB60+DC60)*1000000/DD60*hfo_e_density_lhv/DBT_e_density_lhv))+Shipping!$AD$73+IF(G60="Panama",Shipping!$AD$55,0)+IF(G60="Suez",Shipping!$AD$56,0))/Shipping!$AD$31*DD60/1000000+IF(inland_transport_to_port="hv dc grid",$BM60/100*1000*DG60,IF(inland_transport_to_port="pipeline",$BN60,0)),((F60/24/Shipping!$N$44+F60/24/Shipping!$N$50+Shipping!$N$59+Shipping!$N$64)*(Shipping!$N$22+wacc_nl*Shipping!$N$19/365.25*1000000+Shipping!$N$35)+(F60/24/Shipping!$N$44*Shipping!$N$45+Shipping!$N$64*Shipping!$N$65)*IF(bunker_choice="HFO",$H60,IF(bunker_choice="hydrogen",$BD60*hfo_e_density_lhv/h2_e_density_lhv,(DB60+DC60)*1000000/DD60*hfo_e_density_lhv/DBT_e_density_lhv))+(F60/24/Shipping!$N$50*Shipping!$N$51+Shipping!$N$59*Shipping!$N$60)*IF(bunker_choice="HFO",bunker_price_ROT,IF(bunker_choice="hydrogen",$BD60*hfo_e_density_lhv/h2_e_density_lhv,(DB60+DC60)*1000000/DD60*hfo_e_density_lhv/DBT_e_density_lhv))+Shipping!$N$73+IF(G60="Panama",Shipping!$N$55,0)+IF(G60="Suez",Shipping!$N$56,0))/Shipping!$N$31*Shipping!$N$86/1000000+IF(inland_transport_to_port="hv dc grid",$BM60/100*1000*DG60,IF(inland_transport_to_port="pipeline",$BN60,0)))))</f>
        <v>7380.0147233175367</v>
      </c>
      <c r="DF60" s="28">
        <f t="shared" si="82"/>
        <v>53777.39903306288</v>
      </c>
      <c r="DG60" s="29">
        <f>((Carriers!$T$18/Carriers!$T$23*alk_el_e_demand)+DBT_e_demand)*(DD60+DBT_st_ab_losses)/1000000+DBT_st_e_demand*DD60/1000000</f>
        <v>703.88335483870969</v>
      </c>
      <c r="DH60" s="29">
        <f t="shared" si="83"/>
        <v>0.21935483870967742</v>
      </c>
      <c r="DI60" s="28">
        <f>IFERROR(DF60*1000000/Storage!$M$12,"")</f>
        <v>245.16167206249253</v>
      </c>
      <c r="DJ60" s="28">
        <f>IF($E60="","No Port",((F60/24/Shipping!$N$44+F60/24/Shipping!$N$50+Shipping!$N$59+Shipping!$N$64)*Carriers!$T$39*wacc_nl))</f>
        <v>5465.4620426819574</v>
      </c>
      <c r="DK60" s="100">
        <f>H2_retrieval!$L$25*h2_demand_kt/1000+(co2_liq_e_demand+co2_st_e_demand*2)*Storage!$M$12*co2_density/DBT_density/1000000</f>
        <v>206.61934861671787</v>
      </c>
      <c r="DL60" s="28">
        <f>IFERROR(((DF60*(1+H2_retrieval!$L$34)+DJ60)*1000000/H2_retrieval!$L$8)+h2_regen_lohc,"")</f>
        <v>4826.7425067965041</v>
      </c>
      <c r="DM60" s="149">
        <f t="shared" si="84"/>
        <v>47111.812064908816</v>
      </c>
      <c r="DN60" s="16">
        <f>2*(nabh4_st_nl_cost*nabh4_st_nl_demand/1000000+(nabh4_st_invest*(M60+1/nabh4_st_lifetime+nabh4_st_opex)/(Storage!$O$63/1000000)+nabh4_st_e_demand*1000*$AU60/100)*(DO60+nabh4_st_ab_losses)/1000000)+(h2_demand_kt*1000/365.25*short_st_duration_hrs/24)*(h2_short_st_invest*(1/gh2_short_st_lifetime+$M60+h2_short_st_opex)+h2_short_st_e_demand*1000*$AU60/100)/1000000</f>
        <v>1360.9068086231391</v>
      </c>
      <c r="DO60" s="63">
        <f>Storage!$O$57/((1-Shipping!$P$37)^($F60/24/Shipping!$P$44+0.5*Shipping!$P$59))</f>
        <v>63920000</v>
      </c>
      <c r="DP60" s="16">
        <f>IF($E60="","No Port",((F60/24/Shipping!$P$44+F60/24/Shipping!$P$50+Shipping!$P$59+Shipping!$P$64)*(Shipping!$P$22+wacc_nl*Shipping!$P$19/365.25*1000000+Shipping!$P$35)+(F60/24/Shipping!$P$44*Shipping!$P$45+Shipping!$P$64*Shipping!$P$65)*IF(bunker_choice="HFO",$H60,IF(bunker_choice="hydrogen",$BD60*hfo_e_density_lhv/h2_e_density_lhv,(DM60+DN60)*1000000/DO60*hfo_e_density_lhv/nabh4_e_density_lhv))+(F60/24/Shipping!$P$50*Shipping!$P$51+Shipping!$P$59*Shipping!$P$60)*IF(bunker_choice="HFO",bunker_price_ROT,IF(bunker_choice="hydrogen",$BD60*hfo_e_density_lhv/h2_e_density_lhv,(DM60+DN60)*1000000/DO60*hfo_e_density_lhv/nabh4_e_density_lhv))+Shipping!$P$73+IF(G60="Panama",Shipping!$P$55,0)+IF(G60="Suez",Shipping!$P$56,0))/Shipping!$P$31*(DO60+nabh4_st_ab_losses)/1000000+IF(inland_transport_to_port="hv dc grid",$BM60/100*1000*DR60,IF(inland_transport_to_port="pipeline",$BN60,0)))</f>
        <v>1954.3524325618396</v>
      </c>
      <c r="DQ60" s="28">
        <f t="shared" si="60"/>
        <v>50427.0713060938</v>
      </c>
      <c r="DR60" s="29">
        <f>((Carriers!$V$18/Carriers!$V$23*alk_el_e_demand)+nabh4_e_demand)*(DO60+nabh4_st_ab_losses)/1000000+nabh4_st_e_demand*DO60/1000000</f>
        <v>980.02139682539689</v>
      </c>
      <c r="DS60" s="28">
        <f t="shared" si="85"/>
        <v>3.1960000000000002</v>
      </c>
      <c r="DT60" s="28">
        <f>IFERROR(DQ60*1000000/Storage!$O$12,"")</f>
        <v>788.90912556467151</v>
      </c>
      <c r="DU60" s="28">
        <f>IF($E60="","No Port",((F60/24/Shipping!$P$44+F60/24/Shipping!$P$50+Shipping!$P$59+Shipping!$P$64)*Carriers!$V$39*wacc_nl))</f>
        <v>511.67830091648284</v>
      </c>
      <c r="DV60" s="100">
        <f>H2_retrieval!$N$25*h2_demand_kt/1000+(co2_liq_e_demand+co2_st_e_demand*2)*Storage!$O$12*co2_density/nabh4_density/1000000</f>
        <v>18.783638728971958</v>
      </c>
      <c r="DW60" s="28">
        <f>IFERROR(((DQ60*(1+H2_retrieval!$N$34)+DU60)*1000000/H2_retrieval!$N$8)+h2_regen_nabh4,"")</f>
        <v>3826.5279628868275</v>
      </c>
      <c r="DX60" s="149">
        <f>(Dme_invest*(M60+1/Dme_lifetime)/Dme_prod+Dme_opex+Dme_e_demand*1000*$AU60/100+Carriers!$X$21/Carriers!$X$23*(CO60*1000000/CS60))*(EB60+Dme_st_ab_losses)/1000000</f>
        <v>88382.424447679776</v>
      </c>
      <c r="DY60" s="86">
        <f>(Dme_invest*(M60+1/Dme_lifetime)/Dme_prod+Dme_opex+Dme_e_demand*1000*$AU60/100+Carriers!$X$21/Carriers!$X$23*(CP60*1000000/CS60))*(EB60+Dme_st_ab_losses)/1000000</f>
        <v>109180.36979604943</v>
      </c>
      <c r="DZ60" s="63">
        <f>Dme_st_nl_cost*Dme_st_nl_demand/1000000+(Dme_st_invest*(M60+1/Dme_st_lifetime+Dme_st_opex)/(Storage!$Q$63/1000000)+Dme_st_e_demand*1000*$AU60/100)*(EB60+Dme_st_ab_losses)/1000000+co2_st_nl_cost*Storage!$Q$12*co2_density/Dme_density/1000000+(co2_st_opex_lev+co2_st_invest_lev+co2_st_e_demand*1000*$AU60/100)*Storage!$Q$12/1000000+co2_st_invest_lev*Storage!$Q$12*co2_st_lifetime*M60/1000000+(h2_demand_kt*1000/365.25*short_st_duration_hrs/24)*(h2_short_st_invest*(1/gh2_short_st_lifetime+$M60+h2_short_st_opex)+h2_short_st_e_demand*1000*$AU60/100)/1000000</f>
        <v>5809.807468168272</v>
      </c>
      <c r="EA60" s="63">
        <f>Dme_st_nl_cost*Dme_st_nl_demand/1000000+(Dme_st_invest*(M60+1/Dme_st_lifetime+Dme_st_opex)/(Storage!$Q$63/1000000)+Dme_st_e_demand*1000*$AU60/100)*(EB60+Dme_st_ab_losses)/1000000+(h2_demand_kt*1000/365.25*short_st_duration_hrs/24)*(h2_short_st_invest*(1/gh2_short_st_lifetime+$M60+h2_short_st_opex)+h2_short_st_e_demand*1000*$AU60/100)/1000000</f>
        <v>2949.261561772862</v>
      </c>
      <c r="EB60" s="63">
        <f>Storage!$Q$57/((1-Shipping!$R$37)^($F60/24/Shipping!$R$44+0.5*Shipping!$R$59))</f>
        <v>103547089.94708996</v>
      </c>
      <c r="EC60" s="153">
        <f>IF($E60="","No Port",IF(AND(ship_choice="VLCC",G60="Panama"),"Ship cannot pass through Panama",IF(ship_choice="VLCC",((F60/24/Shipping!$AD$44+F60/24/Shipping!$AD$50+Shipping!$AD$59+Shipping!$AD$64)*(Shipping!$AD$22+wacc_nl*Shipping!$AD$19/365.25*1000000+Shipping!$AD$35)+(F60/24/Shipping!$AD$44*Shipping!$AD$45+Shipping!$AD$64*Shipping!$AD$65)*IF(bunker_choice="HFO",$H60,IF(bunker_choice="hydrogen",$BD60*hfo_e_density_lhv/h2_e_density_lhv,(DX60+DZ60)*1000000/EB60*hfo_e_density_lhv/Dme_e_density_lhv))+(F60/24/Shipping!$AD$50*Shipping!$AD$51+Shipping!$AD$59*Shipping!$AD$60)*IF(bunker_choice="HFO",bunker_price_ROT,IF(bunker_choice="hydrogen",$BD60*hfo_e_density_lhv/h2_e_density_lhv,(DX60+DZ60)*1000000/EB60*hfo_e_density_lhv/Dme_e_density_lhv))+Shipping!$AD$73+IF(G60="Panama",Shipping!$AD$55,0)+IF(G60="Suez",Shipping!$AD$56,0))/Shipping!$AD$31*(EB60+Dme_st_ab_losses)/1000000+IF(inland_transport_to_port="hv dc grid",$BM60/100*1000*EE60,IF(inland_transport_to_port="pipeline",$BN60,0)),((F60/24/Shipping!$R$44+F60/24/Shipping!$R$50+Shipping!$R$59+Shipping!$R$64)*(Shipping!$R$22+wacc_nl*Shipping!$R$19/365.25*1000000+Shipping!$R$35)+(F60/24/Shipping!$R$44*Shipping!$R$45+Shipping!$R$64*Shipping!$R$65)*IF(bunker_choice="HFO",$H60,IF(bunker_choice="hydrogen",$BD60*hfo_e_density_lhv/h2_e_density_lhv,(DX60+DZ60)*1000000/EB60*hfo_e_density_lhv/Dme_e_density_lhv))+(F60/24/Shipping!$R$50*Shipping!$R$51+Shipping!$R$59*Shipping!$R$60)*IF(bunker_choice="HFO",bunker_price_ROT,IF(bunker_choice="hydrogen",$BD60*hfo_e_density_lhv/h2_e_density_lhv,(DX60+DZ60)*1000000/EB60*hfo_e_density_lhv/Dme_e_density_lhv))+Shipping!$R$73+IF(G60="Panama",Shipping!$R$55,0)+IF(G60="Suez",Shipping!$R$56,0))/Shipping!$R$31*(EB60+Dme_st_ab_losses)/1000000+IF(inland_transport_to_port="hv dc grid",$BM60/100*1000*EE60,IF(inland_transport_to_port="pipeline",$BN60,0)))))</f>
        <v>4020.6643917500455</v>
      </c>
      <c r="ED60" s="28">
        <f t="shared" si="39"/>
        <v>116150.29574957234</v>
      </c>
      <c r="EE60" s="29">
        <f>(Dme_e_demand)*(EB60+Dme_st_ab_losses)/1000000+Dme_st_e_demand*DZ60/1000000+$CV60*(Carriers!$X$21/Carriers!$X$23*EB60)/$CS60</f>
        <v>1550.2168182651305</v>
      </c>
      <c r="EF60" s="29">
        <f t="shared" si="86"/>
        <v>1.0354708994708997</v>
      </c>
      <c r="EG60" s="28">
        <f>IFERROR(ED60*1000000/Storage!$Q$12,"")</f>
        <v>1121.7147271731376</v>
      </c>
      <c r="EH60" s="28">
        <f>IF($E60="","No Port",((F60/24/Shipping!$R$44+F60/24/Shipping!$R$50+Shipping!$R$59+Shipping!$R$64)*Carriers!$X$39*wacc_nl))</f>
        <v>77.591944081008009</v>
      </c>
      <c r="EI60" s="100">
        <f>H2_retrieval!$P$25*h2_demand_kt/1000+(co2_liq_e_demand+co2_st_e_demand*2)*Storage!$Q$12*co2_density/Dme_density/1000000</f>
        <v>252.45335899349112</v>
      </c>
      <c r="EJ60" s="28">
        <f>IFERROR((((DX60+DZ60+EC60)*(1+H2_retrieval!$P$34)+EH60)*1000000/H2_retrieval!$P$8)+h2_regen_dme,"")</f>
        <v>8397.370326407814</v>
      </c>
      <c r="EK60" s="149">
        <f>(ome_invest*(M60+1/ome_lifetime)/ome_prod+ome_opex+ome_e_demand*1000*$AU60/100+Carriers!$Z$21/Carriers!$Z$23*(CO60*1000000/CS60))*(EO60+ome_st_ab_losses)/1000000</f>
        <v>191871.89125753552</v>
      </c>
      <c r="EL60" s="86">
        <f>(ome_invest*(M60+1/ome_lifetime)/ome_prod+ome_opex+ome_e_demand*1000*$AU60/100+Carriers!$Z$21/Carriers!$Z$23*(CP60*1000000/CS60))*(EO60+ome_st_ab_losses)/1000000</f>
        <v>235530.82713489278</v>
      </c>
      <c r="EM60" s="63">
        <f>ome_st_nl_cost*ome_st_nl_demand/1000000+(ome_st_invest*(M60+1/ome_st_lifetime+ome_st_opex)/(Storage!$S$63/1000000)+ome_st_e_demand*1000*$AU60/100)*(EO60+ome_st_ab_losses)/1000000+co2_st_nl_cost*Storage!$S$12*co2_density/ome_density/1000000+(co2_st_opex_lev+co2_st_invest_lev+co2_st_e_demand*1000*$AU60/100)*Storage!$S$12/1000000+co2_st_invest_lev*Storage!$S$12*co2_st_lifetime*M60/1000000+(h2_demand_kt*1000/365.25*short_st_duration_hrs/24)*(h2_short_st_invest*(1/gh2_short_st_lifetime+$M60+h2_short_st_opex)+h2_short_st_e_demand*1000*$AU60/100)/1000000</f>
        <v>4973.8588130701246</v>
      </c>
      <c r="EN60" s="63">
        <f>ome_st_nl_cost*ome_st_nl_demand/1000000+(ome_st_invest*(M60+1/ome_st_lifetime+ome_st_opex)/(Storage!$S$63/1000000)+ome_st_e_demand*1000*$AU60/100)*(EO60+ome_st_ab_losses)/1000000+(h2_demand_kt*1000/365.25*short_st_duration_hrs/24)*(h2_short_st_invest*(1/gh2_short_st_lifetime+$M60+h2_short_st_opex)+h2_short_st_e_demand*1000*$AU60/100)/1000000</f>
        <v>1768.9501990398776</v>
      </c>
      <c r="EO60" s="63">
        <f>Storage!$S$57/((1-Shipping!$T$37)^($F60/24/Shipping!$T$44+0.5*Shipping!$T$59))</f>
        <v>128282539.68253967</v>
      </c>
      <c r="EP60" s="28">
        <f>IF($E60="","No Port",IF(AND(ship_choice="VLCC",G60="Panama"),"Ship cannot pass through Panama",IF(ship_choice="VLCC",((F60/24/Shipping!$AD$44+F60/24/Shipping!$AD$50+Shipping!$AD$59+Shipping!$AD$64)*(Shipping!$AD$22+wacc_nl*Shipping!$AD$19/365.25*1000000+Shipping!$AD$35)+(F60/24/Shipping!$AD$44*Shipping!$AD$45+Shipping!$AD$64*Shipping!$AD$65)*IF(bunker_choice="HFO",$H60,IF(bunker_choice="hydrogen",$BD60*hfo_e_density_lhv/h2_e_density_lhv,(EK60+EM60)*1000000/EO60*hfo_e_density_lhv/Dme_e_density_lhv))+(F60/24/Shipping!$AD$50*Shipping!$AD$51+Shipping!$AD$59*Shipping!$AD$60)*IF(bunker_choice="HFO",bunker_price_ROT,IF(bunker_choice="hydrogen",$BD60*hfo_e_density_lhv/h2_e_density_lhv,(EK60+EM60)*1000000/EO60*hfo_e_density_lhv/ome_e_density_lhv))+Shipping!$AD$73+IF(G60="Panama",Shipping!$AD$55,0)+IF(G60="Suez",Shipping!$AD$56,0))/Shipping!$AD$31*(EO60+ome_st_ab_losses)/1000000+IF(inland_transport_to_port="hv dc grid",$BM60/100*1000*ER60,IF(inland_transport_to_port="pipeline",$BN60,0)),((F60/24/Shipping!$T$44+F60/24/Shipping!$T$50+Shipping!$T$59+Shipping!$T$64)*(Shipping!$T$22+wacc_nl*Shipping!$T$19/365.25*1000000+Shipping!$T$35)+(F60/24/Shipping!$T$44*Shipping!$T$45+Shipping!$T$64*Shipping!$T$65)*IF(bunker_choice="HFO",$H60,IF(bunker_choice="hydrogen",$BD60*hfo_e_density_lhv/h2_e_density_lhv,(EK60+EM60)*1000000/EO60*hfo_e_density_lhv/Dme_e_density_lhv))+(F60/24/Shipping!$T$50*Shipping!$T$51+Shipping!$T$59*Shipping!$T$60)*IF(bunker_choice="HFO",bunker_price_ROT,IF(bunker_choice="hydrogen",$BD60*hfo_e_density_lhv/h2_e_density_lhv,(EK60+EM60)*1000000/EO60*hfo_e_density_lhv/ome_e_density_lhv))+Shipping!$T$73+IF(G60="Panama",Shipping!$T$55,0)+IF(G60="Suez",Shipping!$T$56,0))/Shipping!$T$31*(EO60+ome_st_ab_losses)/1000000+IF(inland_transport_to_port="hv dc grid",$BM60/100*1000*ER60,IF(inland_transport_to_port="pipeline",$BN60,0)))))</f>
        <v>4440.4723961745976</v>
      </c>
      <c r="EQ60" s="28">
        <f t="shared" si="40"/>
        <v>241740.24973010726</v>
      </c>
      <c r="ER60" s="29">
        <f>(ome_e_demand)*(EO60+ome_st_ab_losses)/1000000+ome_st_e_demand*EM60/1000000+$CV60*(Carriers!$Z$21/Carriers!$Z$23*EO60)/$CS60</f>
        <v>3352.0814576015719</v>
      </c>
      <c r="ES60" s="29">
        <f t="shared" si="87"/>
        <v>0.1924238095238095</v>
      </c>
      <c r="ET60" s="28">
        <f>IFERROR(EQ60*1000000/Storage!$S$12,"")</f>
        <v>1884.4361074261624</v>
      </c>
      <c r="EU60" s="28">
        <f>IF($E60="","No Port",((F60/24/Shipping!$T$44+F60/24/Shipping!$T$50+Shipping!$T$59+Shipping!$T$64)*Carriers!$Z$39*wacc_nl))</f>
        <v>89.096796471448883</v>
      </c>
      <c r="EV60" s="100">
        <f>H2_retrieval!$R$25*h2_demand_kt/1000+(co2_liq_e_demand+co2_st_e_demand*2)*Storage!$S$12*co2_density/ome_density/1000000</f>
        <v>254.51942895252085</v>
      </c>
      <c r="EW60" s="28">
        <f>IFERROR((((EK60+EM60+EP60)*(1+H2_retrieval!$R$34)+EU60)*1000000/H2_retrieval!$R$8)+h2_regen_ome,"")</f>
        <v>15977.137312552859</v>
      </c>
      <c r="EX60" s="149">
        <f>(sng_invest*(M60+1/sng_lifetime)/sng_prod+lng_invest*(M60+1/lng_lifetime)/lng_prod+sng_opex+lng_opex+(sng_e_demand+lng_e_demand)*1000*$AU60/100+Carriers!$AB$18/Carriers!$AB$23*BD60+Carriers!$AB$20/Carriers!$AB$23*co2_liq_cost)*(FB60+lng_st_ab_losses)/1000000</f>
        <v>68231.262710609153</v>
      </c>
      <c r="EY60" s="86">
        <f>(sng_invest*(M60+1/sng_lifetime)/sng_prod+lng_invest*(M60+1/lng_lifetime)/lng_prod+sng_opex+lng_opex+(sng_e_demand+lng_e_demand)*1000*$AU60/100+Carriers!$AB$18/Carriers!$AB$23*BD60+Carriers!$AB$20/Carriers!$AB$23*BP60)*(FB60+lng_st_ab_losses)/1000000</f>
        <v>79713.181521233797</v>
      </c>
      <c r="EZ60" s="63">
        <f>lng_st_nl_cost*lng_st_nl_demand/1000000+(lng_st_invest*(M60+1/lng_st_lifetime+lng_st_opex)/(Storage!$U$63/1000000)+lng_st_e_demand*1000*$AU60/100)*(FB60+lng_st_ab_losses)/1000000+co2_st_nl_cost*Storage!$U$12*co2_density/lng_density/1000000+(co2_st_opex_lev+co2_st_invest_lev+co2_st_e_demand*1000*$AU60/100)*Storage!$U$12/1000000+co2_st_invest_lev*Storage!$U$12*co2_st_lifetime*M60/1000000+Carriers!$AB$18/Carriers!$AB$23*((FB60+lng_st_ab_losses)/365.25*short_st_duration_hrs/24)*(h2_short_st_invest*(1/gh2_short_st_lifetime+$M60+h2_short_st_opex)+h2_short_st_e_demand*1000*$AU60/100)/1000000+Carriers!$AB$20/Carriers!$AB$23*((FB60+lng_st_ab_losses)/365.25*short_st_duration_hrs/24)*(co2_short_st_invest*(1/co2_short_st_lifetime+$M60+co2_short_st_opex)+co2_short_st_e_demand*1000*$AU60/100)/1000000</f>
        <v>6177.9458448414134</v>
      </c>
      <c r="FA60" s="63">
        <f>lng_st_nl_cost*lng_st_nl_demand/1000000+(lng_st_invest*(M60+1/lng_st_lifetime+lng_st_opex)/(Storage!$U$63/1000000)+lng_st_e_demand*1000*$AU60/100)*(FB60+lng_st_ab_losses)/1000000+Carriers!$AB$18/Carriers!$AB$23*((FB60+lng_st_ab_losses)/365.25*short_st_duration_hrs/24)*(h2_short_st_invest*(1/gh2_short_st_lifetime+$M60+h2_short_st_opex)+h2_short_st_e_demand*1000*$AU60/100)/1000000+Carriers!$AB$20/Carriers!$AB$23*((FB60+lng_st_ab_losses)/365.25*short_st_duration_hrs/24)*(co2_short_st_invest*(1/co2_short_st_lifetime+$M60+co2_short_st_opex)+co2_short_st_e_demand*1000*$AU60/100)/1000000</f>
        <v>4619.0984365719978</v>
      </c>
      <c r="FB60" s="63">
        <f>Storage!$U$57/((1-Shipping!$V$37)^($F60/24/Shipping!$V$44+0.5*Shipping!$V$59))</f>
        <v>41232452.406223349</v>
      </c>
      <c r="FC60" s="28">
        <f>IF($E60="","No Port",IF(G60="Panama","Ship cannot pass through Panama",((F60/24/Shipping!$V$44+F60/24/Shipping!$V$50+Shipping!$V$59+Shipping!$V$64)*(Shipping!$V$22+wacc_nl*Shipping!$V$19/365.25*1000000+Shipping!$V$35)+(F60/24/Shipping!$V$44*Shipping!$V$45+Shipping!$V$64*Shipping!$V$65)*IF(bunker_choice="HFO",$H60,IF(bunker_choice="hydrogen",$BD60*hfo_e_density_lhv/h2_e_density_lhv,(EX60+EZ60)*1000000/FB60*hfo_e_density_lhv/lng_e_density_lhv))+(F60/24/Shipping!$V$50*Shipping!$V$51+Shipping!$V$59*Shipping!$V$60)*IF(bunker_choice="HFO",bunker_price_ROT,IF(bunker_choice="hydrogen",$BD60*hfo_e_density_lhv/h2_e_density_lhv,(EX60+EZ60)*1000000/FB60*hfo_e_density_lhv/lng_e_density_lhv))+Shipping!$V$73+IF(G60="Panama",Shipping!$V$55,0)+IF(G60="Suez",Shipping!$V$56,0))/Shipping!$V$31*(FB60+lng_st_ab_losses)/1000000)+IF(inland_transport_to_port="hv dc grid",$BM60/100*1000*FE60,IF(inland_transport_to_port="pipeline",$BN60,0)))</f>
        <v>1553.362302077385</v>
      </c>
      <c r="FD60" s="28">
        <f t="shared" si="41"/>
        <v>85885.64225988317</v>
      </c>
      <c r="FE60" s="29">
        <f>((Carriers!$AB$18/Carriers!$AB$23*alk_el_e_demand)+sng_e_demand+lng_e_demand)*(FB60+lng_st_ab_losses)/1000000+lng_st_e_demand*EZ60/1000000</f>
        <v>1105.8219214648309</v>
      </c>
      <c r="FF60" s="29">
        <f t="shared" si="88"/>
        <v>0.8126185861001558</v>
      </c>
      <c r="FG60" s="28">
        <f>IFERROR(FD60*1000000/Storage!$U$12,"")</f>
        <v>2116.2372740819146</v>
      </c>
      <c r="FH60" s="28">
        <f>IF($E60="","No Port",((F60/24/Shipping!$V$44+F60/24/Shipping!$V$50+Shipping!$V$59+Shipping!$V$64)*Carriers!$AB$39*wacc_nl))</f>
        <v>26.371783644067165</v>
      </c>
      <c r="FI60" s="100">
        <f>H2_retrieval!$T$25*h2_demand_kt/1000+(co2_liq_e_demand+co2_st_e_demand*2)*Storage!$U$12*co2_density/lng_density/1000000</f>
        <v>236.51371749646054</v>
      </c>
      <c r="FJ60" s="28">
        <f>IFERROR((((EX60+EZ60+FC60)*(1+H2_retrieval!$T$34)+FH60)*1000000/H2_retrieval!$T$8)+h2_regen_lng,"")</f>
        <v>6757.5507962234697</v>
      </c>
      <c r="FK60" s="149">
        <f>(lh2_invest*(M60+1/lh2_lifetime)/lh2_prod+lh2_opex+lh2_e_demand*1000*$AU60/100+Carriers!$AD$18/Carriers!$AD$23*BD60)*(FM60+lh2_st_ab_losses)/1000000</f>
        <v>53017.47621289434</v>
      </c>
      <c r="FL60" s="28">
        <f>lh2_st_nl_cost*lh2_st_nl_demand/1000000+(lh2_st_invest*(M60+1/lh2_st_lifetime+lh2_st_opex)/(Storage!$Y$63/1000000)+lh2_st_e_demand*1000*$AU60/100)*(FM60+lh2_st_ab_losses)/1000000+((FM60+lh2_st_ab_losses)/365.25*short_st_duration_hrs/24)*(h2_short_st_invest*(1/gh2_short_st_lifetime+$M60+h2_short_st_opex)+h2_short_st_e_demand*1000*$AU60/100)/1000000</f>
        <v>53811.625463845528</v>
      </c>
      <c r="FM60" s="63">
        <f>Storage!$Y$57/((1-Shipping!$Z$37)^($F60/24/Shipping!$Z$44+0.5*Shipping!$Z$59))</f>
        <v>13943175.637844957</v>
      </c>
      <c r="FN60" s="28">
        <f>IF($E60="","No Port",IF(G60="Panama","Ship cannot pass through Panama",((F60/24/Shipping!$Z$44+F60/24/Shipping!$Z$50+Shipping!$Z$59+Shipping!$Z$64)*(Shipping!$Z$22+wacc_nl*Shipping!$Z$19/365.25*1000000+Shipping!$Z$35)+(F60/24/Shipping!$Z$44*Shipping!$Z$45+Shipping!$Z$64*Shipping!$Z$65)*IF(bunker_choice="HFO",$H60,IF(bunker_choice="hydrogen",$BD60*hfo_e_density_lhv/h2_e_density_lhv,(FK60+FL60)*1000000/FM60*hfo_e_density_lhv/lh2_e_density_lhv))+(F60/24/Shipping!$Z$50*Shipping!$Z$51+Shipping!$Z$59*Shipping!$Z$60)*IF(bunker_choice="HFO",bunker_price_ROT,IF(bunker_choice="hydrogen",$BD60*hfo_e_density_lhv/h2_e_density_lhv,(FK60+FL60)*1000000/FM60*hfo_e_density_lhv/lh2_e_density_lhv))+Shipping!$Z$73+IF(G60="Panama",Shipping!$Z$55,0)+IF(G60="Suez",Shipping!$Z$56,0))/Shipping!$Z$31*(FM60+lh2_st_ab_losses)/1000000)+IF(inland_transport_to_port="hv dc grid",$BM60/100*1000*FP60,IF(inland_transport_to_port="pipeline",$BN60,0)))</f>
        <v>2728.4950722865146</v>
      </c>
      <c r="FO60" s="28">
        <f t="shared" si="42"/>
        <v>109557.59674902639</v>
      </c>
      <c r="FP60" s="29">
        <f>((Carriers!$AD$18/Carriers!$AD$23*alk_el_e_demand)+lh2_e_demand)*(FM60+lh2_st_ab_losses)/1000000+lh2_st_e_demand*FM60/1000000</f>
        <v>807.99062731209142</v>
      </c>
      <c r="FQ60" s="100">
        <f t="shared" si="89"/>
        <v>1.361902463475859</v>
      </c>
      <c r="FR60" s="28">
        <f>IFERROR(FO60*1000000/Storage!$Y$12,"")</f>
        <v>8055.7056433107637</v>
      </c>
      <c r="FS60" s="100">
        <f>H2_retrieval!$V$25*h2_demand_kt/1000</f>
        <v>8.16</v>
      </c>
      <c r="FT60" s="28">
        <f>IFERROR(FR60*(1+H2_retrieval!$V$34)/Carrier_properties!$U$7+H2_retrieval!$V$38,"")</f>
        <v>8087.6743691792308</v>
      </c>
      <c r="FU60" s="12"/>
      <c r="FV60" s="24">
        <f t="shared" si="90"/>
        <v>2.2710538248907932</v>
      </c>
      <c r="FW60" s="24" t="str">
        <f t="shared" si="57"/>
        <v/>
      </c>
      <c r="FX60" s="24" t="e">
        <f t="shared" si="58"/>
        <v>#N/A</v>
      </c>
      <c r="FY60" s="24" t="e">
        <f t="shared" si="45"/>
        <v>#N/A</v>
      </c>
      <c r="FZ60" s="28">
        <f t="shared" si="59"/>
        <v>2879.4375532126614</v>
      </c>
      <c r="GA60" s="28">
        <f t="shared" si="47"/>
        <v>649.61796435620636</v>
      </c>
      <c r="GB60" s="28">
        <f t="shared" si="48"/>
        <v>406.26389873883392</v>
      </c>
      <c r="GC60" s="28">
        <f t="shared" si="49"/>
        <v>724.64600959300083</v>
      </c>
      <c r="GD60" s="28">
        <f t="shared" si="50"/>
        <v>1054.4030725715029</v>
      </c>
      <c r="GE60" s="28">
        <f t="shared" si="51"/>
        <v>1836.0318381422762</v>
      </c>
      <c r="GF60" s="28">
        <f t="shared" si="52"/>
        <v>1933.2631669806383</v>
      </c>
      <c r="GG60" s="12"/>
      <c r="GH60" s="12"/>
      <c r="GI60" s="12"/>
      <c r="GJ60" s="12"/>
      <c r="GK60" s="12"/>
      <c r="GL60" s="12"/>
      <c r="GM60" s="12"/>
      <c r="GN60" s="12"/>
      <c r="GO60" s="12"/>
      <c r="GP60" s="12"/>
      <c r="GQ60" s="12"/>
      <c r="GR60" s="12"/>
      <c r="GS60" s="12"/>
      <c r="GT60" s="12"/>
      <c r="GU60" s="12"/>
      <c r="GV60" s="12"/>
      <c r="GW60" s="12"/>
      <c r="GX60" s="12"/>
      <c r="GY60" s="12"/>
      <c r="GZ60" s="12"/>
      <c r="HA60" s="12"/>
      <c r="HB60" s="12"/>
      <c r="HC60" s="12"/>
      <c r="HD60" s="12"/>
      <c r="HE60" s="12"/>
      <c r="HF60" s="12"/>
    </row>
    <row r="61" spans="1:214" x14ac:dyDescent="0.2">
      <c r="A61" s="40" t="s">
        <v>65</v>
      </c>
      <c r="B61" s="12">
        <v>8997</v>
      </c>
      <c r="C61" s="12">
        <v>0</v>
      </c>
      <c r="D61" s="12">
        <f t="shared" si="61"/>
        <v>1</v>
      </c>
      <c r="E61" s="12" t="s">
        <v>729</v>
      </c>
      <c r="F61" s="12">
        <v>5729</v>
      </c>
      <c r="G61" s="14" t="s">
        <v>113</v>
      </c>
      <c r="H61" s="16">
        <f t="shared" si="62"/>
        <v>382.75862068965517</v>
      </c>
      <c r="I61" s="16">
        <v>107160</v>
      </c>
      <c r="J61" s="16">
        <f t="shared" si="31"/>
        <v>184.68916428273482</v>
      </c>
      <c r="K61" s="27">
        <f t="shared" si="32"/>
        <v>221.62699713928177</v>
      </c>
      <c r="L61" s="103">
        <v>0.129</v>
      </c>
      <c r="M61" s="103">
        <f t="shared" si="63"/>
        <v>0.13265113464548278</v>
      </c>
      <c r="N61" s="122">
        <f t="shared" si="33"/>
        <v>0.85</v>
      </c>
      <c r="O61" s="46">
        <f t="shared" si="64"/>
        <v>40</v>
      </c>
      <c r="P61" s="70">
        <f t="array" ref="P61">SUMPRODUCT(IF(Solar_data!A$4:A$777=A61,Solar_data!C$4:C$777),IF(Solar_data!A$4:A$777=A61,Solar_data!I$4:I$777))/SUMIF(Solar_data!A$4:A$777,A61,Solar_data!I$4:I$777)</f>
        <v>2020.1186180438719</v>
      </c>
      <c r="Q61" s="16">
        <f t="array" ref="Q61">MAX(IF(Solar_data!$A$777:'Solar_data'!$A$4=Country_details!$A61,Solar_data!$C$4:'Solar_data'!$C$777))</f>
        <v>2281.25</v>
      </c>
      <c r="R61" s="16">
        <f t="array" ref="R61">MIN(IF(Solar_data!$A$777:'Solar_data'!$A$4=Country_details!A61,Solar_data!$C$4:'Solar_data'!$C$777))</f>
        <v>1733.75</v>
      </c>
      <c r="S61" s="24">
        <f t="shared" si="65"/>
        <v>2.4734819584310621</v>
      </c>
      <c r="T61" s="24">
        <f t="shared" si="66"/>
        <v>2.1903460627385019</v>
      </c>
      <c r="U61" s="24">
        <f t="shared" si="67"/>
        <v>2.882034293076976</v>
      </c>
      <c r="V61" s="16">
        <f t="array" ref="V61">SUM(IF(Solar_data!$A$777:'Solar_data'!$A$4=Country_details!$A61,Solar_data!$I$4:'Solar_data'!$I$777))</f>
        <v>838.16164358416472</v>
      </c>
      <c r="W61" s="148"/>
      <c r="X61" s="16">
        <f>IFERROR(INDEX(Onshore_wind_data!$J$5:'Onshore_wind_data'!$J$221,MATCH(A61,Onshore_wind_data!$B$5:'Onshore_wind_data'!$B$221,0)),"")</f>
        <v>3136.2928882438318</v>
      </c>
      <c r="Y61" s="16">
        <f>IFERROR(INDEX(Onshore_wind_data!$K$5:'Onshore_wind_data'!$K$221,MATCH(A61,Onshore_wind_data!$B$5:'Onshore_wind_data'!$B$221,0)),"")</f>
        <v>3971</v>
      </c>
      <c r="Z61" s="16">
        <f>IFERROR(INDEX(Onshore_wind_data!$L$5:'Onshore_wind_data'!$L$221,MATCH(A61,Onshore_wind_data!$B$5:'Onshore_wind_data'!$B$221,0)),"")</f>
        <v>2847.5</v>
      </c>
      <c r="AA61" s="24">
        <f t="shared" si="68"/>
        <v>4.7851153969508813</v>
      </c>
      <c r="AB61" s="24">
        <f t="shared" si="69"/>
        <v>3.779280631801337</v>
      </c>
      <c r="AC61" s="24">
        <f t="shared" si="70"/>
        <v>5.2704208564997757</v>
      </c>
      <c r="AD61" s="16">
        <f>IFERROR(INDEX(Onshore_wind_data!$I$5:'Onshore_wind_data'!$I$221,MATCH(A61,Onshore_wind_data!$B$5:'Onshore_wind_data'!$B$221,0)),"")</f>
        <v>54.022644999999997</v>
      </c>
      <c r="AE61" s="148"/>
      <c r="AF61" s="16">
        <f>INDEX(Offshore_wind_data!$AA$7:$AA$192,MATCH(Country_details!A61,Offshore_wind_data!$A$7:$A$192,0))</f>
        <v>3503.9999999999995</v>
      </c>
      <c r="AG61" s="16">
        <f>INDEX(Offshore_wind_data!$Y$7:$Y$192,MATCH(Country_details!A61,Offshore_wind_data!$A$7:$A$192,0))</f>
        <v>3504</v>
      </c>
      <c r="AH61" s="16">
        <f>INDEX(Offshore_wind_data!$Z$7:$Z$192,MATCH(Country_details!A61,Offshore_wind_data!$A$7:$A$192,0))</f>
        <v>3504</v>
      </c>
      <c r="AI61" s="24">
        <f t="shared" si="71"/>
        <v>8.0967919093514826</v>
      </c>
      <c r="AJ61" s="24">
        <f t="shared" si="72"/>
        <v>8.0967919093514809</v>
      </c>
      <c r="AK61" s="24">
        <f t="shared" si="73"/>
        <v>8.0967919093514809</v>
      </c>
      <c r="AL61" s="16">
        <f>INDEX(Offshore_wind_data!$W$7:$W$191,MATCH(A61,Offshore_wind_data!$A$7:$A$191,0))</f>
        <v>5.46624</v>
      </c>
      <c r="AM61" s="148"/>
      <c r="AN61" s="12">
        <v>16.899999999999999</v>
      </c>
      <c r="AO61" s="12">
        <v>27</v>
      </c>
      <c r="AP61" s="34">
        <f>0.7676*11.63</f>
        <v>8.9271879999999992</v>
      </c>
      <c r="AQ61" s="15">
        <f t="shared" si="74"/>
        <v>50</v>
      </c>
      <c r="AR61" s="12">
        <f t="shared" si="34"/>
        <v>1350</v>
      </c>
      <c r="AS61" s="16">
        <f t="shared" si="35"/>
        <v>-452.3494714158353</v>
      </c>
      <c r="AT61" s="12"/>
      <c r="AU61" s="24">
        <f t="shared" si="75"/>
        <v>3.8794906729442031</v>
      </c>
      <c r="AV61" s="16">
        <f t="shared" si="76"/>
        <v>5156.4115062877036</v>
      </c>
      <c r="AW61" s="149">
        <f>HV_DC_Grid!$E$3/(1-AX61)*AU61/100*1000</f>
        <v>4695.6973108685697</v>
      </c>
      <c r="AX61" s="31">
        <f>(1-(1-HV_DC_Grid!$E$25)^(B61*C61*HV_DC_Grid!$E$8/1000))+(1-(1-HV_DC_Grid!$E$26)^(B61*D61*HV_DC_Grid!$E$8/1000))+HV_DC_Grid!$E$35*HV_DC_Grid!$E$28</f>
        <v>0.17382011315661061</v>
      </c>
      <c r="AY61" s="28">
        <f>B61*nl_e_demand/IF(hv_dc_flh="electricity FLH",$AV61,hv_dc_custom)*1000*hv_dc_capacity_multiplier*hv_dc_length_multiplier*1000*(C61*hv_dc_overhead_invest*(hv_dc_overhead_opex+M61+1/hv_dc_lifetime)+D61*hv_dc_sea_invest*(hv_dc_sea_opex+M61+1/hv_dc_lifetime))/1000000+HV_DC_Grid!$E$10*1000*hv_dc_station_invest*hv_dc_station_number*(hv_dc_station_opex+M61+1/hv_dc_lifetime)/1000000</f>
        <v>25564.561943399265</v>
      </c>
      <c r="AZ61" s="24">
        <f>(AW61+AY61)/(HV_DC_Grid!$E$3*1000)*100</f>
        <v>30.260259254267837</v>
      </c>
      <c r="BA61" s="28">
        <f>MIN(((Carriers!$F$26+Carriers!$F$27)*(alk_el_opex+wacc_nl+1/alk_el_lifetime)+IF(hv_dc_flh="electricity FLH",$AV61,hv_dc_custom)*AZ61/100)/(IF(hv_dc_flh="electricity FLH",$AV61,hv_dc_custom)/alk_el_e_demand)*1000,((Carriers!$H$26+Carriers!$H$27)*(pem_el_opex+wacc_nl+1/pem_el_lifetime)+IF(hv_dc_flh="electricity FLH",$AV61,hv_dc_custom)*AZ61/100)/(IF(hv_dc_flh="electricity FLH",$AV61,hv_dc_custom)/pem_el_e_demand)*1000)</f>
        <v>15620.67613346878</v>
      </c>
      <c r="BB61" s="12"/>
      <c r="BC61" s="12"/>
      <c r="BD61" s="149">
        <f>MIN(((Carriers!$F$26+Carriers!$F$27)*(alk_el_opex+M61+1/alk_el_lifetime)+$AV61*$AU61/100)/($AV61/alk_el_e_demand)*1000,((Carriers!$H$26+Carriers!$H$27)*(pem_el_opex+M61+1/pem_el_lifetime)+$AV61*$AU61/100)/($AV61/pem_el_e_demand)*1000)</f>
        <v>2676.2577282999991</v>
      </c>
      <c r="BE61" s="28">
        <f>Storage!$AC$50</f>
        <v>8.1664117557772418</v>
      </c>
      <c r="BF61" s="28">
        <f>((Pipeline!$D$22*Pipeline!$D$24*B61*(pipeline_opex+M61+1/pipeline_lifetime))*(Pipeline!$D$39/Pipeline!$D$3)+(Pipeline!$D$57*(pipeline_comp_opex+M61+1/pipeline_comp_lifetime)+Pipeline!$D$47*1000*Pipeline!$D$45*$AU61/100/1000000))*(Pipeline!$D$75/Pipeline!$D$45)</f>
        <v>21035.585306057026</v>
      </c>
      <c r="BG61" s="28">
        <f>BD61+(BE61+BF61)/Storage!$AC$12*1000000</f>
        <v>4223.5924134332936</v>
      </c>
      <c r="BH61" s="28"/>
      <c r="BI61" s="28"/>
      <c r="BJ61" s="28">
        <f>IF($E61="","No Port",BK61*HV_DC_Grid!$E$3*$AU61/100*1000)</f>
        <v>70.918875548931894</v>
      </c>
      <c r="BK61" s="31">
        <f>IFERROR((1-(1-HV_DC_Grid!$E$25)^(K61*HV_DC_Grid!$E$8/1000))+HV_DC_Grid!$E$35*HV_DC_Grid!$E$28,"")</f>
        <v>1.828046038195795E-2</v>
      </c>
      <c r="BL61" s="28">
        <f>IFERROR(K61*nl_e_demand/IF(hv_dc_flh="electricity FLH",$AV61,hv_dc_custom)*1000*hv_dc_capacity_multiplier*hv_dc_length_multiplier*1000*(hv_dc_overhead_invest*(hv_dc_overhead_opex+M61+1/hv_dc_lifetime))/1000000+HV_DC_Grid!$E$10*1000*hv_dc_station_invest*hv_dc_station_number*(hv_dc_station_opex+M61+1/hv_dc_lifetime)/1000000,"")</f>
        <v>638.78276806720544</v>
      </c>
      <c r="BM61" s="29">
        <f>IFERROR((BJ61+BL61)/(HV_DC_Grid!$E$3*1000)*100,"")</f>
        <v>0.7097016436161373</v>
      </c>
      <c r="BN61" s="28">
        <f>IFERROR(((Pipeline!$D$22*Pipeline!$D$24*K61*(pipeline_opex+M61+1/pipeline_lifetime))*(Pipeline!$D$39/Pipeline!$D$3)+(Pipeline!$D$57*(pipeline_comp_opex+M61+1/pipeline_comp_lifetime)+Pipeline!$D$47*1000*Pipeline!$D$45*S61/100/1000000))*(Pipeline!$D$75/Pipeline!$D$45),"")</f>
        <v>597.61200051465107</v>
      </c>
      <c r="BO61" s="28"/>
      <c r="BP61" s="150">
        <f t="shared" si="77"/>
        <v>124.16276602393451</v>
      </c>
      <c r="BQ61" s="34">
        <f t="shared" si="78"/>
        <v>36.400454557675801</v>
      </c>
      <c r="BR61" s="151">
        <f>(nh3_invest*(M61+1/nh3_lifetime)/nh3_prod+nh3_opex+nh3_e_demand*1000*$AU61/100+Carriers!$N$18/Carriers!$N$23*BD61+Carriers!$N$19/Carriers!$N$23*BQ61)*(BT61+nh3_st_ab_losses)/1000000</f>
        <v>50481.835594480413</v>
      </c>
      <c r="BS61" s="63">
        <f>nh3_st_nl_cost*nh3_st_nl_demand/1000000+(nh3_st_invest*(M61+1/nh3_st_lifetime+nh3_st_opex)/(Storage!$G$63/1000000)+nh3_st_e_demand*1000*$AU61/100)*(BT61+nh3_st_ab_losses)/1000000+Carriers!$N$18/Carriers!$N$23*((BT61+nh3_st_ab_losses)/365.25*short_st_duration_hrs/24)*(h2_short_st_invest*(1/gh2_short_st_lifetime+$M61+h2_short_st_opex)+h2_short_st_e_demand*1000*$AU61/100)/1000000+Carriers!$N$19/Carriers!$N$23*((BT61+nh3_st_ab_losses)/365.25*short_st_duration_hrs/24)*(n2_short_st_invest*(1/n2_short_st_lifetime+$M61+n2_short_st_opex)+n2_short_st_e_demand*1000*$AU61/100)/1000000</f>
        <v>3555.5260336587776</v>
      </c>
      <c r="BT61" s="63">
        <f>Storage!$G$57/((1-Shipping!$H$37)^(F61/24/Shipping!$H$44+0.5*Shipping!$H$59))</f>
        <v>79690743.753757462</v>
      </c>
      <c r="BU61" s="63">
        <f>IF($E61="","No Port",((F61/24/Shipping!$H$44+F61/24/Shipping!$H$50+Shipping!$H$59+Shipping!$H$64)*(Shipping!$H$22+wacc_nl*Shipping!$H$19/365.25*1000000+Shipping!$H$35)+(F61/24/Shipping!$H$44*Shipping!$H$45+Shipping!$H$64*Shipping!$H$65)*IF(bunker_choice="HFO",H61,IF(bunker_choice="hydrogen",BD61*hfo_e_density_lhv/h2_e_density_lhv,(BR61+BS61)*1000000/BT61*hfo_e_density_lhv/nh3_e_density_lhv))+(F61/24/Shipping!$H$50*Shipping!$H$51+Shipping!$H$59*Shipping!$H$60)*IF(bunker_choice="HFO",bunker_price_ROT,IF(bunker_choice="hydrogen",BD61*hfo_e_density_lhv/h2_e_density_lhv,(BR61+BS61)*1000000/BT61*hfo_e_density_lhv/nh3_e_density_lhv))+Shipping!$H$73+IF(G61="Panama",Shipping!$H$55,0)+IF(G61="Suez",Shipping!$H$56,0))/Shipping!$H$31*BT61/1000000+IF(inland_transport_to_port="hv dc grid",$BM61/100*1000*BW61,IF(inland_transport_to_port="pipeline",$BN61,0)))</f>
        <v>4817.7904367028741</v>
      </c>
      <c r="BV61" s="63">
        <f t="shared" si="91"/>
        <v>58855.152064842063</v>
      </c>
      <c r="BW61" s="33">
        <f>((Carriers!$N$18/Carriers!$N$23*alk_el_e_demand)+(Carriers!$N$19/Carriers!$N$23*n2_e_demand)+nh3_e_demand)*(BT61+nh3_st_ab_losses)/1000000+nh3_st_e_demand*BT61/1000000</f>
        <v>786.96102209063349</v>
      </c>
      <c r="BX61" s="33">
        <f t="shared" si="79"/>
        <v>0.76626754477640768</v>
      </c>
      <c r="BY61" s="63">
        <f>IFERROR(BV61*1000000/Storage!$G$12,"")</f>
        <v>768.71570518127692</v>
      </c>
      <c r="BZ61" s="63">
        <f>H2_retrieval!$F$25*h2_demand_kt/1000</f>
        <v>80</v>
      </c>
      <c r="CA61" s="63">
        <f>IFERROR(BY61*(1+H2_retrieval!$F$34)/Carrier_properties!$E$7+H2_retrieval!$F$38,"")</f>
        <v>4736.8106902938871</v>
      </c>
      <c r="CB61" s="149">
        <f>(FA_invest*(M61+1/FA_lifetime)/FA_prod+FA_opex+FA_e_demand*1000*$AU61/100+Carriers!$P$18/Carriers!$P$23*BD61+Carriers!$P$20/Carriers!$P$23*co2_liq_cost)*(CF61+FA_st_ab_losses)/1000000</f>
        <v>113186.21915433496</v>
      </c>
      <c r="CC61" s="86">
        <f>(FA_invest*(M61+1/FA_lifetime)/FA_prod+FA_opex+FA_e_demand*1000*$AU61/100+Carriers!$P$18/Carriers!$P$23*BD61+Carriers!$P$20/Carriers!$P$23*BP61)*(CF61+FA_st_ab_losses)/1000000</f>
        <v>143311.45511322113</v>
      </c>
      <c r="CD61" s="63">
        <f>FA_st_nl_cost*FA_st_nl_demand/1000000+(FA_st_invest*(M61+1/FA_st_lifetime+FA_st_opex)/(Storage!$I$63/1000000)+FA_st_e_demand*1000*$AU61/100)*(CF61+FA_st_ab_losses)/1000000+co2_st_nl_cost*Storage!$I$12*co2_density/FA_density/1000000+(co2_st_opex_lev+co2_st_invest_lev+co2_st_e_demand*1000*$AU61/100)*Storage!$I$12/1000000+co2_st_invest_lev*Storage!$I$12*co2_st_lifetime*M61/1000000+Carriers!$P$18/Carriers!$P$23*((CF61+FA_st_ab_losses)/365.25*short_st_duration_hrs/24)*(h2_short_st_invest*(1/gh2_short_st_lifetime+$M61+h2_short_st_opex)+h2_short_st_e_demand*1000*$AU61/100)/1000000+Carriers!$P$20/Carriers!$P$23*((CF61+FA_st_ab_losses)/365.25*short_st_duration_hrs/24)*(co2_short_st_invest*(1/co2_short_st_lifetime+$M61+co2_short_st_opex)+co2_short_st_e_demand*1000*$AU61/100)/1000000</f>
        <v>12403.595154475974</v>
      </c>
      <c r="CE61" s="63">
        <f>FA_st_nl_cost*FA_st_nl_demand/1000000+(FA_st_invest*(M61+1/FA_st_lifetime+FA_st_opex)/(Storage!$I$63/1000000)+FA_st_e_demand*1000*$AU61/100)*(CF61+FA_st_ab_losses)/1000000+Carriers!$P$18/Carriers!$P$23*((CF61+FA_st_ab_losses)/365.25*short_st_duration_hrs/24)*(h2_short_st_invest*(1/gh2_short_st_lifetime+$M61+h2_short_st_opex)+h2_short_st_e_demand*1000*$AU61/100)/1000000+Carriers!$P$20/Carriers!$P$23*((CF61+FA_st_ab_losses)/365.25*short_st_duration_hrs/24)*(co2_short_st_invest*(1/co2_short_st_lifetime+$M61+co2_short_st_opex)+co2_short_st_e_demand*1000*$AU61/100)/1000000</f>
        <v>5234.4797231592447</v>
      </c>
      <c r="CF61" s="63">
        <f>Storage!$I$57/((1-Shipping!$J$37)^($F61/24/Shipping!$J$44+0.5*Shipping!$J$59))</f>
        <v>310425396.82539684</v>
      </c>
      <c r="CG61" s="28">
        <f>IF($E61="","No Port",((F61/24/Shipping!$J$44+F61/24/Shipping!$J$50+Shipping!$J$59+Shipping!$J$64)*(Shipping!$J$22+wacc_nl*Shipping!$J$19/365.25*1000000+Shipping!$J$35)+(F61/24/Shipping!$J$44*Shipping!$J$45+Shipping!$J$64*Shipping!$J$65)*IF(bunker_choice="HFO",$H61,IF(bunker_choice="hydrogen",$BD61*hfo_e_density_lhv/h2_e_density_lhv,(CB61+CD61)*1000000/CF61*hfo_e_density_lhv/FA_e_density_lhv))+(F61/24/Shipping!$J$50*Shipping!$J$51+Shipping!$J$59*Shipping!$J$60)*IF(bunker_choice="HFO",bunker_price_ROT,IF(bunker_choice="hydrogen",$BD61*hfo_e_density_lhv/h2_e_density_lhv,(CB61+CD61)*1000000/CF61*hfo_e_density_lhv/FA_e_density_lhv))+Shipping!$J$73+IF(G61="Panama",Shipping!$J$55,0)+IF(G61="Suez",Shipping!$J$56,0))/Shipping!$J$31*CF61/1000000+IF(inland_transport_to_port="hv dc grid",$BM61/100*1000*CI61,IF(inland_transport_to_port="pipeline",$BN61,0)))</f>
        <v>17443.124382856691</v>
      </c>
      <c r="CH61" s="28">
        <f t="shared" si="36"/>
        <v>165989.05921923707</v>
      </c>
      <c r="CI61" s="29">
        <f>((Carriers!$P$18/Carriers!$P$23*alk_el_e_demand)+FA_e_demand)*(CF61+FA_st_ab_losses)/1000000+FA_st_e_demand*CF61/1000000</f>
        <v>1897.8881241622576</v>
      </c>
      <c r="CJ61" s="29">
        <f t="shared" si="80"/>
        <v>0.46563809523809524</v>
      </c>
      <c r="CK61" s="28">
        <f>IFERROR(CH61*1000000/Storage!$I$12,"")</f>
        <v>534.71481688271774</v>
      </c>
      <c r="CL61" s="28">
        <f>IF($E61="","No Port",((F61/24/Shipping!$J$44+F61/24/Shipping!$J$50+Shipping!$J$59+Shipping!$J$64)*Carriers!$P$39*wacc_nl))</f>
        <v>282.18259720137445</v>
      </c>
      <c r="CM61" s="29">
        <f>H2_retrieval!$H$25*h2_demand_kt/1000+(co2_liq_e_demand+co2_st_e_demand*2)*Storage!$I$12*co2_density/FA_density/1000000</f>
        <v>94.204253879484654</v>
      </c>
      <c r="CN61" s="28">
        <f>IFERROR((((CB61+CD61+CG61)*(1+H2_retrieval!$H$34)+CL61)*1000000/H2_retrieval!$H$8)+h2_regen_fa,"")</f>
        <v>10627.563933124971</v>
      </c>
      <c r="CO61" s="149">
        <f>(meoh_invest*(M61+1/meoh_lifetime)/meoh_prod+meoh_opex+meoh_e_demand*1000*$AU61/100+Carriers!$R$18/Carriers!$R$23*BD61+Carriers!$R$20/Carriers!$R$23*co2_liq_cost)*(CS61+meoh_st_ab_losses)/1000000</f>
        <v>59560.028697898866</v>
      </c>
      <c r="CP61" s="86">
        <f>(meoh_invest*(M61+1/meoh_lifetime)/meoh_prod+meoh_opex+meoh_e_demand*1000*$AU61/100+Carriers!$R$18/Carriers!$R$23*BD61+Carriers!$R$20/Carriers!$R$23*BP61)*(CS61+meoh_st_ab_losses)/1000000</f>
        <v>77244.472227122009</v>
      </c>
      <c r="CQ61" s="63">
        <f>meoh_st_nl_cost*meoh_st_nl_demand/1000000+(meoh_st_invest*(M61+1/meoh_st_lifetime+meoh_st_opex)/(Storage!$K$63/1000000)+meoh_st_e_demand*1000*$AU61/100)*(CS61+meoh_st_ab_losses)/1000000+co2_st_nl_cost*Storage!$K$12*co2_density/meoh_density/1000000+(co2_st_opex_lev+co2_st_invest_lev+co2_st_e_demand*1000*IFERROR(MIN(S61,AA61,AI61),S61)/100)*Storage!$K$12/1000000+co2_st_invest_lev*Storage!$K$12*co2_st_lifetime*M61/1000000+Carriers!$R$18/Carriers!$R$23*((CS61+meoh_st_ab_losses)/365.25*short_st_duration_hrs/24)*(h2_short_st_invest*(1/gh2_short_st_lifetime+$M61+h2_short_st_opex)+h2_short_st_e_demand*1000*$AU61/100)/1000000+Carriers!$R$20/Carriers!$R$23*((CF61+meoh_st_ab_losses)/365.25*short_st_duration_hrs/24)*(co2_short_st_invest*(1/co2_short_st_lifetime+$M61+co2_short_st_opex)+co2_short_st_e_demand*1000*$AU61/100)/1000000</f>
        <v>5013.7518261837649</v>
      </c>
      <c r="CR61" s="63">
        <f>meoh_st_nl_cost*meoh_st_nl_demand/1000000+(meoh_st_invest*(M61+1/meoh_st_lifetime+meoh_st_opex)/(Storage!$K$63/1000000)+meoh_st_e_demand*1000*$AU61/100)*(CS61+meoh_st_ab_losses)/1000000+Carriers!$R$18/Carriers!$R$23*((CS61+meoh_st_ab_losses)/365.25*short_st_duration_hrs/24)*(h2_short_st_invest*(1/gh2_short_st_lifetime+$M61+h2_short_st_opex)+h2_short_st_e_demand*1000*$AU61/100)/1000000+Carriers!$R$20/Carriers!$R$23*((CF61+meoh_st_ab_losses)/365.25*short_st_duration_hrs/24)*(co2_short_st_invest*(1/co2_short_st_lifetime+$M61+co2_short_st_opex)+co2_short_st_e_demand*1000*$AU61/100)/1000000</f>
        <v>2071.4347522786088</v>
      </c>
      <c r="CS61" s="63">
        <f>Storage!$K$57/((1-Shipping!$L$37)^($F61/24/Shipping!$L$44+0.5*Shipping!$L$59))</f>
        <v>108044444.44444443</v>
      </c>
      <c r="CT61" s="28">
        <f>IF($E61="","No Port",IF(AND(ship_choice="VLCC",G61="Panama"),"Ship cannot pass through Panama",IF(ship_choice="VLCC",((F61/24/Shipping!$AD$44+F61/24/Shipping!$AD$50+Shipping!$AD$59+Shipping!$AD$64)*(Shipping!$AD$22+wacc_nl*Shipping!$AD$19/365.25*1000000+Shipping!$AD$35)+(F61/24/Shipping!$AD$44*Shipping!$AD$45+Shipping!$AD$64*Shipping!$AD$65)*IF(bunker_choice="HFO",$H61,IF(bunker_choice="hydrogen",$BD61*hfo_e_density_lhv/h2_e_density_lhv,(CO61+CQ61)*1000000/CS61*hfo_e_density_lhv/meoh_e_density_lhv))+(F61/24/Shipping!$AD$50*Shipping!$AD$51+Shipping!$AD$59*Shipping!$AD$60)*IF(bunker_choice="HFO",bunker_price_ROT,IF(bunker_choice="hydrogen",$BD61*hfo_e_density_lhv/h2_e_density_lhv,(CO61+CQ61)*1000000/CS61*hfo_e_density_lhv/meoh_e_density_lhv))+Shipping!$AD$73+IF(G61="Panama",Shipping!$AD$55,0)+IF(G61="Suez",Shipping!$AD$56,0))/Shipping!$AD$31*CS61/1000000+IF(inland_transport_to_port="hv dc grid",$BM61/100*1000*CV61,IF(inland_transport_to_port="pipeline",$BN61,0)),((F61/24/Shipping!$L$44+F61/24/Shipping!$L$50+Shipping!$L$59+Shipping!$L$64)*(Shipping!$L$22+wacc_nl*Shipping!$L$19/365.25*1000000+Shipping!$L$35)+(F61/24/Shipping!$L$44*Shipping!$L$45+Shipping!$L$64*Shipping!$L$65)*IF(bunker_choice="HFO",$H61,IF(bunker_choice="hydrogen",$BD61*hfo_e_density_lhv/h2_e_density_lhv,(CO61+CQ61)*1000000/CS61*hfo_e_density_lhv/meoh_e_density_lhv))+(F61/24/Shipping!$L$50*Shipping!$L$51+Shipping!$L$59*Shipping!$L$60)*IF(bunker_choice="HFO",bunker_price_ROT,IF(bunker_choice="hydrogen",$BD61*hfo_e_density_lhv/h2_e_density_lhv,(CO61+CQ61)*1000000/CS61*hfo_e_density_lhv/meoh_e_density_lhv))+Shipping!$L$73+IF(G61="Panama",Shipping!$L$55,0)+IF(G61="Suez",Shipping!$L$56,0))/Shipping!$L$31*CS61/1000000+IF(inland_transport_to_port="hv dc grid",$BM61/100*1000*CV61,IF(inland_transport_to_port="pipeline",$BN61,0)))))</f>
        <v>6161.6374853052839</v>
      </c>
      <c r="CU61" s="28">
        <f t="shared" si="37"/>
        <v>85477.544464705905</v>
      </c>
      <c r="CV61" s="29">
        <f>((Carriers!$R$18/Carriers!$R$23*alk_el_e_demand)+meoh_e_demand)*(CS61+meoh_st_ab_losses)/1000000+meoh_st_e_demand*CS61/1000000</f>
        <v>1119.9789871111109</v>
      </c>
      <c r="CW61" s="29">
        <f t="shared" si="81"/>
        <v>0.16206666666666666</v>
      </c>
      <c r="CX61" s="28">
        <f>IFERROR(CU61*1000000/Storage!$K$12,"")</f>
        <v>791.1331758354105</v>
      </c>
      <c r="CY61" s="28">
        <f>IF($E61="","No Port",((F61/24/Shipping!$L$44+F61/24/Shipping!$L$50+Shipping!$L$59+Shipping!$L$64)*Carriers!$R$39*wacc_nl))</f>
        <v>101.06398540189652</v>
      </c>
      <c r="CZ61" s="29">
        <f>H2_retrieval!$J$25*h2_demand_kt/1000+(co2_liq_e_demand+co2_st_e_demand*2)*Storage!$K$12*co2_density/meoh_density/1000000</f>
        <v>251.05079059698966</v>
      </c>
      <c r="DA61" s="28">
        <f>IFERROR((((CO61+CQ61+CT61)*(1+H2_retrieval!$J$34)+CY61)*1000000/H2_retrieval!$J$8)+h2_regen_meoh,"")</f>
        <v>6378.6933957541905</v>
      </c>
      <c r="DB61" s="149">
        <f>(DBT_invest*(M61+1/DBT_lifetime)/DBT_prod+DBT_opex+DBT_e_demand*1000*$AU61/100+Carriers!$T$18/Carriers!$T$23*BD61)*(DD61+DBT_st_ab_losses)/1000000</f>
        <v>39805.394963193481</v>
      </c>
      <c r="DC61" s="28">
        <f>2*(DBT_st_nl_cost*DBT_st_nl_demand/1000000+(DBT_st_invest*(M61+1/DBT_st_lifetime+DBT_st_opex)/(Storage!$M$63/1000000)+DBT_st_e_demand*1000*$AU61/100)*(DD61+DBT_st_ab_losses)/1000000)+Carriers!$T$18/Carriers!$T$23*((DD61+DBT_st_ab_losses)/365.25*short_st_duration_hrs/24)*(h2_short_st_invest*(1/gh2_short_st_lifetime+$M61+h2_short_st_opex)+h2_short_st_e_demand*1000*$AU61/100)/1000000</f>
        <v>4255.5022132451222</v>
      </c>
      <c r="DD61" s="63">
        <f>Storage!$M$57/((1-Shipping!$N$37)^($F61/24/Shipping!$N$44+0.5*Shipping!$N$59))</f>
        <v>219354838.70967743</v>
      </c>
      <c r="DE61" s="28">
        <f>IF($E61="","No Port",IF(AND(ship_choice="VLCC",G61="Panama"),"Ship cannot pass through Panama",IF(ship_choice="VLCC",((F61/24/Shipping!$AD$44+F61/24/Shipping!$AD$50+Shipping!$AD$59+Shipping!$AD$64)*(Shipping!$AD$22+wacc_nl*Shipping!$AD$19/365.25*1000000+Shipping!$AD$35)+(F61/24/Shipping!$AD$44*Shipping!$AD$45+Shipping!$AD$64*Shipping!$AD$65)*IF(bunker_choice="HFO",$H61,IF(bunker_choice="hydrogen",$BD61*hfo_e_density_lhv/h2_e_density_lhv,(DB61+DC61)*1000000/DD61*hfo_e_density_lhv/DBT_e_density_lhv))+(F61/24/Shipping!$AD$50*Shipping!$AD$51+Shipping!$AD$59*Shipping!$AD$60)*IF(bunker_choice="HFO",bunker_price_ROT,IF(bunker_choice="hydrogen",$BD61*hfo_e_density_lhv/h2_e_density_lhv,(DB61+DC61)*1000000/DD61*hfo_e_density_lhv/DBT_e_density_lhv))+Shipping!$AD$73+IF(G61="Panama",Shipping!$AD$55,0)+IF(G61="Suez",Shipping!$AD$56,0))/Shipping!$AD$31*DD61/1000000+IF(inland_transport_to_port="hv dc grid",$BM61/100*1000*DG61,IF(inland_transport_to_port="pipeline",$BN61,0)),((F61/24/Shipping!$N$44+F61/24/Shipping!$N$50+Shipping!$N$59+Shipping!$N$64)*(Shipping!$N$22+wacc_nl*Shipping!$N$19/365.25*1000000+Shipping!$N$35)+(F61/24/Shipping!$N$44*Shipping!$N$45+Shipping!$N$64*Shipping!$N$65)*IF(bunker_choice="HFO",$H61,IF(bunker_choice="hydrogen",$BD61*hfo_e_density_lhv/h2_e_density_lhv,(DB61+DC61)*1000000/DD61*hfo_e_density_lhv/DBT_e_density_lhv))+(F61/24/Shipping!$N$50*Shipping!$N$51+Shipping!$N$59*Shipping!$N$60)*IF(bunker_choice="HFO",bunker_price_ROT,IF(bunker_choice="hydrogen",$BD61*hfo_e_density_lhv/h2_e_density_lhv,(DB61+DC61)*1000000/DD61*hfo_e_density_lhv/DBT_e_density_lhv))+Shipping!$N$73+IF(G61="Panama",Shipping!$N$55,0)+IF(G61="Suez",Shipping!$N$56,0))/Shipping!$N$31*Shipping!$N$86/1000000+IF(inland_transport_to_port="hv dc grid",$BM61/100*1000*DG61,IF(inland_transport_to_port="pipeline",$BN61,0)))))</f>
        <v>11061.307735867822</v>
      </c>
      <c r="DF61" s="28">
        <f t="shared" si="82"/>
        <v>55122.204912306421</v>
      </c>
      <c r="DG61" s="29">
        <f>((Carriers!$T$18/Carriers!$T$23*alk_el_e_demand)+DBT_e_demand)*(DD61+DBT_st_ab_losses)/1000000+DBT_st_e_demand*DD61/1000000</f>
        <v>703.88335483870969</v>
      </c>
      <c r="DH61" s="29">
        <f t="shared" si="83"/>
        <v>0.21935483870967742</v>
      </c>
      <c r="DI61" s="28">
        <f>IFERROR(DF61*1000000/Storage!$M$12,"")</f>
        <v>251.29240474727925</v>
      </c>
      <c r="DJ61" s="28">
        <f>IF($E61="","No Port",((F61/24/Shipping!$N$44+F61/24/Shipping!$N$50+Shipping!$N$59+Shipping!$N$64)*Carriers!$T$39*wacc_nl))</f>
        <v>7360.8221147514205</v>
      </c>
      <c r="DK61" s="100">
        <f>H2_retrieval!$L$25*h2_demand_kt/1000+(co2_liq_e_demand+co2_st_e_demand*2)*Storage!$M$12*co2_density/DBT_density/1000000</f>
        <v>206.61934861671787</v>
      </c>
      <c r="DL61" s="28">
        <f>IFERROR(((DF61*(1+H2_retrieval!$L$34)+DJ61)*1000000/H2_retrieval!$L$8)+h2_regen_lohc,"")</f>
        <v>5064.990003216577</v>
      </c>
      <c r="DM61" s="149">
        <f t="shared" si="84"/>
        <v>63939.828845292512</v>
      </c>
      <c r="DN61" s="16">
        <f>2*(nabh4_st_nl_cost*nabh4_st_nl_demand/1000000+(nabh4_st_invest*(M61+1/nabh4_st_lifetime+nabh4_st_opex)/(Storage!$O$63/1000000)+nabh4_st_e_demand*1000*$AU61/100)*(DO61+nabh4_st_ab_losses)/1000000)+(h2_demand_kt*1000/365.25*short_st_duration_hrs/24)*(h2_short_st_invest*(1/gh2_short_st_lifetime+$M61+h2_short_st_opex)+h2_short_st_e_demand*1000*$AU61/100)/1000000</f>
        <v>1520.1996316474413</v>
      </c>
      <c r="DO61" s="63">
        <f>Storage!$O$57/((1-Shipping!$P$37)^($F61/24/Shipping!$P$44+0.5*Shipping!$P$59))</f>
        <v>63920000</v>
      </c>
      <c r="DP61" s="16">
        <f>IF($E61="","No Port",((F61/24/Shipping!$P$44+F61/24/Shipping!$P$50+Shipping!$P$59+Shipping!$P$64)*(Shipping!$P$22+wacc_nl*Shipping!$P$19/365.25*1000000+Shipping!$P$35)+(F61/24/Shipping!$P$44*Shipping!$P$45+Shipping!$P$64*Shipping!$P$65)*IF(bunker_choice="HFO",$H61,IF(bunker_choice="hydrogen",$BD61*hfo_e_density_lhv/h2_e_density_lhv,(DM61+DN61)*1000000/DO61*hfo_e_density_lhv/nabh4_e_density_lhv))+(F61/24/Shipping!$P$50*Shipping!$P$51+Shipping!$P$59*Shipping!$P$60)*IF(bunker_choice="HFO",bunker_price_ROT,IF(bunker_choice="hydrogen",$BD61*hfo_e_density_lhv/h2_e_density_lhv,(DM61+DN61)*1000000/DO61*hfo_e_density_lhv/nabh4_e_density_lhv))+Shipping!$P$73+IF(G61="Panama",Shipping!$P$55,0)+IF(G61="Suez",Shipping!$P$56,0))/Shipping!$P$31*(DO61+nabh4_st_ab_losses)/1000000+IF(inland_transport_to_port="hv dc grid",$BM61/100*1000*DR61,IF(inland_transport_to_port="pipeline",$BN61,0)))</f>
        <v>4011.3028331416635</v>
      </c>
      <c r="DQ61" s="28">
        <f t="shared" si="60"/>
        <v>69471.331310081616</v>
      </c>
      <c r="DR61" s="29">
        <f>((Carriers!$V$18/Carriers!$V$23*alk_el_e_demand)+nabh4_e_demand)*(DO61+nabh4_st_ab_losses)/1000000+nabh4_st_e_demand*DO61/1000000</f>
        <v>980.02139682539689</v>
      </c>
      <c r="DS61" s="28">
        <f t="shared" si="85"/>
        <v>3.1960000000000002</v>
      </c>
      <c r="DT61" s="28">
        <f>IFERROR(DQ61*1000000/Storage!$O$12,"")</f>
        <v>1086.8481118598502</v>
      </c>
      <c r="DU61" s="28">
        <f>IF($E61="","No Port",((F61/24/Shipping!$P$44+F61/24/Shipping!$P$50+Shipping!$P$59+Shipping!$P$64)*Carriers!$V$39*wacc_nl))</f>
        <v>681.34916770705718</v>
      </c>
      <c r="DV61" s="100">
        <f>H2_retrieval!$N$25*h2_demand_kt/1000+(co2_liq_e_demand+co2_st_e_demand*2)*Storage!$O$12*co2_density/nabh4_density/1000000</f>
        <v>18.783638728971958</v>
      </c>
      <c r="DW61" s="28">
        <f>IFERROR(((DQ61*(1+H2_retrieval!$N$34)+DU61)*1000000/H2_retrieval!$N$8)+h2_regen_nabh4,"")</f>
        <v>5267.3232622146325</v>
      </c>
      <c r="DX61" s="149">
        <f>(Dme_invest*(M61+1/Dme_lifetime)/Dme_prod+Dme_opex+Dme_e_demand*1000*$AU61/100+Carriers!$X$21/Carriers!$X$23*(CO61*1000000/CS61))*(EB61+Dme_st_ab_losses)/1000000</f>
        <v>84430.177418160951</v>
      </c>
      <c r="DY61" s="86">
        <f>(Dme_invest*(M61+1/Dme_lifetime)/Dme_prod+Dme_opex+Dme_e_demand*1000*$AU61/100+Carriers!$X$21/Carriers!$X$23*(CP61*1000000/CS61))*(EB61+Dme_st_ab_losses)/1000000</f>
        <v>108422.02552584656</v>
      </c>
      <c r="DZ61" s="63">
        <f>Dme_st_nl_cost*Dme_st_nl_demand/1000000+(Dme_st_invest*(M61+1/Dme_st_lifetime+Dme_st_opex)/(Storage!$Q$63/1000000)+Dme_st_e_demand*1000*$AU61/100)*(EB61+Dme_st_ab_losses)/1000000+co2_st_nl_cost*Storage!$Q$12*co2_density/Dme_density/1000000+(co2_st_opex_lev+co2_st_invest_lev+co2_st_e_demand*1000*$AU61/100)*Storage!$Q$12/1000000+co2_st_invest_lev*Storage!$Q$12*co2_st_lifetime*M61/1000000+(h2_demand_kt*1000/365.25*short_st_duration_hrs/24)*(h2_short_st_invest*(1/gh2_short_st_lifetime+$M61+h2_short_st_opex)+h2_short_st_e_demand*1000*$AU61/100)/1000000</f>
        <v>6199.3015268892905</v>
      </c>
      <c r="EA61" s="63">
        <f>Dme_st_nl_cost*Dme_st_nl_demand/1000000+(Dme_st_invest*(M61+1/Dme_st_lifetime+Dme_st_opex)/(Storage!$Q$63/1000000)+Dme_st_e_demand*1000*$AU61/100)*(EB61+Dme_st_ab_losses)/1000000+(h2_demand_kt*1000/365.25*short_st_duration_hrs/24)*(h2_short_st_invest*(1/gh2_short_st_lifetime+$M61+h2_short_st_opex)+h2_short_st_e_demand*1000*$AU61/100)/1000000</f>
        <v>3106.9697178578817</v>
      </c>
      <c r="EB61" s="63">
        <f>Storage!$Q$57/((1-Shipping!$R$37)^($F61/24/Shipping!$R$44+0.5*Shipping!$R$59))</f>
        <v>103547089.94708996</v>
      </c>
      <c r="EC61" s="153">
        <f>IF($E61="","No Port",IF(AND(ship_choice="VLCC",G61="Panama"),"Ship cannot pass through Panama",IF(ship_choice="VLCC",((F61/24/Shipping!$AD$44+F61/24/Shipping!$AD$50+Shipping!$AD$59+Shipping!$AD$64)*(Shipping!$AD$22+wacc_nl*Shipping!$AD$19/365.25*1000000+Shipping!$AD$35)+(F61/24/Shipping!$AD$44*Shipping!$AD$45+Shipping!$AD$64*Shipping!$AD$65)*IF(bunker_choice="HFO",$H61,IF(bunker_choice="hydrogen",$BD61*hfo_e_density_lhv/h2_e_density_lhv,(DX61+DZ61)*1000000/EB61*hfo_e_density_lhv/Dme_e_density_lhv))+(F61/24/Shipping!$AD$50*Shipping!$AD$51+Shipping!$AD$59*Shipping!$AD$60)*IF(bunker_choice="HFO",bunker_price_ROT,IF(bunker_choice="hydrogen",$BD61*hfo_e_density_lhv/h2_e_density_lhv,(DX61+DZ61)*1000000/EB61*hfo_e_density_lhv/Dme_e_density_lhv))+Shipping!$AD$73+IF(G61="Panama",Shipping!$AD$55,0)+IF(G61="Suez",Shipping!$AD$56,0))/Shipping!$AD$31*(EB61+Dme_st_ab_losses)/1000000+IF(inland_transport_to_port="hv dc grid",$BM61/100*1000*EE61,IF(inland_transport_to_port="pipeline",$BN61,0)),((F61/24/Shipping!$R$44+F61/24/Shipping!$R$50+Shipping!$R$59+Shipping!$R$64)*(Shipping!$R$22+wacc_nl*Shipping!$R$19/365.25*1000000+Shipping!$R$35)+(F61/24/Shipping!$R$44*Shipping!$R$45+Shipping!$R$64*Shipping!$R$65)*IF(bunker_choice="HFO",$H61,IF(bunker_choice="hydrogen",$BD61*hfo_e_density_lhv/h2_e_density_lhv,(DX61+DZ61)*1000000/EB61*hfo_e_density_lhv/Dme_e_density_lhv))+(F61/24/Shipping!$R$50*Shipping!$R$51+Shipping!$R$59*Shipping!$R$60)*IF(bunker_choice="HFO",bunker_price_ROT,IF(bunker_choice="hydrogen",$BD61*hfo_e_density_lhv/h2_e_density_lhv,(DX61+DZ61)*1000000/EB61*hfo_e_density_lhv/Dme_e_density_lhv))+Shipping!$R$73+IF(G61="Panama",Shipping!$R$55,0)+IF(G61="Suez",Shipping!$R$56,0))/Shipping!$R$31*(EB61+Dme_st_ab_losses)/1000000+IF(inland_transport_to_port="hv dc grid",$BM61/100*1000*EE61,IF(inland_transport_to_port="pipeline",$BN61,0)))))</f>
        <v>6191.8188242042506</v>
      </c>
      <c r="ED61" s="28">
        <f t="shared" si="39"/>
        <v>117720.81406790869</v>
      </c>
      <c r="EE61" s="29">
        <f>(Dme_e_demand)*(EB61+Dme_st_ab_losses)/1000000+Dme_st_e_demand*DZ61/1000000+$CV61*(Carriers!$X$21/Carriers!$X$23*EB61)/$CS61</f>
        <v>1550.2168221600712</v>
      </c>
      <c r="EF61" s="29">
        <f t="shared" si="86"/>
        <v>1.0354708994708997</v>
      </c>
      <c r="EG61" s="28">
        <f>IFERROR(ED61*1000000/Storage!$Q$12,"")</f>
        <v>1136.8819165083362</v>
      </c>
      <c r="EH61" s="28">
        <f>IF($E61="","No Port",((F61/24/Shipping!$R$44+F61/24/Shipping!$R$50+Shipping!$R$59+Shipping!$R$64)*Carriers!$X$39*wacc_nl))</f>
        <v>105.01025880266744</v>
      </c>
      <c r="EI61" s="100">
        <f>H2_retrieval!$P$25*h2_demand_kt/1000+(co2_liq_e_demand+co2_st_e_demand*2)*Storage!$Q$12*co2_density/Dme_density/1000000</f>
        <v>252.45335899349112</v>
      </c>
      <c r="EJ61" s="28">
        <f>IFERROR((((DX61+DZ61+EC61)*(1+H2_retrieval!$P$34)+EH61)*1000000/H2_retrieval!$P$8)+h2_regen_dme,"")</f>
        <v>8297.062957023847</v>
      </c>
      <c r="EK61" s="149">
        <f>(ome_invest*(M61+1/ome_lifetime)/ome_prod+ome_opex+ome_e_demand*1000*$AU61/100+Carriers!$Z$21/Carriers!$Z$23*(CO61*1000000/CS61))*(EO61+ome_st_ab_losses)/1000000</f>
        <v>185389.94005546696</v>
      </c>
      <c r="EL61" s="86">
        <f>(ome_invest*(M61+1/ome_lifetime)/ome_prod+ome_opex+ome_e_demand*1000*$AU61/100+Carriers!$Z$21/Carriers!$Z$23*(CP61*1000000/CS61))*(EO61+ome_st_ab_losses)/1000000</f>
        <v>235753.49955942784</v>
      </c>
      <c r="EM61" s="63">
        <f>ome_st_nl_cost*ome_st_nl_demand/1000000+(ome_st_invest*(M61+1/ome_st_lifetime+ome_st_opex)/(Storage!$S$63/1000000)+ome_st_e_demand*1000*$AU61/100)*(EO61+ome_st_ab_losses)/1000000+co2_st_nl_cost*Storage!$S$12*co2_density/ome_density/1000000+(co2_st_opex_lev+co2_st_invest_lev+co2_st_e_demand*1000*$AU61/100)*Storage!$S$12/1000000+co2_st_invest_lev*Storage!$S$12*co2_st_lifetime*M61/1000000+(h2_demand_kt*1000/365.25*short_st_duration_hrs/24)*(h2_short_st_invest*(1/gh2_short_st_lifetime+$M61+h2_short_st_opex)+h2_short_st_e_demand*1000*$AU61/100)/1000000</f>
        <v>5356.1570870964215</v>
      </c>
      <c r="EN61" s="63">
        <f>ome_st_nl_cost*ome_st_nl_demand/1000000+(ome_st_invest*(M61+1/ome_st_lifetime+ome_st_opex)/(Storage!$S$63/1000000)+ome_st_e_demand*1000*$AU61/100)*(EO61+ome_st_ab_losses)/1000000+(h2_demand_kt*1000/365.25*short_st_duration_hrs/24)*(h2_short_st_invest*(1/gh2_short_st_lifetime+$M61+h2_short_st_opex)+h2_short_st_e_demand*1000*$AU61/100)/1000000</f>
        <v>1864.0932834036823</v>
      </c>
      <c r="EO61" s="63">
        <f>Storage!$S$57/((1-Shipping!$T$37)^($F61/24/Shipping!$T$44+0.5*Shipping!$T$59))</f>
        <v>128282539.68253967</v>
      </c>
      <c r="EP61" s="28">
        <f>IF($E61="","No Port",IF(AND(ship_choice="VLCC",G61="Panama"),"Ship cannot pass through Panama",IF(ship_choice="VLCC",((F61/24/Shipping!$AD$44+F61/24/Shipping!$AD$50+Shipping!$AD$59+Shipping!$AD$64)*(Shipping!$AD$22+wacc_nl*Shipping!$AD$19/365.25*1000000+Shipping!$AD$35)+(F61/24/Shipping!$AD$44*Shipping!$AD$45+Shipping!$AD$64*Shipping!$AD$65)*IF(bunker_choice="HFO",$H61,IF(bunker_choice="hydrogen",$BD61*hfo_e_density_lhv/h2_e_density_lhv,(EK61+EM61)*1000000/EO61*hfo_e_density_lhv/Dme_e_density_lhv))+(F61/24/Shipping!$AD$50*Shipping!$AD$51+Shipping!$AD$59*Shipping!$AD$60)*IF(bunker_choice="HFO",bunker_price_ROT,IF(bunker_choice="hydrogen",$BD61*hfo_e_density_lhv/h2_e_density_lhv,(EK61+EM61)*1000000/EO61*hfo_e_density_lhv/ome_e_density_lhv))+Shipping!$AD$73+IF(G61="Panama",Shipping!$AD$55,0)+IF(G61="Suez",Shipping!$AD$56,0))/Shipping!$AD$31*(EO61+ome_st_ab_losses)/1000000+IF(inland_transport_to_port="hv dc grid",$BM61/100*1000*ER61,IF(inland_transport_to_port="pipeline",$BN61,0)),((F61/24/Shipping!$T$44+F61/24/Shipping!$T$50+Shipping!$T$59+Shipping!$T$64)*(Shipping!$T$22+wacc_nl*Shipping!$T$19/365.25*1000000+Shipping!$T$35)+(F61/24/Shipping!$T$44*Shipping!$T$45+Shipping!$T$64*Shipping!$T$65)*IF(bunker_choice="HFO",$H61,IF(bunker_choice="hydrogen",$BD61*hfo_e_density_lhv/h2_e_density_lhv,(EK61+EM61)*1000000/EO61*hfo_e_density_lhv/Dme_e_density_lhv))+(F61/24/Shipping!$T$50*Shipping!$T$51+Shipping!$T$59*Shipping!$T$60)*IF(bunker_choice="HFO",bunker_price_ROT,IF(bunker_choice="hydrogen",$BD61*hfo_e_density_lhv/h2_e_density_lhv,(EK61+EM61)*1000000/EO61*hfo_e_density_lhv/ome_e_density_lhv))+Shipping!$T$73+IF(G61="Panama",Shipping!$T$55,0)+IF(G61="Suez",Shipping!$T$56,0))/Shipping!$T$31*(EO61+ome_st_ab_losses)/1000000+IF(inland_transport_to_port="hv dc grid",$BM61/100*1000*ER61,IF(inland_transport_to_port="pipeline",$BN61,0)))))</f>
        <v>6827.0682449765554</v>
      </c>
      <c r="EQ61" s="28">
        <f t="shared" si="40"/>
        <v>244444.66108780808</v>
      </c>
      <c r="ER61" s="29">
        <f>(ome_e_demand)*(EO61+ome_st_ab_losses)/1000000+ome_st_e_demand*EM61/1000000+$CV61*(Carriers!$Z$21/Carriers!$Z$23*EO61)/$CS61</f>
        <v>3352.0814581750192</v>
      </c>
      <c r="ES61" s="29">
        <f t="shared" si="87"/>
        <v>0.1924238095238095</v>
      </c>
      <c r="ET61" s="28">
        <f>IFERROR(EQ61*1000000/Storage!$S$12,"")</f>
        <v>1905.5177866975068</v>
      </c>
      <c r="EU61" s="28">
        <f>IF($E61="","No Port",((F61/24/Shipping!$T$44+F61/24/Shipping!$T$50+Shipping!$T$59+Shipping!$T$64)*Carriers!$Z$39*wacc_nl))</f>
        <v>119.99455209805593</v>
      </c>
      <c r="EV61" s="100">
        <f>H2_retrieval!$R$25*h2_demand_kt/1000+(co2_liq_e_demand+co2_st_e_demand*2)*Storage!$S$12*co2_density/ome_density/1000000</f>
        <v>254.51942895252085</v>
      </c>
      <c r="EW61" s="28">
        <f>IFERROR((((EK61+EM61+EP61)*(1+H2_retrieval!$R$34)+EU61)*1000000/H2_retrieval!$R$8)+h2_regen_ome,"")</f>
        <v>15706.390303463615</v>
      </c>
      <c r="EX61" s="149">
        <f>(sng_invest*(M61+1/sng_lifetime)/sng_prod+lng_invest*(M61+1/lng_lifetime)/lng_prod+sng_opex+lng_opex+(sng_e_demand+lng_e_demand)*1000*$AU61/100+Carriers!$AB$18/Carriers!$AB$23*BD61+Carriers!$AB$20/Carriers!$AB$23*co2_liq_cost)*(FB61+lng_st_ab_losses)/1000000</f>
        <v>65443.277036742242</v>
      </c>
      <c r="EY61" s="86">
        <f>(sng_invest*(M61+1/sng_lifetime)/sng_prod+lng_invest*(M61+1/lng_lifetime)/lng_prod+sng_opex+lng_opex+(sng_e_demand+lng_e_demand)*1000*$AU61/100+Carriers!$AB$18/Carriers!$AB$23*BD61+Carriers!$AB$20/Carriers!$AB$23*BP61)*(FB61+lng_st_ab_losses)/1000000</f>
        <v>78762.88976818604</v>
      </c>
      <c r="EZ61" s="63">
        <f>lng_st_nl_cost*lng_st_nl_demand/1000000+(lng_st_invest*(M61+1/lng_st_lifetime+lng_st_opex)/(Storage!$U$63/1000000)+lng_st_e_demand*1000*$AU61/100)*(FB61+lng_st_ab_losses)/1000000+co2_st_nl_cost*Storage!$U$12*co2_density/lng_density/1000000+(co2_st_opex_lev+co2_st_invest_lev+co2_st_e_demand*1000*$AU61/100)*Storage!$U$12/1000000+co2_st_invest_lev*Storage!$U$12*co2_st_lifetime*M61/1000000+Carriers!$AB$18/Carriers!$AB$23*((FB61+lng_st_ab_losses)/365.25*short_st_duration_hrs/24)*(h2_short_st_invest*(1/gh2_short_st_lifetime+$M61+h2_short_st_opex)+h2_short_st_e_demand*1000*$AU61/100)/1000000+Carriers!$AB$20/Carriers!$AB$23*((FB61+lng_st_ab_losses)/365.25*short_st_duration_hrs/24)*(co2_short_st_invest*(1/co2_short_st_lifetime+$M61+co2_short_st_opex)+co2_short_st_e_demand*1000*$AU61/100)/1000000</f>
        <v>6522.8333232227023</v>
      </c>
      <c r="FA61" s="63">
        <f>lng_st_nl_cost*lng_st_nl_demand/1000000+(lng_st_invest*(M61+1/lng_st_lifetime+lng_st_opex)/(Storage!$U$63/1000000)+lng_st_e_demand*1000*$AU61/100)*(FB61+lng_st_ab_losses)/1000000+Carriers!$AB$18/Carriers!$AB$23*((FB61+lng_st_ab_losses)/365.25*short_st_duration_hrs/24)*(h2_short_st_invest*(1/gh2_short_st_lifetime+$M61+h2_short_st_opex)+h2_short_st_e_demand*1000*$AU61/100)/1000000+Carriers!$AB$20/Carriers!$AB$23*((FB61+lng_st_ab_losses)/365.25*short_st_duration_hrs/24)*(co2_short_st_invest*(1/co2_short_st_lifetime+$M61+co2_short_st_opex)+co2_short_st_e_demand*1000*$AU61/100)/1000000</f>
        <v>4873.1400156574546</v>
      </c>
      <c r="FB61" s="63">
        <f>Storage!$U$57/((1-Shipping!$V$37)^($F61/24/Shipping!$V$44+0.5*Shipping!$V$59))</f>
        <v>41464437.379262559</v>
      </c>
      <c r="FC61" s="28" t="e">
        <f>IF($E61="","No Port",IF(G61="Panama","Ship cannot pass through Panama",((F61/24/Shipping!$V$44+F61/24/Shipping!$V$50+Shipping!$V$59+Shipping!$V$64)*(Shipping!$V$22+wacc_nl*Shipping!$V$19/365.25*1000000+Shipping!$V$35)+(F61/24/Shipping!$V$44*Shipping!$V$45+Shipping!$V$64*Shipping!$V$65)*IF(bunker_choice="HFO",$H61,IF(bunker_choice="hydrogen",$BD61*hfo_e_density_lhv/h2_e_density_lhv,(EX61+EZ61)*1000000/FB61*hfo_e_density_lhv/lng_e_density_lhv))+(F61/24/Shipping!$V$50*Shipping!$V$51+Shipping!$V$59*Shipping!$V$60)*IF(bunker_choice="HFO",bunker_price_ROT,IF(bunker_choice="hydrogen",$BD61*hfo_e_density_lhv/h2_e_density_lhv,(EX61+EZ61)*1000000/FB61*hfo_e_density_lhv/lng_e_density_lhv))+Shipping!$V$73+IF(G61="Panama",Shipping!$V$55,0)+IF(G61="Suez",Shipping!$V$56,0))/Shipping!$V$31*(FB61+lng_st_ab_losses)/1000000)+IF(inland_transport_to_port="hv dc grid",$BM61/100*1000*FE61,IF(inland_transport_to_port="pipeline",$BN61,0)))</f>
        <v>#VALUE!</v>
      </c>
      <c r="FD61" s="28" t="str">
        <f t="shared" si="41"/>
        <v/>
      </c>
      <c r="FE61" s="29">
        <f>((Carriers!$AB$18/Carriers!$AB$23*alk_el_e_demand)+sng_e_demand+lng_e_demand)*(FB61+lng_st_ab_losses)/1000000+lng_st_e_demand*EZ61/1000000</f>
        <v>1112.0365279639859</v>
      </c>
      <c r="FF61" s="29">
        <f t="shared" si="88"/>
        <v>0.8126185861001558</v>
      </c>
      <c r="FG61" s="28" t="str">
        <f>IFERROR(FD61*1000000/Storage!$U$12,"")</f>
        <v/>
      </c>
      <c r="FH61" s="28">
        <f>IF($E61="","No Port",((F61/24/Shipping!$V$44+F61/24/Shipping!$V$50+Shipping!$V$59+Shipping!$V$64)*Carriers!$AB$39*wacc_nl))</f>
        <v>35.299917874616746</v>
      </c>
      <c r="FI61" s="100">
        <f>H2_retrieval!$T$25*h2_demand_kt/1000+(co2_liq_e_demand+co2_st_e_demand*2)*Storage!$U$12*co2_density/lng_density/1000000</f>
        <v>236.51371749646054</v>
      </c>
      <c r="FJ61" s="28" t="str">
        <f>IFERROR((((EX61+EZ61+FC61)*(1+H2_retrieval!$T$34)+FH61)*1000000/H2_retrieval!$T$8)+h2_regen_lng,"")</f>
        <v/>
      </c>
      <c r="FK61" s="149">
        <f>(lh2_invest*(M61+1/lh2_lifetime)/lh2_prod+lh2_opex+lh2_e_demand*1000*$AU61/100+Carriers!$AD$18/Carriers!$AD$23*BD61)*(FM61+lh2_st_ab_losses)/1000000</f>
        <v>52883.775200197575</v>
      </c>
      <c r="FL61" s="28">
        <f>lh2_st_nl_cost*lh2_st_nl_demand/1000000+(lh2_st_invest*(M61+1/lh2_st_lifetime+lh2_st_opex)/(Storage!$Y$63/1000000)+lh2_st_e_demand*1000*$AU61/100)*(FM61+lh2_st_ab_losses)/1000000+((FM61+lh2_st_ab_losses)/365.25*short_st_duration_hrs/24)*(h2_short_st_invest*(1/gh2_short_st_lifetime+$M61+h2_short_st_opex)+h2_short_st_e_demand*1000*$AU61/100)/1000000</f>
        <v>56492.27022092932</v>
      </c>
      <c r="FM61" s="63">
        <f>Storage!$Y$57/((1-Shipping!$Z$37)^($F61/24/Shipping!$Z$44+0.5*Shipping!$Z$59))</f>
        <v>14068951.71773134</v>
      </c>
      <c r="FN61" s="28" t="e">
        <f>IF($E61="","No Port",IF(G61="Panama","Ship cannot pass through Panama",((F61/24/Shipping!$Z$44+F61/24/Shipping!$Z$50+Shipping!$Z$59+Shipping!$Z$64)*(Shipping!$Z$22+wacc_nl*Shipping!$Z$19/365.25*1000000+Shipping!$Z$35)+(F61/24/Shipping!$Z$44*Shipping!$Z$45+Shipping!$Z$64*Shipping!$Z$65)*IF(bunker_choice="HFO",$H61,IF(bunker_choice="hydrogen",$BD61*hfo_e_density_lhv/h2_e_density_lhv,(FK61+FL61)*1000000/FM61*hfo_e_density_lhv/lh2_e_density_lhv))+(F61/24/Shipping!$Z$50*Shipping!$Z$51+Shipping!$Z$59*Shipping!$Z$60)*IF(bunker_choice="HFO",bunker_price_ROT,IF(bunker_choice="hydrogen",$BD61*hfo_e_density_lhv/h2_e_density_lhv,(FK61+FL61)*1000000/FM61*hfo_e_density_lhv/lh2_e_density_lhv))+Shipping!$Z$73+IF(G61="Panama",Shipping!$Z$55,0)+IF(G61="Suez",Shipping!$Z$56,0))/Shipping!$Z$31*(FM61+lh2_st_ab_losses)/1000000)+IF(inland_transport_to_port="hv dc grid",$BM61/100*1000*FP61,IF(inland_transport_to_port="pipeline",$BN61,0)))</f>
        <v>#VALUE!</v>
      </c>
      <c r="FO61" s="28" t="str">
        <f t="shared" si="42"/>
        <v/>
      </c>
      <c r="FP61" s="29">
        <f>((Carriers!$AD$18/Carriers!$AD$23*alk_el_e_demand)+lh2_e_demand)*(FM61+lh2_st_ab_losses)/1000000+lh2_st_e_demand*FM61/1000000</f>
        <v>815.26928905511636</v>
      </c>
      <c r="FQ61" s="100">
        <f t="shared" si="89"/>
        <v>1.361902463475859</v>
      </c>
      <c r="FR61" s="28" t="str">
        <f>IFERROR(FO61*1000000/Storage!$Y$12,"")</f>
        <v/>
      </c>
      <c r="FS61" s="100">
        <f>H2_retrieval!$V$25*h2_demand_kt/1000</f>
        <v>8.16</v>
      </c>
      <c r="FT61" s="28" t="str">
        <f>IFERROR(FR61*(1+H2_retrieval!$V$34)/Carrier_properties!$U$7+H2_retrieval!$V$38,"")</f>
        <v/>
      </c>
      <c r="FU61" s="12"/>
      <c r="FV61" s="24">
        <f t="shared" si="90"/>
        <v>2.4734819584310621</v>
      </c>
      <c r="FW61" s="24">
        <f t="shared" si="57"/>
        <v>4.7851153969508813</v>
      </c>
      <c r="FX61" s="24">
        <f t="shared" si="58"/>
        <v>8.0967919093514826</v>
      </c>
      <c r="FY61" s="24">
        <f t="shared" si="45"/>
        <v>2.4734819584310621</v>
      </c>
      <c r="FZ61" s="28">
        <f t="shared" si="59"/>
        <v>2676.2577282999991</v>
      </c>
      <c r="GA61" s="28">
        <f t="shared" si="47"/>
        <v>633.47175865829672</v>
      </c>
      <c r="GB61" s="28">
        <f t="shared" si="48"/>
        <v>461.6615025020929</v>
      </c>
      <c r="GC61" s="28">
        <f t="shared" si="49"/>
        <v>714.9323838380277</v>
      </c>
      <c r="GD61" s="28">
        <f t="shared" si="50"/>
        <v>1047.079406879011</v>
      </c>
      <c r="GE61" s="28">
        <f t="shared" si="51"/>
        <v>1837.7676349629978</v>
      </c>
      <c r="GF61" s="28">
        <f t="shared" si="52"/>
        <v>1899.5287225958455</v>
      </c>
      <c r="GG61" s="12"/>
      <c r="GH61" s="12"/>
      <c r="GI61" s="12"/>
      <c r="GJ61" s="12"/>
      <c r="GK61" s="12"/>
      <c r="GL61" s="12"/>
      <c r="GM61" s="12"/>
      <c r="GN61" s="12"/>
      <c r="GO61" s="12"/>
      <c r="GP61" s="12"/>
      <c r="GQ61" s="12"/>
      <c r="GR61" s="12"/>
      <c r="GS61" s="12"/>
      <c r="GT61" s="12"/>
      <c r="GU61" s="12"/>
      <c r="GV61" s="12"/>
      <c r="GW61" s="12"/>
      <c r="GX61" s="12"/>
      <c r="GY61" s="12"/>
      <c r="GZ61" s="12"/>
      <c r="HA61" s="12"/>
      <c r="HB61" s="12"/>
      <c r="HC61" s="12"/>
      <c r="HD61" s="12"/>
      <c r="HE61" s="12"/>
      <c r="HF61" s="12"/>
    </row>
    <row r="62" spans="1:214" x14ac:dyDescent="0.2">
      <c r="A62" s="40" t="s">
        <v>66</v>
      </c>
      <c r="B62" s="12">
        <v>4883</v>
      </c>
      <c r="C62" s="12">
        <v>0.9</v>
      </c>
      <c r="D62" s="12">
        <f t="shared" si="61"/>
        <v>9.9999999999999978E-2</v>
      </c>
      <c r="E62" s="12" t="s">
        <v>730</v>
      </c>
      <c r="F62" s="12">
        <v>3015</v>
      </c>
      <c r="G62" s="12"/>
      <c r="H62" s="16">
        <f t="shared" si="62"/>
        <v>382.75862068965517</v>
      </c>
      <c r="I62" s="16">
        <v>28120</v>
      </c>
      <c r="J62" s="16">
        <f t="shared" si="31"/>
        <v>94.609058760185292</v>
      </c>
      <c r="K62" s="27">
        <f t="shared" si="32"/>
        <v>113.53087051222235</v>
      </c>
      <c r="L62" s="103">
        <v>0.16900000000000001</v>
      </c>
      <c r="M62" s="103">
        <f t="shared" si="63"/>
        <v>0.16093540589294469</v>
      </c>
      <c r="N62" s="122">
        <f t="shared" si="33"/>
        <v>0.9</v>
      </c>
      <c r="O62" s="46">
        <f t="shared" si="64"/>
        <v>40</v>
      </c>
      <c r="P62" s="70">
        <f t="array" ref="P62">SUMPRODUCT(IF(Solar_data!A$4:A$777=A62,Solar_data!C$4:C$777),IF(Solar_data!A$4:A$777=A62,Solar_data!I$4:I$777))/SUMIF(Solar_data!A$4:A$777,A62,Solar_data!I$4:I$777)</f>
        <v>2001.4601002637814</v>
      </c>
      <c r="Q62" s="16">
        <f t="array" ref="Q62">MAX(IF(Solar_data!$A$777:'Solar_data'!$A$4=Country_details!$A62,Solar_data!$C$4:'Solar_data'!$C$777))</f>
        <v>2098.75</v>
      </c>
      <c r="R62" s="16">
        <f t="array" ref="R62">MIN(IF(Solar_data!$A$777:'Solar_data'!$A$4=Country_details!A62,Solar_data!$C$4:'Solar_data'!$C$777))</f>
        <v>1733.75</v>
      </c>
      <c r="S62" s="24">
        <f t="shared" si="65"/>
        <v>2.7441138731752091</v>
      </c>
      <c r="T62" s="24">
        <f t="shared" si="66"/>
        <v>2.6169074104778978</v>
      </c>
      <c r="U62" s="24">
        <f t="shared" si="67"/>
        <v>3.1678352863679815</v>
      </c>
      <c r="V62" s="16">
        <f t="array" ref="V62">SUM(IF(Solar_data!$A$777:'Solar_data'!$A$4=Country_details!$A62,Solar_data!$I$4:'Solar_data'!$I$777))</f>
        <v>1971.0354489874585</v>
      </c>
      <c r="W62" s="148"/>
      <c r="X62" s="16" t="str">
        <f>IFERROR(INDEX(Onshore_wind_data!$J$5:'Onshore_wind_data'!$J$221,MATCH(A62,Onshore_wind_data!$B$5:'Onshore_wind_data'!$B$221,0)),"")</f>
        <v/>
      </c>
      <c r="Y62" s="16" t="str">
        <f>IFERROR(INDEX(Onshore_wind_data!$K$5:'Onshore_wind_data'!$K$221,MATCH(A62,Onshore_wind_data!$B$5:'Onshore_wind_data'!$B$221,0)),"")</f>
        <v/>
      </c>
      <c r="Z62" s="16" t="str">
        <f>IFERROR(INDEX(Onshore_wind_data!$L$5:'Onshore_wind_data'!$L$221,MATCH(A62,Onshore_wind_data!$B$5:'Onshore_wind_data'!$B$221,0)),"")</f>
        <v/>
      </c>
      <c r="AA62" s="24" t="str">
        <f t="shared" si="68"/>
        <v/>
      </c>
      <c r="AB62" s="24" t="str">
        <f t="shared" si="69"/>
        <v/>
      </c>
      <c r="AC62" s="24" t="str">
        <f t="shared" si="70"/>
        <v/>
      </c>
      <c r="AD62" s="16">
        <f>IFERROR(INDEX(Onshore_wind_data!$I$5:'Onshore_wind_data'!$I$221,MATCH(A62,Onshore_wind_data!$B$5:'Onshore_wind_data'!$B$221,0)),"")</f>
        <v>0</v>
      </c>
      <c r="AE62" s="148"/>
      <c r="AF62" s="16" t="str">
        <f>INDEX(Offshore_wind_data!$AA$7:$AA$192,MATCH(Country_details!A62,Offshore_wind_data!$A$7:$A$192,0))</f>
        <v/>
      </c>
      <c r="AG62" s="16" t="str">
        <f>INDEX(Offshore_wind_data!$Y$7:$Y$192,MATCH(Country_details!A62,Offshore_wind_data!$A$7:$A$192,0))</f>
        <v/>
      </c>
      <c r="AH62" s="16" t="str">
        <f>INDEX(Offshore_wind_data!$Z$7:$Z$192,MATCH(Country_details!A62,Offshore_wind_data!$A$7:$A$192,0))</f>
        <v/>
      </c>
      <c r="AI62" s="24" t="str">
        <f t="shared" si="71"/>
        <v/>
      </c>
      <c r="AJ62" s="24" t="str">
        <f t="shared" si="72"/>
        <v/>
      </c>
      <c r="AK62" s="24" t="str">
        <f t="shared" si="73"/>
        <v/>
      </c>
      <c r="AL62" s="16">
        <f>INDEX(Offshore_wind_data!$W$7:$W$191,MATCH(A62,Offshore_wind_data!$A$7:$A$191,0))</f>
        <v>0</v>
      </c>
      <c r="AM62" s="148"/>
      <c r="AN62" s="12">
        <v>12.7</v>
      </c>
      <c r="AO62" s="12">
        <v>26.9</v>
      </c>
      <c r="AP62" s="34"/>
      <c r="AQ62" s="15">
        <f t="shared" si="74"/>
        <v>50</v>
      </c>
      <c r="AR62" s="12">
        <f t="shared" si="34"/>
        <v>1345</v>
      </c>
      <c r="AS62" s="16">
        <f t="shared" si="35"/>
        <v>626.03544898745849</v>
      </c>
      <c r="AT62" s="12"/>
      <c r="AU62" s="24">
        <f t="shared" si="75"/>
        <v>2.7441138731752091</v>
      </c>
      <c r="AV62" s="16">
        <f t="shared" si="76"/>
        <v>2001.4601002637814</v>
      </c>
      <c r="AW62" s="149">
        <f>HV_DC_Grid!$E$3/(1-AX62)*AU62/100*1000</f>
        <v>3065.877687163495</v>
      </c>
      <c r="AX62" s="31">
        <f>(1-(1-HV_DC_Grid!$E$25)^(B62*C62*HV_DC_Grid!$E$8/1000))+(1-(1-HV_DC_Grid!$E$26)^(B62*D62*HV_DC_Grid!$E$8/1000))+HV_DC_Grid!$E$35*HV_DC_Grid!$E$28</f>
        <v>0.10494998392645492</v>
      </c>
      <c r="AY62" s="28">
        <f>B62*nl_e_demand/IF(hv_dc_flh="electricity FLH",$AV62,hv_dc_custom)*1000*hv_dc_capacity_multiplier*hv_dc_length_multiplier*1000*(C62*hv_dc_overhead_invest*(hv_dc_overhead_opex+M62+1/hv_dc_lifetime)+D62*hv_dc_sea_invest*(hv_dc_sea_opex+M62+1/hv_dc_lifetime))/1000000+HV_DC_Grid!$E$10*1000*hv_dc_station_invest*hv_dc_station_number*(hv_dc_station_opex+M62+1/hv_dc_lifetime)/1000000</f>
        <v>6670.2955979401941</v>
      </c>
      <c r="AZ62" s="24">
        <f>(AW62+AY62)/(HV_DC_Grid!$E$3*1000)*100</f>
        <v>9.7361732851036891</v>
      </c>
      <c r="BA62" s="28">
        <f>MIN(((Carriers!$F$26+Carriers!$F$27)*(alk_el_opex+wacc_nl+1/alk_el_lifetime)+IF(hv_dc_flh="electricity FLH",$AV62,hv_dc_custom)*AZ62/100)/(IF(hv_dc_flh="electricity FLH",$AV62,hv_dc_custom)/alk_el_e_demand)*1000,((Carriers!$H$26+Carriers!$H$27)*(pem_el_opex+wacc_nl+1/pem_el_lifetime)+IF(hv_dc_flh="electricity FLH",$AV62,hv_dc_custom)*AZ62/100)/(IF(hv_dc_flh="electricity FLH",$AV62,hv_dc_custom)/pem_el_e_demand)*1000)</f>
        <v>5325.5186264249078</v>
      </c>
      <c r="BB62" s="12"/>
      <c r="BC62" s="12"/>
      <c r="BD62" s="149">
        <f>MIN(((Carriers!$F$26+Carriers!$F$27)*(alk_el_opex+M62+1/alk_el_lifetime)+$AV62*$AU62/100)/($AV62/alk_el_e_demand)*1000,((Carriers!$H$26+Carriers!$H$27)*(pem_el_opex+M62+1/pem_el_lifetime)+$AV62*$AU62/100)/($AV62/pem_el_e_demand)*1000)</f>
        <v>3424.3004002657299</v>
      </c>
      <c r="BE62" s="28">
        <f>Storage!$AC$50</f>
        <v>8.1664117557772418</v>
      </c>
      <c r="BF62" s="28">
        <f>((Pipeline!$D$22*Pipeline!$D$24*B62*(pipeline_opex+M62+1/pipeline_lifetime))*(Pipeline!$D$39/Pipeline!$D$3)+(Pipeline!$D$57*(pipeline_comp_opex+M62+1/pipeline_comp_lifetime)+Pipeline!$D$47*1000*Pipeline!$D$45*$AU62/100/1000000))*(Pipeline!$D$75/Pipeline!$D$45)</f>
        <v>13067.095319640435</v>
      </c>
      <c r="BG62" s="28">
        <f>BD62+(BE62+BF62)/Storage!$AC$12*1000000</f>
        <v>4385.716704044863</v>
      </c>
      <c r="BH62" s="28"/>
      <c r="BI62" s="28"/>
      <c r="BJ62" s="28">
        <f>IF($E62="","No Port",BK62*HV_DC_Grid!$E$3*$AU62/100*1000)</f>
        <v>44.440942746039831</v>
      </c>
      <c r="BK62" s="31">
        <f>IFERROR((1-(1-HV_DC_Grid!$E$25)^(K62*HV_DC_Grid!$E$8/1000))+HV_DC_Grid!$E$35*HV_DC_Grid!$E$28,"")</f>
        <v>1.6195006767199968E-2</v>
      </c>
      <c r="BL62" s="28">
        <f>IFERROR(K62*nl_e_demand/IF(hv_dc_flh="electricity FLH",$AV62,hv_dc_custom)*1000*hv_dc_capacity_multiplier*hv_dc_length_multiplier*1000*(hv_dc_overhead_invest*(hv_dc_overhead_opex+M62+1/hv_dc_lifetime))/1000000+HV_DC_Grid!$E$10*1000*hv_dc_station_invest*hv_dc_station_number*(hv_dc_station_opex+M62+1/hv_dc_lifetime)/1000000,"")</f>
        <v>634.72157834798588</v>
      </c>
      <c r="BM62" s="29">
        <f>IFERROR((BJ62+BL62)/(HV_DC_Grid!$E$3*1000)*100,"")</f>
        <v>0.67916252109402564</v>
      </c>
      <c r="BN62" s="28">
        <f>IFERROR(((Pipeline!$D$22*Pipeline!$D$24*K62*(pipeline_opex+M62+1/pipeline_lifetime))*(Pipeline!$D$39/Pipeline!$D$3)+(Pipeline!$D$57*(pipeline_comp_opex+M62+1/pipeline_comp_lifetime)+Pipeline!$D$47*1000*Pipeline!$D$45*S62/100/1000000))*(Pipeline!$D$75/Pipeline!$D$45),"")</f>
        <v>393.45026569424516</v>
      </c>
      <c r="BO62" s="28"/>
      <c r="BP62" s="150">
        <f t="shared" si="77"/>
        <v>132.060329248936</v>
      </c>
      <c r="BQ62" s="34">
        <f t="shared" si="78"/>
        <v>39.612130879867493</v>
      </c>
      <c r="BR62" s="151">
        <f>(nh3_invest*(M62+1/nh3_lifetime)/nh3_prod+nh3_opex+nh3_e_demand*1000*$AU62/100+Carriers!$N$18/Carriers!$N$23*BD62+Carriers!$N$19/Carriers!$N$23*BQ62)*(BT62+nh3_st_ab_losses)/1000000</f>
        <v>60750.00385621508</v>
      </c>
      <c r="BS62" s="63">
        <f>nh3_st_nl_cost*nh3_st_nl_demand/1000000+(nh3_st_invest*(M62+1/nh3_st_lifetime+nh3_st_opex)/(Storage!$G$63/1000000)+nh3_st_e_demand*1000*$AU62/100)*(BT62+nh3_st_ab_losses)/1000000+Carriers!$N$18/Carriers!$N$23*((BT62+nh3_st_ab_losses)/365.25*short_st_duration_hrs/24)*(h2_short_st_invest*(1/gh2_short_st_lifetime+$M62+h2_short_st_opex)+h2_short_st_e_demand*1000*$AU62/100)/1000000+Carriers!$N$19/Carriers!$N$23*((BT62+nh3_st_ab_losses)/365.25*short_st_duration_hrs/24)*(n2_short_st_invest*(1/n2_short_st_lifetime+$M62+n2_short_st_opex)+n2_short_st_e_demand*1000*$AU62/100)/1000000</f>
        <v>3840.9595646319885</v>
      </c>
      <c r="BT62" s="63">
        <f>Storage!$G$57/((1-Shipping!$H$37)^(F62/24/Shipping!$H$44+0.5*Shipping!$H$59))</f>
        <v>78335622.257066742</v>
      </c>
      <c r="BU62" s="63">
        <f>IF($E62="","No Port",((F62/24/Shipping!$H$44+F62/24/Shipping!$H$50+Shipping!$H$59+Shipping!$H$64)*(Shipping!$H$22+wacc_nl*Shipping!$H$19/365.25*1000000+Shipping!$H$35)+(F62/24/Shipping!$H$44*Shipping!$H$45+Shipping!$H$64*Shipping!$H$65)*IF(bunker_choice="HFO",H62,IF(bunker_choice="hydrogen",BD62*hfo_e_density_lhv/h2_e_density_lhv,(BR62+BS62)*1000000/BT62*hfo_e_density_lhv/nh3_e_density_lhv))+(F62/24/Shipping!$H$50*Shipping!$H$51+Shipping!$H$59*Shipping!$H$60)*IF(bunker_choice="HFO",bunker_price_ROT,IF(bunker_choice="hydrogen",BD62*hfo_e_density_lhv/h2_e_density_lhv,(BR62+BS62)*1000000/BT62*hfo_e_density_lhv/nh3_e_density_lhv))+Shipping!$H$73+IF(G62="Panama",Shipping!$H$55,0)+IF(G62="Suez",Shipping!$H$56,0))/Shipping!$H$31*BT62/1000000+IF(inland_transport_to_port="hv dc grid",$BM62/100*1000*BW62,IF(inland_transport_to_port="pipeline",$BN62,0)))</f>
        <v>2691.3464647270466</v>
      </c>
      <c r="BV62" s="63">
        <f t="shared" si="91"/>
        <v>67282.309885574112</v>
      </c>
      <c r="BW62" s="33">
        <f>((Carriers!$N$18/Carriers!$N$23*alk_el_e_demand)+(Carriers!$N$19/Carriers!$N$23*n2_e_demand)+nh3_e_demand)*(BT62+nh3_st_ab_losses)/1000000+nh3_st_e_demand*BT62/1000000</f>
        <v>773.58963626340881</v>
      </c>
      <c r="BX62" s="33">
        <f t="shared" si="79"/>
        <v>0.76626754477640768</v>
      </c>
      <c r="BY62" s="63">
        <f>IFERROR(BV62*1000000/Storage!$G$12,"")</f>
        <v>878.784039720637</v>
      </c>
      <c r="BZ62" s="63">
        <f>H2_retrieval!$F$25*h2_demand_kt/1000</f>
        <v>80</v>
      </c>
      <c r="CA62" s="63">
        <f>IFERROR(BY62*(1+H2_retrieval!$F$34)/Carrier_properties!$E$7+H2_retrieval!$F$38,"")</f>
        <v>5356.4546477006552</v>
      </c>
      <c r="CB62" s="149">
        <f>(FA_invest*(M62+1/FA_lifetime)/FA_prod+FA_opex+FA_e_demand*1000*$AU62/100+Carriers!$P$18/Carriers!$P$23*BD62+Carriers!$P$20/Carriers!$P$23*co2_liq_cost)*(CF62+FA_st_ab_losses)/1000000</f>
        <v>119392.90905760389</v>
      </c>
      <c r="CC62" s="86">
        <f>(FA_invest*(M62+1/FA_lifetime)/FA_prod+FA_opex+FA_e_demand*1000*$AU62/100+Carriers!$P$18/Carriers!$P$23*BD62+Carriers!$P$20/Carriers!$P$23*BP62)*(CF62+FA_st_ab_losses)/1000000</f>
        <v>151553.13673646061</v>
      </c>
      <c r="CD62" s="63">
        <f>FA_st_nl_cost*FA_st_nl_demand/1000000+(FA_st_invest*(M62+1/FA_st_lifetime+FA_st_opex)/(Storage!$I$63/1000000)+FA_st_e_demand*1000*$AU62/100)*(CF62+FA_st_ab_losses)/1000000+co2_st_nl_cost*Storage!$I$12*co2_density/FA_density/1000000+(co2_st_opex_lev+co2_st_invest_lev+co2_st_e_demand*1000*$AU62/100)*Storage!$I$12/1000000+co2_st_invest_lev*Storage!$I$12*co2_st_lifetime*M62/1000000+Carriers!$P$18/Carriers!$P$23*((CF62+FA_st_ab_losses)/365.25*short_st_duration_hrs/24)*(h2_short_st_invest*(1/gh2_short_st_lifetime+$M62+h2_short_st_opex)+h2_short_st_e_demand*1000*$AU62/100)/1000000+Carriers!$P$20/Carriers!$P$23*((CF62+FA_st_ab_losses)/365.25*short_st_duration_hrs/24)*(co2_short_st_invest*(1/co2_short_st_lifetime+$M62+co2_short_st_opex)+co2_short_st_e_demand*1000*$AU62/100)/1000000</f>
        <v>12956.71609234871</v>
      </c>
      <c r="CE62" s="63">
        <f>FA_st_nl_cost*FA_st_nl_demand/1000000+(FA_st_invest*(M62+1/FA_st_lifetime+FA_st_opex)/(Storage!$I$63/1000000)+FA_st_e_demand*1000*$AU62/100)*(CF62+FA_st_ab_losses)/1000000+Carriers!$P$18/Carriers!$P$23*((CF62+FA_st_ab_losses)/365.25*short_st_duration_hrs/24)*(h2_short_st_invest*(1/gh2_short_st_lifetime+$M62+h2_short_st_opex)+h2_short_st_e_demand*1000*$AU62/100)/1000000+Carriers!$P$20/Carriers!$P$23*((CF62+FA_st_ab_losses)/365.25*short_st_duration_hrs/24)*(co2_short_st_invest*(1/co2_short_st_lifetime+$M62+co2_short_st_opex)+co2_short_st_e_demand*1000*$AU62/100)/1000000</f>
        <v>5728.3139531438137</v>
      </c>
      <c r="CF62" s="63">
        <f>Storage!$I$57/((1-Shipping!$J$37)^($F62/24/Shipping!$J$44+0.5*Shipping!$J$59))</f>
        <v>310425396.82539684</v>
      </c>
      <c r="CG62" s="28">
        <f>IF($E62="","No Port",((F62/24/Shipping!$J$44+F62/24/Shipping!$J$50+Shipping!$J$59+Shipping!$J$64)*(Shipping!$J$22+wacc_nl*Shipping!$J$19/365.25*1000000+Shipping!$J$35)+(F62/24/Shipping!$J$44*Shipping!$J$45+Shipping!$J$64*Shipping!$J$65)*IF(bunker_choice="HFO",$H62,IF(bunker_choice="hydrogen",$BD62*hfo_e_density_lhv/h2_e_density_lhv,(CB62+CD62)*1000000/CF62*hfo_e_density_lhv/FA_e_density_lhv))+(F62/24/Shipping!$J$50*Shipping!$J$51+Shipping!$J$59*Shipping!$J$60)*IF(bunker_choice="HFO",bunker_price_ROT,IF(bunker_choice="hydrogen",$BD62*hfo_e_density_lhv/h2_e_density_lhv,(CB62+CD62)*1000000/CF62*hfo_e_density_lhv/FA_e_density_lhv))+Shipping!$J$73+IF(G62="Panama",Shipping!$J$55,0)+IF(G62="Suez",Shipping!$J$56,0))/Shipping!$J$31*CF62/1000000+IF(inland_transport_to_port="hv dc grid",$BM62/100*1000*CI62,IF(inland_transport_to_port="pipeline",$BN62,0)))</f>
        <v>10620.689560663079</v>
      </c>
      <c r="CH62" s="28">
        <f t="shared" si="36"/>
        <v>167902.14025026749</v>
      </c>
      <c r="CI62" s="29">
        <f>((Carriers!$P$18/Carriers!$P$23*alk_el_e_demand)+FA_e_demand)*(CF62+FA_st_ab_losses)/1000000+FA_st_e_demand*CF62/1000000</f>
        <v>1897.8881241622576</v>
      </c>
      <c r="CJ62" s="29">
        <f t="shared" si="80"/>
        <v>0.46563809523809524</v>
      </c>
      <c r="CK62" s="28">
        <f>IFERROR(CH62*1000000/Storage!$I$12,"")</f>
        <v>540.87758916422172</v>
      </c>
      <c r="CL62" s="28">
        <f>IF($E62="","No Port",((F62/24/Shipping!$J$44+F62/24/Shipping!$J$50+Shipping!$J$59+Shipping!$J$64)*Carriers!$P$39*wacc_nl))</f>
        <v>169.7074071874913</v>
      </c>
      <c r="CM62" s="29">
        <f>H2_retrieval!$H$25*h2_demand_kt/1000+(co2_liq_e_demand+co2_st_e_demand*2)*Storage!$I$12*co2_density/FA_density/1000000</f>
        <v>94.204253879484654</v>
      </c>
      <c r="CN62" s="28">
        <f>IFERROR((((CB62+CD62+CG62)*(1+H2_retrieval!$H$34)+CL62)*1000000/H2_retrieval!$H$8)+h2_regen_fa,"")</f>
        <v>10614.688994076012</v>
      </c>
      <c r="CO62" s="149">
        <f>(meoh_invest*(M62+1/meoh_lifetime)/meoh_prod+meoh_opex+meoh_e_demand*1000*$AU62/100+Carriers!$R$18/Carriers!$R$23*BD62+Carriers!$R$20/Carriers!$R$23*co2_liq_cost)*(CS62+meoh_st_ab_losses)/1000000</f>
        <v>74714.132018767123</v>
      </c>
      <c r="CP62" s="86">
        <f>(meoh_invest*(M62+1/meoh_lifetime)/meoh_prod+meoh_opex+meoh_e_demand*1000*$AU62/100+Carriers!$R$18/Carriers!$R$23*BD62+Carriers!$R$20/Carriers!$R$23*BP62)*(CS62+meoh_st_ab_losses)/1000000</f>
        <v>93593.178511544495</v>
      </c>
      <c r="CQ62" s="63">
        <f>meoh_st_nl_cost*meoh_st_nl_demand/1000000+(meoh_st_invest*(M62+1/meoh_st_lifetime+meoh_st_opex)/(Storage!$K$63/1000000)+meoh_st_e_demand*1000*$AU62/100)*(CS62+meoh_st_ab_losses)/1000000+co2_st_nl_cost*Storage!$K$12*co2_density/meoh_density/1000000+(co2_st_opex_lev+co2_st_invest_lev+co2_st_e_demand*1000*IFERROR(MIN(S62,AA62,AI62),S62)/100)*Storage!$K$12/1000000+co2_st_invest_lev*Storage!$K$12*co2_st_lifetime*M62/1000000+Carriers!$R$18/Carriers!$R$23*((CS62+meoh_st_ab_losses)/365.25*short_st_duration_hrs/24)*(h2_short_st_invest*(1/gh2_short_st_lifetime+$M62+h2_short_st_opex)+h2_short_st_e_demand*1000*$AU62/100)/1000000+Carriers!$R$20/Carriers!$R$23*((CF62+meoh_st_ab_losses)/365.25*short_st_duration_hrs/24)*(co2_short_st_invest*(1/co2_short_st_lifetime+$M62+co2_short_st_opex)+co2_short_st_e_demand*1000*$AU62/100)/1000000</f>
        <v>5412.8349749126719</v>
      </c>
      <c r="CR62" s="63">
        <f>meoh_st_nl_cost*meoh_st_nl_demand/1000000+(meoh_st_invest*(M62+1/meoh_st_lifetime+meoh_st_opex)/(Storage!$K$63/1000000)+meoh_st_e_demand*1000*$AU62/100)*(CS62+meoh_st_ab_losses)/1000000+Carriers!$R$18/Carriers!$R$23*((CS62+meoh_st_ab_losses)/365.25*short_st_duration_hrs/24)*(h2_short_st_invest*(1/gh2_short_st_lifetime+$M62+h2_short_st_opex)+h2_short_st_e_demand*1000*$AU62/100)/1000000+Carriers!$R$20/Carriers!$R$23*((CF62+meoh_st_ab_losses)/365.25*short_st_duration_hrs/24)*(co2_short_st_invest*(1/co2_short_st_lifetime+$M62+co2_short_st_opex)+co2_short_st_e_demand*1000*$AU62/100)/1000000</f>
        <v>2297.9715628462131</v>
      </c>
      <c r="CS62" s="63">
        <f>Storage!$K$57/((1-Shipping!$L$37)^($F62/24/Shipping!$L$44+0.5*Shipping!$L$59))</f>
        <v>108044444.44444443</v>
      </c>
      <c r="CT62" s="28">
        <f>IF($E62="","No Port",IF(AND(ship_choice="VLCC",G62="Panama"),"Ship cannot pass through Panama",IF(ship_choice="VLCC",((F62/24/Shipping!$AD$44+F62/24/Shipping!$AD$50+Shipping!$AD$59+Shipping!$AD$64)*(Shipping!$AD$22+wacc_nl*Shipping!$AD$19/365.25*1000000+Shipping!$AD$35)+(F62/24/Shipping!$AD$44*Shipping!$AD$45+Shipping!$AD$64*Shipping!$AD$65)*IF(bunker_choice="HFO",$H62,IF(bunker_choice="hydrogen",$BD62*hfo_e_density_lhv/h2_e_density_lhv,(CO62+CQ62)*1000000/CS62*hfo_e_density_lhv/meoh_e_density_lhv))+(F62/24/Shipping!$AD$50*Shipping!$AD$51+Shipping!$AD$59*Shipping!$AD$60)*IF(bunker_choice="HFO",bunker_price_ROT,IF(bunker_choice="hydrogen",$BD62*hfo_e_density_lhv/h2_e_density_lhv,(CO62+CQ62)*1000000/CS62*hfo_e_density_lhv/meoh_e_density_lhv))+Shipping!$AD$73+IF(G62="Panama",Shipping!$AD$55,0)+IF(G62="Suez",Shipping!$AD$56,0))/Shipping!$AD$31*CS62/1000000+IF(inland_transport_to_port="hv dc grid",$BM62/100*1000*CV62,IF(inland_transport_to_port="pipeline",$BN62,0)),((F62/24/Shipping!$L$44+F62/24/Shipping!$L$50+Shipping!$L$59+Shipping!$L$64)*(Shipping!$L$22+wacc_nl*Shipping!$L$19/365.25*1000000+Shipping!$L$35)+(F62/24/Shipping!$L$44*Shipping!$L$45+Shipping!$L$64*Shipping!$L$65)*IF(bunker_choice="HFO",$H62,IF(bunker_choice="hydrogen",$BD62*hfo_e_density_lhv/h2_e_density_lhv,(CO62+CQ62)*1000000/CS62*hfo_e_density_lhv/meoh_e_density_lhv))+(F62/24/Shipping!$L$50*Shipping!$L$51+Shipping!$L$59*Shipping!$L$60)*IF(bunker_choice="HFO",bunker_price_ROT,IF(bunker_choice="hydrogen",$BD62*hfo_e_density_lhv/h2_e_density_lhv,(CO62+CQ62)*1000000/CS62*hfo_e_density_lhv/meoh_e_density_lhv))+Shipping!$L$73+IF(G62="Panama",Shipping!$L$55,0)+IF(G62="Suez",Shipping!$L$56,0))/Shipping!$L$31*CS62/1000000+IF(inland_transport_to_port="hv dc grid",$BM62/100*1000*CV62,IF(inland_transport_to_port="pipeline",$BN62,0)))))</f>
        <v>3746.6989398337992</v>
      </c>
      <c r="CU62" s="28">
        <f t="shared" si="37"/>
        <v>99637.849014224514</v>
      </c>
      <c r="CV62" s="29">
        <f>((Carriers!$R$18/Carriers!$R$23*alk_el_e_demand)+meoh_e_demand)*(CS62+meoh_st_ab_losses)/1000000+meoh_st_e_demand*CS62/1000000</f>
        <v>1119.9789871111109</v>
      </c>
      <c r="CW62" s="29">
        <f t="shared" si="81"/>
        <v>0.16206666666666666</v>
      </c>
      <c r="CX62" s="28">
        <f>IFERROR(CU62*1000000/Storage!$K$12,"")</f>
        <v>922.19317269438579</v>
      </c>
      <c r="CY62" s="28">
        <f>IF($E62="","No Port",((F62/24/Shipping!$L$44+F62/24/Shipping!$L$50+Shipping!$L$59+Shipping!$L$64)*Carriers!$R$39*wacc_nl))</f>
        <v>60.566767569215699</v>
      </c>
      <c r="CZ62" s="29">
        <f>H2_retrieval!$J$25*h2_demand_kt/1000+(co2_liq_e_demand+co2_st_e_demand*2)*Storage!$K$12*co2_density/meoh_density/1000000</f>
        <v>251.05079059698966</v>
      </c>
      <c r="DA62" s="28">
        <f>IFERROR((((CO62+CQ62+CT62)*(1+H2_retrieval!$J$34)+CY62)*1000000/H2_retrieval!$J$8)+h2_regen_meoh,"")</f>
        <v>7341.7633006286742</v>
      </c>
      <c r="DB62" s="149">
        <f>(DBT_invest*(M62+1/DBT_lifetime)/DBT_prod+DBT_opex+DBT_e_demand*1000*$AU62/100+Carriers!$T$18/Carriers!$T$23*BD62)*(DD62+DBT_st_ab_losses)/1000000</f>
        <v>50232.303540408459</v>
      </c>
      <c r="DC62" s="28">
        <f>2*(DBT_st_nl_cost*DBT_st_nl_demand/1000000+(DBT_st_invest*(M62+1/DBT_st_lifetime+DBT_st_opex)/(Storage!$M$63/1000000)+DBT_st_e_demand*1000*$AU62/100)*(DD62+DBT_st_ab_losses)/1000000)+Carriers!$T$18/Carriers!$T$23*((DD62+DBT_st_ab_losses)/365.25*short_st_duration_hrs/24)*(h2_short_st_invest*(1/gh2_short_st_lifetime+$M62+h2_short_st_opex)+h2_short_st_e_demand*1000*$AU62/100)/1000000</f>
        <v>4652.995371198137</v>
      </c>
      <c r="DD62" s="63">
        <f>Storage!$M$57/((1-Shipping!$N$37)^($F62/24/Shipping!$N$44+0.5*Shipping!$N$59))</f>
        <v>219354838.70967743</v>
      </c>
      <c r="DE62" s="28">
        <f>IF($E62="","No Port",IF(AND(ship_choice="VLCC",G62="Panama"),"Ship cannot pass through Panama",IF(ship_choice="VLCC",((F62/24/Shipping!$AD$44+F62/24/Shipping!$AD$50+Shipping!$AD$59+Shipping!$AD$64)*(Shipping!$AD$22+wacc_nl*Shipping!$AD$19/365.25*1000000+Shipping!$AD$35)+(F62/24/Shipping!$AD$44*Shipping!$AD$45+Shipping!$AD$64*Shipping!$AD$65)*IF(bunker_choice="HFO",$H62,IF(bunker_choice="hydrogen",$BD62*hfo_e_density_lhv/h2_e_density_lhv,(DB62+DC62)*1000000/DD62*hfo_e_density_lhv/DBT_e_density_lhv))+(F62/24/Shipping!$AD$50*Shipping!$AD$51+Shipping!$AD$59*Shipping!$AD$60)*IF(bunker_choice="HFO",bunker_price_ROT,IF(bunker_choice="hydrogen",$BD62*hfo_e_density_lhv/h2_e_density_lhv,(DB62+DC62)*1000000/DD62*hfo_e_density_lhv/DBT_e_density_lhv))+Shipping!$AD$73+IF(G62="Panama",Shipping!$AD$55,0)+IF(G62="Suez",Shipping!$AD$56,0))/Shipping!$AD$31*DD62/1000000+IF(inland_transport_to_port="hv dc grid",$BM62/100*1000*DG62,IF(inland_transport_to_port="pipeline",$BN62,0)),((F62/24/Shipping!$N$44+F62/24/Shipping!$N$50+Shipping!$N$59+Shipping!$N$64)*(Shipping!$N$22+wacc_nl*Shipping!$N$19/365.25*1000000+Shipping!$N$35)+(F62/24/Shipping!$N$44*Shipping!$N$45+Shipping!$N$64*Shipping!$N$65)*IF(bunker_choice="HFO",$H62,IF(bunker_choice="hydrogen",$BD62*hfo_e_density_lhv/h2_e_density_lhv,(DB62+DC62)*1000000/DD62*hfo_e_density_lhv/DBT_e_density_lhv))+(F62/24/Shipping!$N$50*Shipping!$N$51+Shipping!$N$59*Shipping!$N$60)*IF(bunker_choice="HFO",bunker_price_ROT,IF(bunker_choice="hydrogen",$BD62*hfo_e_density_lhv/h2_e_density_lhv,(DB62+DC62)*1000000/DD62*hfo_e_density_lhv/DBT_e_density_lhv))+Shipping!$N$73+IF(G62="Panama",Shipping!$N$55,0)+IF(G62="Suez",Shipping!$N$56,0))/Shipping!$N$31*Shipping!$N$86/1000000+IF(inland_transport_to_port="hv dc grid",$BM62/100*1000*DG62,IF(inland_transport_to_port="pipeline",$BN62,0)))))</f>
        <v>6716.6973148094403</v>
      </c>
      <c r="DF62" s="28">
        <f t="shared" si="82"/>
        <v>61601.996226416035</v>
      </c>
      <c r="DG62" s="29">
        <f>((Carriers!$T$18/Carriers!$T$23*alk_el_e_demand)+DBT_e_demand)*(DD62+DBT_st_ab_losses)/1000000+DBT_st_e_demand*DD62/1000000</f>
        <v>703.88335483870969</v>
      </c>
      <c r="DH62" s="29">
        <f t="shared" si="83"/>
        <v>0.21935483870967742</v>
      </c>
      <c r="DI62" s="28">
        <f>IFERROR(DF62*1000000/Storage!$M$12,"")</f>
        <v>280.83262985572014</v>
      </c>
      <c r="DJ62" s="28">
        <f>IF($E62="","No Port",((F62/24/Shipping!$N$44+F62/24/Shipping!$N$50+Shipping!$N$59+Shipping!$N$64)*Carriers!$T$39*wacc_nl))</f>
        <v>4411.2766814965335</v>
      </c>
      <c r="DK62" s="100">
        <f>H2_retrieval!$L$25*h2_demand_kt/1000+(co2_liq_e_demand+co2_st_e_demand*2)*Storage!$M$12*co2_density/DBT_density/1000000</f>
        <v>206.61934861671787</v>
      </c>
      <c r="DL62" s="28">
        <f>IFERROR(((DF62*(1+H2_retrieval!$L$34)+DJ62)*1000000/H2_retrieval!$L$8)+h2_regen_lohc,"")</f>
        <v>5324.5669062206025</v>
      </c>
      <c r="DM62" s="149">
        <f t="shared" si="84"/>
        <v>55199.489719064637</v>
      </c>
      <c r="DN62" s="16">
        <f>2*(nabh4_st_nl_cost*nabh4_st_nl_demand/1000000+(nabh4_st_invest*(M62+1/nabh4_st_lifetime+nabh4_st_opex)/(Storage!$O$63/1000000)+nabh4_st_e_demand*1000*$AU62/100)*(DO62+nabh4_st_ab_losses)/1000000)+(h2_demand_kt*1000/365.25*short_st_duration_hrs/24)*(h2_short_st_invest*(1/gh2_short_st_lifetime+$M62+h2_short_st_opex)+h2_short_st_e_demand*1000*$AU62/100)/1000000</f>
        <v>1566.4787314854507</v>
      </c>
      <c r="DO62" s="63">
        <f>Storage!$O$57/((1-Shipping!$P$37)^($F62/24/Shipping!$P$44+0.5*Shipping!$P$59))</f>
        <v>63920000</v>
      </c>
      <c r="DP62" s="16">
        <f>IF($E62="","No Port",((F62/24/Shipping!$P$44+F62/24/Shipping!$P$50+Shipping!$P$59+Shipping!$P$64)*(Shipping!$P$22+wacc_nl*Shipping!$P$19/365.25*1000000+Shipping!$P$35)+(F62/24/Shipping!$P$44*Shipping!$P$45+Shipping!$P$64*Shipping!$P$65)*IF(bunker_choice="HFO",$H62,IF(bunker_choice="hydrogen",$BD62*hfo_e_density_lhv/h2_e_density_lhv,(DM62+DN62)*1000000/DO62*hfo_e_density_lhv/nabh4_e_density_lhv))+(F62/24/Shipping!$P$50*Shipping!$P$51+Shipping!$P$59*Shipping!$P$60)*IF(bunker_choice="HFO",bunker_price_ROT,IF(bunker_choice="hydrogen",$BD62*hfo_e_density_lhv/h2_e_density_lhv,(DM62+DN62)*1000000/DO62*hfo_e_density_lhv/nabh4_e_density_lhv))+Shipping!$P$73+IF(G62="Panama",Shipping!$P$55,0)+IF(G62="Suez",Shipping!$P$56,0))/Shipping!$P$31*(DO62+nabh4_st_ab_losses)/1000000+IF(inland_transport_to_port="hv dc grid",$BM62/100*1000*DR62,IF(inland_transport_to_port="pipeline",$BN62,0)))</f>
        <v>2032.6538214091161</v>
      </c>
      <c r="DQ62" s="28">
        <f t="shared" si="60"/>
        <v>58798.622271959204</v>
      </c>
      <c r="DR62" s="29">
        <f>((Carriers!$V$18/Carriers!$V$23*alk_el_e_demand)+nabh4_e_demand)*(DO62+nabh4_st_ab_losses)/1000000+nabh4_st_e_demand*DO62/1000000</f>
        <v>980.02139682539689</v>
      </c>
      <c r="DS62" s="28">
        <f t="shared" si="85"/>
        <v>3.1960000000000002</v>
      </c>
      <c r="DT62" s="28">
        <f>IFERROR(DQ62*1000000/Storage!$O$12,"")</f>
        <v>919.87832090048823</v>
      </c>
      <c r="DU62" s="28">
        <f>IF($E62="","No Port",((F62/24/Shipping!$P$44+F62/24/Shipping!$P$50+Shipping!$P$59+Shipping!$P$64)*Carriers!$V$39*wacc_nl))</f>
        <v>417.30861009833086</v>
      </c>
      <c r="DV62" s="100">
        <f>H2_retrieval!$N$25*h2_demand_kt/1000+(co2_liq_e_demand+co2_st_e_demand*2)*Storage!$O$12*co2_density/nabh4_density/1000000</f>
        <v>18.783638728971958</v>
      </c>
      <c r="DW62" s="28">
        <f>IFERROR(((DQ62*(1+H2_retrieval!$N$34)+DU62)*1000000/H2_retrieval!$N$8)+h2_regen_nabh4,"")</f>
        <v>4447.4553374724564</v>
      </c>
      <c r="DX62" s="149">
        <f>(Dme_invest*(M62+1/Dme_lifetime)/Dme_prod+Dme_opex+Dme_e_demand*1000*$AU62/100+Carriers!$X$21/Carriers!$X$23*(CO62*1000000/CS62))*(EB62+Dme_st_ab_losses)/1000000</f>
        <v>104943.15459919412</v>
      </c>
      <c r="DY62" s="86">
        <f>(Dme_invest*(M62+1/Dme_lifetime)/Dme_prod+Dme_opex+Dme_e_demand*1000*$AU62/100+Carriers!$X$21/Carriers!$X$23*(CP62*1000000/CS62))*(EB62+Dme_st_ab_losses)/1000000</f>
        <v>130555.67755611787</v>
      </c>
      <c r="DZ62" s="63">
        <f>Dme_st_nl_cost*Dme_st_nl_demand/1000000+(Dme_st_invest*(M62+1/Dme_st_lifetime+Dme_st_opex)/(Storage!$Q$63/1000000)+Dme_st_e_demand*1000*$AU62/100)*(EB62+Dme_st_ab_losses)/1000000+co2_st_nl_cost*Storage!$Q$12*co2_density/Dme_density/1000000+(co2_st_opex_lev+co2_st_invest_lev+co2_st_e_demand*1000*$AU62/100)*Storage!$Q$12/1000000+co2_st_invest_lev*Storage!$Q$12*co2_st_lifetime*M62/1000000+(h2_demand_kt*1000/365.25*short_st_duration_hrs/24)*(h2_short_st_invest*(1/gh2_short_st_lifetime+$M62+h2_short_st_opex)+h2_short_st_e_demand*1000*$AU62/100)/1000000</f>
        <v>6504.1814395817473</v>
      </c>
      <c r="EA62" s="63">
        <f>Dme_st_nl_cost*Dme_st_nl_demand/1000000+(Dme_st_invest*(M62+1/Dme_st_lifetime+Dme_st_opex)/(Storage!$Q$63/1000000)+Dme_st_e_demand*1000*$AU62/100)*(EB62+Dme_st_ab_losses)/1000000+(h2_demand_kt*1000/365.25*short_st_duration_hrs/24)*(h2_short_st_invest*(1/gh2_short_st_lifetime+$M62+h2_short_st_opex)+h2_short_st_e_demand*1000*$AU62/100)/1000000</f>
        <v>3392.073651725334</v>
      </c>
      <c r="EB62" s="63">
        <f>Storage!$Q$57/((1-Shipping!$R$37)^($F62/24/Shipping!$R$44+0.5*Shipping!$R$59))</f>
        <v>103547089.94708996</v>
      </c>
      <c r="EC62" s="153">
        <f>IF($E62="","No Port",IF(AND(ship_choice="VLCC",G62="Panama"),"Ship cannot pass through Panama",IF(ship_choice="VLCC",((F62/24/Shipping!$AD$44+F62/24/Shipping!$AD$50+Shipping!$AD$59+Shipping!$AD$64)*(Shipping!$AD$22+wacc_nl*Shipping!$AD$19/365.25*1000000+Shipping!$AD$35)+(F62/24/Shipping!$AD$44*Shipping!$AD$45+Shipping!$AD$64*Shipping!$AD$65)*IF(bunker_choice="HFO",$H62,IF(bunker_choice="hydrogen",$BD62*hfo_e_density_lhv/h2_e_density_lhv,(DX62+DZ62)*1000000/EB62*hfo_e_density_lhv/Dme_e_density_lhv))+(F62/24/Shipping!$AD$50*Shipping!$AD$51+Shipping!$AD$59*Shipping!$AD$60)*IF(bunker_choice="HFO",bunker_price_ROT,IF(bunker_choice="hydrogen",$BD62*hfo_e_density_lhv/h2_e_density_lhv,(DX62+DZ62)*1000000/EB62*hfo_e_density_lhv/Dme_e_density_lhv))+Shipping!$AD$73+IF(G62="Panama",Shipping!$AD$55,0)+IF(G62="Suez",Shipping!$AD$56,0))/Shipping!$AD$31*(EB62+Dme_st_ab_losses)/1000000+IF(inland_transport_to_port="hv dc grid",$BM62/100*1000*EE62,IF(inland_transport_to_port="pipeline",$BN62,0)),((F62/24/Shipping!$R$44+F62/24/Shipping!$R$50+Shipping!$R$59+Shipping!$R$64)*(Shipping!$R$22+wacc_nl*Shipping!$R$19/365.25*1000000+Shipping!$R$35)+(F62/24/Shipping!$R$44*Shipping!$R$45+Shipping!$R$64*Shipping!$R$65)*IF(bunker_choice="HFO",$H62,IF(bunker_choice="hydrogen",$BD62*hfo_e_density_lhv/h2_e_density_lhv,(DX62+DZ62)*1000000/EB62*hfo_e_density_lhv/Dme_e_density_lhv))+(F62/24/Shipping!$R$50*Shipping!$R$51+Shipping!$R$59*Shipping!$R$60)*IF(bunker_choice="HFO",bunker_price_ROT,IF(bunker_choice="hydrogen",$BD62*hfo_e_density_lhv/h2_e_density_lhv,(DX62+DZ62)*1000000/EB62*hfo_e_density_lhv/Dme_e_density_lhv))+Shipping!$R$73+IF(G62="Panama",Shipping!$R$55,0)+IF(G62="Suez",Shipping!$R$56,0))/Shipping!$R$31*(EB62+Dme_st_ab_losses)/1000000+IF(inland_transport_to_port="hv dc grid",$BM62/100*1000*EE62,IF(inland_transport_to_port="pipeline",$BN62,0)))))</f>
        <v>3745.6454051185219</v>
      </c>
      <c r="ED62" s="28">
        <f t="shared" si="39"/>
        <v>137693.39661296172</v>
      </c>
      <c r="EE62" s="29">
        <f>(Dme_e_demand)*(EB62+Dme_st_ab_losses)/1000000+Dme_st_e_demand*DZ62/1000000+$CV62*(Carriers!$X$21/Carriers!$X$23*EB62)/$CS62</f>
        <v>1550.2168252088702</v>
      </c>
      <c r="EF62" s="29">
        <f t="shared" si="86"/>
        <v>1.0354708994708997</v>
      </c>
      <c r="EG62" s="28">
        <f>IFERROR(ED62*1000000/Storage!$Q$12,"")</f>
        <v>1329.7659710506564</v>
      </c>
      <c r="EH62" s="28">
        <f>IF($E62="","No Port",((F62/24/Shipping!$R$44+F62/24/Shipping!$R$50+Shipping!$R$59+Shipping!$R$64)*Carriers!$X$39*wacc_nl))</f>
        <v>62.342078668158436</v>
      </c>
      <c r="EI62" s="100">
        <f>H2_retrieval!$P$25*h2_demand_kt/1000+(co2_liq_e_demand+co2_st_e_demand*2)*Storage!$Q$12*co2_density/Dme_density/1000000</f>
        <v>252.45335899349112</v>
      </c>
      <c r="EJ62" s="28">
        <f>IFERROR((((DX62+DZ62+EC62)*(1+H2_retrieval!$P$34)+EH62)*1000000/H2_retrieval!$P$8)+h2_regen_dme,"")</f>
        <v>9644.7846845610093</v>
      </c>
      <c r="EK62" s="149">
        <f>(ome_invest*(M62+1/ome_lifetime)/ome_prod+ome_opex+ome_e_demand*1000*$AU62/100+Carriers!$Z$21/Carriers!$Z$23*(CO62*1000000/CS62))*(EO62+ome_st_ab_losses)/1000000</f>
        <v>227961.36973742433</v>
      </c>
      <c r="EL62" s="86">
        <f>(ome_invest*(M62+1/ome_lifetime)/ome_prod+ome_opex+ome_e_demand*1000*$AU62/100+Carriers!$Z$21/Carriers!$Z$23*(CP62*1000000/CS62))*(EO62+ome_st_ab_losses)/1000000</f>
        <v>281727.04123541841</v>
      </c>
      <c r="EM62" s="63">
        <f>ome_st_nl_cost*ome_st_nl_demand/1000000+(ome_st_invest*(M62+1/ome_st_lifetime+ome_st_opex)/(Storage!$S$63/1000000)+ome_st_e_demand*1000*$AU62/100)*(EO62+ome_st_ab_losses)/1000000+co2_st_nl_cost*Storage!$S$12*co2_density/ome_density/1000000+(co2_st_opex_lev+co2_st_invest_lev+co2_st_e_demand*1000*$AU62/100)*Storage!$S$12/1000000+co2_st_invest_lev*Storage!$S$12*co2_st_lifetime*M62/1000000+(h2_demand_kt*1000/365.25*short_st_duration_hrs/24)*(h2_short_st_invest*(1/gh2_short_st_lifetime+$M62+h2_short_st_opex)+h2_short_st_e_demand*1000*$AU62/100)/1000000</f>
        <v>5572.2017280203945</v>
      </c>
      <c r="EN62" s="63">
        <f>ome_st_nl_cost*ome_st_nl_demand/1000000+(ome_st_invest*(M62+1/ome_st_lifetime+ome_st_opex)/(Storage!$S$63/1000000)+ome_st_e_demand*1000*$AU62/100)*(EO62+ome_st_ab_losses)/1000000+(h2_demand_kt*1000/365.25*short_st_duration_hrs/24)*(h2_short_st_invest*(1/gh2_short_st_lifetime+$M62+h2_short_st_opex)+h2_short_st_e_demand*1000*$AU62/100)/1000000</f>
        <v>2055.6378365929236</v>
      </c>
      <c r="EO62" s="63">
        <f>Storage!$S$57/((1-Shipping!$T$37)^($F62/24/Shipping!$T$44+0.5*Shipping!$T$59))</f>
        <v>128282539.68253967</v>
      </c>
      <c r="EP62" s="28">
        <f>IF($E62="","No Port",IF(AND(ship_choice="VLCC",G62="Panama"),"Ship cannot pass through Panama",IF(ship_choice="VLCC",((F62/24/Shipping!$AD$44+F62/24/Shipping!$AD$50+Shipping!$AD$59+Shipping!$AD$64)*(Shipping!$AD$22+wacc_nl*Shipping!$AD$19/365.25*1000000+Shipping!$AD$35)+(F62/24/Shipping!$AD$44*Shipping!$AD$45+Shipping!$AD$64*Shipping!$AD$65)*IF(bunker_choice="HFO",$H62,IF(bunker_choice="hydrogen",$BD62*hfo_e_density_lhv/h2_e_density_lhv,(EK62+EM62)*1000000/EO62*hfo_e_density_lhv/Dme_e_density_lhv))+(F62/24/Shipping!$AD$50*Shipping!$AD$51+Shipping!$AD$59*Shipping!$AD$60)*IF(bunker_choice="HFO",bunker_price_ROT,IF(bunker_choice="hydrogen",$BD62*hfo_e_density_lhv/h2_e_density_lhv,(EK62+EM62)*1000000/EO62*hfo_e_density_lhv/ome_e_density_lhv))+Shipping!$AD$73+IF(G62="Panama",Shipping!$AD$55,0)+IF(G62="Suez",Shipping!$AD$56,0))/Shipping!$AD$31*(EO62+ome_st_ab_losses)/1000000+IF(inland_transport_to_port="hv dc grid",$BM62/100*1000*ER62,IF(inland_transport_to_port="pipeline",$BN62,0)),((F62/24/Shipping!$T$44+F62/24/Shipping!$T$50+Shipping!$T$59+Shipping!$T$64)*(Shipping!$T$22+wacc_nl*Shipping!$T$19/365.25*1000000+Shipping!$T$35)+(F62/24/Shipping!$T$44*Shipping!$T$45+Shipping!$T$64*Shipping!$T$65)*IF(bunker_choice="HFO",$H62,IF(bunker_choice="hydrogen",$BD62*hfo_e_density_lhv/h2_e_density_lhv,(EK62+EM62)*1000000/EO62*hfo_e_density_lhv/Dme_e_density_lhv))+(F62/24/Shipping!$T$50*Shipping!$T$51+Shipping!$T$59*Shipping!$T$60)*IF(bunker_choice="HFO",bunker_price_ROT,IF(bunker_choice="hydrogen",$BD62*hfo_e_density_lhv/h2_e_density_lhv,(EK62+EM62)*1000000/EO62*hfo_e_density_lhv/ome_e_density_lhv))+Shipping!$T$73+IF(G62="Panama",Shipping!$T$55,0)+IF(G62="Suez",Shipping!$T$56,0))/Shipping!$T$31*(EO62+ome_st_ab_losses)/1000000+IF(inland_transport_to_port="hv dc grid",$BM62/100*1000*ER62,IF(inland_transport_to_port="pipeline",$BN62,0)))))</f>
        <v>4157.3800828100048</v>
      </c>
      <c r="EQ62" s="28">
        <f t="shared" si="40"/>
        <v>287940.05915482133</v>
      </c>
      <c r="ER62" s="29">
        <f>(ome_e_demand)*(EO62+ome_st_ab_losses)/1000000+ome_st_e_demand*EM62/1000000+$CV62*(Carriers!$Z$21/Carriers!$Z$23*EO62)/$CS62</f>
        <v>3352.0814584990862</v>
      </c>
      <c r="ES62" s="29">
        <f t="shared" si="87"/>
        <v>0.1924238095238095</v>
      </c>
      <c r="ET62" s="28">
        <f>IFERROR(EQ62*1000000/Storage!$S$12,"")</f>
        <v>2244.5771643388534</v>
      </c>
      <c r="EU62" s="28">
        <f>IF($E62="","No Port",((F62/24/Shipping!$T$44+F62/24/Shipping!$T$50+Shipping!$T$59+Shipping!$T$64)*Carriers!$Z$39*wacc_nl))</f>
        <v>71.911691564448404</v>
      </c>
      <c r="EV62" s="100">
        <f>H2_retrieval!$R$25*h2_demand_kt/1000+(co2_liq_e_demand+co2_st_e_demand*2)*Storage!$S$12*co2_density/ome_density/1000000</f>
        <v>254.51942895252085</v>
      </c>
      <c r="EW62" s="28">
        <f>IFERROR((((EK62+EM62+EP62)*(1+H2_retrieval!$R$34)+EU62)*1000000/H2_retrieval!$R$8)+h2_regen_ome,"")</f>
        <v>18652.69201671223</v>
      </c>
      <c r="EX62" s="149">
        <f>(sng_invest*(M62+1/sng_lifetime)/sng_prod+lng_invest*(M62+1/lng_lifetime)/lng_prod+sng_opex+lng_opex+(sng_e_demand+lng_e_demand)*1000*$AU62/100+Carriers!$AB$18/Carriers!$AB$23*BD62+Carriers!$AB$20/Carriers!$AB$23*co2_liq_cost)*(FB62+lng_st_ab_losses)/1000000</f>
        <v>80825.858277460822</v>
      </c>
      <c r="EY62" s="86">
        <f>(sng_invest*(M62+1/sng_lifetime)/sng_prod+lng_invest*(M62+1/lng_lifetime)/lng_prod+sng_opex+lng_opex+(sng_e_demand+lng_e_demand)*1000*$AU62/100+Carriers!$AB$18/Carriers!$AB$23*BD62+Carriers!$AB$20/Carriers!$AB$23*BP62)*(FB62+lng_st_ab_losses)/1000000</f>
        <v>94921.755148163982</v>
      </c>
      <c r="EZ62" s="63">
        <f>lng_st_nl_cost*lng_st_nl_demand/1000000+(lng_st_invest*(M62+1/lng_st_lifetime+lng_st_opex)/(Storage!$U$63/1000000)+lng_st_e_demand*1000*$AU62/100)*(FB62+lng_st_ab_losses)/1000000+co2_st_nl_cost*Storage!$U$12*co2_density/lng_density/1000000+(co2_st_opex_lev+co2_st_invest_lev+co2_st_e_demand*1000*$AU62/100)*Storage!$U$12/1000000+co2_st_invest_lev*Storage!$U$12*co2_st_lifetime*M62/1000000+Carriers!$AB$18/Carriers!$AB$23*((FB62+lng_st_ab_losses)/365.25*short_st_duration_hrs/24)*(h2_short_st_invest*(1/gh2_short_st_lifetime+$M62+h2_short_st_opex)+h2_short_st_e_demand*1000*$AU62/100)/1000000+Carriers!$AB$20/Carriers!$AB$23*((FB62+lng_st_ab_losses)/365.25*short_st_duration_hrs/24)*(co2_short_st_invest*(1/co2_short_st_lifetime+$M62+co2_short_st_opex)+co2_short_st_e_demand*1000*$AU62/100)/1000000</f>
        <v>6959.8066977655608</v>
      </c>
      <c r="FA62" s="63">
        <f>lng_st_nl_cost*lng_st_nl_demand/1000000+(lng_st_invest*(M62+1/lng_st_lifetime+lng_st_opex)/(Storage!$U$63/1000000)+lng_st_e_demand*1000*$AU62/100)*(FB62+lng_st_ab_losses)/1000000+Carriers!$AB$18/Carriers!$AB$23*((FB62+lng_st_ab_losses)/365.25*short_st_duration_hrs/24)*(h2_short_st_invest*(1/gh2_short_st_lifetime+$M62+h2_short_st_opex)+h2_short_st_e_demand*1000*$AU62/100)/1000000+Carriers!$AB$20/Carriers!$AB$23*((FB62+lng_st_ab_losses)/365.25*short_st_duration_hrs/24)*(co2_short_st_invest*(1/co2_short_st_lifetime+$M62+co2_short_st_opex)+co2_short_st_e_demand*1000*$AU62/100)/1000000</f>
        <v>5302.3624158727916</v>
      </c>
      <c r="FB62" s="63">
        <f>Storage!$U$57/((1-Shipping!$V$37)^($F62/24/Shipping!$V$44+0.5*Shipping!$V$59))</f>
        <v>41103986.23028177</v>
      </c>
      <c r="FC62" s="28">
        <f>IF($E62="","No Port",IF(G62="Panama","Ship cannot pass through Panama",((F62/24/Shipping!$V$44+F62/24/Shipping!$V$50+Shipping!$V$59+Shipping!$V$64)*(Shipping!$V$22+wacc_nl*Shipping!$V$19/365.25*1000000+Shipping!$V$35)+(F62/24/Shipping!$V$44*Shipping!$V$45+Shipping!$V$64*Shipping!$V$65)*IF(bunker_choice="HFO",$H62,IF(bunker_choice="hydrogen",$BD62*hfo_e_density_lhv/h2_e_density_lhv,(EX62+EZ62)*1000000/FB62*hfo_e_density_lhv/lng_e_density_lhv))+(F62/24/Shipping!$V$50*Shipping!$V$51+Shipping!$V$59*Shipping!$V$60)*IF(bunker_choice="HFO",bunker_price_ROT,IF(bunker_choice="hydrogen",$BD62*hfo_e_density_lhv/h2_e_density_lhv,(EX62+EZ62)*1000000/FB62*hfo_e_density_lhv/lng_e_density_lhv))+Shipping!$V$73+IF(G62="Panama",Shipping!$V$55,0)+IF(G62="Suez",Shipping!$V$56,0))/Shipping!$V$31*(FB62+lng_st_ab_losses)/1000000)+IF(inland_transport_to_port="hv dc grid",$BM62/100*1000*FE62,IF(inland_transport_to_port="pipeline",$BN62,0)))</f>
        <v>1652.1841659652785</v>
      </c>
      <c r="FD62" s="28">
        <f t="shared" si="41"/>
        <v>101876.30173000206</v>
      </c>
      <c r="FE62" s="29">
        <f>((Carriers!$AB$18/Carriers!$AB$23*alk_el_e_demand)+sng_e_demand+lng_e_demand)*(FB62+lng_st_ab_losses)/1000000+lng_st_e_demand*EZ62/1000000</f>
        <v>1102.3804821002807</v>
      </c>
      <c r="FF62" s="29">
        <f t="shared" si="88"/>
        <v>0.8126185861001558</v>
      </c>
      <c r="FG62" s="28">
        <f>IFERROR(FD62*1000000/Storage!$U$12,"")</f>
        <v>2510.2499252933862</v>
      </c>
      <c r="FH62" s="28">
        <f>IF($E62="","No Port",((F62/24/Shipping!$V$44+F62/24/Shipping!$V$50+Shipping!$V$59+Shipping!$V$64)*Carriers!$AB$39*wacc_nl))</f>
        <v>21.406020912626165</v>
      </c>
      <c r="FI62" s="100">
        <f>H2_retrieval!$T$25*h2_demand_kt/1000+(co2_liq_e_demand+co2_st_e_demand*2)*Storage!$U$12*co2_density/lng_density/1000000</f>
        <v>236.51371749646054</v>
      </c>
      <c r="FJ62" s="28">
        <f>IFERROR((((EX62+EZ62+FC62)*(1+H2_retrieval!$T$34)+FH62)*1000000/H2_retrieval!$T$8)+h2_regen_lng,"")</f>
        <v>7748.0149521743733</v>
      </c>
      <c r="FK62" s="149">
        <f>(lh2_invest*(M62+1/lh2_lifetime)/lh2_prod+lh2_opex+lh2_e_demand*1000*$AU62/100+Carriers!$AD$18/Carriers!$AD$23*BD62)*(FM62+lh2_st_ab_losses)/1000000</f>
        <v>63196.404778278709</v>
      </c>
      <c r="FL62" s="28">
        <f>lh2_st_nl_cost*lh2_st_nl_demand/1000000+(lh2_st_invest*(M62+1/lh2_st_lifetime+lh2_st_opex)/(Storage!$Y$63/1000000)+lh2_st_e_demand*1000*$AU62/100)*(FM62+lh2_st_ab_losses)/1000000+((FM62+lh2_st_ab_losses)/365.25*short_st_duration_hrs/24)*(h2_short_st_invest*(1/gh2_short_st_lifetime+$M62+h2_short_st_opex)+h2_short_st_e_demand*1000*$AU62/100)/1000000</f>
        <v>60942.098457295237</v>
      </c>
      <c r="FM62" s="63">
        <f>Storage!$Y$57/((1-Shipping!$Z$37)^($F62/24/Shipping!$Z$44+0.5*Shipping!$Z$59))</f>
        <v>13873707.174407778</v>
      </c>
      <c r="FN62" s="28">
        <f>IF($E62="","No Port",IF(G62="Panama","Ship cannot pass through Panama",((F62/24/Shipping!$Z$44+F62/24/Shipping!$Z$50+Shipping!$Z$59+Shipping!$Z$64)*(Shipping!$Z$22+wacc_nl*Shipping!$Z$19/365.25*1000000+Shipping!$Z$35)+(F62/24/Shipping!$Z$44*Shipping!$Z$45+Shipping!$Z$64*Shipping!$Z$65)*IF(bunker_choice="HFO",$H62,IF(bunker_choice="hydrogen",$BD62*hfo_e_density_lhv/h2_e_density_lhv,(FK62+FL62)*1000000/FM62*hfo_e_density_lhv/lh2_e_density_lhv))+(F62/24/Shipping!$Z$50*Shipping!$Z$51+Shipping!$Z$59*Shipping!$Z$60)*IF(bunker_choice="HFO",bunker_price_ROT,IF(bunker_choice="hydrogen",$BD62*hfo_e_density_lhv/h2_e_density_lhv,(FK62+FL62)*1000000/FM62*hfo_e_density_lhv/lh2_e_density_lhv))+Shipping!$Z$73+IF(G62="Panama",Shipping!$Z$55,0)+IF(G62="Suez",Shipping!$Z$56,0))/Shipping!$Z$31*(FM62+lh2_st_ab_losses)/1000000)+IF(inland_transport_to_port="hv dc grid",$BM62/100*1000*FP62,IF(inland_transport_to_port="pipeline",$BN62,0)))</f>
        <v>2614.8377941716326</v>
      </c>
      <c r="FO62" s="28">
        <f t="shared" si="42"/>
        <v>126753.34102974557</v>
      </c>
      <c r="FP62" s="29">
        <f>((Carriers!$AD$18/Carriers!$AD$23*alk_el_e_demand)+lh2_e_demand)*(FM62+lh2_st_ab_losses)/1000000+lh2_st_e_demand*FM62/1000000</f>
        <v>803.97048733298186</v>
      </c>
      <c r="FQ62" s="100">
        <f t="shared" si="89"/>
        <v>1.361902463475859</v>
      </c>
      <c r="FR62" s="28">
        <f>IFERROR(FO62*1000000/Storage!$Y$12,"")</f>
        <v>9320.0986051283508</v>
      </c>
      <c r="FS62" s="100">
        <f>H2_retrieval!$V$25*h2_demand_kt/1000</f>
        <v>8.16</v>
      </c>
      <c r="FT62" s="28">
        <f>IFERROR(FR62*(1+H2_retrieval!$V$34)/Carrier_properties!$U$7+H2_retrieval!$V$38,"")</f>
        <v>9352.0673309968188</v>
      </c>
      <c r="FU62" s="12"/>
      <c r="FV62" s="24">
        <f t="shared" si="90"/>
        <v>2.7441138731752091</v>
      </c>
      <c r="FW62" s="24" t="str">
        <f t="shared" si="57"/>
        <v/>
      </c>
      <c r="FX62" s="24" t="str">
        <f t="shared" si="58"/>
        <v/>
      </c>
      <c r="FY62" s="24">
        <f t="shared" si="45"/>
        <v>2.7441138731752091</v>
      </c>
      <c r="FZ62" s="28">
        <f t="shared" si="59"/>
        <v>3424.3004002657299</v>
      </c>
      <c r="GA62" s="28">
        <f t="shared" si="47"/>
        <v>775.5093035050827</v>
      </c>
      <c r="GB62" s="28">
        <f t="shared" si="48"/>
        <v>488.21113957278379</v>
      </c>
      <c r="GC62" s="28">
        <f t="shared" si="49"/>
        <v>866.24702447953575</v>
      </c>
      <c r="GD62" s="28">
        <f t="shared" si="50"/>
        <v>1260.8338643107077</v>
      </c>
      <c r="GE62" s="28">
        <f t="shared" si="51"/>
        <v>2196.1448684490288</v>
      </c>
      <c r="GF62" s="28">
        <f t="shared" si="52"/>
        <v>2309.3077789675312</v>
      </c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</row>
    <row r="63" spans="1:214" x14ac:dyDescent="0.2">
      <c r="A63" s="154" t="s">
        <v>67</v>
      </c>
      <c r="B63" s="12">
        <v>7845</v>
      </c>
      <c r="C63" s="12">
        <v>0</v>
      </c>
      <c r="D63" s="12">
        <f t="shared" si="61"/>
        <v>1</v>
      </c>
      <c r="E63" s="12" t="s">
        <v>731</v>
      </c>
      <c r="F63" s="12">
        <v>4091</v>
      </c>
      <c r="G63" s="12"/>
      <c r="H63" s="16">
        <f t="shared" si="62"/>
        <v>382.75862068965517</v>
      </c>
      <c r="I63" s="16">
        <v>196850</v>
      </c>
      <c r="J63" s="16">
        <f t="shared" si="31"/>
        <v>250.31839943415903</v>
      </c>
      <c r="K63" s="27">
        <f t="shared" si="32"/>
        <v>300.38207932099084</v>
      </c>
      <c r="L63" s="103">
        <v>0.13800000000000001</v>
      </c>
      <c r="M63" s="103">
        <f t="shared" si="63"/>
        <v>0.13901509567616172</v>
      </c>
      <c r="N63" s="122">
        <f t="shared" si="33"/>
        <v>0.9</v>
      </c>
      <c r="O63" s="46">
        <f t="shared" si="64"/>
        <v>40</v>
      </c>
      <c r="P63" s="70">
        <f t="array" ref="P63">SUMPRODUCT(IF(Solar_data!A$4:A$777=A63,Solar_data!C$4:C$777),IF(Solar_data!A$4:A$777=A63,Solar_data!I$4:I$777))/SUMIF(Solar_data!A$4:A$777,A63,Solar_data!I$4:I$777)</f>
        <v>1832.3898656708047</v>
      </c>
      <c r="Q63" s="16">
        <f t="array" ref="Q63">MAX(IF(Solar_data!$A$777:'Solar_data'!$A$4=Country_details!$A63,Solar_data!$C$4:'Solar_data'!$C$777))</f>
        <v>2098.75</v>
      </c>
      <c r="R63" s="16">
        <f t="array" ref="R63">MIN(IF(Solar_data!$A$777:'Solar_data'!$A$4=Country_details!A63,Solar_data!$C$4:'Solar_data'!$C$777))</f>
        <v>1733.75</v>
      </c>
      <c r="S63" s="24">
        <f t="shared" si="65"/>
        <v>2.6703265355726136</v>
      </c>
      <c r="T63" s="24">
        <f t="shared" si="66"/>
        <v>2.3314255065229714</v>
      </c>
      <c r="U63" s="24">
        <f t="shared" si="67"/>
        <v>2.8222519289488606</v>
      </c>
      <c r="V63" s="16">
        <f t="array" ref="V63">SUM(IF(Solar_data!$A$777:'Solar_data'!$A$4=Country_details!$A63,Solar_data!$I$4:'Solar_data'!$I$777))</f>
        <v>1554.7196337267135</v>
      </c>
      <c r="W63" s="148"/>
      <c r="X63" s="16" t="str">
        <f>IFERROR(INDEX(Onshore_wind_data!$J$5:'Onshore_wind_data'!$J$221,MATCH(A63,Onshore_wind_data!$B$5:'Onshore_wind_data'!$B$221,0)),"")</f>
        <v/>
      </c>
      <c r="Y63" s="16" t="str">
        <f>IFERROR(INDEX(Onshore_wind_data!$K$5:'Onshore_wind_data'!$K$221,MATCH(A63,Onshore_wind_data!$B$5:'Onshore_wind_data'!$B$221,0)),"")</f>
        <v/>
      </c>
      <c r="Z63" s="16" t="str">
        <f>IFERROR(INDEX(Onshore_wind_data!$L$5:'Onshore_wind_data'!$L$221,MATCH(A63,Onshore_wind_data!$B$5:'Onshore_wind_data'!$B$221,0)),"")</f>
        <v/>
      </c>
      <c r="AA63" s="24" t="str">
        <f t="shared" si="68"/>
        <v/>
      </c>
      <c r="AB63" s="24" t="str">
        <f t="shared" si="69"/>
        <v/>
      </c>
      <c r="AC63" s="24" t="str">
        <f t="shared" si="70"/>
        <v/>
      </c>
      <c r="AD63" s="16">
        <f>IFERROR(INDEX(Onshore_wind_data!$I$5:'Onshore_wind_data'!$I$221,MATCH(A63,Onshore_wind_data!$B$5:'Onshore_wind_data'!$B$221,0)),"")</f>
        <v>0</v>
      </c>
      <c r="AE63" s="148"/>
      <c r="AF63" s="16">
        <f>INDEX(Offshore_wind_data!$AA$7:$AA$192,MATCH(Country_details!A63,Offshore_wind_data!$A$7:$A$192,0))</f>
        <v>3449.4662020905926</v>
      </c>
      <c r="AG63" s="16">
        <f>INDEX(Offshore_wind_data!$Y$7:$Y$192,MATCH(Country_details!A63,Offshore_wind_data!$A$7:$A$192,0))</f>
        <v>3854.4</v>
      </c>
      <c r="AH63" s="16">
        <f>INDEX(Offshore_wind_data!$Z$7:$Z$192,MATCH(Country_details!A63,Offshore_wind_data!$A$7:$A$192,0))</f>
        <v>3153.6</v>
      </c>
      <c r="AI63" s="24">
        <f t="shared" si="71"/>
        <v>8.483084535493628</v>
      </c>
      <c r="AJ63" s="24">
        <f t="shared" si="72"/>
        <v>7.5918725079552303</v>
      </c>
      <c r="AK63" s="24">
        <f t="shared" si="73"/>
        <v>9.2789552875008372</v>
      </c>
      <c r="AL63" s="16">
        <f>INDEX(Offshore_wind_data!$W$7:$W$191,MATCH(A63,Offshore_wind_data!$A$7:$A$191,0))</f>
        <v>1009.7967359999999</v>
      </c>
      <c r="AM63" s="148"/>
      <c r="AN63" s="12">
        <v>0.8</v>
      </c>
      <c r="AO63" s="12">
        <v>0.8</v>
      </c>
      <c r="AP63" s="34"/>
      <c r="AQ63" s="15">
        <f t="shared" si="74"/>
        <v>50</v>
      </c>
      <c r="AR63" s="12">
        <f t="shared" si="34"/>
        <v>40</v>
      </c>
      <c r="AS63" s="16">
        <f t="shared" si="35"/>
        <v>2524.5163697267135</v>
      </c>
      <c r="AT63" s="12"/>
      <c r="AU63" s="24">
        <f t="shared" si="75"/>
        <v>2.6703265355726136</v>
      </c>
      <c r="AV63" s="16">
        <f t="shared" si="76"/>
        <v>1832.3898656708047</v>
      </c>
      <c r="AW63" s="149">
        <f>HV_DC_Grid!$E$3/(1-AX63)*AU63/100*1000</f>
        <v>3159.6860376957725</v>
      </c>
      <c r="AX63" s="31">
        <f>(1-(1-HV_DC_Grid!$E$25)^(B63*C63*HV_DC_Grid!$E$8/1000))+(1-(1-HV_DC_Grid!$E$26)^(B63*D63*HV_DC_Grid!$E$8/1000))+HV_DC_Grid!$E$35*HV_DC_Grid!$E$28</f>
        <v>0.15487598966637472</v>
      </c>
      <c r="AY63" s="28">
        <f>B63*nl_e_demand/IF(hv_dc_flh="electricity FLH",$AV63,hv_dc_custom)*1000*hv_dc_capacity_multiplier*hv_dc_length_multiplier*1000*(C63*hv_dc_overhead_invest*(hv_dc_overhead_opex+M63+1/hv_dc_lifetime)+D63*hv_dc_sea_invest*(hv_dc_sea_opex+M63+1/hv_dc_lifetime))/1000000+HV_DC_Grid!$E$10*1000*hv_dc_station_invest*hv_dc_station_number*(hv_dc_station_opex+M63+1/hv_dc_lifetime)/1000000</f>
        <v>23243.364142784063</v>
      </c>
      <c r="AZ63" s="24">
        <f>(AW63+AY63)/(HV_DC_Grid!$E$3*1000)*100</f>
        <v>26.403050180479838</v>
      </c>
      <c r="BA63" s="28">
        <f>MIN(((Carriers!$F$26+Carriers!$F$27)*(alk_el_opex+wacc_nl+1/alk_el_lifetime)+IF(hv_dc_flh="electricity FLH",$AV63,hv_dc_custom)*AZ63/100)/(IF(hv_dc_flh="electricity FLH",$AV63,hv_dc_custom)/alk_el_e_demand)*1000,((Carriers!$H$26+Carriers!$H$27)*(pem_el_opex+wacc_nl+1/pem_el_lifetime)+IF(hv_dc_flh="electricity FLH",$AV63,hv_dc_custom)*AZ63/100)/(IF(hv_dc_flh="electricity FLH",$AV63,hv_dc_custom)/pem_el_e_demand)*1000)</f>
        <v>13698.243131092844</v>
      </c>
      <c r="BB63" s="12"/>
      <c r="BC63" s="12"/>
      <c r="BD63" s="149">
        <f>MIN(((Carriers!$F$26+Carriers!$F$27)*(alk_el_opex+M63+1/alk_el_lifetime)+$AV63*$AU63/100)/($AV63/alk_el_e_demand)*1000,((Carriers!$H$26+Carriers!$H$27)*(pem_el_opex+M63+1/pem_el_lifetime)+$AV63*$AU63/100)/($AV63/pem_el_e_demand)*1000)</f>
        <v>3357.1995358054442</v>
      </c>
      <c r="BE63" s="28">
        <f>Storage!$AC$50</f>
        <v>8.1664117557772418</v>
      </c>
      <c r="BF63" s="28">
        <f>((Pipeline!$D$22*Pipeline!$D$24*B63*(pipeline_opex+M63+1/pipeline_lifetime))*(Pipeline!$D$39/Pipeline!$D$3)+(Pipeline!$D$57*(pipeline_comp_opex+M63+1/pipeline_comp_lifetime)+Pipeline!$D$47*1000*Pipeline!$D$45*$AU63/100/1000000))*(Pipeline!$D$75/Pipeline!$D$45)</f>
        <v>18911.867771069305</v>
      </c>
      <c r="BG63" s="28">
        <f>BD63+(BE63+BF63)/Storage!$AC$12*1000000</f>
        <v>4748.3785198367004</v>
      </c>
      <c r="BH63" s="28"/>
      <c r="BI63" s="28"/>
      <c r="BJ63" s="28">
        <f>IF($E63="","No Port",BK63*HV_DC_Grid!$E$3*$AU63/100*1000)</f>
        <v>52.864732955574958</v>
      </c>
      <c r="BK63" s="31">
        <f>IFERROR((1-(1-HV_DC_Grid!$E$25)^(K63*HV_DC_Grid!$E$8/1000))+HV_DC_Grid!$E$35*HV_DC_Grid!$E$28,"")</f>
        <v>1.9797104305911736E-2</v>
      </c>
      <c r="BL63" s="28">
        <f>IFERROR(K63*nl_e_demand/IF(hv_dc_flh="electricity FLH",$AV63,hv_dc_custom)*1000*hv_dc_capacity_multiplier*hv_dc_length_multiplier*1000*(hv_dc_overhead_invest*(hv_dc_overhead_opex+M63+1/hv_dc_lifetime))/1000000+HV_DC_Grid!$E$10*1000*hv_dc_station_invest*hv_dc_station_number*(hv_dc_station_opex+M63+1/hv_dc_lifetime)/1000000,"")</f>
        <v>735.39081850358514</v>
      </c>
      <c r="BM63" s="29">
        <f>IFERROR((BJ63+BL63)/(HV_DC_Grid!$E$3*1000)*100,"")</f>
        <v>0.78825555145916015</v>
      </c>
      <c r="BN63" s="28">
        <f>IFERROR(((Pipeline!$D$22*Pipeline!$D$24*K63*(pipeline_opex+M63+1/pipeline_lifetime))*(Pipeline!$D$39/Pipeline!$D$3)+(Pipeline!$D$57*(pipeline_comp_opex+M63+1/pipeline_comp_lifetime)+Pipeline!$D$47*1000*Pipeline!$D$45*S63/100/1000000))*(Pipeline!$D$75/Pipeline!$D$45),"")</f>
        <v>809.02588605076528</v>
      </c>
      <c r="BO63" s="28"/>
      <c r="BP63" s="150">
        <f t="shared" si="77"/>
        <v>120.69434378373025</v>
      </c>
      <c r="BQ63" s="34">
        <f t="shared" si="78"/>
        <v>36.091364588258912</v>
      </c>
      <c r="BR63" s="151">
        <f>(nh3_invest*(M63+1/nh3_lifetime)/nh3_prod+nh3_opex+nh3_e_demand*1000*$AU63/100+Carriers!$N$18/Carriers!$N$23*BD63+Carriers!$N$19/Carriers!$N$23*BQ63)*(BT63+nh3_st_ab_losses)/1000000</f>
        <v>59121.943317562414</v>
      </c>
      <c r="BS63" s="63">
        <f>nh3_st_nl_cost*nh3_st_nl_demand/1000000+(nh3_st_invest*(M63+1/nh3_st_lifetime+nh3_st_opex)/(Storage!$G$63/1000000)+nh3_st_e_demand*1000*$AU63/100)*(BT63+nh3_st_ab_losses)/1000000+Carriers!$N$18/Carriers!$N$23*((BT63+nh3_st_ab_losses)/365.25*short_st_duration_hrs/24)*(h2_short_st_invest*(1/gh2_short_st_lifetime+$M63+h2_short_st_opex)+h2_short_st_e_demand*1000*$AU63/100)/1000000+Carriers!$N$19/Carriers!$N$23*((BT63+nh3_st_ab_losses)/365.25*short_st_duration_hrs/24)*(n2_short_st_invest*(1/n2_short_st_lifetime+$M63+n2_short_st_opex)+n2_short_st_e_demand*1000*$AU63/100)/1000000</f>
        <v>3597.4710745861885</v>
      </c>
      <c r="BT63" s="63">
        <f>Storage!$G$57/((1-Shipping!$H$37)^(F63/24/Shipping!$H$44+0.5*Shipping!$H$59))</f>
        <v>78870098.527249157</v>
      </c>
      <c r="BU63" s="63">
        <f>IF($E63="","No Port",((F63/24/Shipping!$H$44+F63/24/Shipping!$H$50+Shipping!$H$59+Shipping!$H$64)*(Shipping!$H$22+wacc_nl*Shipping!$H$19/365.25*1000000+Shipping!$H$35)+(F63/24/Shipping!$H$44*Shipping!$H$45+Shipping!$H$64*Shipping!$H$65)*IF(bunker_choice="HFO",H63,IF(bunker_choice="hydrogen",BD63*hfo_e_density_lhv/h2_e_density_lhv,(BR63+BS63)*1000000/BT63*hfo_e_density_lhv/nh3_e_density_lhv))+(F63/24/Shipping!$H$50*Shipping!$H$51+Shipping!$H$59*Shipping!$H$60)*IF(bunker_choice="HFO",bunker_price_ROT,IF(bunker_choice="hydrogen",BD63*hfo_e_density_lhv/h2_e_density_lhv,(BR63+BS63)*1000000/BT63*hfo_e_density_lhv/nh3_e_density_lhv))+Shipping!$H$73+IF(G63="Panama",Shipping!$H$55,0)+IF(G63="Suez",Shipping!$H$56,0))/Shipping!$H$31*BT63/1000000+IF(inland_transport_to_port="hv dc grid",$BM63/100*1000*BW63,IF(inland_transport_to_port="pipeline",$BN63,0)))</f>
        <v>3759.8501301464498</v>
      </c>
      <c r="BV63" s="63">
        <f t="shared" si="91"/>
        <v>66479.264522295052</v>
      </c>
      <c r="BW63" s="33">
        <f>((Carriers!$N$18/Carriers!$N$23*alk_el_e_demand)+(Carriers!$N$19/Carriers!$N$23*n2_e_demand)+nh3_e_demand)*(BT63+nh3_st_ab_losses)/1000000+nh3_st_e_demand*BT63/1000000</f>
        <v>778.8634721825922</v>
      </c>
      <c r="BX63" s="33">
        <f t="shared" si="79"/>
        <v>0.76626754477640768</v>
      </c>
      <c r="BY63" s="63">
        <f>IFERROR(BV63*1000000/Storage!$G$12,"")</f>
        <v>868.29534737904714</v>
      </c>
      <c r="BZ63" s="63">
        <f>H2_retrieval!$F$25*h2_demand_kt/1000</f>
        <v>80</v>
      </c>
      <c r="CA63" s="63">
        <f>IFERROR(BY63*(1+H2_retrieval!$F$34)/Carrier_properties!$E$7+H2_retrieval!$F$38,"")</f>
        <v>5297.4071945183714</v>
      </c>
      <c r="CB63" s="149">
        <f>(FA_invest*(M63+1/FA_lifetime)/FA_prod+FA_opex+FA_e_demand*1000*$AU63/100+Carriers!$P$18/Carriers!$P$23*BD63+Carriers!$P$20/Carriers!$P$23*co2_liq_cost)*(CF63+FA_st_ab_losses)/1000000</f>
        <v>114895.51209372652</v>
      </c>
      <c r="CC63" s="86">
        <f>(FA_invest*(M63+1/FA_lifetime)/FA_prod+FA_opex+FA_e_demand*1000*$AU63/100+Carriers!$P$18/Carriers!$P$23*BD63+Carriers!$P$20/Carriers!$P$23*BP63)*(CF63+FA_st_ab_losses)/1000000</f>
        <v>144127.02801022885</v>
      </c>
      <c r="CD63" s="63">
        <f>FA_st_nl_cost*FA_st_nl_demand/1000000+(FA_st_invest*(M63+1/FA_st_lifetime+FA_st_opex)/(Storage!$I$63/1000000)+FA_st_e_demand*1000*$AU63/100)*(CF63+FA_st_ab_losses)/1000000+co2_st_nl_cost*Storage!$I$12*co2_density/FA_density/1000000+(co2_st_opex_lev+co2_st_invest_lev+co2_st_e_demand*1000*$AU63/100)*Storage!$I$12/1000000+co2_st_invest_lev*Storage!$I$12*co2_st_lifetime*M63/1000000+Carriers!$P$18/Carriers!$P$23*((CF63+FA_st_ab_losses)/365.25*short_st_duration_hrs/24)*(h2_short_st_invest*(1/gh2_short_st_lifetime+$M63+h2_short_st_opex)+h2_short_st_e_demand*1000*$AU63/100)/1000000+Carriers!$P$20/Carriers!$P$23*((CF63+FA_st_ab_losses)/365.25*short_st_duration_hrs/24)*(co2_short_st_invest*(1/co2_short_st_lifetime+$M63+co2_short_st_opex)+co2_short_st_e_demand*1000*$AU63/100)/1000000</f>
        <v>12227.312249287184</v>
      </c>
      <c r="CE63" s="63">
        <f>FA_st_nl_cost*FA_st_nl_demand/1000000+(FA_st_invest*(M63+1/FA_st_lifetime+FA_st_opex)/(Storage!$I$63/1000000)+FA_st_e_demand*1000*$AU63/100)*(CF63+FA_st_ab_losses)/1000000+Carriers!$P$18/Carriers!$P$23*((CF63+FA_st_ab_losses)/365.25*short_st_duration_hrs/24)*(h2_short_st_invest*(1/gh2_short_st_lifetime+$M63+h2_short_st_opex)+h2_short_st_e_demand*1000*$AU63/100)/1000000+Carriers!$P$20/Carriers!$P$23*((CF63+FA_st_ab_losses)/365.25*short_st_duration_hrs/24)*(co2_short_st_invest*(1/co2_short_st_lifetime+$M63+co2_short_st_opex)+co2_short_st_e_demand*1000*$AU63/100)/1000000</f>
        <v>5340.9113623029371</v>
      </c>
      <c r="CF63" s="63">
        <f>Storage!$I$57/((1-Shipping!$J$37)^($F63/24/Shipping!$J$44+0.5*Shipping!$J$59))</f>
        <v>310425396.82539684</v>
      </c>
      <c r="CG63" s="28">
        <f>IF($E63="","No Port",((F63/24/Shipping!$J$44+F63/24/Shipping!$J$50+Shipping!$J$59+Shipping!$J$64)*(Shipping!$J$22+wacc_nl*Shipping!$J$19/365.25*1000000+Shipping!$J$35)+(F63/24/Shipping!$J$44*Shipping!$J$45+Shipping!$J$64*Shipping!$J$65)*IF(bunker_choice="HFO",$H63,IF(bunker_choice="hydrogen",$BD63*hfo_e_density_lhv/h2_e_density_lhv,(CB63+CD63)*1000000/CF63*hfo_e_density_lhv/FA_e_density_lhv))+(F63/24/Shipping!$J$50*Shipping!$J$51+Shipping!$J$59*Shipping!$J$60)*IF(bunker_choice="HFO",bunker_price_ROT,IF(bunker_choice="hydrogen",$BD63*hfo_e_density_lhv/h2_e_density_lhv,(CB63+CD63)*1000000/CF63*hfo_e_density_lhv/FA_e_density_lhv))+Shipping!$J$73+IF(G63="Panama",Shipping!$J$55,0)+IF(G63="Suez",Shipping!$J$56,0))/Shipping!$J$31*CF63/1000000+IF(inland_transport_to_port="hv dc grid",$BM63/100*1000*CI63,IF(inland_transport_to_port="pipeline",$BN63,0)))</f>
        <v>13916.44532364292</v>
      </c>
      <c r="CH63" s="28">
        <f t="shared" si="36"/>
        <v>163384.3846961747</v>
      </c>
      <c r="CI63" s="29">
        <f>((Carriers!$P$18/Carriers!$P$23*alk_el_e_demand)+FA_e_demand)*(CF63+FA_st_ab_losses)/1000000+FA_st_e_demand*CF63/1000000</f>
        <v>1897.8881241622576</v>
      </c>
      <c r="CJ63" s="29">
        <f t="shared" si="80"/>
        <v>0.46563809523809524</v>
      </c>
      <c r="CK63" s="28">
        <f>IFERROR(CH63*1000000/Storage!$I$12,"")</f>
        <v>526.32415506928567</v>
      </c>
      <c r="CL63" s="28">
        <f>IF($E63="","No Port",((F63/24/Shipping!$J$44+F63/24/Shipping!$J$50+Shipping!$J$59+Shipping!$J$64)*Carriers!$P$39*wacc_nl))</f>
        <v>214.29963432637791</v>
      </c>
      <c r="CM63" s="29">
        <f>H2_retrieval!$H$25*h2_demand_kt/1000+(co2_liq_e_demand+co2_st_e_demand*2)*Storage!$I$12*co2_density/FA_density/1000000</f>
        <v>94.204253879484654</v>
      </c>
      <c r="CN63" s="28">
        <f>IFERROR((((CB63+CD63+CG63)*(1+H2_retrieval!$H$34)+CL63)*1000000/H2_retrieval!$H$8)+h2_regen_fa,"")</f>
        <v>10475.97922813335</v>
      </c>
      <c r="CO63" s="149">
        <f>(meoh_invest*(M63+1/meoh_lifetime)/meoh_prod+meoh_opex+meoh_e_demand*1000*$AU63/100+Carriers!$R$18/Carriers!$R$23*BD63+Carriers!$R$20/Carriers!$R$23*co2_liq_cost)*(CS63+meoh_st_ab_losses)/1000000</f>
        <v>73195.71384005381</v>
      </c>
      <c r="CP63" s="86">
        <f>(meoh_invest*(M63+1/meoh_lifetime)/meoh_prod+meoh_opex+meoh_e_demand*1000*$AU63/100+Carriers!$R$18/Carriers!$R$23*BD63+Carriers!$R$20/Carriers!$R$23*BP63)*(CS63+meoh_st_ab_losses)/1000000</f>
        <v>90355.516113618665</v>
      </c>
      <c r="CQ63" s="63">
        <f>meoh_st_nl_cost*meoh_st_nl_demand/1000000+(meoh_st_invest*(M63+1/meoh_st_lifetime+meoh_st_opex)/(Storage!$K$63/1000000)+meoh_st_e_demand*1000*$AU63/100)*(CS63+meoh_st_ab_losses)/1000000+co2_st_nl_cost*Storage!$K$12*co2_density/meoh_density/1000000+(co2_st_opex_lev+co2_st_invest_lev+co2_st_e_demand*1000*IFERROR(MIN(S63,AA63,AI63),S63)/100)*Storage!$K$12/1000000+co2_st_invest_lev*Storage!$K$12*co2_st_lifetime*M63/1000000+Carriers!$R$18/Carriers!$R$23*((CS63+meoh_st_ab_losses)/365.25*short_st_duration_hrs/24)*(h2_short_st_invest*(1/gh2_short_st_lifetime+$M63+h2_short_st_opex)+h2_short_st_e_demand*1000*$AU63/100)/1000000+Carriers!$R$20/Carriers!$R$23*((CF63+meoh_st_ab_losses)/365.25*short_st_duration_hrs/24)*(co2_short_st_invest*(1/co2_short_st_lifetime+$M63+co2_short_st_opex)+co2_short_st_e_demand*1000*$AU63/100)/1000000</f>
        <v>5116.2923920096591</v>
      </c>
      <c r="CR63" s="63">
        <f>meoh_st_nl_cost*meoh_st_nl_demand/1000000+(meoh_st_invest*(M63+1/meoh_st_lifetime+meoh_st_opex)/(Storage!$K$63/1000000)+meoh_st_e_demand*1000*$AU63/100)*(CS63+meoh_st_ab_losses)/1000000+Carriers!$R$18/Carriers!$R$23*((CS63+meoh_st_ab_losses)/365.25*short_st_duration_hrs/24)*(h2_short_st_invest*(1/gh2_short_st_lifetime+$M63+h2_short_st_opex)+h2_short_st_e_demand*1000*$AU63/100)/1000000+Carriers!$R$20/Carriers!$R$23*((CF63+meoh_st_ab_losses)/365.25*short_st_duration_hrs/24)*(co2_short_st_invest*(1/co2_short_st_lifetime+$M63+co2_short_st_opex)+co2_short_st_e_demand*1000*$AU63/100)/1000000</f>
        <v>2120.4634908864809</v>
      </c>
      <c r="CS63" s="63">
        <f>Storage!$K$57/((1-Shipping!$L$37)^($F63/24/Shipping!$L$44+0.5*Shipping!$L$59))</f>
        <v>108044444.44444443</v>
      </c>
      <c r="CT63" s="28">
        <f>IF($E63="","No Port",IF(AND(ship_choice="VLCC",G63="Panama"),"Ship cannot pass through Panama",IF(ship_choice="VLCC",((F63/24/Shipping!$AD$44+F63/24/Shipping!$AD$50+Shipping!$AD$59+Shipping!$AD$64)*(Shipping!$AD$22+wacc_nl*Shipping!$AD$19/365.25*1000000+Shipping!$AD$35)+(F63/24/Shipping!$AD$44*Shipping!$AD$45+Shipping!$AD$64*Shipping!$AD$65)*IF(bunker_choice="HFO",$H63,IF(bunker_choice="hydrogen",$BD63*hfo_e_density_lhv/h2_e_density_lhv,(CO63+CQ63)*1000000/CS63*hfo_e_density_lhv/meoh_e_density_lhv))+(F63/24/Shipping!$AD$50*Shipping!$AD$51+Shipping!$AD$59*Shipping!$AD$60)*IF(bunker_choice="HFO",bunker_price_ROT,IF(bunker_choice="hydrogen",$BD63*hfo_e_density_lhv/h2_e_density_lhv,(CO63+CQ63)*1000000/CS63*hfo_e_density_lhv/meoh_e_density_lhv))+Shipping!$AD$73+IF(G63="Panama",Shipping!$AD$55,0)+IF(G63="Suez",Shipping!$AD$56,0))/Shipping!$AD$31*CS63/1000000+IF(inland_transport_to_port="hv dc grid",$BM63/100*1000*CV63,IF(inland_transport_to_port="pipeline",$BN63,0)),((F63/24/Shipping!$L$44+F63/24/Shipping!$L$50+Shipping!$L$59+Shipping!$L$64)*(Shipping!$L$22+wacc_nl*Shipping!$L$19/365.25*1000000+Shipping!$L$35)+(F63/24/Shipping!$L$44*Shipping!$L$45+Shipping!$L$64*Shipping!$L$65)*IF(bunker_choice="HFO",$H63,IF(bunker_choice="hydrogen",$BD63*hfo_e_density_lhv/h2_e_density_lhv,(CO63+CQ63)*1000000/CS63*hfo_e_density_lhv/meoh_e_density_lhv))+(F63/24/Shipping!$L$50*Shipping!$L$51+Shipping!$L$59*Shipping!$L$60)*IF(bunker_choice="HFO",bunker_price_ROT,IF(bunker_choice="hydrogen",$BD63*hfo_e_density_lhv/h2_e_density_lhv,(CO63+CQ63)*1000000/CS63*hfo_e_density_lhv/meoh_e_density_lhv))+Shipping!$L$73+IF(G63="Panama",Shipping!$L$55,0)+IF(G63="Suez",Shipping!$L$56,0))/Shipping!$L$31*CS63/1000000+IF(inland_transport_to_port="hv dc grid",$BM63/100*1000*CV63,IF(inland_transport_to_port="pipeline",$BN63,0)))))</f>
        <v>5108.0088068799978</v>
      </c>
      <c r="CU63" s="28">
        <f t="shared" si="37"/>
        <v>97583.988411385144</v>
      </c>
      <c r="CV63" s="29">
        <f>((Carriers!$R$18/Carriers!$R$23*alk_el_e_demand)+meoh_e_demand)*(CS63+meoh_st_ab_losses)/1000000+meoh_st_e_demand*CS63/1000000</f>
        <v>1119.9789871111109</v>
      </c>
      <c r="CW63" s="29">
        <f t="shared" si="81"/>
        <v>0.16206666666666666</v>
      </c>
      <c r="CX63" s="28">
        <f>IFERROR(CU63*1000000/Storage!$K$12,"")</f>
        <v>903.18376769073063</v>
      </c>
      <c r="CY63" s="28">
        <f>IF($E63="","No Port",((F63/24/Shipping!$L$44+F63/24/Shipping!$L$50+Shipping!$L$59+Shipping!$L$64)*Carriers!$R$39*wacc_nl))</f>
        <v>76.622407358443624</v>
      </c>
      <c r="CZ63" s="29">
        <f>H2_retrieval!$J$25*h2_demand_kt/1000+(co2_liq_e_demand+co2_st_e_demand*2)*Storage!$K$12*co2_density/meoh_density/1000000</f>
        <v>251.05079059698966</v>
      </c>
      <c r="DA63" s="28">
        <f>IFERROR((((CO63+CQ63+CT63)*(1+H2_retrieval!$J$34)+CY63)*1000000/H2_retrieval!$J$8)+h2_regen_meoh,"")</f>
        <v>7309.5871789536095</v>
      </c>
      <c r="DB63" s="149">
        <f>(DBT_invest*(M63+1/DBT_lifetime)/DBT_prod+DBT_opex+DBT_e_demand*1000*$AU63/100+Carriers!$T$18/Carriers!$T$23*BD63)*(DD63+DBT_st_ab_losses)/1000000</f>
        <v>49075.256995660216</v>
      </c>
      <c r="DC63" s="28">
        <f>2*(DBT_st_nl_cost*DBT_st_nl_demand/1000000+(DBT_st_invest*(M63+1/DBT_st_lifetime+DBT_st_opex)/(Storage!$M$63/1000000)+DBT_st_e_demand*1000*$AU63/100)*(DD63+DBT_st_ab_losses)/1000000)+Carriers!$T$18/Carriers!$T$23*((DD63+DBT_st_ab_losses)/365.25*short_st_duration_hrs/24)*(h2_short_st_invest*(1/gh2_short_st_lifetime+$M63+h2_short_st_opex)+h2_short_st_e_demand*1000*$AU63/100)/1000000</f>
        <v>4340.7423434868733</v>
      </c>
      <c r="DD63" s="63">
        <f>Storage!$M$57/((1-Shipping!$N$37)^($F63/24/Shipping!$N$44+0.5*Shipping!$N$59))</f>
        <v>219354838.70967743</v>
      </c>
      <c r="DE63" s="28">
        <f>IF($E63="","No Port",IF(AND(ship_choice="VLCC",G63="Panama"),"Ship cannot pass through Panama",IF(ship_choice="VLCC",((F63/24/Shipping!$AD$44+F63/24/Shipping!$AD$50+Shipping!$AD$59+Shipping!$AD$64)*(Shipping!$AD$22+wacc_nl*Shipping!$AD$19/365.25*1000000+Shipping!$AD$35)+(F63/24/Shipping!$AD$44*Shipping!$AD$45+Shipping!$AD$64*Shipping!$AD$65)*IF(bunker_choice="HFO",$H63,IF(bunker_choice="hydrogen",$BD63*hfo_e_density_lhv/h2_e_density_lhv,(DB63+DC63)*1000000/DD63*hfo_e_density_lhv/DBT_e_density_lhv))+(F63/24/Shipping!$AD$50*Shipping!$AD$51+Shipping!$AD$59*Shipping!$AD$60)*IF(bunker_choice="HFO",bunker_price_ROT,IF(bunker_choice="hydrogen",$BD63*hfo_e_density_lhv/h2_e_density_lhv,(DB63+DC63)*1000000/DD63*hfo_e_density_lhv/DBT_e_density_lhv))+Shipping!$AD$73+IF(G63="Panama",Shipping!$AD$55,0)+IF(G63="Suez",Shipping!$AD$56,0))/Shipping!$AD$31*DD63/1000000+IF(inland_transport_to_port="hv dc grid",$BM63/100*1000*DG63,IF(inland_transport_to_port="pipeline",$BN63,0)),((F63/24/Shipping!$N$44+F63/24/Shipping!$N$50+Shipping!$N$59+Shipping!$N$64)*(Shipping!$N$22+wacc_nl*Shipping!$N$19/365.25*1000000+Shipping!$N$35)+(F63/24/Shipping!$N$44*Shipping!$N$45+Shipping!$N$64*Shipping!$N$65)*IF(bunker_choice="HFO",$H63,IF(bunker_choice="hydrogen",$BD63*hfo_e_density_lhv/h2_e_density_lhv,(DB63+DC63)*1000000/DD63*hfo_e_density_lhv/DBT_e_density_lhv))+(F63/24/Shipping!$N$50*Shipping!$N$51+Shipping!$N$59*Shipping!$N$60)*IF(bunker_choice="HFO",bunker_price_ROT,IF(bunker_choice="hydrogen",$BD63*hfo_e_density_lhv/h2_e_density_lhv,(DB63+DC63)*1000000/DD63*hfo_e_density_lhv/DBT_e_density_lhv))+Shipping!$N$73+IF(G63="Panama",Shipping!$N$55,0)+IF(G63="Suez",Shipping!$N$56,0))/Shipping!$N$31*Shipping!$N$86/1000000+IF(inland_transport_to_port="hv dc grid",$BM63/100*1000*DG63,IF(inland_transport_to_port="pipeline",$BN63,0)))))</f>
        <v>8922.6224769632445</v>
      </c>
      <c r="DF63" s="28">
        <f t="shared" si="82"/>
        <v>62338.621816110339</v>
      </c>
      <c r="DG63" s="29">
        <f>((Carriers!$T$18/Carriers!$T$23*alk_el_e_demand)+DBT_e_demand)*(DD63+DBT_st_ab_losses)/1000000+DBT_st_e_demand*DD63/1000000</f>
        <v>703.88335483870969</v>
      </c>
      <c r="DH63" s="29">
        <f t="shared" si="83"/>
        <v>0.21935483870967742</v>
      </c>
      <c r="DI63" s="28">
        <f>IFERROR(DF63*1000000/Storage!$M$12,"")</f>
        <v>284.19077592638536</v>
      </c>
      <c r="DJ63" s="28">
        <f>IF($E63="","No Port",((F63/24/Shipping!$N$44+F63/24/Shipping!$N$50+Shipping!$N$59+Shipping!$N$64)*Carriers!$T$39*wacc_nl))</f>
        <v>5580.6616800898501</v>
      </c>
      <c r="DK63" s="100">
        <f>H2_retrieval!$L$25*h2_demand_kt/1000+(co2_liq_e_demand+co2_st_e_demand*2)*Storage!$M$12*co2_density/DBT_density/1000000</f>
        <v>206.61934861671787</v>
      </c>
      <c r="DL63" s="28">
        <f>IFERROR(((DF63*(1+H2_retrieval!$L$34)+DJ63)*1000000/H2_retrieval!$L$8)+h2_regen_lohc,"")</f>
        <v>5464.7147435946918</v>
      </c>
      <c r="DM63" s="149">
        <f t="shared" si="84"/>
        <v>52657.226167947396</v>
      </c>
      <c r="DN63" s="16">
        <f>2*(nabh4_st_nl_cost*nabh4_st_nl_demand/1000000+(nabh4_st_invest*(M63+1/nabh4_st_lifetime+nabh4_st_opex)/(Storage!$O$63/1000000)+nabh4_st_e_demand*1000*$AU63/100)*(DO63+nabh4_st_ab_losses)/1000000)+(h2_demand_kt*1000/365.25*short_st_duration_hrs/24)*(h2_short_st_invest*(1/gh2_short_st_lifetime+$M63+h2_short_st_opex)+h2_short_st_e_demand*1000*$AU63/100)/1000000</f>
        <v>1469.6398095967893</v>
      </c>
      <c r="DO63" s="63">
        <f>Storage!$O$57/((1-Shipping!$P$37)^($F63/24/Shipping!$P$44+0.5*Shipping!$P$59))</f>
        <v>63920000</v>
      </c>
      <c r="DP63" s="16">
        <f>IF($E63="","No Port",((F63/24/Shipping!$P$44+F63/24/Shipping!$P$50+Shipping!$P$59+Shipping!$P$64)*(Shipping!$P$22+wacc_nl*Shipping!$P$19/365.25*1000000+Shipping!$P$35)+(F63/24/Shipping!$P$44*Shipping!$P$45+Shipping!$P$64*Shipping!$P$65)*IF(bunker_choice="HFO",$H63,IF(bunker_choice="hydrogen",$BD63*hfo_e_density_lhv/h2_e_density_lhv,(DM63+DN63)*1000000/DO63*hfo_e_density_lhv/nabh4_e_density_lhv))+(F63/24/Shipping!$P$50*Shipping!$P$51+Shipping!$P$59*Shipping!$P$60)*IF(bunker_choice="HFO",bunker_price_ROT,IF(bunker_choice="hydrogen",$BD63*hfo_e_density_lhv/h2_e_density_lhv,(DM63+DN63)*1000000/DO63*hfo_e_density_lhv/nabh4_e_density_lhv))+Shipping!$P$73+IF(G63="Panama",Shipping!$P$55,0)+IF(G63="Suez",Shipping!$P$56,0))/Shipping!$P$31*(DO63+nabh4_st_ab_losses)/1000000+IF(inland_transport_to_port="hv dc grid",$BM63/100*1000*DR63,IF(inland_transport_to_port="pipeline",$BN63,0)))</f>
        <v>2906.2272753090997</v>
      </c>
      <c r="DQ63" s="28">
        <f t="shared" si="60"/>
        <v>57033.093252853287</v>
      </c>
      <c r="DR63" s="29">
        <f>((Carriers!$V$18/Carriers!$V$23*alk_el_e_demand)+nabh4_e_demand)*(DO63+nabh4_st_ab_losses)/1000000+nabh4_st_e_demand*DO63/1000000</f>
        <v>980.02139682539689</v>
      </c>
      <c r="DS63" s="28">
        <f t="shared" si="85"/>
        <v>3.1960000000000002</v>
      </c>
      <c r="DT63" s="28">
        <f>IFERROR(DQ63*1000000/Storage!$O$12,"")</f>
        <v>892.25740383062089</v>
      </c>
      <c r="DU63" s="28">
        <f>IF($E63="","No Port",((F63/24/Shipping!$P$44+F63/24/Shipping!$P$50+Shipping!$P$59+Shipping!$P$64)*Carriers!$V$39*wacc_nl))</f>
        <v>521.99086506774495</v>
      </c>
      <c r="DV63" s="100">
        <f>H2_retrieval!$N$25*h2_demand_kt/1000+(co2_liq_e_demand+co2_st_e_demand*2)*Storage!$O$12*co2_density/nabh4_density/1000000</f>
        <v>18.783638728971958</v>
      </c>
      <c r="DW63" s="28">
        <f>IFERROR(((DQ63*(1+H2_retrieval!$N$34)+DU63)*1000000/H2_retrieval!$N$8)+h2_regen_nabh4,"")</f>
        <v>4322.7378856696178</v>
      </c>
      <c r="DX63" s="149">
        <f>(Dme_invest*(M63+1/Dme_lifetime)/Dme_prod+Dme_opex+Dme_e_demand*1000*$AU63/100+Carriers!$X$21/Carriers!$X$23*(CO63*1000000/CS63))*(EB63+Dme_st_ab_losses)/1000000</f>
        <v>102613.6406882966</v>
      </c>
      <c r="DY63" s="86">
        <f>(Dme_invest*(M63+1/Dme_lifetime)/Dme_prod+Dme_opex+Dme_e_demand*1000*$AU63/100+Carriers!$X$21/Carriers!$X$23*(CP63*1000000/CS63))*(EB63+Dme_st_ab_losses)/1000000</f>
        <v>125893.72688523962</v>
      </c>
      <c r="DZ63" s="63">
        <f>Dme_st_nl_cost*Dme_st_nl_demand/1000000+(Dme_st_invest*(M63+1/Dme_st_lifetime+Dme_st_opex)/(Storage!$Q$63/1000000)+Dme_st_e_demand*1000*$AU63/100)*(EB63+Dme_st_ab_losses)/1000000+co2_st_nl_cost*Storage!$Q$12*co2_density/Dme_density/1000000+(co2_st_opex_lev+co2_st_invest_lev+co2_st_e_demand*1000*$AU63/100)*Storage!$Q$12/1000000+co2_st_invest_lev*Storage!$Q$12*co2_st_lifetime*M63/1000000+(h2_demand_kt*1000/365.25*short_st_duration_hrs/24)*(h2_short_st_invest*(1/gh2_short_st_lifetime+$M63+h2_short_st_opex)+h2_short_st_e_demand*1000*$AU63/100)/1000000</f>
        <v>6159.2510800817345</v>
      </c>
      <c r="EA63" s="63">
        <f>Dme_st_nl_cost*Dme_st_nl_demand/1000000+(Dme_st_invest*(M63+1/Dme_st_lifetime+Dme_st_opex)/(Storage!$Q$63/1000000)+Dme_st_e_demand*1000*$AU63/100)*(EB63+Dme_st_ab_losses)/1000000+(h2_demand_kt*1000/365.25*short_st_duration_hrs/24)*(h2_short_st_invest*(1/gh2_short_st_lifetime+$M63+h2_short_st_opex)+h2_short_st_e_demand*1000*$AU63/100)/1000000</f>
        <v>3161.2229866957687</v>
      </c>
      <c r="EB63" s="63">
        <f>Storage!$Q$57/((1-Shipping!$R$37)^($F63/24/Shipping!$R$44+0.5*Shipping!$R$59))</f>
        <v>103547089.94708996</v>
      </c>
      <c r="EC63" s="153">
        <f>IF($E63="","No Port",IF(AND(ship_choice="VLCC",G63="Panama"),"Ship cannot pass through Panama",IF(ship_choice="VLCC",((F63/24/Shipping!$AD$44+F63/24/Shipping!$AD$50+Shipping!$AD$59+Shipping!$AD$64)*(Shipping!$AD$22+wacc_nl*Shipping!$AD$19/365.25*1000000+Shipping!$AD$35)+(F63/24/Shipping!$AD$44*Shipping!$AD$45+Shipping!$AD$64*Shipping!$AD$65)*IF(bunker_choice="HFO",$H63,IF(bunker_choice="hydrogen",$BD63*hfo_e_density_lhv/h2_e_density_lhv,(DX63+DZ63)*1000000/EB63*hfo_e_density_lhv/Dme_e_density_lhv))+(F63/24/Shipping!$AD$50*Shipping!$AD$51+Shipping!$AD$59*Shipping!$AD$60)*IF(bunker_choice="HFO",bunker_price_ROT,IF(bunker_choice="hydrogen",$BD63*hfo_e_density_lhv/h2_e_density_lhv,(DX63+DZ63)*1000000/EB63*hfo_e_density_lhv/Dme_e_density_lhv))+Shipping!$AD$73+IF(G63="Panama",Shipping!$AD$55,0)+IF(G63="Suez",Shipping!$AD$56,0))/Shipping!$AD$31*(EB63+Dme_st_ab_losses)/1000000+IF(inland_transport_to_port="hv dc grid",$BM63/100*1000*EE63,IF(inland_transport_to_port="pipeline",$BN63,0)),((F63/24/Shipping!$R$44+F63/24/Shipping!$R$50+Shipping!$R$59+Shipping!$R$64)*(Shipping!$R$22+wacc_nl*Shipping!$R$19/365.25*1000000+Shipping!$R$35)+(F63/24/Shipping!$R$44*Shipping!$R$45+Shipping!$R$64*Shipping!$R$65)*IF(bunker_choice="HFO",$H63,IF(bunker_choice="hydrogen",$BD63*hfo_e_density_lhv/h2_e_density_lhv,(DX63+DZ63)*1000000/EB63*hfo_e_density_lhv/Dme_e_density_lhv))+(F63/24/Shipping!$R$50*Shipping!$R$51+Shipping!$R$59*Shipping!$R$60)*IF(bunker_choice="HFO",bunker_price_ROT,IF(bunker_choice="hydrogen",$BD63*hfo_e_density_lhv/h2_e_density_lhv,(DX63+DZ63)*1000000/EB63*hfo_e_density_lhv/Dme_e_density_lhv))+Shipping!$R$73+IF(G63="Panama",Shipping!$R$55,0)+IF(G63="Suez",Shipping!$R$56,0))/Shipping!$R$31*(EB63+Dme_st_ab_losses)/1000000+IF(inland_transport_to_port="hv dc grid",$BM63/100*1000*EE63,IF(inland_transport_to_port="pipeline",$BN63,0)))))</f>
        <v>5098.3396216164365</v>
      </c>
      <c r="ED63" s="28">
        <f t="shared" si="39"/>
        <v>134153.28949355183</v>
      </c>
      <c r="EE63" s="29">
        <f>(Dme_e_demand)*(EB63+Dme_st_ab_losses)/1000000+Dme_st_e_demand*DZ63/1000000+$CV63*(Carriers!$X$21/Carriers!$X$23*EB63)/$CS63</f>
        <v>1550.2168217595665</v>
      </c>
      <c r="EF63" s="29">
        <f t="shared" si="86"/>
        <v>1.0354708994708997</v>
      </c>
      <c r="EG63" s="28">
        <f>IFERROR(ED63*1000000/Storage!$Q$12,"")</f>
        <v>1295.5775923987908</v>
      </c>
      <c r="EH63" s="28">
        <f>IF($E63="","No Port",((F63/24/Shipping!$R$44+F63/24/Shipping!$R$50+Shipping!$R$59+Shipping!$R$64)*Carriers!$X$39*wacc_nl))</f>
        <v>79.258424218907038</v>
      </c>
      <c r="EI63" s="100">
        <f>H2_retrieval!$P$25*h2_demand_kt/1000+(co2_liq_e_demand+co2_st_e_demand*2)*Storage!$Q$12*co2_density/Dme_density/1000000</f>
        <v>252.45335899349112</v>
      </c>
      <c r="EJ63" s="28">
        <f>IFERROR((((DX63+DZ63+EC63)*(1+H2_retrieval!$P$34)+EH63)*1000000/H2_retrieval!$P$8)+h2_regen_dme,"")</f>
        <v>9548.8410295353569</v>
      </c>
      <c r="EK63" s="149">
        <f>(ome_invest*(M63+1/ome_lifetime)/ome_prod+ome_opex+ome_e_demand*1000*$AU63/100+Carriers!$Z$21/Carriers!$Z$23*(CO63*1000000/CS63))*(EO63+ome_st_ab_losses)/1000000</f>
        <v>222541.50414657674</v>
      </c>
      <c r="EL63" s="86">
        <f>(ome_invest*(M63+1/ome_lifetime)/ome_prod+ome_opex+ome_e_demand*1000*$AU63/100+Carriers!$Z$21/Carriers!$Z$23*(CP63*1000000/CS63))*(EO63+ome_st_ab_losses)/1000000</f>
        <v>271410.93684615643</v>
      </c>
      <c r="EM63" s="63">
        <f>ome_st_nl_cost*ome_st_nl_demand/1000000+(ome_st_invest*(M63+1/ome_st_lifetime+ome_st_opex)/(Storage!$S$63/1000000)+ome_st_e_demand*1000*$AU63/100)*(EO63+ome_st_ab_losses)/1000000+co2_st_nl_cost*Storage!$S$12*co2_density/ome_density/1000000+(co2_st_opex_lev+co2_st_invest_lev+co2_st_e_demand*1000*$AU63/100)*Storage!$S$12/1000000+co2_st_invest_lev*Storage!$S$12*co2_st_lifetime*M63/1000000+(h2_demand_kt*1000/365.25*short_st_duration_hrs/24)*(h2_short_st_invest*(1/gh2_short_st_lifetime+$M63+h2_short_st_opex)+h2_short_st_e_demand*1000*$AU63/100)/1000000</f>
        <v>5280.5765229838771</v>
      </c>
      <c r="EN63" s="63">
        <f>ome_st_nl_cost*ome_st_nl_demand/1000000+(ome_st_invest*(M63+1/ome_st_lifetime+ome_st_opex)/(Storage!$S$63/1000000)+ome_st_e_demand*1000*$AU63/100)*(EO63+ome_st_ab_losses)/1000000+(h2_demand_kt*1000/365.25*short_st_duration_hrs/24)*(h2_short_st_invest*(1/gh2_short_st_lifetime+$M63+h2_short_st_opex)+h2_short_st_e_demand*1000*$AU63/100)/1000000</f>
        <v>1905.3438166274227</v>
      </c>
      <c r="EO63" s="63">
        <f>Storage!$S$57/((1-Shipping!$T$37)^($F63/24/Shipping!$T$44+0.5*Shipping!$T$59))</f>
        <v>128282539.68253967</v>
      </c>
      <c r="EP63" s="28">
        <f>IF($E63="","No Port",IF(AND(ship_choice="VLCC",G63="Panama"),"Ship cannot pass through Panama",IF(ship_choice="VLCC",((F63/24/Shipping!$AD$44+F63/24/Shipping!$AD$50+Shipping!$AD$59+Shipping!$AD$64)*(Shipping!$AD$22+wacc_nl*Shipping!$AD$19/365.25*1000000+Shipping!$AD$35)+(F63/24/Shipping!$AD$44*Shipping!$AD$45+Shipping!$AD$64*Shipping!$AD$65)*IF(bunker_choice="HFO",$H63,IF(bunker_choice="hydrogen",$BD63*hfo_e_density_lhv/h2_e_density_lhv,(EK63+EM63)*1000000/EO63*hfo_e_density_lhv/Dme_e_density_lhv))+(F63/24/Shipping!$AD$50*Shipping!$AD$51+Shipping!$AD$59*Shipping!$AD$60)*IF(bunker_choice="HFO",bunker_price_ROT,IF(bunker_choice="hydrogen",$BD63*hfo_e_density_lhv/h2_e_density_lhv,(EK63+EM63)*1000000/EO63*hfo_e_density_lhv/ome_e_density_lhv))+Shipping!$AD$73+IF(G63="Panama",Shipping!$AD$55,0)+IF(G63="Suez",Shipping!$AD$56,0))/Shipping!$AD$31*(EO63+ome_st_ab_losses)/1000000+IF(inland_transport_to_port="hv dc grid",$BM63/100*1000*ER63,IF(inland_transport_to_port="pipeline",$BN63,0)),((F63/24/Shipping!$T$44+F63/24/Shipping!$T$50+Shipping!$T$59+Shipping!$T$64)*(Shipping!$T$22+wacc_nl*Shipping!$T$19/365.25*1000000+Shipping!$T$35)+(F63/24/Shipping!$T$44*Shipping!$T$45+Shipping!$T$64*Shipping!$T$65)*IF(bunker_choice="HFO",$H63,IF(bunker_choice="hydrogen",$BD63*hfo_e_density_lhv/h2_e_density_lhv,(EK63+EM63)*1000000/EO63*hfo_e_density_lhv/Dme_e_density_lhv))+(F63/24/Shipping!$T$50*Shipping!$T$51+Shipping!$T$59*Shipping!$T$60)*IF(bunker_choice="HFO",bunker_price_ROT,IF(bunker_choice="hydrogen",$BD63*hfo_e_density_lhv/h2_e_density_lhv,(EK63+EM63)*1000000/EO63*hfo_e_density_lhv/ome_e_density_lhv))+Shipping!$T$73+IF(G63="Panama",Shipping!$T$55,0)+IF(G63="Suez",Shipping!$T$56,0))/Shipping!$T$31*(EO63+ome_st_ab_losses)/1000000+IF(inland_transport_to_port="hv dc grid",$BM63/100*1000*ER63,IF(inland_transport_to_port="pipeline",$BN63,0)))))</f>
        <v>5637.4752111262624</v>
      </c>
      <c r="EQ63" s="28">
        <f t="shared" si="40"/>
        <v>278953.75587391009</v>
      </c>
      <c r="ER63" s="29">
        <f>(ome_e_demand)*(EO63+ome_st_ab_losses)/1000000+ome_st_e_demand*EM63/1000000+$CV63*(Carriers!$Z$21/Carriers!$Z$23*EO63)/$CS63</f>
        <v>3352.0814580616484</v>
      </c>
      <c r="ES63" s="29">
        <f t="shared" si="87"/>
        <v>0.1924238095238095</v>
      </c>
      <c r="ET63" s="28">
        <f>IFERROR(EQ63*1000000/Storage!$S$12,"")</f>
        <v>2174.5262961291219</v>
      </c>
      <c r="EU63" s="28">
        <f>IF($E63="","No Port",((F63/24/Shipping!$T$44+F63/24/Shipping!$T$50+Shipping!$T$59+Shipping!$T$64)*Carriers!$Z$39*wacc_nl))</f>
        <v>90.974756389121112</v>
      </c>
      <c r="EV63" s="100">
        <f>H2_retrieval!$R$25*h2_demand_kt/1000+(co2_liq_e_demand+co2_st_e_demand*2)*Storage!$S$12*co2_density/ome_density/1000000</f>
        <v>254.51942895252085</v>
      </c>
      <c r="EW63" s="28">
        <f>IFERROR((((EK63+EM63+EP63)*(1+H2_retrieval!$R$34)+EU63)*1000000/H2_retrieval!$R$8)+h2_regen_ome,"")</f>
        <v>18342.961678275235</v>
      </c>
      <c r="EX63" s="149">
        <f>(sng_invest*(M63+1/sng_lifetime)/sng_prod+lng_invest*(M63+1/lng_lifetime)/lng_prod+sng_opex+lng_opex+(sng_e_demand+lng_e_demand)*1000*$AU63/100+Carriers!$AB$18/Carriers!$AB$23*BD63+Carriers!$AB$20/Carriers!$AB$23*co2_liq_cost)*(FB63+lng_st_ab_losses)/1000000</f>
        <v>78974.483080832171</v>
      </c>
      <c r="EY63" s="86">
        <f>(sng_invest*(M63+1/sng_lifetime)/sng_prod+lng_invest*(M63+1/lng_lifetime)/lng_prod+sng_opex+lng_opex+(sng_e_demand+lng_e_demand)*1000*$AU63/100+Carriers!$AB$18/Carriers!$AB$23*BD63+Carriers!$AB$20/Carriers!$AB$23*BP63)*(FB63+lng_st_ab_losses)/1000000</f>
        <v>91831.095504284996</v>
      </c>
      <c r="EZ63" s="63">
        <f>lng_st_nl_cost*lng_st_nl_demand/1000000+(lng_st_invest*(M63+1/lng_st_lifetime+lng_st_opex)/(Storage!$U$63/1000000)+lng_st_e_demand*1000*$AU63/100)*(FB63+lng_st_ab_losses)/1000000+co2_st_nl_cost*Storage!$U$12*co2_density/lng_density/1000000+(co2_st_opex_lev+co2_st_invest_lev+co2_st_e_demand*1000*$AU63/100)*Storage!$U$12/1000000+co2_st_invest_lev*Storage!$U$12*co2_st_lifetime*M63/1000000+Carriers!$AB$18/Carriers!$AB$23*((FB63+lng_st_ab_losses)/365.25*short_st_duration_hrs/24)*(h2_short_st_invest*(1/gh2_short_st_lifetime+$M63+h2_short_st_opex)+h2_short_st_e_demand*1000*$AU63/100)/1000000+Carriers!$AB$20/Carriers!$AB$23*((FB63+lng_st_ab_losses)/365.25*short_st_duration_hrs/24)*(co2_short_st_invest*(1/co2_short_st_lifetime+$M63+co2_short_st_opex)+co2_short_st_e_demand*1000*$AU63/100)/1000000</f>
        <v>6564.1252320347457</v>
      </c>
      <c r="FA63" s="63">
        <f>lng_st_nl_cost*lng_st_nl_demand/1000000+(lng_st_invest*(M63+1/lng_st_lifetime+lng_st_opex)/(Storage!$U$63/1000000)+lng_st_e_demand*1000*$AU63/100)*(FB63+lng_st_ab_losses)/1000000+Carriers!$AB$18/Carriers!$AB$23*((FB63+lng_st_ab_losses)/365.25*short_st_duration_hrs/24)*(h2_short_st_invest*(1/gh2_short_st_lifetime+$M63+h2_short_st_opex)+h2_short_st_e_demand*1000*$AU63/100)/1000000+Carriers!$AB$20/Carriers!$AB$23*((FB63+lng_st_ab_losses)/365.25*short_st_duration_hrs/24)*(co2_short_st_invest*(1/co2_short_st_lifetime+$M63+co2_short_st_opex)+co2_short_st_e_demand*1000*$AU63/100)/1000000</f>
        <v>4951.3932139927992</v>
      </c>
      <c r="FB63" s="63">
        <f>Storage!$U$57/((1-Shipping!$V$37)^($F63/24/Shipping!$V$44+0.5*Shipping!$V$59))</f>
        <v>41246515.290869266</v>
      </c>
      <c r="FC63" s="28">
        <f>IF($E63="","No Port",IF(G63="Panama","Ship cannot pass through Panama",((F63/24/Shipping!$V$44+F63/24/Shipping!$V$50+Shipping!$V$59+Shipping!$V$64)*(Shipping!$V$22+wacc_nl*Shipping!$V$19/365.25*1000000+Shipping!$V$35)+(F63/24/Shipping!$V$44*Shipping!$V$45+Shipping!$V$64*Shipping!$V$65)*IF(bunker_choice="HFO",$H63,IF(bunker_choice="hydrogen",$BD63*hfo_e_density_lhv/h2_e_density_lhv,(EX63+EZ63)*1000000/FB63*hfo_e_density_lhv/lng_e_density_lhv))+(F63/24/Shipping!$V$50*Shipping!$V$51+Shipping!$V$59*Shipping!$V$60)*IF(bunker_choice="HFO",bunker_price_ROT,IF(bunker_choice="hydrogen",$BD63*hfo_e_density_lhv/h2_e_density_lhv,(EX63+EZ63)*1000000/FB63*hfo_e_density_lhv/lng_e_density_lhv))+Shipping!$V$73+IF(G63="Panama",Shipping!$V$55,0)+IF(G63="Suez",Shipping!$V$56,0))/Shipping!$V$31*(FB63+lng_st_ab_losses)/1000000)+IF(inland_transport_to_port="hv dc grid",$BM63/100*1000*FE63,IF(inland_transport_to_port="pipeline",$BN63,0)))</f>
        <v>2416.8213194619711</v>
      </c>
      <c r="FD63" s="28">
        <f t="shared" si="41"/>
        <v>99199.310037739764</v>
      </c>
      <c r="FE63" s="29">
        <f>((Carriers!$AB$18/Carriers!$AB$23*alk_el_e_demand)+sng_e_demand+lng_e_demand)*(FB63+lng_st_ab_losses)/1000000+lng_st_e_demand*EZ63/1000000</f>
        <v>1106.198657026305</v>
      </c>
      <c r="FF63" s="29">
        <f t="shared" si="88"/>
        <v>0.8126185861001558</v>
      </c>
      <c r="FG63" s="28">
        <f>IFERROR(FD63*1000000/Storage!$U$12,"")</f>
        <v>2444.288380936172</v>
      </c>
      <c r="FH63" s="28">
        <f>IF($E63="","No Port",((F63/24/Shipping!$V$44+F63/24/Shipping!$V$50+Shipping!$V$59+Shipping!$V$64)*Carriers!$AB$39*wacc_nl))</f>
        <v>26.9144340044102</v>
      </c>
      <c r="FI63" s="100">
        <f>H2_retrieval!$T$25*h2_demand_kt/1000+(co2_liq_e_demand+co2_st_e_demand*2)*Storage!$U$12*co2_density/lng_density/1000000</f>
        <v>236.51371749646054</v>
      </c>
      <c r="FJ63" s="28">
        <f>IFERROR((((EX63+EZ63+FC63)*(1+H2_retrieval!$T$34)+FH63)*1000000/H2_retrieval!$T$8)+h2_regen_lng,"")</f>
        <v>7639.4185480735641</v>
      </c>
      <c r="FK63" s="149">
        <f>(lh2_invest*(M63+1/lh2_lifetime)/lh2_prod+lh2_opex+lh2_e_demand*1000*$AU63/100+Carriers!$AD$18/Carriers!$AD$23*BD63)*(FM63+lh2_st_ab_losses)/1000000</f>
        <v>61247.945235368345</v>
      </c>
      <c r="FL63" s="28">
        <f>lh2_st_nl_cost*lh2_st_nl_demand/1000000+(lh2_st_invest*(M63+1/lh2_st_lifetime+lh2_st_opex)/(Storage!$Y$63/1000000)+lh2_st_e_demand*1000*$AU63/100)*(FM63+lh2_st_ab_losses)/1000000+((FM63+lh2_st_ab_losses)/365.25*short_st_duration_hrs/24)*(h2_short_st_invest*(1/gh2_short_st_lifetime+$M63+h2_short_st_opex)+h2_short_st_e_demand*1000*$AU63/100)/1000000</f>
        <v>57307.842393836399</v>
      </c>
      <c r="FM63" s="63">
        <f>Storage!$Y$57/((1-Shipping!$Z$37)^($F63/24/Shipping!$Z$44+0.5*Shipping!$Z$59))</f>
        <v>13950788.088436348</v>
      </c>
      <c r="FN63" s="28">
        <f>IF($E63="","No Port",IF(G63="Panama","Ship cannot pass through Panama",((F63/24/Shipping!$Z$44+F63/24/Shipping!$Z$50+Shipping!$Z$59+Shipping!$Z$64)*(Shipping!$Z$22+wacc_nl*Shipping!$Z$19/365.25*1000000+Shipping!$Z$35)+(F63/24/Shipping!$Z$44*Shipping!$Z$45+Shipping!$Z$64*Shipping!$Z$65)*IF(bunker_choice="HFO",$H63,IF(bunker_choice="hydrogen",$BD63*hfo_e_density_lhv/h2_e_density_lhv,(FK63+FL63)*1000000/FM63*hfo_e_density_lhv/lh2_e_density_lhv))+(F63/24/Shipping!$Z$50*Shipping!$Z$51+Shipping!$Z$59*Shipping!$Z$60)*IF(bunker_choice="HFO",bunker_price_ROT,IF(bunker_choice="hydrogen",$BD63*hfo_e_density_lhv/h2_e_density_lhv,(FK63+FL63)*1000000/FM63*hfo_e_density_lhv/lh2_e_density_lhv))+Shipping!$Z$73+IF(G63="Panama",Shipping!$Z$55,0)+IF(G63="Suez",Shipping!$Z$56,0))/Shipping!$Z$31*(FM63+lh2_st_ab_losses)/1000000)+IF(inland_transport_to_port="hv dc grid",$BM63/100*1000*FP63,IF(inland_transport_to_port="pipeline",$BN63,0)))</f>
        <v>3642.0627896678316</v>
      </c>
      <c r="FO63" s="28">
        <f t="shared" si="42"/>
        <v>122197.85041887258</v>
      </c>
      <c r="FP63" s="29">
        <f>((Carriers!$AD$18/Carriers!$AD$23*alk_el_e_demand)+lh2_e_demand)*(FM63+lh2_st_ab_losses)/1000000+lh2_st_e_demand*FM63/1000000</f>
        <v>808.43115982781524</v>
      </c>
      <c r="FQ63" s="100">
        <f t="shared" si="89"/>
        <v>1.361902463475859</v>
      </c>
      <c r="FR63" s="28">
        <f>IFERROR(FO63*1000000/Storage!$Y$12,"")</f>
        <v>8985.1360602112181</v>
      </c>
      <c r="FS63" s="100">
        <f>H2_retrieval!$V$25*h2_demand_kt/1000</f>
        <v>8.16</v>
      </c>
      <c r="FT63" s="28">
        <f>IFERROR(FR63*(1+H2_retrieval!$V$34)/Carrier_properties!$U$7+H2_retrieval!$V$38,"")</f>
        <v>9017.1047860796862</v>
      </c>
      <c r="FU63" s="12"/>
      <c r="FV63" s="24">
        <f t="shared" si="90"/>
        <v>2.6703265355726136</v>
      </c>
      <c r="FW63" s="24" t="str">
        <f t="shared" si="57"/>
        <v/>
      </c>
      <c r="FX63" s="24">
        <f t="shared" si="58"/>
        <v>8.483084535493628</v>
      </c>
      <c r="FY63" s="24">
        <f t="shared" si="45"/>
        <v>2.6703265355726136</v>
      </c>
      <c r="FZ63" s="28">
        <f t="shared" si="59"/>
        <v>3357.1995358054442</v>
      </c>
      <c r="GA63" s="28">
        <f t="shared" si="47"/>
        <v>749.6116325648577</v>
      </c>
      <c r="GB63" s="28">
        <f t="shared" si="48"/>
        <v>464.28877754256411</v>
      </c>
      <c r="GC63" s="28">
        <f t="shared" si="49"/>
        <v>836.28100064023863</v>
      </c>
      <c r="GD63" s="28">
        <f t="shared" si="50"/>
        <v>1215.8113467946637</v>
      </c>
      <c r="GE63" s="28">
        <f t="shared" si="51"/>
        <v>2115.7278107980719</v>
      </c>
      <c r="GF63" s="28">
        <f t="shared" si="52"/>
        <v>2226.3964569296268</v>
      </c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12"/>
      <c r="HA63" s="12"/>
      <c r="HB63" s="12"/>
      <c r="HC63" s="12"/>
      <c r="HD63" s="12"/>
      <c r="HE63" s="12"/>
      <c r="HF63" s="12"/>
    </row>
    <row r="64" spans="1:214" x14ac:dyDescent="0.2">
      <c r="A64" s="40" t="s">
        <v>68</v>
      </c>
      <c r="B64" s="12">
        <v>7514</v>
      </c>
      <c r="C64" s="12">
        <v>0.3</v>
      </c>
      <c r="D64" s="12">
        <f t="shared" si="61"/>
        <v>0.7</v>
      </c>
      <c r="E64" s="12" t="s">
        <v>732</v>
      </c>
      <c r="F64" s="12">
        <v>4189</v>
      </c>
      <c r="G64" s="12"/>
      <c r="H64" s="16">
        <f t="shared" si="62"/>
        <v>382.75862068965517</v>
      </c>
      <c r="I64" s="16">
        <v>27560</v>
      </c>
      <c r="J64" s="16">
        <f t="shared" si="31"/>
        <v>93.662268087129263</v>
      </c>
      <c r="K64" s="27">
        <f t="shared" si="32"/>
        <v>112.39472170455511</v>
      </c>
      <c r="L64" s="103">
        <v>0.16</v>
      </c>
      <c r="M64" s="103">
        <f t="shared" si="63"/>
        <v>0.15457144486226576</v>
      </c>
      <c r="N64" s="122">
        <f t="shared" si="33"/>
        <v>0.85</v>
      </c>
      <c r="O64" s="46">
        <f t="shared" si="64"/>
        <v>40</v>
      </c>
      <c r="P64" s="70">
        <f t="array" ref="P64">SUMPRODUCT(IF(Solar_data!A$4:A$777=A64,Solar_data!C$4:C$777),IF(Solar_data!A$4:A$777=A64,Solar_data!I$4:I$777))/SUMIF(Solar_data!A$4:A$777,A64,Solar_data!I$4:I$777)</f>
        <v>2228.710399557755</v>
      </c>
      <c r="Q64" s="16">
        <f t="array" ref="Q64">MAX(IF(Solar_data!$A$777:'Solar_data'!$A$4=Country_details!$A64,Solar_data!$C$4:'Solar_data'!$C$777))</f>
        <v>2281.25</v>
      </c>
      <c r="R64" s="16">
        <f t="array" ref="R64">MIN(IF(Solar_data!$A$777:'Solar_data'!$A$4=Country_details!A64,Solar_data!$C$4:'Solar_data'!$C$777))</f>
        <v>2098.75</v>
      </c>
      <c r="S64" s="24">
        <f t="shared" si="65"/>
        <v>2.5266299843234683</v>
      </c>
      <c r="T64" s="24">
        <f t="shared" si="66"/>
        <v>2.4684390232969475</v>
      </c>
      <c r="U64" s="24">
        <f t="shared" si="67"/>
        <v>2.6830858948879861</v>
      </c>
      <c r="V64" s="16">
        <f t="array" ref="V64">SUM(IF(Solar_data!$A$777:'Solar_data'!$A$4=Country_details!$A64,Solar_data!$I$4:'Solar_data'!$I$777))</f>
        <v>237.01634588488082</v>
      </c>
      <c r="W64" s="148"/>
      <c r="X64" s="16" t="str">
        <f>IFERROR(INDEX(Onshore_wind_data!$J$5:'Onshore_wind_data'!$J$221,MATCH(A64,Onshore_wind_data!$B$5:'Onshore_wind_data'!$B$221,0)),"")</f>
        <v/>
      </c>
      <c r="Y64" s="16" t="str">
        <f>IFERROR(INDEX(Onshore_wind_data!$K$5:'Onshore_wind_data'!$K$221,MATCH(A64,Onshore_wind_data!$B$5:'Onshore_wind_data'!$B$221,0)),"")</f>
        <v/>
      </c>
      <c r="Z64" s="16" t="str">
        <f>IFERROR(INDEX(Onshore_wind_data!$L$5:'Onshore_wind_data'!$L$221,MATCH(A64,Onshore_wind_data!$B$5:'Onshore_wind_data'!$B$221,0)),"")</f>
        <v/>
      </c>
      <c r="AA64" s="24" t="str">
        <f t="shared" si="68"/>
        <v/>
      </c>
      <c r="AB64" s="24" t="str">
        <f t="shared" si="69"/>
        <v/>
      </c>
      <c r="AC64" s="24" t="str">
        <f t="shared" si="70"/>
        <v/>
      </c>
      <c r="AD64" s="16">
        <f>IFERROR(INDEX(Onshore_wind_data!$I$5:'Onshore_wind_data'!$I$221,MATCH(A64,Onshore_wind_data!$B$5:'Onshore_wind_data'!$B$221,0)),"")</f>
        <v>0</v>
      </c>
      <c r="AE64" s="148"/>
      <c r="AF64" s="16">
        <f>INDEX(Offshore_wind_data!$AA$7:$AA$192,MATCH(Country_details!A64,Offshore_wind_data!$A$7:$A$192,0))</f>
        <v>3683.441340782123</v>
      </c>
      <c r="AG64" s="16">
        <f>INDEX(Offshore_wind_data!$Y$7:$Y$192,MATCH(Country_details!A64,Offshore_wind_data!$A$7:$A$192,0))</f>
        <v>4204.8</v>
      </c>
      <c r="AH64" s="16">
        <f>INDEX(Offshore_wind_data!$Z$7:$Z$192,MATCH(Country_details!A64,Offshore_wind_data!$A$7:$A$192,0))</f>
        <v>3504</v>
      </c>
      <c r="AI64" s="24">
        <f t="shared" si="71"/>
        <v>8.5354969366883964</v>
      </c>
      <c r="AJ64" s="24">
        <f t="shared" si="72"/>
        <v>7.4771694921797014</v>
      </c>
      <c r="AK64" s="24">
        <f t="shared" si="73"/>
        <v>8.9726033906156424</v>
      </c>
      <c r="AL64" s="16">
        <f>INDEX(Offshore_wind_data!$W$7:$W$191,MATCH(A64,Offshore_wind_data!$A$7:$A$191,0))</f>
        <v>39.560160000000003</v>
      </c>
      <c r="AM64" s="148"/>
      <c r="AN64" s="12">
        <v>11</v>
      </c>
      <c r="AO64" s="12">
        <v>14</v>
      </c>
      <c r="AP64" s="34">
        <f>0.393*11.63</f>
        <v>4.5705900000000002</v>
      </c>
      <c r="AQ64" s="15">
        <f t="shared" si="74"/>
        <v>50</v>
      </c>
      <c r="AR64" s="12">
        <f t="shared" si="34"/>
        <v>700</v>
      </c>
      <c r="AS64" s="16">
        <f t="shared" si="35"/>
        <v>-423.42349411511918</v>
      </c>
      <c r="AT64" s="12"/>
      <c r="AU64" s="24">
        <f t="shared" si="75"/>
        <v>2.5266299843234683</v>
      </c>
      <c r="AV64" s="16">
        <f t="shared" si="76"/>
        <v>2228.710399557755</v>
      </c>
      <c r="AW64" s="149">
        <f>HV_DC_Grid!$E$3/(1-AX64)*AU64/100*1000</f>
        <v>2984.7491270631863</v>
      </c>
      <c r="AX64" s="31">
        <f>(1-(1-HV_DC_Grid!$E$25)^(B64*C64*HV_DC_Grid!$E$8/1000))+(1-(1-HV_DC_Grid!$E$26)^(B64*D64*HV_DC_Grid!$E$8/1000))+HV_DC_Grid!$E$35*HV_DC_Grid!$E$28</f>
        <v>0.15348664937561418</v>
      </c>
      <c r="AY64" s="28">
        <f>B64*nl_e_demand/IF(hv_dc_flh="electricity FLH",$AV64,hv_dc_custom)*1000*hv_dc_capacity_multiplier*hv_dc_length_multiplier*1000*(C64*hv_dc_overhead_invest*(hv_dc_overhead_opex+M64+1/hv_dc_lifetime)+D64*hv_dc_sea_invest*(hv_dc_sea_opex+M64+1/hv_dc_lifetime))/1000000+HV_DC_Grid!$E$10*1000*hv_dc_station_invest*hv_dc_station_number*(hv_dc_station_opex+M64+1/hv_dc_lifetime)/1000000</f>
        <v>19472.727783844566</v>
      </c>
      <c r="AZ64" s="24">
        <f>(AW64+AY64)/(HV_DC_Grid!$E$3*1000)*100</f>
        <v>22.457476910907754</v>
      </c>
      <c r="BA64" s="28">
        <f>MIN(((Carriers!$F$26+Carriers!$F$27)*(alk_el_opex+wacc_nl+1/alk_el_lifetime)+IF(hv_dc_flh="electricity FLH",$AV64,hv_dc_custom)*AZ64/100)/(IF(hv_dc_flh="electricity FLH",$AV64,hv_dc_custom)/alk_el_e_demand)*1000,((Carriers!$H$26+Carriers!$H$27)*(pem_el_opex+wacc_nl+1/pem_el_lifetime)+IF(hv_dc_flh="electricity FLH",$AV64,hv_dc_custom)*AZ64/100)/(IF(hv_dc_flh="electricity FLH",$AV64,hv_dc_custom)/pem_el_e_demand)*1000)</f>
        <v>11731.769413538119</v>
      </c>
      <c r="BB64" s="12"/>
      <c r="BC64" s="12"/>
      <c r="BD64" s="149">
        <f>MIN(((Carriers!$F$26+Carriers!$F$27)*(alk_el_opex+M64+1/alk_el_lifetime)+$AV64*$AU64/100)/($AV64/alk_el_e_demand)*1000,((Carriers!$H$26+Carriers!$H$27)*(pem_el_opex+M64+1/pem_el_lifetime)+$AV64*$AU64/100)/($AV64/pem_el_e_demand)*1000)</f>
        <v>3055.8158903091444</v>
      </c>
      <c r="BE64" s="28">
        <f>Storage!$AC$50</f>
        <v>8.1664117557772418</v>
      </c>
      <c r="BF64" s="28">
        <f>((Pipeline!$D$22*Pipeline!$D$24*B64*(pipeline_opex+M64+1/pipeline_lifetime))*(Pipeline!$D$39/Pipeline!$D$3)+(Pipeline!$D$57*(pipeline_comp_opex+M64+1/pipeline_comp_lifetime)+Pipeline!$D$47*1000*Pipeline!$D$45*$AU64/100/1000000))*(Pipeline!$D$75/Pipeline!$D$45)</f>
        <v>19489.476809130079</v>
      </c>
      <c r="BG64" s="28">
        <f>BD64+(BE64+BF64)/Storage!$AC$12*1000000</f>
        <v>4489.4661271389868</v>
      </c>
      <c r="BH64" s="28"/>
      <c r="BI64" s="28"/>
      <c r="BJ64" s="28">
        <f>IF($E64="","No Port",BK64*HV_DC_Grid!$E$3*$AU64/100*1000)</f>
        <v>40.863349303565712</v>
      </c>
      <c r="BK64" s="31">
        <f>IFERROR((1-(1-HV_DC_Grid!$E$25)^(K64*HV_DC_Grid!$E$8/1000))+HV_DC_Grid!$E$35*HV_DC_Grid!$E$28,"")</f>
        <v>1.6173064341475904E-2</v>
      </c>
      <c r="BL64" s="28">
        <f>IFERROR(K64*nl_e_demand/IF(hv_dc_flh="electricity FLH",$AV64,hv_dc_custom)*1000*hv_dc_capacity_multiplier*hv_dc_length_multiplier*1000*(hv_dc_overhead_invest*(hv_dc_overhead_opex+M64+1/hv_dc_lifetime))/1000000+HV_DC_Grid!$E$10*1000*hv_dc_station_invest*hv_dc_station_number*(hv_dc_station_opex+M64+1/hv_dc_lifetime)/1000000,"")</f>
        <v>612.96867571926441</v>
      </c>
      <c r="BM64" s="29">
        <f>IFERROR((BJ64+BL64)/(HV_DC_Grid!$E$3*1000)*100,"")</f>
        <v>0.65383202502283011</v>
      </c>
      <c r="BN64" s="28">
        <f>IFERROR(((Pipeline!$D$22*Pipeline!$D$24*K64*(pipeline_opex+M64+1/pipeline_lifetime))*(Pipeline!$D$39/Pipeline!$D$3)+(Pipeline!$D$57*(pipeline_comp_opex+M64+1/pipeline_comp_lifetime)+Pipeline!$D$47*1000*Pipeline!$D$45*S64/100/1000000))*(Pipeline!$D$75/Pipeline!$D$45),"")</f>
        <v>375.59111436473643</v>
      </c>
      <c r="BO64" s="28"/>
      <c r="BP64" s="150">
        <f t="shared" si="77"/>
        <v>127.68218734491195</v>
      </c>
      <c r="BQ64" s="34">
        <f t="shared" si="78"/>
        <v>38.377873361491581</v>
      </c>
      <c r="BR64" s="151">
        <f>(nh3_invest*(M64+1/nh3_lifetime)/nh3_prod+nh3_opex+nh3_e_demand*1000*$AU64/100+Carriers!$N$18/Carriers!$N$23*BD64+Carriers!$N$19/Carriers!$N$23*BQ64)*(BT64+nh3_st_ab_losses)/1000000</f>
        <v>55598.190740682527</v>
      </c>
      <c r="BS64" s="63">
        <f>nh3_st_nl_cost*nh3_st_nl_demand/1000000+(nh3_st_invest*(M64+1/nh3_st_lifetime+nh3_st_opex)/(Storage!$G$63/1000000)+nh3_st_e_demand*1000*$AU64/100)*(BT64+nh3_st_ab_losses)/1000000+Carriers!$N$18/Carriers!$N$23*((BT64+nh3_st_ab_losses)/365.25*short_st_duration_hrs/24)*(h2_short_st_invest*(1/gh2_short_st_lifetime+$M64+h2_short_st_opex)+h2_short_st_e_demand*1000*$AU64/100)/1000000+Carriers!$N$19/Carriers!$N$23*((BT64+nh3_st_ab_losses)/365.25*short_st_duration_hrs/24)*(n2_short_st_invest*(1/n2_short_st_lifetime+$M64+n2_short_st_opex)+n2_short_st_e_demand*1000*$AU64/100)/1000000</f>
        <v>3783.038559163509</v>
      </c>
      <c r="BT64" s="63">
        <f>Storage!$G$57/((1-Shipping!$H$37)^(F64/24/Shipping!$H$44+0.5*Shipping!$H$59))</f>
        <v>78918958.410650387</v>
      </c>
      <c r="BU64" s="63">
        <f>IF($E64="","No Port",((F64/24/Shipping!$H$44+F64/24/Shipping!$H$50+Shipping!$H$59+Shipping!$H$64)*(Shipping!$H$22+wacc_nl*Shipping!$H$19/365.25*1000000+Shipping!$H$35)+(F64/24/Shipping!$H$44*Shipping!$H$45+Shipping!$H$64*Shipping!$H$65)*IF(bunker_choice="HFO",H64,IF(bunker_choice="hydrogen",BD64*hfo_e_density_lhv/h2_e_density_lhv,(BR64+BS64)*1000000/BT64*hfo_e_density_lhv/nh3_e_density_lhv))+(F64/24/Shipping!$H$50*Shipping!$H$51+Shipping!$H$59*Shipping!$H$60)*IF(bunker_choice="HFO",bunker_price_ROT,IF(bunker_choice="hydrogen",BD64*hfo_e_density_lhv/h2_e_density_lhv,(BR64+BS64)*1000000/BT64*hfo_e_density_lhv/nh3_e_density_lhv))+Shipping!$H$73+IF(G64="Panama",Shipping!$H$55,0)+IF(G64="Suez",Shipping!$H$56,0))/Shipping!$H$31*BT64/1000000+IF(inland_transport_to_port="hv dc grid",$BM64/100*1000*BW64,IF(inland_transport_to_port="pipeline",$BN64,0)))</f>
        <v>3277.3586871484586</v>
      </c>
      <c r="BV64" s="63">
        <f t="shared" si="91"/>
        <v>62658.587986994491</v>
      </c>
      <c r="BW64" s="33">
        <f>((Carriers!$N$18/Carriers!$N$23*alk_el_e_demand)+(Carriers!$N$19/Carriers!$N$23*n2_e_demand)+nh3_e_demand)*(BT64+nh3_st_ab_losses)/1000000+nh3_st_e_demand*BT64/1000000</f>
        <v>779.34558714721084</v>
      </c>
      <c r="BX64" s="33">
        <f t="shared" si="79"/>
        <v>0.76626754477640768</v>
      </c>
      <c r="BY64" s="63">
        <f>IFERROR(BV64*1000000/Storage!$G$12,"")</f>
        <v>818.39293520165006</v>
      </c>
      <c r="BZ64" s="63">
        <f>H2_retrieval!$F$25*h2_demand_kt/1000</f>
        <v>80</v>
      </c>
      <c r="CA64" s="63">
        <f>IFERROR(BY64*(1+H2_retrieval!$F$34)/Carrier_properties!$E$7+H2_retrieval!$F$38,"")</f>
        <v>5016.4750963345068</v>
      </c>
      <c r="CB64" s="149">
        <f>(FA_invest*(M64+1/FA_lifetime)/FA_prod+FA_opex+FA_e_demand*1000*$AU64/100+Carriers!$P$18/Carriers!$P$23*BD64+Carriers!$P$20/Carriers!$P$23*co2_liq_cost)*(CF64+FA_st_ab_losses)/1000000</f>
        <v>109808.11177582979</v>
      </c>
      <c r="CC64" s="86">
        <f>(FA_invest*(M64+1/FA_lifetime)/FA_prod+FA_opex+FA_e_demand*1000*$AU64/100+Carriers!$P$18/Carriers!$P$23*BD64+Carriers!$P$20/Carriers!$P$23*BP64)*(CF64+FA_st_ab_losses)/1000000</f>
        <v>140840.20888203845</v>
      </c>
      <c r="CD64" s="63">
        <f>FA_st_nl_cost*FA_st_nl_demand/1000000+(FA_st_invest*(M64+1/FA_st_lifetime+FA_st_opex)/(Storage!$I$63/1000000)+FA_st_e_demand*1000*$AU64/100)*(CF64+FA_st_ab_losses)/1000000+co2_st_nl_cost*Storage!$I$12*co2_density/FA_density/1000000+(co2_st_opex_lev+co2_st_invest_lev+co2_st_e_demand*1000*$AU64/100)*Storage!$I$12/1000000+co2_st_invest_lev*Storage!$I$12*co2_st_lifetime*M64/1000000+Carriers!$P$18/Carriers!$P$23*((CF64+FA_st_ab_losses)/365.25*short_st_duration_hrs/24)*(h2_short_st_invest*(1/gh2_short_st_lifetime+$M64+h2_short_st_opex)+h2_short_st_e_demand*1000*$AU64/100)/1000000+Carriers!$P$20/Carriers!$P$23*((CF64+FA_st_ab_losses)/365.25*short_st_duration_hrs/24)*(co2_short_st_invest*(1/co2_short_st_lifetime+$M64+co2_short_st_opex)+co2_short_st_e_demand*1000*$AU64/100)/1000000</f>
        <v>12683.128808083482</v>
      </c>
      <c r="CE64" s="63">
        <f>FA_st_nl_cost*FA_st_nl_demand/1000000+(FA_st_invest*(M64+1/FA_st_lifetime+FA_st_opex)/(Storage!$I$63/1000000)+FA_st_e_demand*1000*$AU64/100)*(CF64+FA_st_ab_losses)/1000000+Carriers!$P$18/Carriers!$P$23*((CF64+FA_st_ab_losses)/365.25*short_st_duration_hrs/24)*(h2_short_st_invest*(1/gh2_short_st_lifetime+$M64+h2_short_st_opex)+h2_short_st_e_demand*1000*$AU64/100)/1000000+Carriers!$P$20/Carriers!$P$23*((CF64+FA_st_ab_losses)/365.25*short_st_duration_hrs/24)*(co2_short_st_invest*(1/co2_short_st_lifetime+$M64+co2_short_st_opex)+co2_short_st_e_demand*1000*$AU64/100)/1000000</f>
        <v>5614.8799042166502</v>
      </c>
      <c r="CF64" s="63">
        <f>Storage!$I$57/((1-Shipping!$J$37)^($F64/24/Shipping!$J$44+0.5*Shipping!$J$59))</f>
        <v>310425396.82539684</v>
      </c>
      <c r="CG64" s="28">
        <f>IF($E64="","No Port",((F64/24/Shipping!$J$44+F64/24/Shipping!$J$50+Shipping!$J$59+Shipping!$J$64)*(Shipping!$J$22+wacc_nl*Shipping!$J$19/365.25*1000000+Shipping!$J$35)+(F64/24/Shipping!$J$44*Shipping!$J$45+Shipping!$J$64*Shipping!$J$65)*IF(bunker_choice="HFO",$H64,IF(bunker_choice="hydrogen",$BD64*hfo_e_density_lhv/h2_e_density_lhv,(CB64+CD64)*1000000/CF64*hfo_e_density_lhv/FA_e_density_lhv))+(F64/24/Shipping!$J$50*Shipping!$J$51+Shipping!$J$59*Shipping!$J$60)*IF(bunker_choice="HFO",bunker_price_ROT,IF(bunker_choice="hydrogen",$BD64*hfo_e_density_lhv/h2_e_density_lhv,(CB64+CD64)*1000000/CF64*hfo_e_density_lhv/FA_e_density_lhv))+Shipping!$J$73+IF(G64="Panama",Shipping!$J$55,0)+IF(G64="Suez",Shipping!$J$56,0))/Shipping!$J$31*CF64/1000000+IF(inland_transport_to_port="hv dc grid",$BM64/100*1000*CI64,IF(inland_transport_to_port="pipeline",$BN64,0)))</f>
        <v>13093.134906872256</v>
      </c>
      <c r="CH64" s="28">
        <f t="shared" si="36"/>
        <v>159548.22369312737</v>
      </c>
      <c r="CI64" s="29">
        <f>((Carriers!$P$18/Carriers!$P$23*alk_el_e_demand)+FA_e_demand)*(CF64+FA_st_ab_losses)/1000000+FA_st_e_demand*CF64/1000000</f>
        <v>1897.8881241622576</v>
      </c>
      <c r="CJ64" s="29">
        <f t="shared" si="80"/>
        <v>0.46563809523809524</v>
      </c>
      <c r="CK64" s="28">
        <f>IFERROR(CH64*1000000/Storage!$I$12,"")</f>
        <v>513.96640005865095</v>
      </c>
      <c r="CL64" s="28">
        <f>IF($E64="","No Port",((F64/24/Shipping!$J$44+F64/24/Shipping!$J$50+Shipping!$J$59+Shipping!$J$64)*Carriers!$P$39*wacc_nl))</f>
        <v>218.36100817359991</v>
      </c>
      <c r="CM64" s="29">
        <f>H2_retrieval!$H$25*h2_demand_kt/1000+(co2_liq_e_demand+co2_st_e_demand*2)*Storage!$I$12*co2_density/FA_density/1000000</f>
        <v>94.204253879484654</v>
      </c>
      <c r="CN64" s="28">
        <f>IFERROR((((CB64+CD64+CG64)*(1+H2_retrieval!$H$34)+CL64)*1000000/H2_retrieval!$H$8)+h2_regen_fa,"")</f>
        <v>10075.182698572775</v>
      </c>
      <c r="CO64" s="149">
        <f>(meoh_invest*(M64+1/meoh_lifetime)/meoh_prod+meoh_opex+meoh_e_demand*1000*$AU64/100+Carriers!$R$18/Carriers!$R$23*BD64+Carriers!$R$20/Carriers!$R$23*co2_liq_cost)*(CS64+meoh_st_ab_losses)/1000000</f>
        <v>66900.350705634264</v>
      </c>
      <c r="CP64" s="86">
        <f>(meoh_invest*(M64+1/meoh_lifetime)/meoh_prod+meoh_opex+meoh_e_demand*1000*$AU64/100+Carriers!$R$18/Carriers!$R$23*BD64+Carriers!$R$20/Carriers!$R$23*BP64)*(CS64+meoh_st_ab_losses)/1000000</f>
        <v>85117.149724804724</v>
      </c>
      <c r="CQ64" s="63">
        <f>meoh_st_nl_cost*meoh_st_nl_demand/1000000+(meoh_st_invest*(M64+1/meoh_st_lifetime+meoh_st_opex)/(Storage!$K$63/1000000)+meoh_st_e_demand*1000*$AU64/100)*(CS64+meoh_st_ab_losses)/1000000+co2_st_nl_cost*Storage!$K$12*co2_density/meoh_density/1000000+(co2_st_opex_lev+co2_st_invest_lev+co2_st_e_demand*1000*IFERROR(MIN(S64,AA64,AI64),S64)/100)*Storage!$K$12/1000000+co2_st_invest_lev*Storage!$K$12*co2_st_lifetime*M64/1000000+Carriers!$R$18/Carriers!$R$23*((CS64+meoh_st_ab_losses)/365.25*short_st_duration_hrs/24)*(h2_short_st_invest*(1/gh2_short_st_lifetime+$M64+h2_short_st_opex)+h2_short_st_e_demand*1000*$AU64/100)/1000000+Carriers!$R$20/Carriers!$R$23*((CF64+meoh_st_ab_losses)/365.25*short_st_duration_hrs/24)*(co2_short_st_invest*(1/co2_short_st_lifetime+$M64+co2_short_st_opex)+co2_short_st_e_demand*1000*$AU64/100)/1000000</f>
        <v>5305.1593394271868</v>
      </c>
      <c r="CR64" s="63">
        <f>meoh_st_nl_cost*meoh_st_nl_demand/1000000+(meoh_st_invest*(M64+1/meoh_st_lifetime+meoh_st_opex)/(Storage!$K$63/1000000)+meoh_st_e_demand*1000*$AU64/100)*(CS64+meoh_st_ab_losses)/1000000+Carriers!$R$18/Carriers!$R$23*((CS64+meoh_st_ab_losses)/365.25*short_st_duration_hrs/24)*(h2_short_st_invest*(1/gh2_short_st_lifetime+$M64+h2_short_st_opex)+h2_short_st_e_demand*1000*$AU64/100)/1000000+Carriers!$R$20/Carriers!$R$23*((CF64+meoh_st_ab_losses)/365.25*short_st_duration_hrs/24)*(co2_short_st_invest*(1/co2_short_st_lifetime+$M64+co2_short_st_opex)+co2_short_st_e_demand*1000*$AU64/100)/1000000</f>
        <v>2246.0377175461954</v>
      </c>
      <c r="CS64" s="63">
        <f>Storage!$K$57/((1-Shipping!$L$37)^($F64/24/Shipping!$L$44+0.5*Shipping!$L$59))</f>
        <v>108044444.44444443</v>
      </c>
      <c r="CT64" s="28">
        <f>IF($E64="","No Port",IF(AND(ship_choice="VLCC",G64="Panama"),"Ship cannot pass through Panama",IF(ship_choice="VLCC",((F64/24/Shipping!$AD$44+F64/24/Shipping!$AD$50+Shipping!$AD$59+Shipping!$AD$64)*(Shipping!$AD$22+wacc_nl*Shipping!$AD$19/365.25*1000000+Shipping!$AD$35)+(F64/24/Shipping!$AD$44*Shipping!$AD$45+Shipping!$AD$64*Shipping!$AD$65)*IF(bunker_choice="HFO",$H64,IF(bunker_choice="hydrogen",$BD64*hfo_e_density_lhv/h2_e_density_lhv,(CO64+CQ64)*1000000/CS64*hfo_e_density_lhv/meoh_e_density_lhv))+(F64/24/Shipping!$AD$50*Shipping!$AD$51+Shipping!$AD$59*Shipping!$AD$60)*IF(bunker_choice="HFO",bunker_price_ROT,IF(bunker_choice="hydrogen",$BD64*hfo_e_density_lhv/h2_e_density_lhv,(CO64+CQ64)*1000000/CS64*hfo_e_density_lhv/meoh_e_density_lhv))+Shipping!$AD$73+IF(G64="Panama",Shipping!$AD$55,0)+IF(G64="Suez",Shipping!$AD$56,0))/Shipping!$AD$31*CS64/1000000+IF(inland_transport_to_port="hv dc grid",$BM64/100*1000*CV64,IF(inland_transport_to_port="pipeline",$BN64,0)),((F64/24/Shipping!$L$44+F64/24/Shipping!$L$50+Shipping!$L$59+Shipping!$L$64)*(Shipping!$L$22+wacc_nl*Shipping!$L$19/365.25*1000000+Shipping!$L$35)+(F64/24/Shipping!$L$44*Shipping!$L$45+Shipping!$L$64*Shipping!$L$65)*IF(bunker_choice="HFO",$H64,IF(bunker_choice="hydrogen",$BD64*hfo_e_density_lhv/h2_e_density_lhv,(CO64+CQ64)*1000000/CS64*hfo_e_density_lhv/meoh_e_density_lhv))+(F64/24/Shipping!$L$50*Shipping!$L$51+Shipping!$L$59*Shipping!$L$60)*IF(bunker_choice="HFO",bunker_price_ROT,IF(bunker_choice="hydrogen",$BD64*hfo_e_density_lhv/h2_e_density_lhv,(CO64+CQ64)*1000000/CS64*hfo_e_density_lhv/meoh_e_density_lhv))+Shipping!$L$73+IF(G64="Panama",Shipping!$L$55,0)+IF(G64="Suez",Shipping!$L$56,0))/Shipping!$L$31*CS64/1000000+IF(inland_transport_to_port="hv dc grid",$BM64/100*1000*CV64,IF(inland_transport_to_port="pipeline",$BN64,0)))))</f>
        <v>4542.5184914378997</v>
      </c>
      <c r="CU64" s="28">
        <f t="shared" si="37"/>
        <v>91905.70593378882</v>
      </c>
      <c r="CV64" s="29">
        <f>((Carriers!$R$18/Carriers!$R$23*alk_el_e_demand)+meoh_e_demand)*(CS64+meoh_st_ab_losses)/1000000+meoh_st_e_demand*CS64/1000000</f>
        <v>1119.9789871111109</v>
      </c>
      <c r="CW64" s="29">
        <f t="shared" si="81"/>
        <v>0.16206666666666666</v>
      </c>
      <c r="CX64" s="28">
        <f>IFERROR(CU64*1000000/Storage!$K$12,"")</f>
        <v>850.62870568089204</v>
      </c>
      <c r="CY64" s="28">
        <f>IF($E64="","No Port",((F64/24/Shipping!$L$44+F64/24/Shipping!$L$50+Shipping!$L$59+Shipping!$L$64)*Carriers!$R$39*wacc_nl))</f>
        <v>78.08472399352199</v>
      </c>
      <c r="CZ64" s="29">
        <f>H2_retrieval!$J$25*h2_demand_kt/1000+(co2_liq_e_demand+co2_st_e_demand*2)*Storage!$K$12*co2_density/meoh_density/1000000</f>
        <v>251.05079059698966</v>
      </c>
      <c r="DA64" s="28">
        <f>IFERROR((((CO64+CQ64+CT64)*(1+H2_retrieval!$J$34)+CY64)*1000000/H2_retrieval!$J$8)+h2_regen_meoh,"")</f>
        <v>6819.1074594088286</v>
      </c>
      <c r="DB64" s="149">
        <f>(DBT_invest*(M64+1/DBT_lifetime)/DBT_prod+DBT_opex+DBT_e_demand*1000*$AU64/100+Carriers!$T$18/Carriers!$T$23*BD64)*(DD64+DBT_st_ab_losses)/1000000</f>
        <v>45140.071825926658</v>
      </c>
      <c r="DC64" s="28">
        <f>2*(DBT_st_nl_cost*DBT_st_nl_demand/1000000+(DBT_st_invest*(M64+1/DBT_st_lifetime+DBT_st_opex)/(Storage!$M$63/1000000)+DBT_st_e_demand*1000*$AU64/100)*(DD64+DBT_st_ab_losses)/1000000)+Carriers!$T$18/Carriers!$T$23*((DD64+DBT_st_ab_losses)/365.25*short_st_duration_hrs/24)*(h2_short_st_invest*(1/gh2_short_st_lifetime+$M64+h2_short_st_opex)+h2_short_st_e_demand*1000*$AU64/100)/1000000</f>
        <v>4561.4786910319208</v>
      </c>
      <c r="DD64" s="63">
        <f>Storage!$M$57/((1-Shipping!$N$37)^($F64/24/Shipping!$N$44+0.5*Shipping!$N$59))</f>
        <v>219354838.70967743</v>
      </c>
      <c r="DE64" s="28">
        <f>IF($E64="","No Port",IF(AND(ship_choice="VLCC",G64="Panama"),"Ship cannot pass through Panama",IF(ship_choice="VLCC",((F64/24/Shipping!$AD$44+F64/24/Shipping!$AD$50+Shipping!$AD$59+Shipping!$AD$64)*(Shipping!$AD$22+wacc_nl*Shipping!$AD$19/365.25*1000000+Shipping!$AD$35)+(F64/24/Shipping!$AD$44*Shipping!$AD$45+Shipping!$AD$64*Shipping!$AD$65)*IF(bunker_choice="HFO",$H64,IF(bunker_choice="hydrogen",$BD64*hfo_e_density_lhv/h2_e_density_lhv,(DB64+DC64)*1000000/DD64*hfo_e_density_lhv/DBT_e_density_lhv))+(F64/24/Shipping!$AD$50*Shipping!$AD$51+Shipping!$AD$59*Shipping!$AD$60)*IF(bunker_choice="HFO",bunker_price_ROT,IF(bunker_choice="hydrogen",$BD64*hfo_e_density_lhv/h2_e_density_lhv,(DB64+DC64)*1000000/DD64*hfo_e_density_lhv/DBT_e_density_lhv))+Shipping!$AD$73+IF(G64="Panama",Shipping!$AD$55,0)+IF(G64="Suez",Shipping!$AD$56,0))/Shipping!$AD$31*DD64/1000000+IF(inland_transport_to_port="hv dc grid",$BM64/100*1000*DG64,IF(inland_transport_to_port="pipeline",$BN64,0)),((F64/24/Shipping!$N$44+F64/24/Shipping!$N$50+Shipping!$N$59+Shipping!$N$64)*(Shipping!$N$22+wacc_nl*Shipping!$N$19/365.25*1000000+Shipping!$N$35)+(F64/24/Shipping!$N$44*Shipping!$N$45+Shipping!$N$64*Shipping!$N$65)*IF(bunker_choice="HFO",$H64,IF(bunker_choice="hydrogen",$BD64*hfo_e_density_lhv/h2_e_density_lhv,(DB64+DC64)*1000000/DD64*hfo_e_density_lhv/DBT_e_density_lhv))+(F64/24/Shipping!$N$50*Shipping!$N$51+Shipping!$N$59*Shipping!$N$60)*IF(bunker_choice="HFO",bunker_price_ROT,IF(bunker_choice="hydrogen",$BD64*hfo_e_density_lhv/h2_e_density_lhv,(DB64+DC64)*1000000/DD64*hfo_e_density_lhv/DBT_e_density_lhv))+Shipping!$N$73+IF(G64="Panama",Shipping!$N$55,0)+IF(G64="Suez",Shipping!$N$56,0))/Shipping!$N$31*Shipping!$N$86/1000000+IF(inland_transport_to_port="hv dc grid",$BM64/100*1000*DG64,IF(inland_transport_to_port="pipeline",$BN64,0)))))</f>
        <v>8225.948508434858</v>
      </c>
      <c r="DF64" s="28">
        <f t="shared" si="82"/>
        <v>57927.499025393437</v>
      </c>
      <c r="DG64" s="29">
        <f>((Carriers!$T$18/Carriers!$T$23*alk_el_e_demand)+DBT_e_demand)*(DD64+DBT_st_ab_losses)/1000000+DBT_st_e_demand*DD64/1000000</f>
        <v>703.88335483870969</v>
      </c>
      <c r="DH64" s="29">
        <f t="shared" si="83"/>
        <v>0.21935483870967742</v>
      </c>
      <c r="DI64" s="28">
        <f>IFERROR(DF64*1000000/Storage!$M$12,"")</f>
        <v>264.0812455569407</v>
      </c>
      <c r="DJ64" s="28">
        <f>IF($E64="","No Port",((F64/24/Shipping!$N$44+F64/24/Shipping!$N$50+Shipping!$N$59+Shipping!$N$64)*Carriers!$T$39*wacc_nl))</f>
        <v>5687.1670052405416</v>
      </c>
      <c r="DK64" s="100">
        <f>H2_retrieval!$L$25*h2_demand_kt/1000+(co2_liq_e_demand+co2_st_e_demand*2)*Storage!$M$12*co2_density/DBT_density/1000000</f>
        <v>206.61934861671787</v>
      </c>
      <c r="DL64" s="28">
        <f>IFERROR(((DF64*(1+H2_retrieval!$L$34)+DJ64)*1000000/H2_retrieval!$L$8)+h2_regen_lohc,"")</f>
        <v>5148.1987534795289</v>
      </c>
      <c r="DM64" s="149">
        <f t="shared" si="84"/>
        <v>52546.23215295202</v>
      </c>
      <c r="DN64" s="16">
        <f>2*(nabh4_st_nl_cost*nabh4_st_nl_demand/1000000+(nabh4_st_invest*(M64+1/nabh4_st_lifetime+nabh4_st_opex)/(Storage!$O$63/1000000)+nabh4_st_e_demand*1000*$AU64/100)*(DO64+nabh4_st_ab_losses)/1000000)+(h2_demand_kt*1000/365.25*short_st_duration_hrs/24)*(h2_short_st_invest*(1/gh2_short_st_lifetime+$M64+h2_short_st_opex)+h2_short_st_e_demand*1000*$AU64/100)/1000000</f>
        <v>1525.8295047291961</v>
      </c>
      <c r="DO64" s="63">
        <f>Storage!$O$57/((1-Shipping!$P$37)^($F64/24/Shipping!$P$44+0.5*Shipping!$P$59))</f>
        <v>63920000</v>
      </c>
      <c r="DP64" s="16">
        <f>IF($E64="","No Port",((F64/24/Shipping!$P$44+F64/24/Shipping!$P$50+Shipping!$P$59+Shipping!$P$64)*(Shipping!$P$22+wacc_nl*Shipping!$P$19/365.25*1000000+Shipping!$P$35)+(F64/24/Shipping!$P$44*Shipping!$P$45+Shipping!$P$64*Shipping!$P$65)*IF(bunker_choice="HFO",$H64,IF(bunker_choice="hydrogen",$BD64*hfo_e_density_lhv/h2_e_density_lhv,(DM64+DN64)*1000000/DO64*hfo_e_density_lhv/nabh4_e_density_lhv))+(F64/24/Shipping!$P$50*Shipping!$P$51+Shipping!$P$59*Shipping!$P$60)*IF(bunker_choice="HFO",bunker_price_ROT,IF(bunker_choice="hydrogen",$BD64*hfo_e_density_lhv/h2_e_density_lhv,(DM64+DN64)*1000000/DO64*hfo_e_density_lhv/nabh4_e_density_lhv))+Shipping!$P$73+IF(G64="Panama",Shipping!$P$55,0)+IF(G64="Suez",Shipping!$P$56,0))/Shipping!$P$31*(DO64+nabh4_st_ab_losses)/1000000+IF(inland_transport_to_port="hv dc grid",$BM64/100*1000*DR64,IF(inland_transport_to_port="pipeline",$BN64,0)))</f>
        <v>2384.9407539016288</v>
      </c>
      <c r="DQ64" s="28">
        <f t="shared" si="60"/>
        <v>56457.002411582849</v>
      </c>
      <c r="DR64" s="29">
        <f>((Carriers!$V$18/Carriers!$V$23*alk_el_e_demand)+nabh4_e_demand)*(DO64+nabh4_st_ab_losses)/1000000+nabh4_st_e_demand*DO64/1000000</f>
        <v>980.02139682539689</v>
      </c>
      <c r="DS64" s="28">
        <f t="shared" si="85"/>
        <v>3.1960000000000002</v>
      </c>
      <c r="DT64" s="28">
        <f>IFERROR(DQ64*1000000/Storage!$O$12,"")</f>
        <v>883.24471857920605</v>
      </c>
      <c r="DU64" s="28">
        <f>IF($E64="","No Port",((F64/24/Shipping!$P$44+F64/24/Shipping!$P$50+Shipping!$P$59+Shipping!$P$64)*Carriers!$V$39*wacc_nl))</f>
        <v>531.52512249060965</v>
      </c>
      <c r="DV64" s="100">
        <f>H2_retrieval!$N$25*h2_demand_kt/1000+(co2_liq_e_demand+co2_st_e_demand*2)*Storage!$O$12*co2_density/nabh4_density/1000000</f>
        <v>18.783638728971958</v>
      </c>
      <c r="DW64" s="28">
        <f>IFERROR(((DQ64*(1+H2_retrieval!$N$34)+DU64)*1000000/H2_retrieval!$N$8)+h2_regen_nabh4,"")</f>
        <v>4280.232120914251</v>
      </c>
      <c r="DX64" s="149">
        <f>(Dme_invest*(M64+1/Dme_lifetime)/Dme_prod+Dme_opex+Dme_e_demand*1000*$AU64/100+Carriers!$X$21/Carriers!$X$23*(CO64*1000000/CS64))*(EB64+Dme_st_ab_losses)/1000000</f>
        <v>94201.481216478525</v>
      </c>
      <c r="DY64" s="86">
        <f>(Dme_invest*(M64+1/Dme_lifetime)/Dme_prod+Dme_opex+Dme_e_demand*1000*$AU64/100+Carriers!$X$21/Carriers!$X$23*(CP64*1000000/CS64))*(EB64+Dme_st_ab_losses)/1000000</f>
        <v>118915.55685894648</v>
      </c>
      <c r="DZ64" s="63">
        <f>Dme_st_nl_cost*Dme_st_nl_demand/1000000+(Dme_st_invest*(M64+1/Dme_st_lifetime+Dme_st_opex)/(Storage!$Q$63/1000000)+Dme_st_e_demand*1000*$AU64/100)*(EB64+Dme_st_ab_losses)/1000000+co2_st_nl_cost*Storage!$Q$12*co2_density/Dme_density/1000000+(co2_st_opex_lev+co2_st_invest_lev+co2_st_e_demand*1000*$AU64/100)*Storage!$Q$12/1000000+co2_st_invest_lev*Storage!$Q$12*co2_st_lifetime*M64/1000000+(h2_demand_kt*1000/365.25*short_st_duration_hrs/24)*(h2_short_st_invest*(1/gh2_short_st_lifetime+$M64+h2_short_st_opex)+h2_short_st_e_demand*1000*$AU64/100)/1000000</f>
        <v>6381.7045130389106</v>
      </c>
      <c r="EA64" s="63">
        <f>Dme_st_nl_cost*Dme_st_nl_demand/1000000+(Dme_st_invest*(M64+1/Dme_st_lifetime+Dme_st_opex)/(Storage!$Q$63/1000000)+Dme_st_e_demand*1000*$AU64/100)*(EB64+Dme_st_ab_losses)/1000000+(h2_demand_kt*1000/365.25*short_st_duration_hrs/24)*(h2_short_st_invest*(1/gh2_short_st_lifetime+$M64+h2_short_st_opex)+h2_short_st_e_demand*1000*$AU64/100)/1000000</f>
        <v>3323.0182610312399</v>
      </c>
      <c r="EB64" s="63">
        <f>Storage!$Q$57/((1-Shipping!$R$37)^($F64/24/Shipping!$R$44+0.5*Shipping!$R$59))</f>
        <v>103547089.94708996</v>
      </c>
      <c r="EC64" s="153">
        <f>IF($E64="","No Port",IF(AND(ship_choice="VLCC",G64="Panama"),"Ship cannot pass through Panama",IF(ship_choice="VLCC",((F64/24/Shipping!$AD$44+F64/24/Shipping!$AD$50+Shipping!$AD$59+Shipping!$AD$64)*(Shipping!$AD$22+wacc_nl*Shipping!$AD$19/365.25*1000000+Shipping!$AD$35)+(F64/24/Shipping!$AD$44*Shipping!$AD$45+Shipping!$AD$64*Shipping!$AD$65)*IF(bunker_choice="HFO",$H64,IF(bunker_choice="hydrogen",$BD64*hfo_e_density_lhv/h2_e_density_lhv,(DX64+DZ64)*1000000/EB64*hfo_e_density_lhv/Dme_e_density_lhv))+(F64/24/Shipping!$AD$50*Shipping!$AD$51+Shipping!$AD$59*Shipping!$AD$60)*IF(bunker_choice="HFO",bunker_price_ROT,IF(bunker_choice="hydrogen",$BD64*hfo_e_density_lhv/h2_e_density_lhv,(DX64+DZ64)*1000000/EB64*hfo_e_density_lhv/Dme_e_density_lhv))+Shipping!$AD$73+IF(G64="Panama",Shipping!$AD$55,0)+IF(G64="Suez",Shipping!$AD$56,0))/Shipping!$AD$31*(EB64+Dme_st_ab_losses)/1000000+IF(inland_transport_to_port="hv dc grid",$BM64/100*1000*EE64,IF(inland_transport_to_port="pipeline",$BN64,0)),((F64/24/Shipping!$R$44+F64/24/Shipping!$R$50+Shipping!$R$59+Shipping!$R$64)*(Shipping!$R$22+wacc_nl*Shipping!$R$19/365.25*1000000+Shipping!$R$35)+(F64/24/Shipping!$R$44*Shipping!$R$45+Shipping!$R$64*Shipping!$R$65)*IF(bunker_choice="HFO",$H64,IF(bunker_choice="hydrogen",$BD64*hfo_e_density_lhv/h2_e_density_lhv,(DX64+DZ64)*1000000/EB64*hfo_e_density_lhv/Dme_e_density_lhv))+(F64/24/Shipping!$R$50*Shipping!$R$51+Shipping!$R$59*Shipping!$R$60)*IF(bunker_choice="HFO",bunker_price_ROT,IF(bunker_choice="hydrogen",$BD64*hfo_e_density_lhv/h2_e_density_lhv,(DX64+DZ64)*1000000/EB64*hfo_e_density_lhv/Dme_e_density_lhv))+Shipping!$R$73+IF(G64="Panama",Shipping!$R$55,0)+IF(G64="Suez",Shipping!$R$56,0))/Shipping!$R$31*(EB64+Dme_st_ab_losses)/1000000+IF(inland_transport_to_port="hv dc grid",$BM64/100*1000*EE64,IF(inland_transport_to_port="pipeline",$BN64,0)))))</f>
        <v>4569.8724425481942</v>
      </c>
      <c r="ED64" s="28">
        <f t="shared" si="39"/>
        <v>126808.44756252591</v>
      </c>
      <c r="EE64" s="29">
        <f>(Dme_e_demand)*(EB64+Dme_st_ab_losses)/1000000+Dme_st_e_demand*DZ64/1000000+$CV64*(Carriers!$X$21/Carriers!$X$23*EB64)/$CS64</f>
        <v>1550.216823984101</v>
      </c>
      <c r="EF64" s="29">
        <f t="shared" si="86"/>
        <v>1.0354708994708997</v>
      </c>
      <c r="EG64" s="28">
        <f>IFERROR(ED64*1000000/Storage!$Q$12,"")</f>
        <v>1224.6452085454255</v>
      </c>
      <c r="EH64" s="28">
        <f>IF($E64="","No Port",((F64/24/Shipping!$R$44+F64/24/Shipping!$R$50+Shipping!$R$59+Shipping!$R$64)*Carriers!$X$39*wacc_nl))</f>
        <v>80.79913227092689</v>
      </c>
      <c r="EI64" s="100">
        <f>H2_retrieval!$P$25*h2_demand_kt/1000+(co2_liq_e_demand+co2_st_e_demand*2)*Storage!$Q$12*co2_density/Dme_density/1000000</f>
        <v>252.45335899349112</v>
      </c>
      <c r="EJ64" s="28">
        <f>IFERROR((((DX64+DZ64+EC64)*(1+H2_retrieval!$P$34)+EH64)*1000000/H2_retrieval!$P$8)+h2_regen_dme,"")</f>
        <v>8907.9121685149803</v>
      </c>
      <c r="EK64" s="149">
        <f>(ome_invest*(M64+1/ome_lifetime)/ome_prod+ome_opex+ome_e_demand*1000*$AU64/100+Carriers!$Z$21/Carriers!$Z$23*(CO64*1000000/CS64))*(EO64+ome_st_ab_losses)/1000000</f>
        <v>205071.83861241082</v>
      </c>
      <c r="EL64" s="86">
        <f>(ome_invest*(M64+1/ome_lifetime)/ome_prod+ome_opex+ome_e_demand*1000*$AU64/100+Carriers!$Z$21/Carriers!$Z$23*(CP64*1000000/CS64))*(EO64+ome_st_ab_losses)/1000000</f>
        <v>256951.49430288258</v>
      </c>
      <c r="EM64" s="63">
        <f>ome_st_nl_cost*ome_st_nl_demand/1000000+(ome_st_invest*(M64+1/ome_st_lifetime+ome_st_opex)/(Storage!$S$63/1000000)+ome_st_e_demand*1000*$AU64/100)*(EO64+ome_st_ab_losses)/1000000+co2_st_nl_cost*Storage!$S$12*co2_density/ome_density/1000000+(co2_st_opex_lev+co2_st_invest_lev+co2_st_e_demand*1000*$AU64/100)*Storage!$S$12/1000000+co2_st_invest_lev*Storage!$S$12*co2_st_lifetime*M64/1000000+(h2_demand_kt*1000/365.25*short_st_duration_hrs/24)*(h2_short_st_invest*(1/gh2_short_st_lifetime+$M64+h2_short_st_opex)+h2_short_st_e_demand*1000*$AU64/100)/1000000</f>
        <v>5462.0053426446611</v>
      </c>
      <c r="EN64" s="63">
        <f>ome_st_nl_cost*ome_st_nl_demand/1000000+(ome_st_invest*(M64+1/ome_st_lifetime+ome_st_opex)/(Storage!$S$63/1000000)+ome_st_e_demand*1000*$AU64/100)*(EO64+ome_st_ab_losses)/1000000+(h2_demand_kt*1000/365.25*short_st_duration_hrs/24)*(h2_short_st_invest*(1/gh2_short_st_lifetime+$M64+h2_short_st_opex)+h2_short_st_e_demand*1000*$AU64/100)/1000000</f>
        <v>2011.6243859179167</v>
      </c>
      <c r="EO64" s="63">
        <f>Storage!$S$57/((1-Shipping!$T$37)^($F64/24/Shipping!$T$44+0.5*Shipping!$T$59))</f>
        <v>128282539.68253967</v>
      </c>
      <c r="EP64" s="28">
        <f>IF($E64="","No Port",IF(AND(ship_choice="VLCC",G64="Panama"),"Ship cannot pass through Panama",IF(ship_choice="VLCC",((F64/24/Shipping!$AD$44+F64/24/Shipping!$AD$50+Shipping!$AD$59+Shipping!$AD$64)*(Shipping!$AD$22+wacc_nl*Shipping!$AD$19/365.25*1000000+Shipping!$AD$35)+(F64/24/Shipping!$AD$44*Shipping!$AD$45+Shipping!$AD$64*Shipping!$AD$65)*IF(bunker_choice="HFO",$H64,IF(bunker_choice="hydrogen",$BD64*hfo_e_density_lhv/h2_e_density_lhv,(EK64+EM64)*1000000/EO64*hfo_e_density_lhv/Dme_e_density_lhv))+(F64/24/Shipping!$AD$50*Shipping!$AD$51+Shipping!$AD$59*Shipping!$AD$60)*IF(bunker_choice="HFO",bunker_price_ROT,IF(bunker_choice="hydrogen",$BD64*hfo_e_density_lhv/h2_e_density_lhv,(EK64+EM64)*1000000/EO64*hfo_e_density_lhv/ome_e_density_lhv))+Shipping!$AD$73+IF(G64="Panama",Shipping!$AD$55,0)+IF(G64="Suez",Shipping!$AD$56,0))/Shipping!$AD$31*(EO64+ome_st_ab_losses)/1000000+IF(inland_transport_to_port="hv dc grid",$BM64/100*1000*ER64,IF(inland_transport_to_port="pipeline",$BN64,0)),((F64/24/Shipping!$T$44+F64/24/Shipping!$T$50+Shipping!$T$59+Shipping!$T$64)*(Shipping!$T$22+wacc_nl*Shipping!$T$19/365.25*1000000+Shipping!$T$35)+(F64/24/Shipping!$T$44*Shipping!$T$45+Shipping!$T$64*Shipping!$T$65)*IF(bunker_choice="HFO",$H64,IF(bunker_choice="hydrogen",$BD64*hfo_e_density_lhv/h2_e_density_lhv,(EK64+EM64)*1000000/EO64*hfo_e_density_lhv/Dme_e_density_lhv))+(F64/24/Shipping!$T$50*Shipping!$T$51+Shipping!$T$59*Shipping!$T$60)*IF(bunker_choice="HFO",bunker_price_ROT,IF(bunker_choice="hydrogen",$BD64*hfo_e_density_lhv/h2_e_density_lhv,(EK64+EM64)*1000000/EO64*hfo_e_density_lhv/ome_e_density_lhv))+Shipping!$T$73+IF(G64="Panama",Shipping!$T$55,0)+IF(G64="Suez",Shipping!$T$56,0))/Shipping!$T$31*(EO64+ome_st_ab_losses)/1000000+IF(inland_transport_to_port="hv dc grid",$BM64/100*1000*ER64,IF(inland_transport_to_port="pipeline",$BN64,0)))))</f>
        <v>5051.686683482455</v>
      </c>
      <c r="EQ64" s="28">
        <f t="shared" si="40"/>
        <v>264014.80537228292</v>
      </c>
      <c r="ER64" s="29">
        <f>(ome_e_demand)*(EO64+ome_st_ab_losses)/1000000+ome_st_e_demand*EM64/1000000+$CV64*(Carriers!$Z$21/Carriers!$Z$23*EO64)/$CS64</f>
        <v>3352.0814583337915</v>
      </c>
      <c r="ES64" s="29">
        <f t="shared" si="87"/>
        <v>0.1924238095238095</v>
      </c>
      <c r="ET64" s="28">
        <f>IFERROR(EQ64*1000000/Storage!$S$12,"")</f>
        <v>2058.0727979477128</v>
      </c>
      <c r="EU64" s="28">
        <f>IF($E64="","No Port",((F64/24/Shipping!$T$44+F64/24/Shipping!$T$50+Shipping!$T$59+Shipping!$T$64)*Carriers!$Z$39*wacc_nl))</f>
        <v>92.710983482818065</v>
      </c>
      <c r="EV64" s="100">
        <f>H2_retrieval!$R$25*h2_demand_kt/1000+(co2_liq_e_demand+co2_st_e_demand*2)*Storage!$S$12*co2_density/ome_density/1000000</f>
        <v>254.51942895252085</v>
      </c>
      <c r="EW64" s="28">
        <f>IFERROR((((EK64+EM64+EP64)*(1+H2_retrieval!$R$34)+EU64)*1000000/H2_retrieval!$R$8)+h2_regen_ome,"")</f>
        <v>17028.822780109407</v>
      </c>
      <c r="EX64" s="149">
        <f>(sng_invest*(M64+1/sng_lifetime)/sng_prod+lng_invest*(M64+1/lng_lifetime)/lng_prod+sng_opex+lng_opex+(sng_e_demand+lng_e_demand)*1000*$AU64/100+Carriers!$AB$18/Carriers!$AB$23*BD64+Carriers!$AB$20/Carriers!$AB$23*co2_liq_cost)*(FB64+lng_st_ab_losses)/1000000</f>
        <v>73184.257995266278</v>
      </c>
      <c r="EY64" s="86">
        <f>(sng_invest*(M64+1/sng_lifetime)/sng_prod+lng_invest*(M64+1/lng_lifetime)/lng_prod+sng_opex+lng_opex+(sng_e_demand+lng_e_demand)*1000*$AU64/100+Carriers!$AB$18/Carriers!$AB$23*BD64+Carriers!$AB$20/Carriers!$AB$23*BP64)*(FB64+lng_st_ab_losses)/1000000</f>
        <v>86837.101239401789</v>
      </c>
      <c r="EZ64" s="63">
        <f>lng_st_nl_cost*lng_st_nl_demand/1000000+(lng_st_invest*(M64+1/lng_st_lifetime+lng_st_opex)/(Storage!$U$63/1000000)+lng_st_e_demand*1000*$AU64/100)*(FB64+lng_st_ab_losses)/1000000+co2_st_nl_cost*Storage!$U$12*co2_density/lng_density/1000000+(co2_st_opex_lev+co2_st_invest_lev+co2_st_e_demand*1000*$AU64/100)*Storage!$U$12/1000000+co2_st_invest_lev*Storage!$U$12*co2_st_lifetime*M64/1000000+Carriers!$AB$18/Carriers!$AB$23*((FB64+lng_st_ab_losses)/365.25*short_st_duration_hrs/24)*(h2_short_st_invest*(1/gh2_short_st_lifetime+$M64+h2_short_st_opex)+h2_short_st_e_demand*1000*$AU64/100)/1000000+Carriers!$AB$20/Carriers!$AB$23*((FB64+lng_st_ab_losses)/365.25*short_st_duration_hrs/24)*(co2_short_st_invest*(1/co2_short_st_lifetime+$M64+co2_short_st_opex)+co2_short_st_e_demand*1000*$AU64/100)/1000000</f>
        <v>6845.4814127861755</v>
      </c>
      <c r="FA64" s="63">
        <f>lng_st_nl_cost*lng_st_nl_demand/1000000+(lng_st_invest*(M64+1/lng_st_lifetime+lng_st_opex)/(Storage!$U$63/1000000)+lng_st_e_demand*1000*$AU64/100)*(FB64+lng_st_ab_losses)/1000000+Carriers!$AB$18/Carriers!$AB$23*((FB64+lng_st_ab_losses)/365.25*short_st_duration_hrs/24)*(h2_short_st_invest*(1/gh2_short_st_lifetime+$M64+h2_short_st_opex)+h2_short_st_e_demand*1000*$AU64/100)/1000000+Carriers!$AB$20/Carriers!$AB$23*((FB64+lng_st_ab_losses)/365.25*short_st_duration_hrs/24)*(co2_short_st_invest*(1/co2_short_st_lifetime+$M64+co2_short_st_opex)+co2_short_st_e_demand*1000*$AU64/100)/1000000</f>
        <v>5208.9751060280078</v>
      </c>
      <c r="FB64" s="63">
        <f>Storage!$U$57/((1-Shipping!$V$37)^($F64/24/Shipping!$V$44+0.5*Shipping!$V$59))</f>
        <v>41259521.092709064</v>
      </c>
      <c r="FC64" s="28">
        <f>IF($E64="","No Port",IF(G64="Panama","Ship cannot pass through Panama",((F64/24/Shipping!$V$44+F64/24/Shipping!$V$50+Shipping!$V$59+Shipping!$V$64)*(Shipping!$V$22+wacc_nl*Shipping!$V$19/365.25*1000000+Shipping!$V$35)+(F64/24/Shipping!$V$44*Shipping!$V$45+Shipping!$V$64*Shipping!$V$65)*IF(bunker_choice="HFO",$H64,IF(bunker_choice="hydrogen",$BD64*hfo_e_density_lhv/h2_e_density_lhv,(EX64+EZ64)*1000000/FB64*hfo_e_density_lhv/lng_e_density_lhv))+(F64/24/Shipping!$V$50*Shipping!$V$51+Shipping!$V$59*Shipping!$V$60)*IF(bunker_choice="HFO",bunker_price_ROT,IF(bunker_choice="hydrogen",$BD64*hfo_e_density_lhv/h2_e_density_lhv,(EX64+EZ64)*1000000/FB64*hfo_e_density_lhv/lng_e_density_lhv))+Shipping!$V$73+IF(G64="Panama",Shipping!$V$55,0)+IF(G64="Suez",Shipping!$V$56,0))/Shipping!$V$31*(FB64+lng_st_ab_losses)/1000000)+IF(inland_transport_to_port="hv dc grid",$BM64/100*1000*FE64,IF(inland_transport_to_port="pipeline",$BN64,0)))</f>
        <v>1935.8837922699845</v>
      </c>
      <c r="FD64" s="28">
        <f t="shared" si="41"/>
        <v>93981.960137699789</v>
      </c>
      <c r="FE64" s="29">
        <f>((Carriers!$AB$18/Carriers!$AB$23*alk_el_e_demand)+sng_e_demand+lng_e_demand)*(FB64+lng_st_ab_losses)/1000000+lng_st_e_demand*EZ64/1000000</f>
        <v>1106.547072508906</v>
      </c>
      <c r="FF64" s="29">
        <f t="shared" si="88"/>
        <v>0.8126185861001558</v>
      </c>
      <c r="FG64" s="28">
        <f>IFERROR(FD64*1000000/Storage!$U$12,"")</f>
        <v>2315.7319652202309</v>
      </c>
      <c r="FH64" s="28">
        <f>IF($E64="","No Port",((F64/24/Shipping!$V$44+F64/24/Shipping!$V$50+Shipping!$V$59+Shipping!$V$64)*Carriers!$AB$39*wacc_nl))</f>
        <v>27.416129620576402</v>
      </c>
      <c r="FI64" s="100">
        <f>H2_retrieval!$T$25*h2_demand_kt/1000+(co2_liq_e_demand+co2_st_e_demand*2)*Storage!$U$12*co2_density/lng_density/1000000</f>
        <v>236.51371749646054</v>
      </c>
      <c r="FJ64" s="28">
        <f>IFERROR((((EX64+EZ64+FC64)*(1+H2_retrieval!$T$34)+FH64)*1000000/H2_retrieval!$T$8)+h2_regen_lng,"")</f>
        <v>7199.0284939272196</v>
      </c>
      <c r="FK64" s="149">
        <f>(lh2_invest*(M64+1/lh2_lifetime)/lh2_prod+lh2_opex+lh2_e_demand*1000*$AU64/100+Carriers!$AD$18/Carriers!$AD$23*BD64)*(FM64+lh2_st_ab_losses)/1000000</f>
        <v>57857.900090519433</v>
      </c>
      <c r="FL64" s="28">
        <f>lh2_st_nl_cost*lh2_st_nl_demand/1000000+(lh2_st_invest*(M64+1/lh2_st_lifetime+lh2_st_opex)/(Storage!$Y$63/1000000)+lh2_st_e_demand*1000*$AU64/100)*(FM64+lh2_st_ab_losses)/1000000+((FM64+lh2_st_ab_losses)/365.25*short_st_duration_hrs/24)*(h2_short_st_invest*(1/gh2_short_st_lifetime+$M64+h2_short_st_opex)+h2_short_st_e_demand*1000*$AU64/100)/1000000</f>
        <v>60053.97106857739</v>
      </c>
      <c r="FM64" s="63">
        <f>Storage!$Y$57/((1-Shipping!$Z$37)^($F64/24/Shipping!$Z$44+0.5*Shipping!$Z$59))</f>
        <v>13957829.711849622</v>
      </c>
      <c r="FN64" s="28">
        <f>IF($E64="","No Port",IF(G64="Panama","Ship cannot pass through Panama",((F64/24/Shipping!$Z$44+F64/24/Shipping!$Z$50+Shipping!$Z$59+Shipping!$Z$64)*(Shipping!$Z$22+wacc_nl*Shipping!$Z$19/365.25*1000000+Shipping!$Z$35)+(F64/24/Shipping!$Z$44*Shipping!$Z$45+Shipping!$Z$64*Shipping!$Z$65)*IF(bunker_choice="HFO",$H64,IF(bunker_choice="hydrogen",$BD64*hfo_e_density_lhv/h2_e_density_lhv,(FK64+FL64)*1000000/FM64*hfo_e_density_lhv/lh2_e_density_lhv))+(F64/24/Shipping!$Z$50*Shipping!$Z$51+Shipping!$Z$59*Shipping!$Z$60)*IF(bunker_choice="HFO",bunker_price_ROT,IF(bunker_choice="hydrogen",$BD64*hfo_e_density_lhv/h2_e_density_lhv,(FK64+FL64)*1000000/FM64*hfo_e_density_lhv/lh2_e_density_lhv))+Shipping!$Z$73+IF(G64="Panama",Shipping!$Z$55,0)+IF(G64="Suez",Shipping!$Z$56,0))/Shipping!$Z$31*(FM64+lh2_st_ab_losses)/1000000)+IF(inland_transport_to_port="hv dc grid",$BM64/100*1000*FP64,IF(inland_transport_to_port="pipeline",$BN64,0)))</f>
        <v>3169.6809088585901</v>
      </c>
      <c r="FO64" s="28">
        <f t="shared" si="42"/>
        <v>121081.55206795542</v>
      </c>
      <c r="FP64" s="29">
        <f>((Carriers!$AD$18/Carriers!$AD$23*alk_el_e_demand)+lh2_e_demand)*(FM64+lh2_st_ab_losses)/1000000+lh2_st_e_demand*FM64/1000000</f>
        <v>808.83865857474143</v>
      </c>
      <c r="FQ64" s="100">
        <f t="shared" si="89"/>
        <v>1.361902463475859</v>
      </c>
      <c r="FR64" s="28">
        <f>IFERROR(FO64*1000000/Storage!$Y$12,"")</f>
        <v>8903.0552991143686</v>
      </c>
      <c r="FS64" s="100">
        <f>H2_retrieval!$V$25*h2_demand_kt/1000</f>
        <v>8.16</v>
      </c>
      <c r="FT64" s="28">
        <f>IFERROR(FR64*(1+H2_retrieval!$V$34)/Carrier_properties!$U$7+H2_retrieval!$V$38,"")</f>
        <v>8935.0240249828366</v>
      </c>
      <c r="FU64" s="12"/>
      <c r="FV64" s="24">
        <f t="shared" si="90"/>
        <v>2.5266299843234683</v>
      </c>
      <c r="FW64" s="24" t="str">
        <f t="shared" si="57"/>
        <v/>
      </c>
      <c r="FX64" s="24">
        <f t="shared" si="58"/>
        <v>8.5354969366883964</v>
      </c>
      <c r="FY64" s="24">
        <f t="shared" si="45"/>
        <v>2.5266299843234683</v>
      </c>
      <c r="FZ64" s="28">
        <f t="shared" si="59"/>
        <v>3055.8158903091444</v>
      </c>
      <c r="GA64" s="28">
        <f t="shared" si="47"/>
        <v>704.49726986233713</v>
      </c>
      <c r="GB64" s="28">
        <f t="shared" si="48"/>
        <v>453.70066470835832</v>
      </c>
      <c r="GC64" s="28">
        <f t="shared" si="49"/>
        <v>787.79756018433011</v>
      </c>
      <c r="GD64" s="28">
        <f t="shared" si="50"/>
        <v>1148.4200755396355</v>
      </c>
      <c r="GE64" s="28">
        <f t="shared" si="51"/>
        <v>2003.0122177091246</v>
      </c>
      <c r="GF64" s="28">
        <f t="shared" si="52"/>
        <v>2104.6560633673157</v>
      </c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</row>
    <row r="65" spans="1:214" x14ac:dyDescent="0.2">
      <c r="A65" s="40" t="s">
        <v>69</v>
      </c>
      <c r="B65" s="12">
        <v>8782</v>
      </c>
      <c r="C65" s="12">
        <v>0</v>
      </c>
      <c r="D65" s="12">
        <f t="shared" si="61"/>
        <v>1</v>
      </c>
      <c r="E65" s="12" t="s">
        <v>733</v>
      </c>
      <c r="F65" s="12">
        <v>4856</v>
      </c>
      <c r="G65" s="12"/>
      <c r="H65" s="16">
        <f t="shared" si="62"/>
        <v>382.75862068965517</v>
      </c>
      <c r="I65" s="16">
        <v>111890</v>
      </c>
      <c r="J65" s="16">
        <f t="shared" si="31"/>
        <v>188.72120486342902</v>
      </c>
      <c r="K65" s="27">
        <f t="shared" si="32"/>
        <v>226.46544583611481</v>
      </c>
      <c r="L65" s="103">
        <v>0.159</v>
      </c>
      <c r="M65" s="103">
        <f t="shared" si="63"/>
        <v>0.15386433808107919</v>
      </c>
      <c r="N65" s="122">
        <f t="shared" si="33"/>
        <v>0.85</v>
      </c>
      <c r="O65" s="46">
        <f t="shared" si="64"/>
        <v>40</v>
      </c>
      <c r="P65" s="70">
        <f t="array" ref="P65">SUMPRODUCT(IF(Solar_data!A$4:A$777=A65,Solar_data!C$4:C$777),IF(Solar_data!A$4:A$777=A65,Solar_data!I$4:I$777))/SUMIF(Solar_data!A$4:A$777,A65,Solar_data!I$4:I$777)</f>
        <v>1912.7906276520014</v>
      </c>
      <c r="Q65" s="16">
        <f t="array" ref="Q65">MAX(IF(Solar_data!$A$777:'Solar_data'!$A$4=Country_details!$A65,Solar_data!$C$4:'Solar_data'!$C$777))</f>
        <v>2281.25</v>
      </c>
      <c r="R65" s="16">
        <f t="array" ref="R65">MIN(IF(Solar_data!$A$777:'Solar_data'!$A$4=Country_details!A65,Solar_data!$C$4:'Solar_data'!$C$777))</f>
        <v>1733.75</v>
      </c>
      <c r="S65" s="24">
        <f t="shared" si="65"/>
        <v>2.9332337468871437</v>
      </c>
      <c r="T65" s="24">
        <f t="shared" si="66"/>
        <v>2.4594682826337717</v>
      </c>
      <c r="U65" s="24">
        <f t="shared" si="67"/>
        <v>3.2361424771496998</v>
      </c>
      <c r="V65" s="16">
        <f t="array" ref="V65">SUM(IF(Solar_data!$A$777:'Solar_data'!$A$4=Country_details!$A65,Solar_data!$I$4:'Solar_data'!$I$777))</f>
        <v>822.671391020084</v>
      </c>
      <c r="W65" s="148"/>
      <c r="X65" s="16">
        <f>IFERROR(INDEX(Onshore_wind_data!$J$5:'Onshore_wind_data'!$J$221,MATCH(A65,Onshore_wind_data!$B$5:'Onshore_wind_data'!$B$221,0)),"")</f>
        <v>3142.4453681710215</v>
      </c>
      <c r="Y65" s="16">
        <f>IFERROR(INDEX(Onshore_wind_data!$K$5:'Onshore_wind_data'!$K$221,MATCH(A65,Onshore_wind_data!$B$5:'Onshore_wind_data'!$B$221,0)),"")</f>
        <v>3971</v>
      </c>
      <c r="Z65" s="16">
        <f>IFERROR(INDEX(Onshore_wind_data!$L$5:'Onshore_wind_data'!$L$221,MATCH(A65,Onshore_wind_data!$B$5:'Onshore_wind_data'!$B$221,0)),"")</f>
        <v>2847.5</v>
      </c>
      <c r="AA65" s="24">
        <f t="shared" si="68"/>
        <v>5.3016138658323309</v>
      </c>
      <c r="AB65" s="24">
        <f t="shared" si="69"/>
        <v>4.1954248140307406</v>
      </c>
      <c r="AC65" s="24">
        <f t="shared" si="70"/>
        <v>5.8507574842901038</v>
      </c>
      <c r="AD65" s="16">
        <f>IFERROR(INDEX(Onshore_wind_data!$I$5:'Onshore_wind_data'!$I$221,MATCH(A65,Onshore_wind_data!$B$5:'Onshore_wind_data'!$B$221,0)),"")</f>
        <v>79.378169999999997</v>
      </c>
      <c r="AE65" s="148"/>
      <c r="AF65" s="16">
        <f>INDEX(Offshore_wind_data!$AA$7:$AA$192,MATCH(Country_details!A65,Offshore_wind_data!$A$7:$A$192,0))</f>
        <v>3836.3169684915738</v>
      </c>
      <c r="AG65" s="16">
        <f>INDEX(Offshore_wind_data!$Y$7:$Y$192,MATCH(Country_details!A65,Offshore_wind_data!$A$7:$A$192,0))</f>
        <v>4204.8</v>
      </c>
      <c r="AH65" s="16">
        <f>INDEX(Offshore_wind_data!$Z$7:$Z$192,MATCH(Country_details!A65,Offshore_wind_data!$A$7:$A$192,0))</f>
        <v>3504</v>
      </c>
      <c r="AI65" s="24">
        <f t="shared" si="71"/>
        <v>8.1695562667946753</v>
      </c>
      <c r="AJ65" s="24">
        <f t="shared" si="72"/>
        <v>7.4536261727908784</v>
      </c>
      <c r="AK65" s="24">
        <f t="shared" si="73"/>
        <v>8.9443514073490533</v>
      </c>
      <c r="AL65" s="16">
        <f>INDEX(Offshore_wind_data!$W$7:$W$191,MATCH(A65,Offshore_wind_data!$A$7:$A$191,0))</f>
        <v>1465.9334400000002</v>
      </c>
      <c r="AM65" s="148"/>
      <c r="AN65" s="12">
        <v>9.3000000000000007</v>
      </c>
      <c r="AO65" s="12">
        <v>13.2</v>
      </c>
      <c r="AP65" s="34">
        <f>0.662*11.63</f>
        <v>7.6990600000000011</v>
      </c>
      <c r="AQ65" s="15">
        <f t="shared" si="74"/>
        <v>50</v>
      </c>
      <c r="AR65" s="12">
        <f t="shared" si="34"/>
        <v>660</v>
      </c>
      <c r="AS65" s="16">
        <f t="shared" si="35"/>
        <v>1707.983001020084</v>
      </c>
      <c r="AT65" s="12"/>
      <c r="AU65" s="24">
        <f t="shared" si="75"/>
        <v>4.4054706792474017</v>
      </c>
      <c r="AV65" s="16">
        <f t="shared" si="76"/>
        <v>5055.2359958230227</v>
      </c>
      <c r="AW65" s="149">
        <f>HV_DC_Grid!$E$3/(1-AX65)*AU65/100*1000</f>
        <v>5309.8208966767024</v>
      </c>
      <c r="AX65" s="31">
        <f>(1-(1-HV_DC_Grid!$E$25)^(B65*C65*HV_DC_Grid!$E$8/1000))+(1-(1-HV_DC_Grid!$E$26)^(B65*D65*HV_DC_Grid!$E$8/1000))+HV_DC_Grid!$E$35*HV_DC_Grid!$E$28</f>
        <v>0.17031652009116038</v>
      </c>
      <c r="AY65" s="28">
        <f>B65*nl_e_demand/IF(hv_dc_flh="electricity FLH",$AV65,hv_dc_custom)*1000*hv_dc_capacity_multiplier*hv_dc_length_multiplier*1000*(C65*hv_dc_overhead_invest*(hv_dc_overhead_opex+M65+1/hv_dc_lifetime)+D65*hv_dc_sea_invest*(hv_dc_sea_opex+M65+1/hv_dc_lifetime))/1000000+HV_DC_Grid!$E$10*1000*hv_dc_station_invest*hv_dc_station_number*(hv_dc_station_opex+M65+1/hv_dc_lifetime)/1000000</f>
        <v>28299.009512227505</v>
      </c>
      <c r="AZ65" s="24">
        <f>(AW65+AY65)/(HV_DC_Grid!$E$3*1000)*100</f>
        <v>33.608830408904204</v>
      </c>
      <c r="BA65" s="28">
        <f>MIN(((Carriers!$F$26+Carriers!$F$27)*(alk_el_opex+wacc_nl+1/alk_el_lifetime)+IF(hv_dc_flh="electricity FLH",$AV65,hv_dc_custom)*AZ65/100)/(IF(hv_dc_flh="electricity FLH",$AV65,hv_dc_custom)/alk_el_e_demand)*1000,((Carriers!$H$26+Carriers!$H$27)*(pem_el_opex+wacc_nl+1/pem_el_lifetime)+IF(hv_dc_flh="electricity FLH",$AV65,hv_dc_custom)*AZ65/100)/(IF(hv_dc_flh="electricity FLH",$AV65,hv_dc_custom)/pem_el_e_demand)*1000)</f>
        <v>17289.603996939546</v>
      </c>
      <c r="BB65" s="12"/>
      <c r="BC65" s="12"/>
      <c r="BD65" s="149">
        <f>MIN(((Carriers!$F$26+Carriers!$F$27)*(alk_el_opex+M65+1/alk_el_lifetime)+$AV65*$AU65/100)/($AV65/alk_el_e_demand)*1000,((Carriers!$H$26+Carriers!$H$27)*(pem_el_opex+M65+1/pem_el_lifetime)+$AV65*$AU65/100)/($AV65/pem_el_e_demand)*1000)</f>
        <v>3035.5775736707665</v>
      </c>
      <c r="BE65" s="28">
        <f>Storage!$AC$50</f>
        <v>8.1664117557772418</v>
      </c>
      <c r="BF65" s="28">
        <f>((Pipeline!$D$22*Pipeline!$D$24*B65*(pipeline_opex+M65+1/pipeline_lifetime))*(Pipeline!$D$39/Pipeline!$D$3)+(Pipeline!$D$57*(pipeline_comp_opex+M65+1/pipeline_comp_lifetime)+Pipeline!$D$47*1000*Pipeline!$D$45*$AU65/100/1000000))*(Pipeline!$D$75/Pipeline!$D$45)</f>
        <v>22742.753031802498</v>
      </c>
      <c r="BG65" s="28">
        <f>BD65+(BE65+BF65)/Storage!$AC$12*1000000</f>
        <v>4708.4392974618168</v>
      </c>
      <c r="BH65" s="28"/>
      <c r="BI65" s="28"/>
      <c r="BJ65" s="28">
        <f>IF($E65="","No Port",BK65*HV_DC_Grid!$E$3*$AU65/100*1000)</f>
        <v>80.944816785249174</v>
      </c>
      <c r="BK65" s="31">
        <f>IFERROR((1-(1-HV_DC_Grid!$E$25)^(K65*HV_DC_Grid!$E$8/1000))+HV_DC_Grid!$E$35*HV_DC_Grid!$E$28,"")</f>
        <v>1.837370457748165E-2</v>
      </c>
      <c r="BL65" s="28">
        <f>IFERROR(K65*nl_e_demand/IF(hv_dc_flh="electricity FLH",$AV65,hv_dc_custom)*1000*hv_dc_capacity_multiplier*hv_dc_length_multiplier*1000*(hv_dc_overhead_invest*(hv_dc_overhead_opex+M65+1/hv_dc_lifetime))/1000000+HV_DC_Grid!$E$10*1000*hv_dc_station_invest*hv_dc_station_number*(hv_dc_station_opex+M65+1/hv_dc_lifetime)/1000000,"")</f>
        <v>724.43403419172148</v>
      </c>
      <c r="BM65" s="29">
        <f>IFERROR((BJ65+BL65)/(HV_DC_Grid!$E$3*1000)*100,"")</f>
        <v>0.80537885097697071</v>
      </c>
      <c r="BN65" s="28">
        <f>IFERROR(((Pipeline!$D$22*Pipeline!$D$24*K65*(pipeline_opex+M65+1/pipeline_lifetime))*(Pipeline!$D$39/Pipeline!$D$3)+(Pipeline!$D$57*(pipeline_comp_opex+M65+1/pipeline_comp_lifetime)+Pipeline!$D$47*1000*Pipeline!$D$45*S65/100/1000000))*(Pipeline!$D$75/Pipeline!$D$45),"")</f>
        <v>679.46362932254772</v>
      </c>
      <c r="BO65" s="28"/>
      <c r="BP65" s="150">
        <f t="shared" si="77"/>
        <v>137.66225777640031</v>
      </c>
      <c r="BQ65" s="34">
        <f t="shared" si="78"/>
        <v>40.29940460160558</v>
      </c>
      <c r="BR65" s="151">
        <f>(nh3_invest*(M65+1/nh3_lifetime)/nh3_prod+nh3_opex+nh3_e_demand*1000*$AU65/100+Carriers!$N$18/Carriers!$N$23*BD65+Carriers!$N$19/Carriers!$N$23*BQ65)*(BT65+nh3_st_ab_losses)/1000000</f>
        <v>56602.033529613436</v>
      </c>
      <c r="BS65" s="63">
        <f>nh3_st_nl_cost*nh3_st_nl_demand/1000000+(nh3_st_invest*(M65+1/nh3_st_lifetime+nh3_st_opex)/(Storage!$G$63/1000000)+nh3_st_e_demand*1000*$AU65/100)*(BT65+nh3_st_ab_losses)/1000000+Carriers!$N$18/Carriers!$N$23*((BT65+nh3_st_ab_losses)/365.25*short_st_duration_hrs/24)*(h2_short_st_invest*(1/gh2_short_st_lifetime+$M65+h2_short_st_opex)+h2_short_st_e_demand*1000*$AU65/100)/1000000+Carriers!$N$19/Carriers!$N$23*((BT65+nh3_st_ab_losses)/365.25*short_st_duration_hrs/24)*(n2_short_st_invest*(1/n2_short_st_lifetime+$M65+n2_short_st_opex)+n2_short_st_e_demand*1000*$AU65/100)/1000000</f>
        <v>3800.4891667770994</v>
      </c>
      <c r="BT65" s="63">
        <f>Storage!$G$57/((1-Shipping!$H$37)^(F65/24/Shipping!$H$44+0.5*Shipping!$H$59))</f>
        <v>79252309.801606894</v>
      </c>
      <c r="BU65" s="63">
        <f>IF($E65="","No Port",((F65/24/Shipping!$H$44+F65/24/Shipping!$H$50+Shipping!$H$59+Shipping!$H$64)*(Shipping!$H$22+wacc_nl*Shipping!$H$19/365.25*1000000+Shipping!$H$35)+(F65/24/Shipping!$H$44*Shipping!$H$45+Shipping!$H$64*Shipping!$H$65)*IF(bunker_choice="HFO",H65,IF(bunker_choice="hydrogen",BD65*hfo_e_density_lhv/h2_e_density_lhv,(BR65+BS65)*1000000/BT65*hfo_e_density_lhv/nh3_e_density_lhv))+(F65/24/Shipping!$H$50*Shipping!$H$51+Shipping!$H$59*Shipping!$H$60)*IF(bunker_choice="HFO",bunker_price_ROT,IF(bunker_choice="hydrogen",BD65*hfo_e_density_lhv/h2_e_density_lhv,(BR65+BS65)*1000000/BT65*hfo_e_density_lhv/nh3_e_density_lhv))+Shipping!$H$73+IF(G65="Panama",Shipping!$H$55,0)+IF(G65="Suez",Shipping!$H$56,0))/Shipping!$H$31*BT65/1000000+IF(inland_transport_to_port="hv dc grid",$BM65/100*1000*BW65,IF(inland_transport_to_port="pipeline",$BN65,0)))</f>
        <v>3975.6438995172489</v>
      </c>
      <c r="BV65" s="63">
        <f t="shared" si="91"/>
        <v>64378.166595907787</v>
      </c>
      <c r="BW65" s="33">
        <f>((Carriers!$N$18/Carriers!$N$23*alk_el_e_demand)+(Carriers!$N$19/Carriers!$N$23*n2_e_demand)+nh3_e_demand)*(BT65+nh3_st_ab_losses)/1000000+nh3_st_e_demand*BT65/1000000</f>
        <v>782.63486421602465</v>
      </c>
      <c r="BX65" s="33">
        <f t="shared" si="79"/>
        <v>0.76626754477640768</v>
      </c>
      <c r="BY65" s="63">
        <f>IFERROR(BV65*1000000/Storage!$G$12,"")</f>
        <v>840.85260162998748</v>
      </c>
      <c r="BZ65" s="63">
        <f>H2_retrieval!$F$25*h2_demand_kt/1000</f>
        <v>80</v>
      </c>
      <c r="CA65" s="63">
        <f>IFERROR(BY65*(1+H2_retrieval!$F$34)/Carrier_properties!$E$7+H2_retrieval!$F$38,"")</f>
        <v>5142.9146999310724</v>
      </c>
      <c r="CB65" s="149">
        <f>(FA_invest*(M65+1/FA_lifetime)/FA_prod+FA_opex+FA_e_demand*1000*$AU65/100+Carriers!$P$18/Carriers!$P$23*BD65+Carriers!$P$20/Carriers!$P$23*co2_liq_cost)*(CF65+FA_st_ab_losses)/1000000</f>
        <v>127281.37728689688</v>
      </c>
      <c r="CC65" s="86">
        <f>(FA_invest*(M65+1/FA_lifetime)/FA_prod+FA_opex+FA_e_demand*1000*$AU65/100+Carriers!$P$18/Carriers!$P$23*BD65+Carriers!$P$20/Carriers!$P$23*BP65)*(CF65+FA_st_ab_losses)/1000000</f>
        <v>160885.07276011934</v>
      </c>
      <c r="CD65" s="63">
        <f>FA_st_nl_cost*FA_st_nl_demand/1000000+(FA_st_invest*(M65+1/FA_st_lifetime+FA_st_opex)/(Storage!$I$63/1000000)+FA_st_e_demand*1000*$AU65/100)*(CF65+FA_st_ab_losses)/1000000+co2_st_nl_cost*Storage!$I$12*co2_density/FA_density/1000000+(co2_st_opex_lev+co2_st_invest_lev+co2_st_e_demand*1000*$AU65/100)*Storage!$I$12/1000000+co2_st_invest_lev*Storage!$I$12*co2_st_lifetime*M65/1000000+Carriers!$P$18/Carriers!$P$23*((CF65+FA_st_ab_losses)/365.25*short_st_duration_hrs/24)*(h2_short_st_invest*(1/gh2_short_st_lifetime+$M65+h2_short_st_opex)+h2_short_st_e_demand*1000*$AU65/100)/1000000+Carriers!$P$20/Carriers!$P$23*((CF65+FA_st_ab_losses)/365.25*short_st_duration_hrs/24)*(co2_short_st_invest*(1/co2_short_st_lifetime+$M65+co2_short_st_opex)+co2_short_st_e_demand*1000*$AU65/100)/1000000</f>
        <v>13252.811993902995</v>
      </c>
      <c r="CE65" s="63">
        <f>FA_st_nl_cost*FA_st_nl_demand/1000000+(FA_st_invest*(M65+1/FA_st_lifetime+FA_st_opex)/(Storage!$I$63/1000000)+FA_st_e_demand*1000*$AU65/100)*(CF65+FA_st_ab_losses)/1000000+Carriers!$P$18/Carriers!$P$23*((CF65+FA_st_ab_losses)/365.25*short_st_duration_hrs/24)*(h2_short_st_invest*(1/gh2_short_st_lifetime+$M65+h2_short_st_opex)+h2_short_st_e_demand*1000*$AU65/100)/1000000+Carriers!$P$20/Carriers!$P$23*((CF65+FA_st_ab_losses)/365.25*short_st_duration_hrs/24)*(co2_short_st_invest*(1/co2_short_st_lifetime+$M65+co2_short_st_opex)+co2_short_st_e_demand*1000*$AU65/100)/1000000</f>
        <v>5611.616634280268</v>
      </c>
      <c r="CF65" s="63">
        <f>Storage!$I$57/((1-Shipping!$J$37)^($F65/24/Shipping!$J$44+0.5*Shipping!$J$59))</f>
        <v>310425396.82539684</v>
      </c>
      <c r="CG65" s="28">
        <f>IF($E65="","No Port",((F65/24/Shipping!$J$44+F65/24/Shipping!$J$50+Shipping!$J$59+Shipping!$J$64)*(Shipping!$J$22+wacc_nl*Shipping!$J$19/365.25*1000000+Shipping!$J$35)+(F65/24/Shipping!$J$44*Shipping!$J$45+Shipping!$J$64*Shipping!$J$65)*IF(bunker_choice="HFO",$H65,IF(bunker_choice="hydrogen",$BD65*hfo_e_density_lhv/h2_e_density_lhv,(CB65+CD65)*1000000/CF65*hfo_e_density_lhv/FA_e_density_lhv))+(F65/24/Shipping!$J$50*Shipping!$J$51+Shipping!$J$59*Shipping!$J$60)*IF(bunker_choice="HFO",bunker_price_ROT,IF(bunker_choice="hydrogen",$BD65*hfo_e_density_lhv/h2_e_density_lhv,(CB65+CD65)*1000000/CF65*hfo_e_density_lhv/FA_e_density_lhv))+Shipping!$J$73+IF(G65="Panama",Shipping!$J$55,0)+IF(G65="Suez",Shipping!$J$56,0))/Shipping!$J$31*CF65/1000000+IF(inland_transport_to_port="hv dc grid",$BM65/100*1000*CI65,IF(inland_transport_to_port="pipeline",$BN65,0)))</f>
        <v>15094.693784294794</v>
      </c>
      <c r="CH65" s="28">
        <f t="shared" si="36"/>
        <v>181591.38317869441</v>
      </c>
      <c r="CI65" s="29">
        <f>((Carriers!$P$18/Carriers!$P$23*alk_el_e_demand)+FA_e_demand)*(CF65+FA_st_ab_losses)/1000000+FA_st_e_demand*CF65/1000000</f>
        <v>1897.8881241622576</v>
      </c>
      <c r="CJ65" s="29">
        <f t="shared" si="80"/>
        <v>0.46563809523809524</v>
      </c>
      <c r="CK65" s="28">
        <f>IFERROR(CH65*1000000/Storage!$I$12,"")</f>
        <v>584.97592347714078</v>
      </c>
      <c r="CL65" s="28">
        <f>IF($E65="","No Port",((F65/24/Shipping!$J$44+F65/24/Shipping!$J$50+Shipping!$J$59+Shipping!$J$64)*Carriers!$P$39*wacc_nl))</f>
        <v>246.00321588887624</v>
      </c>
      <c r="CM65" s="29">
        <f>H2_retrieval!$H$25*h2_demand_kt/1000+(co2_liq_e_demand+co2_st_e_demand*2)*Storage!$I$12*co2_density/FA_density/1000000</f>
        <v>94.204253879484654</v>
      </c>
      <c r="CN65" s="28">
        <f>IFERROR((((CB65+CD65+CG65)*(1+H2_retrieval!$H$34)+CL65)*1000000/H2_retrieval!$H$8)+h2_regen_fa,"")</f>
        <v>11551.0760648981</v>
      </c>
      <c r="CO65" s="149">
        <f>(meoh_invest*(M65+1/meoh_lifetime)/meoh_prod+meoh_opex+meoh_e_demand*1000*$AU65/100+Carriers!$R$18/Carriers!$R$23*BD65+Carriers!$R$20/Carriers!$R$23*co2_liq_cost)*(CS65+meoh_st_ab_losses)/1000000</f>
        <v>67389.134341646859</v>
      </c>
      <c r="CP65" s="86">
        <f>(meoh_invest*(M65+1/meoh_lifetime)/meoh_prod+meoh_opex+meoh_e_demand*1000*$AU65/100+Carriers!$R$18/Carriers!$R$23*BD65+Carriers!$R$20/Carriers!$R$23*BP65)*(CS65+meoh_st_ab_losses)/1000000</f>
        <v>87115.540992218535</v>
      </c>
      <c r="CQ65" s="63">
        <f>meoh_st_nl_cost*meoh_st_nl_demand/1000000+(meoh_st_invest*(M65+1/meoh_st_lifetime+meoh_st_opex)/(Storage!$K$63/1000000)+meoh_st_e_demand*1000*$AU65/100)*(CS65+meoh_st_ab_losses)/1000000+co2_st_nl_cost*Storage!$K$12*co2_density/meoh_density/1000000+(co2_st_opex_lev+co2_st_invest_lev+co2_st_e_demand*1000*IFERROR(MIN(S65,AA65,AI65),S65)/100)*Storage!$K$12/1000000+co2_st_invest_lev*Storage!$K$12*co2_st_lifetime*M65/1000000+Carriers!$R$18/Carriers!$R$23*((CS65+meoh_st_ab_losses)/365.25*short_st_duration_hrs/24)*(h2_short_st_invest*(1/gh2_short_st_lifetime+$M65+h2_short_st_opex)+h2_short_st_e_demand*1000*$AU65/100)/1000000+Carriers!$R$20/Carriers!$R$23*((CF65+meoh_st_ab_losses)/365.25*short_st_duration_hrs/24)*(co2_short_st_invest*(1/co2_short_st_lifetime+$M65+co2_short_st_opex)+co2_short_st_e_demand*1000*$AU65/100)/1000000</f>
        <v>5343.6126595715887</v>
      </c>
      <c r="CR65" s="63">
        <f>meoh_st_nl_cost*meoh_st_nl_demand/1000000+(meoh_st_invest*(M65+1/meoh_st_lifetime+meoh_st_opex)/(Storage!$K$63/1000000)+meoh_st_e_demand*1000*$AU65/100)*(CS65+meoh_st_ab_losses)/1000000+Carriers!$R$18/Carriers!$R$23*((CS65+meoh_st_ab_losses)/365.25*short_st_duration_hrs/24)*(h2_short_st_invest*(1/gh2_short_st_lifetime+$M65+h2_short_st_opex)+h2_short_st_e_demand*1000*$AU65/100)/1000000+Carriers!$R$20/Carriers!$R$23*((CF65+meoh_st_ab_losses)/365.25*short_st_duration_hrs/24)*(co2_short_st_invest*(1/co2_short_st_lifetime+$M65+co2_short_st_opex)+co2_short_st_e_demand*1000*$AU65/100)/1000000</f>
        <v>2244.1424116374801</v>
      </c>
      <c r="CS65" s="63">
        <f>Storage!$K$57/((1-Shipping!$L$37)^($F65/24/Shipping!$L$44+0.5*Shipping!$L$59))</f>
        <v>108044444.44444443</v>
      </c>
      <c r="CT65" s="28">
        <f>IF($E65="","No Port",IF(AND(ship_choice="VLCC",G65="Panama"),"Ship cannot pass through Panama",IF(ship_choice="VLCC",((F65/24/Shipping!$AD$44+F65/24/Shipping!$AD$50+Shipping!$AD$59+Shipping!$AD$64)*(Shipping!$AD$22+wacc_nl*Shipping!$AD$19/365.25*1000000+Shipping!$AD$35)+(F65/24/Shipping!$AD$44*Shipping!$AD$45+Shipping!$AD$64*Shipping!$AD$65)*IF(bunker_choice="HFO",$H65,IF(bunker_choice="hydrogen",$BD65*hfo_e_density_lhv/h2_e_density_lhv,(CO65+CQ65)*1000000/CS65*hfo_e_density_lhv/meoh_e_density_lhv))+(F65/24/Shipping!$AD$50*Shipping!$AD$51+Shipping!$AD$59*Shipping!$AD$60)*IF(bunker_choice="HFO",bunker_price_ROT,IF(bunker_choice="hydrogen",$BD65*hfo_e_density_lhv/h2_e_density_lhv,(CO65+CQ65)*1000000/CS65*hfo_e_density_lhv/meoh_e_density_lhv))+Shipping!$AD$73+IF(G65="Panama",Shipping!$AD$55,0)+IF(G65="Suez",Shipping!$AD$56,0))/Shipping!$AD$31*CS65/1000000+IF(inland_transport_to_port="hv dc grid",$BM65/100*1000*CV65,IF(inland_transport_to_port="pipeline",$BN65,0)),((F65/24/Shipping!$L$44+F65/24/Shipping!$L$50+Shipping!$L$59+Shipping!$L$64)*(Shipping!$L$22+wacc_nl*Shipping!$L$19/365.25*1000000+Shipping!$L$35)+(F65/24/Shipping!$L$44*Shipping!$L$45+Shipping!$L$64*Shipping!$L$65)*IF(bunker_choice="HFO",$H65,IF(bunker_choice="hydrogen",$BD65*hfo_e_density_lhv/h2_e_density_lhv,(CO65+CQ65)*1000000/CS65*hfo_e_density_lhv/meoh_e_density_lhv))+(F65/24/Shipping!$L$50*Shipping!$L$51+Shipping!$L$59*Shipping!$L$60)*IF(bunker_choice="HFO",bunker_price_ROT,IF(bunker_choice="hydrogen",$BD65*hfo_e_density_lhv/h2_e_density_lhv,(CO65+CQ65)*1000000/CS65*hfo_e_density_lhv/meoh_e_density_lhv))+Shipping!$L$73+IF(G65="Panama",Shipping!$L$55,0)+IF(G65="Suez",Shipping!$L$56,0))/Shipping!$L$31*CS65/1000000+IF(inland_transport_to_port="hv dc grid",$BM65/100*1000*CV65,IF(inland_transport_to_port="pipeline",$BN65,0)))))</f>
        <v>5403.2619043940622</v>
      </c>
      <c r="CU65" s="28">
        <f t="shared" si="37"/>
        <v>94762.945308250084</v>
      </c>
      <c r="CV65" s="29">
        <f>((Carriers!$R$18/Carriers!$R$23*alk_el_e_demand)+meoh_e_demand)*(CS65+meoh_st_ab_losses)/1000000+meoh_st_e_demand*CS65/1000000</f>
        <v>1119.9789871111109</v>
      </c>
      <c r="CW65" s="29">
        <f t="shared" si="81"/>
        <v>0.16206666666666666</v>
      </c>
      <c r="CX65" s="28">
        <f>IFERROR(CU65*1000000/Storage!$K$12,"")</f>
        <v>877.07374308335136</v>
      </c>
      <c r="CY65" s="28">
        <f>IF($E65="","No Port",((F65/24/Shipping!$L$44+F65/24/Shipping!$L$50+Shipping!$L$59+Shipping!$L$64)*Carriers!$R$39*wacc_nl))</f>
        <v>88.037430071045236</v>
      </c>
      <c r="CZ65" s="29">
        <f>H2_retrieval!$J$25*h2_demand_kt/1000+(co2_liq_e_demand+co2_st_e_demand*2)*Storage!$K$12*co2_density/meoh_density/1000000</f>
        <v>251.05079059698966</v>
      </c>
      <c r="DA65" s="28">
        <f>IFERROR((((CO65+CQ65+CT65)*(1+H2_retrieval!$J$34)+CY65)*1000000/H2_retrieval!$J$8)+h2_regen_meoh,"")</f>
        <v>6921.8966561140242</v>
      </c>
      <c r="DB65" s="149">
        <f>(DBT_invest*(M65+1/DBT_lifetime)/DBT_prod+DBT_opex+DBT_e_demand*1000*$AU65/100+Carriers!$T$18/Carriers!$T$23*BD65)*(DD65+DBT_st_ab_losses)/1000000</f>
        <v>44951.607473437158</v>
      </c>
      <c r="DC65" s="28">
        <f>2*(DBT_st_nl_cost*DBT_st_nl_demand/1000000+(DBT_st_invest*(M65+1/DBT_st_lifetime+DBT_st_opex)/(Storage!$M$63/1000000)+DBT_st_e_demand*1000*$AU65/100)*(DD65+DBT_st_ab_losses)/1000000)+Carriers!$T$18/Carriers!$T$23*((DD65+DBT_st_ab_losses)/365.25*short_st_duration_hrs/24)*(h2_short_st_invest*(1/gh2_short_st_lifetime+$M65+h2_short_st_opex)+h2_short_st_e_demand*1000*$AU65/100)/1000000</f>
        <v>4559.6824599426573</v>
      </c>
      <c r="DD65" s="63">
        <f>Storage!$M$57/((1-Shipping!$N$37)^($F65/24/Shipping!$N$44+0.5*Shipping!$N$59))</f>
        <v>219354838.70967743</v>
      </c>
      <c r="DE65" s="28">
        <f>IF($E65="","No Port",IF(AND(ship_choice="VLCC",G65="Panama"),"Ship cannot pass through Panama",IF(ship_choice="VLCC",((F65/24/Shipping!$AD$44+F65/24/Shipping!$AD$50+Shipping!$AD$59+Shipping!$AD$64)*(Shipping!$AD$22+wacc_nl*Shipping!$AD$19/365.25*1000000+Shipping!$AD$35)+(F65/24/Shipping!$AD$44*Shipping!$AD$45+Shipping!$AD$64*Shipping!$AD$65)*IF(bunker_choice="HFO",$H65,IF(bunker_choice="hydrogen",$BD65*hfo_e_density_lhv/h2_e_density_lhv,(DB65+DC65)*1000000/DD65*hfo_e_density_lhv/DBT_e_density_lhv))+(F65/24/Shipping!$AD$50*Shipping!$AD$51+Shipping!$AD$59*Shipping!$AD$60)*IF(bunker_choice="HFO",bunker_price_ROT,IF(bunker_choice="hydrogen",$BD65*hfo_e_density_lhv/h2_e_density_lhv,(DB65+DC65)*1000000/DD65*hfo_e_density_lhv/DBT_e_density_lhv))+Shipping!$AD$73+IF(G65="Panama",Shipping!$AD$55,0)+IF(G65="Suez",Shipping!$AD$56,0))/Shipping!$AD$31*DD65/1000000+IF(inland_transport_to_port="hv dc grid",$BM65/100*1000*DG65,IF(inland_transport_to_port="pipeline",$BN65,0)),((F65/24/Shipping!$N$44+F65/24/Shipping!$N$50+Shipping!$N$59+Shipping!$N$64)*(Shipping!$N$22+wacc_nl*Shipping!$N$19/365.25*1000000+Shipping!$N$35)+(F65/24/Shipping!$N$44*Shipping!$N$45+Shipping!$N$64*Shipping!$N$65)*IF(bunker_choice="HFO",$H65,IF(bunker_choice="hydrogen",$BD65*hfo_e_density_lhv/h2_e_density_lhv,(DB65+DC65)*1000000/DD65*hfo_e_density_lhv/DBT_e_density_lhv))+(F65/24/Shipping!$N$50*Shipping!$N$51+Shipping!$N$59*Shipping!$N$60)*IF(bunker_choice="HFO",bunker_price_ROT,IF(bunker_choice="hydrogen",$BD65*hfo_e_density_lhv/h2_e_density_lhv,(DB65+DC65)*1000000/DD65*hfo_e_density_lhv/DBT_e_density_lhv))+Shipping!$N$73+IF(G65="Panama",Shipping!$N$55,0)+IF(G65="Suez",Shipping!$N$56,0))/Shipping!$N$31*Shipping!$N$86/1000000+IF(inland_transport_to_port="hv dc grid",$BM65/100*1000*DG65,IF(inland_transport_to_port="pipeline",$BN65,0)))))</f>
        <v>9582.237808458056</v>
      </c>
      <c r="DF65" s="28">
        <f t="shared" si="82"/>
        <v>59093.527741837868</v>
      </c>
      <c r="DG65" s="29">
        <f>((Carriers!$T$18/Carriers!$T$23*alk_el_e_demand)+DBT_e_demand)*(DD65+DBT_st_ab_losses)/1000000+DBT_st_e_demand*DD65/1000000</f>
        <v>703.88335483870969</v>
      </c>
      <c r="DH65" s="29">
        <f t="shared" si="83"/>
        <v>0.21935483870967742</v>
      </c>
      <c r="DI65" s="28">
        <f>IFERROR(DF65*1000000/Storage!$M$12,"")</f>
        <v>269.39696470543731</v>
      </c>
      <c r="DJ65" s="28">
        <f>IF($E65="","No Port",((F65/24/Shipping!$N$44+F65/24/Shipping!$N$50+Shipping!$N$59+Shipping!$N$64)*Carriers!$T$39*wacc_nl))</f>
        <v>6412.0552896845402</v>
      </c>
      <c r="DK65" s="100">
        <f>H2_retrieval!$L$25*h2_demand_kt/1000+(co2_liq_e_demand+co2_st_e_demand*2)*Storage!$M$12*co2_density/DBT_density/1000000</f>
        <v>206.61934861671787</v>
      </c>
      <c r="DL65" s="28">
        <f>IFERROR(((DF65*(1+H2_retrieval!$L$34)+DJ65)*1000000/H2_retrieval!$L$8)+h2_regen_lohc,"")</f>
        <v>5287.2367682507365</v>
      </c>
      <c r="DM65" s="149">
        <f t="shared" si="84"/>
        <v>70840.467481770276</v>
      </c>
      <c r="DN65" s="16">
        <f>2*(nabh4_st_nl_cost*nabh4_st_nl_demand/1000000+(nabh4_st_invest*(M65+1/nabh4_st_lifetime+nabh4_st_opex)/(Storage!$O$63/1000000)+nabh4_st_e_demand*1000*$AU65/100)*(DO65+nabh4_st_ab_losses)/1000000)+(h2_demand_kt*1000/365.25*short_st_duration_hrs/24)*(h2_short_st_invest*(1/gh2_short_st_lifetime+$M65+h2_short_st_opex)+h2_short_st_e_demand*1000*$AU65/100)/1000000</f>
        <v>1642.9766594317848</v>
      </c>
      <c r="DO65" s="63">
        <f>Storage!$O$57/((1-Shipping!$P$37)^($F65/24/Shipping!$P$44+0.5*Shipping!$P$59))</f>
        <v>63920000</v>
      </c>
      <c r="DP65" s="16">
        <f>IF($E65="","No Port",((F65/24/Shipping!$P$44+F65/24/Shipping!$P$50+Shipping!$P$59+Shipping!$P$64)*(Shipping!$P$22+wacc_nl*Shipping!$P$19/365.25*1000000+Shipping!$P$35)+(F65/24/Shipping!$P$44*Shipping!$P$45+Shipping!$P$64*Shipping!$P$65)*IF(bunker_choice="HFO",$H65,IF(bunker_choice="hydrogen",$BD65*hfo_e_density_lhv/h2_e_density_lhv,(DM65+DN65)*1000000/DO65*hfo_e_density_lhv/nabh4_e_density_lhv))+(F65/24/Shipping!$P$50*Shipping!$P$51+Shipping!$P$59*Shipping!$P$60)*IF(bunker_choice="HFO",bunker_price_ROT,IF(bunker_choice="hydrogen",$BD65*hfo_e_density_lhv/h2_e_density_lhv,(DM65+DN65)*1000000/DO65*hfo_e_density_lhv/nabh4_e_density_lhv))+Shipping!$P$73+IF(G65="Panama",Shipping!$P$55,0)+IF(G65="Suez",Shipping!$P$56,0))/Shipping!$P$31*(DO65+nabh4_st_ab_losses)/1000000+IF(inland_transport_to_port="hv dc grid",$BM65/100*1000*DR65,IF(inland_transport_to_port="pipeline",$BN65,0)))</f>
        <v>2955.4175647022917</v>
      </c>
      <c r="DQ65" s="28">
        <f t="shared" si="60"/>
        <v>75438.861705904361</v>
      </c>
      <c r="DR65" s="29">
        <f>((Carriers!$V$18/Carriers!$V$23*alk_el_e_demand)+nabh4_e_demand)*(DO65+nabh4_st_ab_losses)/1000000+nabh4_st_e_demand*DO65/1000000</f>
        <v>980.02139682539689</v>
      </c>
      <c r="DS65" s="28">
        <f t="shared" si="85"/>
        <v>3.1960000000000002</v>
      </c>
      <c r="DT65" s="28">
        <f>IFERROR(DQ65*1000000/Storage!$O$12,"")</f>
        <v>1180.2074734966263</v>
      </c>
      <c r="DU65" s="28">
        <f>IF($E65="","No Port",((F65/24/Shipping!$P$44+F65/24/Shipping!$P$50+Shipping!$P$59+Shipping!$P$64)*Carriers!$V$39*wacc_nl))</f>
        <v>596.41644597072036</v>
      </c>
      <c r="DV65" s="100">
        <f>H2_retrieval!$N$25*h2_demand_kt/1000+(co2_liq_e_demand+co2_st_e_demand*2)*Storage!$O$12*co2_density/nabh4_density/1000000</f>
        <v>18.783638728971958</v>
      </c>
      <c r="DW65" s="28">
        <f>IFERROR(((DQ65*(1+H2_retrieval!$N$34)+DU65)*1000000/H2_retrieval!$N$8)+h2_regen_nabh4,"")</f>
        <v>5708.6429888324892</v>
      </c>
      <c r="DX65" s="149">
        <f>(Dme_invest*(M65+1/Dme_lifetime)/Dme_prod+Dme_opex+Dme_e_demand*1000*$AU65/100+Carriers!$X$21/Carriers!$X$23*(CO65*1000000/CS65))*(EB65+Dme_st_ab_losses)/1000000</f>
        <v>95457.958676786468</v>
      </c>
      <c r="DY65" s="86">
        <f>(Dme_invest*(M65+1/Dme_lifetime)/Dme_prod+Dme_opex+Dme_e_demand*1000*$AU65/100+Carriers!$X$21/Carriers!$X$23*(CP65*1000000/CS65))*(EB65+Dme_st_ab_losses)/1000000</f>
        <v>122220.06466496087</v>
      </c>
      <c r="DZ65" s="63">
        <f>Dme_st_nl_cost*Dme_st_nl_demand/1000000+(Dme_st_invest*(M65+1/Dme_st_lifetime+Dme_st_opex)/(Storage!$Q$63/1000000)+Dme_st_e_demand*1000*$AU65/100)*(EB65+Dme_st_ab_losses)/1000000+co2_st_nl_cost*Storage!$Q$12*co2_density/Dme_density/1000000+(co2_st_opex_lev+co2_st_invest_lev+co2_st_e_demand*1000*$AU65/100)*Storage!$Q$12/1000000+co2_st_invest_lev*Storage!$Q$12*co2_st_lifetime*M65/1000000+(h2_demand_kt*1000/365.25*short_st_duration_hrs/24)*(h2_short_st_invest*(1/gh2_short_st_lifetime+$M65+h2_short_st_opex)+h2_short_st_e_demand*1000*$AU65/100)/1000000</f>
        <v>6584.891202673567</v>
      </c>
      <c r="EA65" s="63">
        <f>Dme_st_nl_cost*Dme_st_nl_demand/1000000+(Dme_st_invest*(M65+1/Dme_st_lifetime+Dme_st_opex)/(Storage!$Q$63/1000000)+Dme_st_e_demand*1000*$AU65/100)*(EB65+Dme_st_ab_losses)/1000000+(h2_demand_kt*1000/365.25*short_st_duration_hrs/24)*(h2_short_st_invest*(1/gh2_short_st_lifetime+$M65+h2_short_st_opex)+h2_short_st_e_demand*1000*$AU65/100)/1000000</f>
        <v>3335.0899877932161</v>
      </c>
      <c r="EB65" s="63">
        <f>Storage!$Q$57/((1-Shipping!$R$37)^($F65/24/Shipping!$R$44+0.5*Shipping!$R$59))</f>
        <v>103547089.94708996</v>
      </c>
      <c r="EC65" s="153">
        <f>IF($E65="","No Port",IF(AND(ship_choice="VLCC",G65="Panama"),"Ship cannot pass through Panama",IF(ship_choice="VLCC",((F65/24/Shipping!$AD$44+F65/24/Shipping!$AD$50+Shipping!$AD$59+Shipping!$AD$64)*(Shipping!$AD$22+wacc_nl*Shipping!$AD$19/365.25*1000000+Shipping!$AD$35)+(F65/24/Shipping!$AD$44*Shipping!$AD$45+Shipping!$AD$64*Shipping!$AD$65)*IF(bunker_choice="HFO",$H65,IF(bunker_choice="hydrogen",$BD65*hfo_e_density_lhv/h2_e_density_lhv,(DX65+DZ65)*1000000/EB65*hfo_e_density_lhv/Dme_e_density_lhv))+(F65/24/Shipping!$AD$50*Shipping!$AD$51+Shipping!$AD$59*Shipping!$AD$60)*IF(bunker_choice="HFO",bunker_price_ROT,IF(bunker_choice="hydrogen",$BD65*hfo_e_density_lhv/h2_e_density_lhv,(DX65+DZ65)*1000000/EB65*hfo_e_density_lhv/Dme_e_density_lhv))+Shipping!$AD$73+IF(G65="Panama",Shipping!$AD$55,0)+IF(G65="Suez",Shipping!$AD$56,0))/Shipping!$AD$31*(EB65+Dme_st_ab_losses)/1000000+IF(inland_transport_to_port="hv dc grid",$BM65/100*1000*EE65,IF(inland_transport_to_port="pipeline",$BN65,0)),((F65/24/Shipping!$R$44+F65/24/Shipping!$R$50+Shipping!$R$59+Shipping!$R$64)*(Shipping!$R$22+wacc_nl*Shipping!$R$19/365.25*1000000+Shipping!$R$35)+(F65/24/Shipping!$R$44*Shipping!$R$45+Shipping!$R$64*Shipping!$R$65)*IF(bunker_choice="HFO",$H65,IF(bunker_choice="hydrogen",$BD65*hfo_e_density_lhv/h2_e_density_lhv,(DX65+DZ65)*1000000/EB65*hfo_e_density_lhv/Dme_e_density_lhv))+(F65/24/Shipping!$R$50*Shipping!$R$51+Shipping!$R$59*Shipping!$R$60)*IF(bunker_choice="HFO",bunker_price_ROT,IF(bunker_choice="hydrogen",$BD65*hfo_e_density_lhv/h2_e_density_lhv,(DX65+DZ65)*1000000/EB65*hfo_e_density_lhv/Dme_e_density_lhv))+Shipping!$R$73+IF(G65="Panama",Shipping!$R$55,0)+IF(G65="Suez",Shipping!$R$56,0))/Shipping!$R$31*(EB65+Dme_st_ab_losses)/1000000+IF(inland_transport_to_port="hv dc grid",$BM65/100*1000*EE65,IF(inland_transport_to_port="pipeline",$BN65,0)))))</f>
        <v>5430.2847254390936</v>
      </c>
      <c r="ED65" s="28">
        <f t="shared" si="39"/>
        <v>130985.43937819317</v>
      </c>
      <c r="EE65" s="29">
        <f>(Dme_e_demand)*(EB65+Dme_st_ab_losses)/1000000+Dme_st_e_demand*DZ65/1000000+$CV65*(Carriers!$X$21/Carriers!$X$23*EB65)/$CS65</f>
        <v>1550.2168260159679</v>
      </c>
      <c r="EF65" s="29">
        <f t="shared" si="86"/>
        <v>1.0354708994708997</v>
      </c>
      <c r="EG65" s="28">
        <f>IFERROR(ED65*1000000/Storage!$Q$12,"")</f>
        <v>1264.984264117162</v>
      </c>
      <c r="EH65" s="28">
        <f>IF($E65="","No Port",((F65/24/Shipping!$R$44+F65/24/Shipping!$R$50+Shipping!$R$59+Shipping!$R$64)*Carriers!$X$39*wacc_nl))</f>
        <v>91.285379931102838</v>
      </c>
      <c r="EI65" s="100">
        <f>H2_retrieval!$P$25*h2_demand_kt/1000+(co2_liq_e_demand+co2_st_e_demand*2)*Storage!$Q$12*co2_density/Dme_density/1000000</f>
        <v>252.45335899349112</v>
      </c>
      <c r="EJ65" s="28">
        <f>IFERROR((((DX65+DZ65+EC65)*(1+H2_retrieval!$P$34)+EH65)*1000000/H2_retrieval!$P$8)+h2_regen_dme,"")</f>
        <v>9079.2770714924554</v>
      </c>
      <c r="EK65" s="149">
        <f>(ome_invest*(M65+1/ome_lifetime)/ome_prod+ome_opex+ome_e_demand*1000*$AU65/100+Carriers!$Z$21/Carriers!$Z$23*(CO65*1000000/CS65))*(EO65+ome_st_ab_losses)/1000000</f>
        <v>209485.32458657623</v>
      </c>
      <c r="EL65" s="86">
        <f>(ome_invest*(M65+1/ome_lifetime)/ome_prod+ome_opex+ome_e_demand*1000*$AU65/100+Carriers!$Z$21/Carriers!$Z$23*(CP65*1000000/CS65))*(EO65+ome_st_ab_losses)/1000000</f>
        <v>265664.1946484854</v>
      </c>
      <c r="EM65" s="63">
        <f>ome_st_nl_cost*ome_st_nl_demand/1000000+(ome_st_invest*(M65+1/ome_st_lifetime+ome_st_opex)/(Storage!$S$63/1000000)+ome_st_e_demand*1000*$AU65/100)*(EO65+ome_st_ab_losses)/1000000+co2_st_nl_cost*Storage!$S$12*co2_density/ome_density/1000000+(co2_st_opex_lev+co2_st_invest_lev+co2_st_e_demand*1000*$AU65/100)*Storage!$S$12/1000000+co2_st_invest_lev*Storage!$S$12*co2_st_lifetime*M65/1000000+(h2_demand_kt*1000/365.25*short_st_duration_hrs/24)*(h2_short_st_invest*(1/gh2_short_st_lifetime+$M65+h2_short_st_opex)+h2_short_st_e_demand*1000*$AU65/100)/1000000</f>
        <v>5697.5691427038601</v>
      </c>
      <c r="EN65" s="63">
        <f>ome_st_nl_cost*ome_st_nl_demand/1000000+(ome_st_invest*(M65+1/ome_st_lifetime+ome_st_opex)/(Storage!$S$63/1000000)+ome_st_e_demand*1000*$AU65/100)*(EO65+ome_st_ab_losses)/1000000+(h2_demand_kt*1000/365.25*short_st_duration_hrs/24)*(h2_short_st_invest*(1/gh2_short_st_lifetime+$M65+h2_short_st_opex)+h2_short_st_e_demand*1000*$AU65/100)/1000000</f>
        <v>2010.4194576510097</v>
      </c>
      <c r="EO65" s="63">
        <f>Storage!$S$57/((1-Shipping!$T$37)^($F65/24/Shipping!$T$44+0.5*Shipping!$T$59))</f>
        <v>128282539.68253967</v>
      </c>
      <c r="EP65" s="28">
        <f>IF($E65="","No Port",IF(AND(ship_choice="VLCC",G65="Panama"),"Ship cannot pass through Panama",IF(ship_choice="VLCC",((F65/24/Shipping!$AD$44+F65/24/Shipping!$AD$50+Shipping!$AD$59+Shipping!$AD$64)*(Shipping!$AD$22+wacc_nl*Shipping!$AD$19/365.25*1000000+Shipping!$AD$35)+(F65/24/Shipping!$AD$44*Shipping!$AD$45+Shipping!$AD$64*Shipping!$AD$65)*IF(bunker_choice="HFO",$H65,IF(bunker_choice="hydrogen",$BD65*hfo_e_density_lhv/h2_e_density_lhv,(EK65+EM65)*1000000/EO65*hfo_e_density_lhv/Dme_e_density_lhv))+(F65/24/Shipping!$AD$50*Shipping!$AD$51+Shipping!$AD$59*Shipping!$AD$60)*IF(bunker_choice="HFO",bunker_price_ROT,IF(bunker_choice="hydrogen",$BD65*hfo_e_density_lhv/h2_e_density_lhv,(EK65+EM65)*1000000/EO65*hfo_e_density_lhv/ome_e_density_lhv))+Shipping!$AD$73+IF(G65="Panama",Shipping!$AD$55,0)+IF(G65="Suez",Shipping!$AD$56,0))/Shipping!$AD$31*(EO65+ome_st_ab_losses)/1000000+IF(inland_transport_to_port="hv dc grid",$BM65/100*1000*ER65,IF(inland_transport_to_port="pipeline",$BN65,0)),((F65/24/Shipping!$T$44+F65/24/Shipping!$T$50+Shipping!$T$59+Shipping!$T$64)*(Shipping!$T$22+wacc_nl*Shipping!$T$19/365.25*1000000+Shipping!$T$35)+(F65/24/Shipping!$T$44*Shipping!$T$45+Shipping!$T$64*Shipping!$T$65)*IF(bunker_choice="HFO",$H65,IF(bunker_choice="hydrogen",$BD65*hfo_e_density_lhv/h2_e_density_lhv,(EK65+EM65)*1000000/EO65*hfo_e_density_lhv/Dme_e_density_lhv))+(F65/24/Shipping!$T$50*Shipping!$T$51+Shipping!$T$59*Shipping!$T$60)*IF(bunker_choice="HFO",bunker_price_ROT,IF(bunker_choice="hydrogen",$BD65*hfo_e_density_lhv/h2_e_density_lhv,(EK65+EM65)*1000000/EO65*hfo_e_density_lhv/ome_e_density_lhv))+Shipping!$T$73+IF(G65="Panama",Shipping!$T$55,0)+IF(G65="Suez",Shipping!$T$56,0))/Shipping!$T$31*(EO65+ome_st_ab_losses)/1000000+IF(inland_transport_to_port="hv dc grid",$BM65/100*1000*ER65,IF(inland_transport_to_port="pipeline",$BN65,0)))))</f>
        <v>5981.8738973394065</v>
      </c>
      <c r="EQ65" s="28">
        <f t="shared" si="40"/>
        <v>273656.48800347582</v>
      </c>
      <c r="ER65" s="29">
        <f>(ome_e_demand)*(EO65+ome_st_ab_losses)/1000000+ome_st_e_demand*EM65/1000000+$CV65*(Carriers!$Z$21/Carriers!$Z$23*EO65)/$CS65</f>
        <v>3352.081458687137</v>
      </c>
      <c r="ES65" s="29">
        <f t="shared" si="87"/>
        <v>0.1924238095238095</v>
      </c>
      <c r="ET65" s="28">
        <f>IFERROR(EQ65*1000000/Storage!$S$12,"")</f>
        <v>2133.2325403027767</v>
      </c>
      <c r="EU65" s="28">
        <f>IF($E65="","No Port",((F65/24/Shipping!$T$44+F65/24/Shipping!$T$50+Shipping!$T$59+Shipping!$T$64)*Carriers!$Z$39*wacc_nl))</f>
        <v>104.52795768175552</v>
      </c>
      <c r="EV65" s="100">
        <f>H2_retrieval!$R$25*h2_demand_kt/1000+(co2_liq_e_demand+co2_st_e_demand*2)*Storage!$S$12*co2_density/ome_density/1000000</f>
        <v>254.51942895252085</v>
      </c>
      <c r="EW65" s="28">
        <f>IFERROR((((EK65+EM65+EP65)*(1+H2_retrieval!$R$34)+EU65)*1000000/H2_retrieval!$R$8)+h2_regen_ome,"")</f>
        <v>17439.92968910062</v>
      </c>
      <c r="EX65" s="149">
        <f>(sng_invest*(M65+1/sng_lifetime)/sng_prod+lng_invest*(M65+1/lng_lifetime)/lng_prod+sng_opex+lng_opex+(sng_e_demand+lng_e_demand)*1000*$AU65/100+Carriers!$AB$18/Carriers!$AB$23*BD65+Carriers!$AB$20/Carriers!$AB$23*co2_liq_cost)*(FB65+lng_st_ab_losses)/1000000</f>
        <v>73635.835282591041</v>
      </c>
      <c r="EY65" s="86">
        <f>(sng_invest*(M65+1/sng_lifetime)/sng_prod+lng_invest*(M65+1/lng_lifetime)/lng_prod+sng_opex+lng_opex+(sng_e_demand+lng_e_demand)*1000*$AU65/100+Carriers!$AB$18/Carriers!$AB$23*BD65+Carriers!$AB$20/Carriers!$AB$23*BP65)*(FB65+lng_st_ab_losses)/1000000</f>
        <v>88451.797289034163</v>
      </c>
      <c r="EZ65" s="63">
        <f>lng_st_nl_cost*lng_st_nl_demand/1000000+(lng_st_invest*(M65+1/lng_st_lifetime+lng_st_opex)/(Storage!$U$63/1000000)+lng_st_e_demand*1000*$AU65/100)*(FB65+lng_st_ab_losses)/1000000+co2_st_nl_cost*Storage!$U$12*co2_density/lng_density/1000000+(co2_st_opex_lev+co2_st_invest_lev+co2_st_e_demand*1000*$AU65/100)*Storage!$U$12/1000000+co2_st_invest_lev*Storage!$U$12*co2_st_lifetime*M65/1000000+Carriers!$AB$18/Carriers!$AB$23*((FB65+lng_st_ab_losses)/365.25*short_st_duration_hrs/24)*(h2_short_st_invest*(1/gh2_short_st_lifetime+$M65+h2_short_st_opex)+h2_short_st_e_demand*1000*$AU65/100)/1000000+Carriers!$AB$20/Carriers!$AB$23*((FB65+lng_st_ab_losses)/365.25*short_st_duration_hrs/24)*(co2_short_st_invest*(1/co2_short_st_lifetime+$M65+co2_short_st_opex)+co2_short_st_e_demand*1000*$AU65/100)/1000000</f>
        <v>6932.1080410686563</v>
      </c>
      <c r="FA65" s="63">
        <f>lng_st_nl_cost*lng_st_nl_demand/1000000+(lng_st_invest*(M65+1/lng_st_lifetime+lng_st_opex)/(Storage!$U$63/1000000)+lng_st_e_demand*1000*$AU65/100)*(FB65+lng_st_ab_losses)/1000000+Carriers!$AB$18/Carriers!$AB$23*((FB65+lng_st_ab_losses)/365.25*short_st_duration_hrs/24)*(h2_short_st_invest*(1/gh2_short_st_lifetime+$M65+h2_short_st_opex)+h2_short_st_e_demand*1000*$AU65/100)/1000000+Carriers!$AB$20/Carriers!$AB$23*((FB65+lng_st_ab_losses)/365.25*short_st_duration_hrs/24)*(co2_short_st_invest*(1/co2_short_st_lifetime+$M65+co2_short_st_opex)+co2_short_st_e_demand*1000*$AU65/100)/1000000</f>
        <v>5220.6963562283536</v>
      </c>
      <c r="FB65" s="63">
        <f>Storage!$U$57/((1-Shipping!$V$37)^($F65/24/Shipping!$V$44+0.5*Shipping!$V$59))</f>
        <v>41348149.180277891</v>
      </c>
      <c r="FC65" s="28">
        <f>IF($E65="","No Port",IF(G65="Panama","Ship cannot pass through Panama",((F65/24/Shipping!$V$44+F65/24/Shipping!$V$50+Shipping!$V$59+Shipping!$V$64)*(Shipping!$V$22+wacc_nl*Shipping!$V$19/365.25*1000000+Shipping!$V$35)+(F65/24/Shipping!$V$44*Shipping!$V$45+Shipping!$V$64*Shipping!$V$65)*IF(bunker_choice="HFO",$H65,IF(bunker_choice="hydrogen",$BD65*hfo_e_density_lhv/h2_e_density_lhv,(EX65+EZ65)*1000000/FB65*hfo_e_density_lhv/lng_e_density_lhv))+(F65/24/Shipping!$V$50*Shipping!$V$51+Shipping!$V$59*Shipping!$V$60)*IF(bunker_choice="HFO",bunker_price_ROT,IF(bunker_choice="hydrogen",$BD65*hfo_e_density_lhv/h2_e_density_lhv,(EX65+EZ65)*1000000/FB65*hfo_e_density_lhv/lng_e_density_lhv))+Shipping!$V$73+IF(G65="Panama",Shipping!$V$55,0)+IF(G65="Suez",Shipping!$V$56,0))/Shipping!$V$31*(FB65+lng_st_ab_losses)/1000000)+IF(inland_transport_to_port="hv dc grid",$BM65/100*1000*FE65,IF(inland_transport_to_port="pipeline",$BN65,0)))</f>
        <v>2446.6374738659119</v>
      </c>
      <c r="FD65" s="28">
        <f t="shared" si="41"/>
        <v>96119.131119128419</v>
      </c>
      <c r="FE65" s="29">
        <f>((Carriers!$AB$18/Carriers!$AB$23*alk_el_e_demand)+sng_e_demand+lng_e_demand)*(FB65+lng_st_ab_losses)/1000000+lng_st_e_demand*EZ65/1000000</f>
        <v>1108.9213145659853</v>
      </c>
      <c r="FF65" s="29">
        <f t="shared" si="88"/>
        <v>0.8126185861001558</v>
      </c>
      <c r="FG65" s="28">
        <f>IFERROR(FD65*1000000/Storage!$U$12,"")</f>
        <v>2368.3922326756456</v>
      </c>
      <c r="FH65" s="28">
        <f>IF($E65="","No Port",((F65/24/Shipping!$V$44+F65/24/Shipping!$V$50+Shipping!$V$59+Shipping!$V$64)*Carriers!$AB$39*wacc_nl))</f>
        <v>30.830731416319853</v>
      </c>
      <c r="FI65" s="100">
        <f>H2_retrieval!$T$25*h2_demand_kt/1000+(co2_liq_e_demand+co2_st_e_demand*2)*Storage!$U$12*co2_density/lng_density/1000000</f>
        <v>236.51371749646054</v>
      </c>
      <c r="FJ65" s="28">
        <f>IFERROR((((EX65+EZ65+FC65)*(1+H2_retrieval!$T$34)+FH65)*1000000/H2_retrieval!$T$8)+h2_regen_lng,"")</f>
        <v>7276.4088026771396</v>
      </c>
      <c r="FK65" s="149">
        <f>(lh2_invest*(M65+1/lh2_lifetime)/lh2_prod+lh2_opex+lh2_e_demand*1000*$AU65/100+Carriers!$AD$18/Carriers!$AD$23*BD65)*(FM65+lh2_st_ab_losses)/1000000</f>
        <v>59417.313954355617</v>
      </c>
      <c r="FL65" s="28">
        <f>lh2_st_nl_cost*lh2_st_nl_demand/1000000+(lh2_st_invest*(M65+1/lh2_st_lifetime+lh2_st_opex)/(Storage!$Y$63/1000000)+lh2_st_e_demand*1000*$AU65/100)*(FM65+lh2_st_ab_losses)/1000000+((FM65+lh2_st_ab_losses)/365.25*short_st_duration_hrs/24)*(h2_short_st_invest*(1/gh2_short_st_lifetime+$M65+h2_short_st_opex)+h2_short_st_e_demand*1000*$AU65/100)/1000000</f>
        <v>60084.386580995721</v>
      </c>
      <c r="FM65" s="63">
        <f>Storage!$Y$57/((1-Shipping!$Z$37)^($F65/24/Shipping!$Z$44+0.5*Shipping!$Z$59))</f>
        <v>14005850.372715497</v>
      </c>
      <c r="FN65" s="28">
        <f>IF($E65="","No Port",IF(G65="Panama","Ship cannot pass through Panama",((F65/24/Shipping!$Z$44+F65/24/Shipping!$Z$50+Shipping!$Z$59+Shipping!$Z$64)*(Shipping!$Z$22+wacc_nl*Shipping!$Z$19/365.25*1000000+Shipping!$Z$35)+(F65/24/Shipping!$Z$44*Shipping!$Z$45+Shipping!$Z$64*Shipping!$Z$65)*IF(bunker_choice="HFO",$H65,IF(bunker_choice="hydrogen",$BD65*hfo_e_density_lhv/h2_e_density_lhv,(FK65+FL65)*1000000/FM65*hfo_e_density_lhv/lh2_e_density_lhv))+(F65/24/Shipping!$Z$50*Shipping!$Z$51+Shipping!$Z$59*Shipping!$Z$60)*IF(bunker_choice="HFO",bunker_price_ROT,IF(bunker_choice="hydrogen",$BD65*hfo_e_density_lhv/h2_e_density_lhv,(FK65+FL65)*1000000/FM65*hfo_e_density_lhv/lh2_e_density_lhv))+Shipping!$Z$73+IF(G65="Panama",Shipping!$Z$55,0)+IF(G65="Suez",Shipping!$Z$56,0))/Shipping!$Z$31*(FM65+lh2_st_ab_losses)/1000000)+IF(inland_transport_to_port="hv dc grid",$BM65/100*1000*FP65,IF(inland_transport_to_port="pipeline",$BN65,0)))</f>
        <v>3843.3537676035712</v>
      </c>
      <c r="FO65" s="28">
        <f t="shared" si="42"/>
        <v>123345.05430295492</v>
      </c>
      <c r="FP65" s="29">
        <f>((Carriers!$AD$18/Carriers!$AD$23*alk_el_e_demand)+lh2_e_demand)*(FM65+lh2_st_ab_losses)/1000000+lh2_st_e_demand*FM65/1000000</f>
        <v>811.61761421904953</v>
      </c>
      <c r="FQ65" s="100">
        <f t="shared" si="89"/>
        <v>1.361902463475859</v>
      </c>
      <c r="FR65" s="28">
        <f>IFERROR(FO65*1000000/Storage!$Y$12,"")</f>
        <v>9069.4892869819796</v>
      </c>
      <c r="FS65" s="100">
        <f>H2_retrieval!$V$25*h2_demand_kt/1000</f>
        <v>8.16</v>
      </c>
      <c r="FT65" s="28">
        <f>IFERROR(FR65*(1+H2_retrieval!$V$34)/Carrier_properties!$U$7+H2_retrieval!$V$38,"")</f>
        <v>9101.4580128504476</v>
      </c>
      <c r="FU65" s="12"/>
      <c r="FV65" s="24">
        <f t="shared" si="90"/>
        <v>2.9332337468871437</v>
      </c>
      <c r="FW65" s="24">
        <f t="shared" ref="FW65:FW95" si="92">AA65</f>
        <v>5.3016138658323309</v>
      </c>
      <c r="FX65" s="24">
        <f t="shared" ref="FX65:FX95" si="93">AI65</f>
        <v>8.1695562667946753</v>
      </c>
      <c r="FY65" s="24">
        <f t="shared" si="45"/>
        <v>2.9332337468871437</v>
      </c>
      <c r="FZ65" s="28">
        <f t="shared" ref="FZ65:FZ95" si="94">BD65</f>
        <v>3035.5775736707665</v>
      </c>
      <c r="GA65" s="28">
        <f t="shared" si="47"/>
        <v>714.20042736048799</v>
      </c>
      <c r="GB65" s="28">
        <f t="shared" si="48"/>
        <v>518.27290680926922</v>
      </c>
      <c r="GC65" s="28">
        <f t="shared" si="49"/>
        <v>806.29357150346243</v>
      </c>
      <c r="GD65" s="28">
        <f t="shared" si="50"/>
        <v>1180.3331675222582</v>
      </c>
      <c r="GE65" s="28">
        <f t="shared" si="51"/>
        <v>2070.9302708375094</v>
      </c>
      <c r="GF65" s="28">
        <f t="shared" si="52"/>
        <v>2139.1960472858027</v>
      </c>
      <c r="GG65" s="12"/>
      <c r="GH65" s="12"/>
      <c r="GI65" s="12"/>
      <c r="GJ65" s="12"/>
      <c r="GK65" s="12"/>
      <c r="GL65" s="12"/>
      <c r="GM65" s="12"/>
      <c r="GN65" s="12"/>
      <c r="GO65" s="12"/>
      <c r="GP65" s="12"/>
      <c r="GQ65" s="12"/>
      <c r="GR65" s="12"/>
      <c r="GS65" s="12"/>
      <c r="GT65" s="12"/>
      <c r="GU65" s="12"/>
      <c r="GV65" s="12"/>
      <c r="GW65" s="12"/>
      <c r="GX65" s="12"/>
      <c r="GY65" s="12"/>
      <c r="GZ65" s="12"/>
      <c r="HA65" s="12"/>
      <c r="HB65" s="12"/>
      <c r="HC65" s="12"/>
      <c r="HD65" s="12"/>
      <c r="HE65" s="12"/>
      <c r="HF65" s="12"/>
    </row>
    <row r="66" spans="1:214" x14ac:dyDescent="0.2">
      <c r="A66" s="40" t="s">
        <v>70</v>
      </c>
      <c r="B66" s="12">
        <v>7110</v>
      </c>
      <c r="C66" s="12">
        <v>1</v>
      </c>
      <c r="D66" s="12">
        <f t="shared" si="61"/>
        <v>0</v>
      </c>
      <c r="E66" s="12" t="s">
        <v>734</v>
      </c>
      <c r="F66" s="12">
        <v>6320</v>
      </c>
      <c r="G66" s="12" t="s">
        <v>692</v>
      </c>
      <c r="H66" s="16">
        <f t="shared" si="62"/>
        <v>382.75862068965517</v>
      </c>
      <c r="I66" s="16">
        <v>2973190</v>
      </c>
      <c r="J66" s="16">
        <f t="shared" si="31"/>
        <v>972.82874674979905</v>
      </c>
      <c r="K66" s="27">
        <f t="shared" si="32"/>
        <v>1167.3944960997587</v>
      </c>
      <c r="L66" s="103">
        <v>0.11600000000000001</v>
      </c>
      <c r="M66" s="103">
        <f t="shared" si="63"/>
        <v>0.12345874649005766</v>
      </c>
      <c r="N66" s="122">
        <f t="shared" si="33"/>
        <v>0.75</v>
      </c>
      <c r="O66" s="46">
        <f t="shared" si="64"/>
        <v>40</v>
      </c>
      <c r="P66" s="70">
        <f t="array" ref="P66">SUMPRODUCT(IF(Solar_data!A$4:A$777=A66,Solar_data!C$4:C$777),IF(Solar_data!A$4:A$777=A66,Solar_data!I$4:I$777))/SUMIF(Solar_data!A$4:A$777,A66,Solar_data!I$4:I$777)</f>
        <v>2106.2225397581205</v>
      </c>
      <c r="Q66" s="16">
        <f t="array" ref="Q66">MAX(IF(Solar_data!$A$777:'Solar_data'!$A$4=Country_details!$A66,Solar_data!$C$4:'Solar_data'!$C$777))</f>
        <v>2646.25</v>
      </c>
      <c r="R66" s="16">
        <f t="array" ref="R66">MIN(IF(Solar_data!$A$777:'Solar_data'!$A$4=Country_details!A66,Solar_data!$C$4:'Solar_data'!$C$777))</f>
        <v>1368.75</v>
      </c>
      <c r="S66" s="24">
        <f t="shared" si="65"/>
        <v>2.5455272572904866</v>
      </c>
      <c r="T66" s="24">
        <f t="shared" si="66"/>
        <v>2.0260545620685462</v>
      </c>
      <c r="U66" s="24">
        <f t="shared" si="67"/>
        <v>3.9170388199991897</v>
      </c>
      <c r="V66" s="16">
        <f t="array" ref="V66">SUM(IF(Solar_data!$A$777:'Solar_data'!$A$4=Country_details!$A66,Solar_data!$I$4:'Solar_data'!$I$777))</f>
        <v>22223.464200075658</v>
      </c>
      <c r="W66" s="148"/>
      <c r="X66" s="16" t="str">
        <f>IFERROR(INDEX(Onshore_wind_data!$J$5:'Onshore_wind_data'!$J$221,MATCH(A66,Onshore_wind_data!$B$5:'Onshore_wind_data'!$B$221,0)),"")</f>
        <v/>
      </c>
      <c r="Y66" s="16" t="str">
        <f>IFERROR(INDEX(Onshore_wind_data!$K$5:'Onshore_wind_data'!$K$221,MATCH(A66,Onshore_wind_data!$B$5:'Onshore_wind_data'!$B$221,0)),"")</f>
        <v/>
      </c>
      <c r="Z66" s="16" t="str">
        <f>IFERROR(INDEX(Onshore_wind_data!$L$5:'Onshore_wind_data'!$L$221,MATCH(A66,Onshore_wind_data!$B$5:'Onshore_wind_data'!$B$221,0)),"")</f>
        <v/>
      </c>
      <c r="AA66" s="24" t="str">
        <f t="shared" si="68"/>
        <v/>
      </c>
      <c r="AB66" s="24" t="str">
        <f t="shared" si="69"/>
        <v/>
      </c>
      <c r="AC66" s="24" t="str">
        <f t="shared" si="70"/>
        <v/>
      </c>
      <c r="AD66" s="16">
        <f>IFERROR(INDEX(Onshore_wind_data!$I$5:'Onshore_wind_data'!$I$221,MATCH(A66,Onshore_wind_data!$B$5:'Onshore_wind_data'!$B$221,0)),"")</f>
        <v>0</v>
      </c>
      <c r="AE66" s="148"/>
      <c r="AF66" s="16">
        <f>INDEX(Offshore_wind_data!$AA$7:$AA$192,MATCH(Country_details!A66,Offshore_wind_data!$A$7:$A$192,0))</f>
        <v>3596.9225590892211</v>
      </c>
      <c r="AG66" s="16">
        <f>INDEX(Offshore_wind_data!$Y$7:$Y$192,MATCH(Country_details!A66,Offshore_wind_data!$A$7:$A$192,0))</f>
        <v>4204.8</v>
      </c>
      <c r="AH66" s="16">
        <f>INDEX(Offshore_wind_data!$Z$7:$Z$192,MATCH(Country_details!A66,Offshore_wind_data!$A$7:$A$192,0))</f>
        <v>3153.6</v>
      </c>
      <c r="AI66" s="24">
        <f t="shared" si="71"/>
        <v>7.5298325342500787</v>
      </c>
      <c r="AJ66" s="24">
        <f t="shared" si="72"/>
        <v>6.4412634390715535</v>
      </c>
      <c r="AK66" s="24">
        <f t="shared" si="73"/>
        <v>8.5883512520954053</v>
      </c>
      <c r="AL66" s="16">
        <f>INDEX(Offshore_wind_data!$W$7:$W$191,MATCH(A66,Offshore_wind_data!$A$7:$A$191,0))</f>
        <v>581.33462399999996</v>
      </c>
      <c r="AM66" s="148"/>
      <c r="AN66" s="12">
        <v>1339</v>
      </c>
      <c r="AO66" s="21">
        <v>1659</v>
      </c>
      <c r="AP66" s="34">
        <f>0.606*11.63</f>
        <v>7.0477800000000004</v>
      </c>
      <c r="AQ66" s="15">
        <f t="shared" si="74"/>
        <v>50</v>
      </c>
      <c r="AR66" s="12">
        <f t="shared" si="34"/>
        <v>82950</v>
      </c>
      <c r="AS66" s="16">
        <f t="shared" si="35"/>
        <v>-60145.201175924347</v>
      </c>
      <c r="AT66" s="12"/>
      <c r="AU66" s="24">
        <f t="shared" si="75"/>
        <v>2.5455272572904866</v>
      </c>
      <c r="AV66" s="16">
        <f t="shared" si="76"/>
        <v>2106.2225397581205</v>
      </c>
      <c r="AW66" s="149">
        <f>HV_DC_Grid!$E$3/(1-AX66)*AU66/100*1000</f>
        <v>2968.7756342537755</v>
      </c>
      <c r="AX66" s="31">
        <f>(1-(1-HV_DC_Grid!$E$25)^(B66*C66*HV_DC_Grid!$E$8/1000))+(1-(1-HV_DC_Grid!$E$26)^(B66*D66*HV_DC_Grid!$E$8/1000))+HV_DC_Grid!$E$35*HV_DC_Grid!$E$28</f>
        <v>0.14256664332590285</v>
      </c>
      <c r="AY66" s="28">
        <f>B66*nl_e_demand/IF(hv_dc_flh="electricity FLH",$AV66,hv_dc_custom)*1000*hv_dc_capacity_multiplier*hv_dc_length_multiplier*1000*(C66*hv_dc_overhead_invest*(hv_dc_overhead_opex+M66+1/hv_dc_lifetime)+D66*hv_dc_sea_invest*(hv_dc_sea_opex+M66+1/hv_dc_lifetime))/1000000+HV_DC_Grid!$E$10*1000*hv_dc_station_invest*hv_dc_station_number*(hv_dc_station_opex+M66+1/hv_dc_lifetime)/1000000</f>
        <v>6366.9992009677089</v>
      </c>
      <c r="AZ66" s="24">
        <f>(AW66+AY66)/(HV_DC_Grid!$E$3*1000)*100</f>
        <v>9.3357748352214838</v>
      </c>
      <c r="BA66" s="28">
        <f>MIN(((Carriers!$F$26+Carriers!$F$27)*(alk_el_opex+wacc_nl+1/alk_el_lifetime)+IF(hv_dc_flh="electricity FLH",$AV66,hv_dc_custom)*AZ66/100)/(IF(hv_dc_flh="electricity FLH",$AV66,hv_dc_custom)/alk_el_e_demand)*1000,((Carriers!$H$26+Carriers!$H$27)*(pem_el_opex+wacc_nl+1/pem_el_lifetime)+IF(hv_dc_flh="electricity FLH",$AV66,hv_dc_custom)*AZ66/100)/(IF(hv_dc_flh="electricity FLH",$AV66,hv_dc_custom)/pem_el_e_demand)*1000)</f>
        <v>5119.8339427204201</v>
      </c>
      <c r="BB66" s="12"/>
      <c r="BC66" s="12"/>
      <c r="BD66" s="149">
        <f>MIN(((Carriers!$F$26+Carriers!$F$27)*(alk_el_opex+M66+1/alk_el_lifetime)+$AV66*$AU66/100)/($AV66/alk_el_e_demand)*1000,((Carriers!$H$26+Carriers!$H$27)*(pem_el_opex+M66+1/pem_el_lifetime)+$AV66*$AU66/100)/($AV66/pem_el_e_demand)*1000)</f>
        <v>2902.1641106577226</v>
      </c>
      <c r="BE66" s="28">
        <f>Storage!$AC$50</f>
        <v>8.1664117557772418</v>
      </c>
      <c r="BF66" s="28">
        <f>((Pipeline!$D$22*Pipeline!$D$24*B66*(pipeline_opex+M66+1/pipeline_lifetime))*(Pipeline!$D$39/Pipeline!$D$3)+(Pipeline!$D$57*(pipeline_comp_opex+M66+1/pipeline_comp_lifetime)+Pipeline!$D$47*1000*Pipeline!$D$45*$AU66/100/1000000))*(Pipeline!$D$75/Pipeline!$D$45)</f>
        <v>15842.960045860384</v>
      </c>
      <c r="BG66" s="28">
        <f>BD66+(BE66+BF66)/Storage!$AC$12*1000000</f>
        <v>4067.6881148942052</v>
      </c>
      <c r="BH66" s="28"/>
      <c r="BI66" s="28"/>
      <c r="BJ66" s="28">
        <f>IF($E66="","No Port",BK66*HV_DC_Grid!$E$3*$AU66/100*1000)</f>
        <v>92.509199869591754</v>
      </c>
      <c r="BK66" s="31">
        <f>IFERROR((1-(1-HV_DC_Grid!$E$25)^(K66*HV_DC_Grid!$E$8/1000))+HV_DC_Grid!$E$35*HV_DC_Grid!$E$28,"")</f>
        <v>3.6341861830252217E-2</v>
      </c>
      <c r="BL66" s="28">
        <f>IFERROR(K66*nl_e_demand/IF(hv_dc_flh="electricity FLH",$AV66,hv_dc_custom)*1000*hv_dc_capacity_multiplier*hv_dc_length_multiplier*1000*(hv_dc_overhead_invest*(hv_dc_overhead_opex+M66+1/hv_dc_lifetime))/1000000+HV_DC_Grid!$E$10*1000*hv_dc_station_invest*hv_dc_station_number*(hv_dc_station_opex+M66+1/hv_dc_lifetime)/1000000,"")</f>
        <v>1395.0459164737342</v>
      </c>
      <c r="BM66" s="29">
        <f>IFERROR((BJ66+BL66)/(HV_DC_Grid!$E$3*1000)*100,"")</f>
        <v>1.487555116343326</v>
      </c>
      <c r="BN66" s="28">
        <f>IFERROR(((Pipeline!$D$22*Pipeline!$D$24*K66*(pipeline_opex+M66+1/pipeline_lifetime))*(Pipeline!$D$39/Pipeline!$D$3)+(Pipeline!$D$57*(pipeline_comp_opex+M66+1/pipeline_comp_lifetime)+Pipeline!$D$47*1000*Pipeline!$D$45*S66/100/1000000))*(Pipeline!$D$75/Pipeline!$D$45),"")</f>
        <v>2671.3033443557219</v>
      </c>
      <c r="BO66" s="28"/>
      <c r="BP66" s="150">
        <f t="shared" si="77"/>
        <v>112.2297731601265</v>
      </c>
      <c r="BQ66" s="34">
        <f t="shared" si="78"/>
        <v>33.514397091940289</v>
      </c>
      <c r="BR66" s="151">
        <f>(nh3_invest*(M66+1/nh3_lifetime)/nh3_prod+nh3_opex+nh3_e_demand*1000*$AU66/100+Carriers!$N$18/Carriers!$N$23*BD66+Carriers!$N$19/Carriers!$N$23*BQ66)*(BT66+nh3_st_ab_losses)/1000000</f>
        <v>52653.187610980822</v>
      </c>
      <c r="BS66" s="63">
        <f>nh3_st_nl_cost*nh3_st_nl_demand/1000000+(nh3_st_invest*(M66+1/nh3_st_lifetime+nh3_st_opex)/(Storage!$G$63/1000000)+nh3_st_e_demand*1000*$AU66/100)*(BT66+nh3_st_ab_losses)/1000000+Carriers!$N$18/Carriers!$N$23*((BT66+nh3_st_ab_losses)/365.25*short_st_duration_hrs/24)*(h2_short_st_invest*(1/gh2_short_st_lifetime+$M66+h2_short_st_opex)+h2_short_st_e_demand*1000*$AU66/100)/1000000+Carriers!$N$19/Carriers!$N$23*((BT66+nh3_st_ab_losses)/365.25*short_st_duration_hrs/24)*(n2_short_st_invest*(1/n2_short_st_lifetime+$M66+n2_short_st_opex)+n2_short_st_e_demand*1000*$AU66/100)/1000000</f>
        <v>3442.5871936970843</v>
      </c>
      <c r="BT66" s="63">
        <f>Storage!$G$57/((1-Shipping!$H$37)^(F66/24/Shipping!$H$44+0.5*Shipping!$H$59))</f>
        <v>79988928.960423648</v>
      </c>
      <c r="BU66" s="63">
        <f>IF($E66="","No Port",((F66/24/Shipping!$H$44+F66/24/Shipping!$H$50+Shipping!$H$59+Shipping!$H$64)*(Shipping!$H$22+wacc_nl*Shipping!$H$19/365.25*1000000+Shipping!$H$35)+(F66/24/Shipping!$H$44*Shipping!$H$45+Shipping!$H$64*Shipping!$H$65)*IF(bunker_choice="HFO",H66,IF(bunker_choice="hydrogen",BD66*hfo_e_density_lhv/h2_e_density_lhv,(BR66+BS66)*1000000/BT66*hfo_e_density_lhv/nh3_e_density_lhv))+(F66/24/Shipping!$H$50*Shipping!$H$51+Shipping!$H$59*Shipping!$H$60)*IF(bunker_choice="HFO",bunker_price_ROT,IF(bunker_choice="hydrogen",BD66*hfo_e_density_lhv/h2_e_density_lhv,(BR66+BS66)*1000000/BT66*hfo_e_density_lhv/nh3_e_density_lhv))+Shipping!$H$73+IF(G66="Panama",Shipping!$H$55,0)+IF(G66="Suez",Shipping!$H$56,0))/Shipping!$H$31*BT66/1000000+IF(inland_transport_to_port="hv dc grid",$BM66/100*1000*BW66,IF(inland_transport_to_port="pipeline",$BN66,0)))</f>
        <v>7319.8638862499502</v>
      </c>
      <c r="BV66" s="63">
        <f t="shared" si="91"/>
        <v>63415.638690927859</v>
      </c>
      <c r="BW66" s="33">
        <f>((Carriers!$N$18/Carriers!$N$23*alk_el_e_demand)+(Carriers!$N$19/Carriers!$N$23*n2_e_demand)+nh3_e_demand)*(BT66+nh3_st_ab_losses)/1000000+nh3_st_e_demand*BT66/1000000</f>
        <v>789.90330398642016</v>
      </c>
      <c r="BX66" s="33">
        <f t="shared" si="79"/>
        <v>0.76626754477640768</v>
      </c>
      <c r="BY66" s="63">
        <f>IFERROR(BV66*1000000/Storage!$G$12,"")</f>
        <v>828.28088460480456</v>
      </c>
      <c r="BZ66" s="63">
        <f>H2_retrieval!$F$25*h2_demand_kt/1000</f>
        <v>80</v>
      </c>
      <c r="CA66" s="63">
        <f>IFERROR(BY66*(1+H2_retrieval!$F$34)/Carrier_properties!$E$7+H2_retrieval!$F$38,"")</f>
        <v>5072.1405892707835</v>
      </c>
      <c r="CB66" s="149">
        <f>(FA_invest*(M66+1/FA_lifetime)/FA_prod+FA_opex+FA_e_demand*1000*$AU66/100+Carriers!$P$18/Carriers!$P$23*BD66+Carriers!$P$20/Carriers!$P$23*co2_liq_cost)*(CF66+FA_st_ab_losses)/1000000</f>
        <v>103531.79422285069</v>
      </c>
      <c r="CC66" s="86">
        <f>(FA_invest*(M66+1/FA_lifetime)/FA_prod+FA_opex+FA_e_demand*1000*$AU66/100+Carriers!$P$18/Carriers!$P$23*BD66+Carriers!$P$20/Carriers!$P$23*BP66)*(CF66+FA_st_ab_losses)/1000000</f>
        <v>130582.21571295972</v>
      </c>
      <c r="CD66" s="63">
        <f>FA_st_nl_cost*FA_st_nl_demand/1000000+(FA_st_invest*(M66+1/FA_st_lifetime+FA_st_opex)/(Storage!$I$63/1000000)+FA_st_e_demand*1000*$AU66/100)*(CF66+FA_st_ab_losses)/1000000+co2_st_nl_cost*Storage!$I$12*co2_density/FA_density/1000000+(co2_st_opex_lev+co2_st_invest_lev+co2_st_e_demand*1000*$AU66/100)*Storage!$I$12/1000000+co2_st_invest_lev*Storage!$I$12*co2_st_lifetime*M66/1000000+Carriers!$P$18/Carriers!$P$23*((CF66+FA_st_ab_losses)/365.25*short_st_duration_hrs/24)*(h2_short_st_invest*(1/gh2_short_st_lifetime+$M66+h2_short_st_opex)+h2_short_st_e_demand*1000*$AU66/100)/1000000+Carriers!$P$20/Carriers!$P$23*((CF66+FA_st_ab_losses)/365.25*short_st_duration_hrs/24)*(co2_short_st_invest*(1/co2_short_st_lifetime+$M66+co2_short_st_opex)+co2_short_st_e_demand*1000*$AU66/100)/1000000</f>
        <v>11686.829909247981</v>
      </c>
      <c r="CE66" s="63">
        <f>FA_st_nl_cost*FA_st_nl_demand/1000000+(FA_st_invest*(M66+1/FA_st_lifetime+FA_st_opex)/(Storage!$I$63/1000000)+FA_st_e_demand*1000*$AU66/100)*(CF66+FA_st_ab_losses)/1000000+Carriers!$P$18/Carriers!$P$23*((CF66+FA_st_ab_losses)/365.25*short_st_duration_hrs/24)*(h2_short_st_invest*(1/gh2_short_st_lifetime+$M66+h2_short_st_opex)+h2_short_st_e_demand*1000*$AU66/100)/1000000+Carriers!$P$20/Carriers!$P$23*((CF66+FA_st_ab_losses)/365.25*short_st_duration_hrs/24)*(co2_short_st_invest*(1/co2_short_st_lifetime+$M66+co2_short_st_opex)+co2_short_st_e_demand*1000*$AU66/100)/1000000</f>
        <v>5065.6249635745298</v>
      </c>
      <c r="CF66" s="63">
        <f>Storage!$I$57/((1-Shipping!$J$37)^($F66/24/Shipping!$J$44+0.5*Shipping!$J$59))</f>
        <v>310425396.82539684</v>
      </c>
      <c r="CG66" s="28">
        <f>IF($E66="","No Port",((F66/24/Shipping!$J$44+F66/24/Shipping!$J$50+Shipping!$J$59+Shipping!$J$64)*(Shipping!$J$22+wacc_nl*Shipping!$J$19/365.25*1000000+Shipping!$J$35)+(F66/24/Shipping!$J$44*Shipping!$J$45+Shipping!$J$64*Shipping!$J$65)*IF(bunker_choice="HFO",$H66,IF(bunker_choice="hydrogen",$BD66*hfo_e_density_lhv/h2_e_density_lhv,(CB66+CD66)*1000000/CF66*hfo_e_density_lhv/FA_e_density_lhv))+(F66/24/Shipping!$J$50*Shipping!$J$51+Shipping!$J$59*Shipping!$J$60)*IF(bunker_choice="HFO",bunker_price_ROT,IF(bunker_choice="hydrogen",$BD66*hfo_e_density_lhv/h2_e_density_lhv,(CB66+CD66)*1000000/CF66*hfo_e_density_lhv/FA_e_density_lhv))+Shipping!$J$73+IF(G66="Panama",Shipping!$J$55,0)+IF(G66="Suez",Shipping!$J$56,0))/Shipping!$J$31*CF66/1000000+IF(inland_transport_to_port="hv dc grid",$BM66/100*1000*CI66,IF(inland_transport_to_port="pipeline",$BN66,0)))</f>
        <v>22847.106698478663</v>
      </c>
      <c r="CH66" s="28">
        <f t="shared" si="36"/>
        <v>158494.94737501291</v>
      </c>
      <c r="CI66" s="29">
        <f>((Carriers!$P$18/Carriers!$P$23*alk_el_e_demand)+FA_e_demand)*(CF66+FA_st_ab_losses)/1000000+FA_st_e_demand*CF66/1000000</f>
        <v>1897.8881241622576</v>
      </c>
      <c r="CJ66" s="29">
        <f t="shared" si="80"/>
        <v>0.46563809523809524</v>
      </c>
      <c r="CK66" s="28">
        <f>IFERROR(CH66*1000000/Storage!$I$12,"")</f>
        <v>510.57339056623852</v>
      </c>
      <c r="CL66" s="28">
        <f>IF($E66="","No Port",((F66/24/Shipping!$J$44+F66/24/Shipping!$J$50+Shipping!$J$59+Shipping!$J$64)*Carriers!$P$39*wacc_nl))</f>
        <v>306.67516805553981</v>
      </c>
      <c r="CM66" s="29">
        <f>H2_retrieval!$H$25*h2_demand_kt/1000+(co2_liq_e_demand+co2_st_e_demand*2)*Storage!$I$12*co2_density/FA_density/1000000</f>
        <v>94.204253879484654</v>
      </c>
      <c r="CN66" s="28">
        <f>IFERROR((((CB66+CD66+CG66)*(1+H2_retrieval!$H$34)+CL66)*1000000/H2_retrieval!$H$8)+h2_regen_fa,"")</f>
        <v>10264.128985313493</v>
      </c>
      <c r="CO66" s="149">
        <f>(meoh_invest*(M66+1/meoh_lifetime)/meoh_prod+meoh_opex+meoh_e_demand*1000*$AU66/100+Carriers!$R$18/Carriers!$R$23*BD66+Carriers!$R$20/Carriers!$R$23*co2_liq_cost)*(CS66+meoh_st_ab_losses)/1000000</f>
        <v>63587.246798956381</v>
      </c>
      <c r="CP66" s="86">
        <f>(meoh_invest*(M66+1/meoh_lifetime)/meoh_prod+meoh_opex+meoh_e_demand*1000*$AU66/100+Carriers!$R$18/Carriers!$R$23*BD66+Carriers!$R$20/Carriers!$R$23*BP66)*(CS66+meoh_st_ab_losses)/1000000</f>
        <v>79466.679309838015</v>
      </c>
      <c r="CQ66" s="63">
        <f>meoh_st_nl_cost*meoh_st_nl_demand/1000000+(meoh_st_invest*(M66+1/meoh_st_lifetime+meoh_st_opex)/(Storage!$K$63/1000000)+meoh_st_e_demand*1000*$AU66/100)*(CS66+meoh_st_ab_losses)/1000000+co2_st_nl_cost*Storage!$K$12*co2_density/meoh_density/1000000+(co2_st_opex_lev+co2_st_invest_lev+co2_st_e_demand*1000*IFERROR(MIN(S66,AA66,AI66),S66)/100)*Storage!$K$12/1000000+co2_st_invest_lev*Storage!$K$12*co2_st_lifetime*M66/1000000+Carriers!$R$18/Carriers!$R$23*((CS66+meoh_st_ab_losses)/365.25*short_st_duration_hrs/24)*(h2_short_st_invest*(1/gh2_short_st_lifetime+$M66+h2_short_st_opex)+h2_short_st_e_demand*1000*$AU66/100)/1000000+Carriers!$R$20/Carriers!$R$23*((CF66+meoh_st_ab_losses)/365.25*short_st_duration_hrs/24)*(co2_short_st_invest*(1/co2_short_st_lifetime+$M66+co2_short_st_opex)+co2_short_st_e_demand*1000*$AU66/100)/1000000</f>
        <v>4897.8692194089545</v>
      </c>
      <c r="CR66" s="63">
        <f>meoh_st_nl_cost*meoh_st_nl_demand/1000000+(meoh_st_invest*(M66+1/meoh_st_lifetime+meoh_st_opex)/(Storage!$K$63/1000000)+meoh_st_e_demand*1000*$AU66/100)*(CS66+meoh_st_ab_losses)/1000000+Carriers!$R$18/Carriers!$R$23*((CS66+meoh_st_ab_losses)/365.25*short_st_duration_hrs/24)*(h2_short_st_invest*(1/gh2_short_st_lifetime+$M66+h2_short_st_opex)+h2_short_st_e_demand*1000*$AU66/100)/1000000+Carriers!$R$20/Carriers!$R$23*((CF66+meoh_st_ab_losses)/365.25*short_st_duration_hrs/24)*(co2_short_st_invest*(1/co2_short_st_lifetime+$M66+co2_short_st_opex)+co2_short_st_e_demand*1000*$AU66/100)/1000000</f>
        <v>1994.342521780944</v>
      </c>
      <c r="CS66" s="63">
        <f>Storage!$K$57/((1-Shipping!$L$37)^($F66/24/Shipping!$L$44+0.5*Shipping!$L$59))</f>
        <v>108044444.44444443</v>
      </c>
      <c r="CT66" s="28">
        <f>IF($E66="","No Port",IF(AND(ship_choice="VLCC",G66="Panama"),"Ship cannot pass through Panama",IF(ship_choice="VLCC",((F66/24/Shipping!$AD$44+F66/24/Shipping!$AD$50+Shipping!$AD$59+Shipping!$AD$64)*(Shipping!$AD$22+wacc_nl*Shipping!$AD$19/365.25*1000000+Shipping!$AD$35)+(F66/24/Shipping!$AD$44*Shipping!$AD$45+Shipping!$AD$64*Shipping!$AD$65)*IF(bunker_choice="HFO",$H66,IF(bunker_choice="hydrogen",$BD66*hfo_e_density_lhv/h2_e_density_lhv,(CO66+CQ66)*1000000/CS66*hfo_e_density_lhv/meoh_e_density_lhv))+(F66/24/Shipping!$AD$50*Shipping!$AD$51+Shipping!$AD$59*Shipping!$AD$60)*IF(bunker_choice="HFO",bunker_price_ROT,IF(bunker_choice="hydrogen",$BD66*hfo_e_density_lhv/h2_e_density_lhv,(CO66+CQ66)*1000000/CS66*hfo_e_density_lhv/meoh_e_density_lhv))+Shipping!$AD$73+IF(G66="Panama",Shipping!$AD$55,0)+IF(G66="Suez",Shipping!$AD$56,0))/Shipping!$AD$31*CS66/1000000+IF(inland_transport_to_port="hv dc grid",$BM66/100*1000*CV66,IF(inland_transport_to_port="pipeline",$BN66,0)),((F66/24/Shipping!$L$44+F66/24/Shipping!$L$50+Shipping!$L$59+Shipping!$L$64)*(Shipping!$L$22+wacc_nl*Shipping!$L$19/365.25*1000000+Shipping!$L$35)+(F66/24/Shipping!$L$44*Shipping!$L$45+Shipping!$L$64*Shipping!$L$65)*IF(bunker_choice="HFO",$H66,IF(bunker_choice="hydrogen",$BD66*hfo_e_density_lhv/h2_e_density_lhv,(CO66+CQ66)*1000000/CS66*hfo_e_density_lhv/meoh_e_density_lhv))+(F66/24/Shipping!$L$50*Shipping!$L$51+Shipping!$L$59*Shipping!$L$60)*IF(bunker_choice="HFO",bunker_price_ROT,IF(bunker_choice="hydrogen",$BD66*hfo_e_density_lhv/h2_e_density_lhv,(CO66+CQ66)*1000000/CS66*hfo_e_density_lhv/meoh_e_density_lhv))+Shipping!$L$73+IF(G66="Panama",Shipping!$L$55,0)+IF(G66="Suez",Shipping!$L$56,0))/Shipping!$L$31*CS66/1000000+IF(inland_transport_to_port="hv dc grid",$BM66/100*1000*CV66,IF(inland_transport_to_port="pipeline",$BN66,0)))))</f>
        <v>9379.0904925832947</v>
      </c>
      <c r="CU66" s="28">
        <f t="shared" si="37"/>
        <v>90840.112324202259</v>
      </c>
      <c r="CV66" s="29">
        <f>((Carriers!$R$18/Carriers!$R$23*alk_el_e_demand)+meoh_e_demand)*(CS66+meoh_st_ab_losses)/1000000+meoh_st_e_demand*CS66/1000000</f>
        <v>1119.9789871111109</v>
      </c>
      <c r="CW66" s="29">
        <f t="shared" si="81"/>
        <v>0.16206666666666666</v>
      </c>
      <c r="CX66" s="28">
        <f>IFERROR(CU66*1000000/Storage!$K$12,"")</f>
        <v>840.76615684679189</v>
      </c>
      <c r="CY66" s="28">
        <f>IF($E66="","No Port",((F66/24/Shipping!$L$44+F66/24/Shipping!$L$50+Shipping!$L$59+Shipping!$L$64)*Carriers!$R$39*wacc_nl))</f>
        <v>109.88265000731816</v>
      </c>
      <c r="CZ66" s="29">
        <f>H2_retrieval!$J$25*h2_demand_kt/1000+(co2_liq_e_demand+co2_st_e_demand*2)*Storage!$K$12*co2_density/meoh_density/1000000</f>
        <v>251.05079059698966</v>
      </c>
      <c r="DA66" s="28">
        <f>IFERROR((((CO66+CQ66+CT66)*(1+H2_retrieval!$J$34)+CY66)*1000000/H2_retrieval!$J$8)+h2_regen_meoh,"")</f>
        <v>6903.5174520899354</v>
      </c>
      <c r="DB66" s="149">
        <f>(DBT_invest*(M66+1/DBT_lifetime)/DBT_prod+DBT_opex+DBT_e_demand*1000*$AU66/100+Carriers!$T$18/Carriers!$T$23*BD66)*(DD66+DBT_st_ab_losses)/1000000</f>
        <v>42709.632094493063</v>
      </c>
      <c r="DC66" s="28">
        <f>2*(DBT_st_nl_cost*DBT_st_nl_demand/1000000+(DBT_st_invest*(M66+1/DBT_st_lifetime+DBT_st_opex)/(Storage!$M$63/1000000)+DBT_st_e_demand*1000*$AU66/100)*(DD66+DBT_st_ab_losses)/1000000)+Carriers!$T$18/Carriers!$T$23*((DD66+DBT_st_ab_losses)/365.25*short_st_duration_hrs/24)*(h2_short_st_invest*(1/gh2_short_st_lifetime+$M66+h2_short_st_opex)+h2_short_st_e_demand*1000*$AU66/100)/1000000</f>
        <v>4118.8247462939898</v>
      </c>
      <c r="DD66" s="63">
        <f>Storage!$M$57/((1-Shipping!$N$37)^($F66/24/Shipping!$N$44+0.5*Shipping!$N$59))</f>
        <v>219354838.70967743</v>
      </c>
      <c r="DE66" s="28">
        <f>IF($E66="","No Port",IF(AND(ship_choice="VLCC",G66="Panama"),"Ship cannot pass through Panama",IF(ship_choice="VLCC",((F66/24/Shipping!$AD$44+F66/24/Shipping!$AD$50+Shipping!$AD$59+Shipping!$AD$64)*(Shipping!$AD$22+wacc_nl*Shipping!$AD$19/365.25*1000000+Shipping!$AD$35)+(F66/24/Shipping!$AD$44*Shipping!$AD$45+Shipping!$AD$64*Shipping!$AD$65)*IF(bunker_choice="HFO",$H66,IF(bunker_choice="hydrogen",$BD66*hfo_e_density_lhv/h2_e_density_lhv,(DB66+DC66)*1000000/DD66*hfo_e_density_lhv/DBT_e_density_lhv))+(F66/24/Shipping!$AD$50*Shipping!$AD$51+Shipping!$AD$59*Shipping!$AD$60)*IF(bunker_choice="HFO",bunker_price_ROT,IF(bunker_choice="hydrogen",$BD66*hfo_e_density_lhv/h2_e_density_lhv,(DB66+DC66)*1000000/DD66*hfo_e_density_lhv/DBT_e_density_lhv))+Shipping!$AD$73+IF(G66="Panama",Shipping!$AD$55,0)+IF(G66="Suez",Shipping!$AD$56,0))/Shipping!$AD$31*DD66/1000000+IF(inland_transport_to_port="hv dc grid",$BM66/100*1000*DG66,IF(inland_transport_to_port="pipeline",$BN66,0)),((F66/24/Shipping!$N$44+F66/24/Shipping!$N$50+Shipping!$N$59+Shipping!$N$64)*(Shipping!$N$22+wacc_nl*Shipping!$N$19/365.25*1000000+Shipping!$N$35)+(F66/24/Shipping!$N$44*Shipping!$N$45+Shipping!$N$64*Shipping!$N$65)*IF(bunker_choice="HFO",$H66,IF(bunker_choice="hydrogen",$BD66*hfo_e_density_lhv/h2_e_density_lhv,(DB66+DC66)*1000000/DD66*hfo_e_density_lhv/DBT_e_density_lhv))+(F66/24/Shipping!$N$50*Shipping!$N$51+Shipping!$N$59*Shipping!$N$60)*IF(bunker_choice="HFO",bunker_price_ROT,IF(bunker_choice="hydrogen",$BD66*hfo_e_density_lhv/h2_e_density_lhv,(DB66+DC66)*1000000/DD66*hfo_e_density_lhv/DBT_e_density_lhv))+Shipping!$N$73+IF(G66="Panama",Shipping!$N$55,0)+IF(G66="Suez",Shipping!$N$56,0))/Shipping!$N$31*Shipping!$N$86/1000000+IF(inland_transport_to_port="hv dc grid",$BM66/100*1000*DG66,IF(inland_transport_to_port="pipeline",$BN66,0)))))</f>
        <v>15305.945031249943</v>
      </c>
      <c r="DF66" s="28">
        <f t="shared" si="82"/>
        <v>62134.401872036993</v>
      </c>
      <c r="DG66" s="29">
        <f>((Carriers!$T$18/Carriers!$T$23*alk_el_e_demand)+DBT_e_demand)*(DD66+DBT_st_ab_losses)/1000000+DBT_st_e_demand*DD66/1000000</f>
        <v>703.88335483870969</v>
      </c>
      <c r="DH66" s="29">
        <f t="shared" si="83"/>
        <v>0.21935483870967742</v>
      </c>
      <c r="DI66" s="28">
        <f>IFERROR(DF66*1000000/Storage!$M$12,"")</f>
        <v>283.25977324016867</v>
      </c>
      <c r="DJ66" s="28">
        <f>IF($E66="","No Port",((F66/24/Shipping!$N$44+F66/24/Shipping!$N$50+Shipping!$N$59+Shipping!$N$64)*Carriers!$T$39*wacc_nl))</f>
        <v>8003.1144327520242</v>
      </c>
      <c r="DK66" s="100">
        <f>H2_retrieval!$L$25*h2_demand_kt/1000+(co2_liq_e_demand+co2_st_e_demand*2)*Storage!$M$12*co2_density/DBT_density/1000000</f>
        <v>206.61934861671787</v>
      </c>
      <c r="DL66" s="28">
        <f>IFERROR(((DF66*(1+H2_retrieval!$L$34)+DJ66)*1000000/H2_retrieval!$L$8)+h2_regen_lohc,"")</f>
        <v>5627.8200971673996</v>
      </c>
      <c r="DM66" s="149">
        <f t="shared" si="84"/>
        <v>50145.484730664262</v>
      </c>
      <c r="DN66" s="16">
        <f>2*(nabh4_st_nl_cost*nabh4_st_nl_demand/1000000+(nabh4_st_invest*(M66+1/nabh4_st_lifetime+nabh4_st_opex)/(Storage!$O$63/1000000)+nabh4_st_e_demand*1000*$AU66/100)*(DO66+nabh4_st_ab_losses)/1000000)+(h2_demand_kt*1000/365.25*short_st_duration_hrs/24)*(h2_short_st_invest*(1/gh2_short_st_lifetime+$M66+h2_short_st_opex)+h2_short_st_e_demand*1000*$AU66/100)/1000000</f>
        <v>1396.2845285805274</v>
      </c>
      <c r="DO66" s="63">
        <f>Storage!$O$57/((1-Shipping!$P$37)^($F66/24/Shipping!$P$44+0.5*Shipping!$P$59))</f>
        <v>63920000</v>
      </c>
      <c r="DP66" s="16">
        <f>IF($E66="","No Port",((F66/24/Shipping!$P$44+F66/24/Shipping!$P$50+Shipping!$P$59+Shipping!$P$64)*(Shipping!$P$22+wacc_nl*Shipping!$P$19/365.25*1000000+Shipping!$P$35)+(F66/24/Shipping!$P$44*Shipping!$P$45+Shipping!$P$64*Shipping!$P$65)*IF(bunker_choice="HFO",$H66,IF(bunker_choice="hydrogen",$BD66*hfo_e_density_lhv/h2_e_density_lhv,(DM66+DN66)*1000000/DO66*hfo_e_density_lhv/nabh4_e_density_lhv))+(F66/24/Shipping!$P$50*Shipping!$P$51+Shipping!$P$59*Shipping!$P$60)*IF(bunker_choice="HFO",bunker_price_ROT,IF(bunker_choice="hydrogen",$BD66*hfo_e_density_lhv/h2_e_density_lhv,(DM66+DN66)*1000000/DO66*hfo_e_density_lhv/nabh4_e_density_lhv))+Shipping!$P$73+IF(G66="Panama",Shipping!$P$55,0)+IF(G66="Suez",Shipping!$P$56,0))/Shipping!$P$31*(DO66+nabh4_st_ab_losses)/1000000+IF(inland_transport_to_port="hv dc grid",$BM66/100*1000*DR66,IF(inland_transport_to_port="pipeline",$BN66,0)))</f>
        <v>5746.1042283256656</v>
      </c>
      <c r="DQ66" s="28">
        <f t="shared" si="60"/>
        <v>57287.873487570461</v>
      </c>
      <c r="DR66" s="29">
        <f>((Carriers!$V$18/Carriers!$V$23*alk_el_e_demand)+nabh4_e_demand)*(DO66+nabh4_st_ab_losses)/1000000+nabh4_st_e_demand*DO66/1000000</f>
        <v>980.02139682539689</v>
      </c>
      <c r="DS66" s="28">
        <f t="shared" si="85"/>
        <v>3.1960000000000002</v>
      </c>
      <c r="DT66" s="28">
        <f>IFERROR(DQ66*1000000/Storage!$O$12,"")</f>
        <v>896.24332740254169</v>
      </c>
      <c r="DU66" s="28">
        <f>IF($E66="","No Port",((F66/24/Shipping!$P$44+F66/24/Shipping!$P$50+Shipping!$P$59+Shipping!$P$64)*Carriers!$V$39*wacc_nl))</f>
        <v>738.84657726739499</v>
      </c>
      <c r="DV66" s="100">
        <f>H2_retrieval!$N$25*h2_demand_kt/1000+(co2_liq_e_demand+co2_st_e_demand*2)*Storage!$O$12*co2_density/nabh4_density/1000000</f>
        <v>18.783638728971958</v>
      </c>
      <c r="DW66" s="28">
        <f>IFERROR(((DQ66*(1+H2_retrieval!$N$34)+DU66)*1000000/H2_retrieval!$N$8)+h2_regen_nabh4,"")</f>
        <v>4357.7916762292616</v>
      </c>
      <c r="DX66" s="149">
        <f>(Dme_invest*(M66+1/Dme_lifetime)/Dme_prod+Dme_opex+Dme_e_demand*1000*$AU66/100+Carriers!$X$21/Carriers!$X$23*(CO66*1000000/CS66))*(EB66+Dme_st_ab_losses)/1000000</f>
        <v>89363.718004894385</v>
      </c>
      <c r="DY66" s="86">
        <f>(Dme_invest*(M66+1/Dme_lifetime)/Dme_prod+Dme_opex+Dme_e_demand*1000*$AU66/100+Carriers!$X$21/Carriers!$X$23*(CP66*1000000/CS66))*(EB66+Dme_st_ab_losses)/1000000</f>
        <v>110906.77262279972</v>
      </c>
      <c r="DZ66" s="63">
        <f>Dme_st_nl_cost*Dme_st_nl_demand/1000000+(Dme_st_invest*(M66+1/Dme_st_lifetime+Dme_st_opex)/(Storage!$Q$63/1000000)+Dme_st_e_demand*1000*$AU66/100)*(EB66+Dme_st_ab_losses)/1000000+co2_st_nl_cost*Storage!$Q$12*co2_density/Dme_density/1000000+(co2_st_opex_lev+co2_st_invest_lev+co2_st_e_demand*1000*$AU66/100)*Storage!$Q$12/1000000+co2_st_invest_lev*Storage!$Q$12*co2_st_lifetime*M66/1000000+(h2_demand_kt*1000/365.25*short_st_duration_hrs/24)*(h2_short_st_invest*(1/gh2_short_st_lifetime+$M66+h2_short_st_opex)+h2_short_st_e_demand*1000*$AU66/100)/1000000</f>
        <v>5906.2099190184363</v>
      </c>
      <c r="EA66" s="63">
        <f>Dme_st_nl_cost*Dme_st_nl_demand/1000000+(Dme_st_invest*(M66+1/Dme_st_lifetime+Dme_st_opex)/(Storage!$Q$63/1000000)+Dme_st_e_demand*1000*$AU66/100)*(EB66+Dme_st_ab_losses)/1000000+(h2_demand_kt*1000/365.25*short_st_duration_hrs/24)*(h2_short_st_invest*(1/gh2_short_st_lifetime+$M66+h2_short_st_opex)+h2_short_st_e_demand*1000*$AU66/100)/1000000</f>
        <v>2996.6419460650704</v>
      </c>
      <c r="EB66" s="63">
        <f>Storage!$Q$57/((1-Shipping!$R$37)^($F66/24/Shipping!$R$44+0.5*Shipping!$R$59))</f>
        <v>103547089.94708996</v>
      </c>
      <c r="EC66" s="153">
        <f>IF($E66="","No Port",IF(AND(ship_choice="VLCC",G66="Panama"),"Ship cannot pass through Panama",IF(ship_choice="VLCC",((F66/24/Shipping!$AD$44+F66/24/Shipping!$AD$50+Shipping!$AD$59+Shipping!$AD$64)*(Shipping!$AD$22+wacc_nl*Shipping!$AD$19/365.25*1000000+Shipping!$AD$35)+(F66/24/Shipping!$AD$44*Shipping!$AD$45+Shipping!$AD$64*Shipping!$AD$65)*IF(bunker_choice="HFO",$H66,IF(bunker_choice="hydrogen",$BD66*hfo_e_density_lhv/h2_e_density_lhv,(DX66+DZ66)*1000000/EB66*hfo_e_density_lhv/Dme_e_density_lhv))+(F66/24/Shipping!$AD$50*Shipping!$AD$51+Shipping!$AD$59*Shipping!$AD$60)*IF(bunker_choice="HFO",bunker_price_ROT,IF(bunker_choice="hydrogen",$BD66*hfo_e_density_lhv/h2_e_density_lhv,(DX66+DZ66)*1000000/EB66*hfo_e_density_lhv/Dme_e_density_lhv))+Shipping!$AD$73+IF(G66="Panama",Shipping!$AD$55,0)+IF(G66="Suez",Shipping!$AD$56,0))/Shipping!$AD$31*(EB66+Dme_st_ab_losses)/1000000+IF(inland_transport_to_port="hv dc grid",$BM66/100*1000*EE66,IF(inland_transport_to_port="pipeline",$BN66,0)),((F66/24/Shipping!$R$44+F66/24/Shipping!$R$50+Shipping!$R$59+Shipping!$R$64)*(Shipping!$R$22+wacc_nl*Shipping!$R$19/365.25*1000000+Shipping!$R$35)+(F66/24/Shipping!$R$44*Shipping!$R$45+Shipping!$R$64*Shipping!$R$65)*IF(bunker_choice="HFO",$H66,IF(bunker_choice="hydrogen",$BD66*hfo_e_density_lhv/h2_e_density_lhv,(DX66+DZ66)*1000000/EB66*hfo_e_density_lhv/Dme_e_density_lhv))+(F66/24/Shipping!$R$50*Shipping!$R$51+Shipping!$R$59*Shipping!$R$60)*IF(bunker_choice="HFO",bunker_price_ROT,IF(bunker_choice="hydrogen",$BD66*hfo_e_density_lhv/h2_e_density_lhv,(DX66+DZ66)*1000000/EB66*hfo_e_density_lhv/Dme_e_density_lhv))+Shipping!$R$73+IF(G66="Panama",Shipping!$R$55,0)+IF(G66="Suez",Shipping!$R$56,0))/Shipping!$R$31*(EB66+Dme_st_ab_losses)/1000000+IF(inland_transport_to_port="hv dc grid",$BM66/100*1000*EE66,IF(inland_transport_to_port="pipeline",$BN66,0)))))</f>
        <v>9318.1212682995101</v>
      </c>
      <c r="ED66" s="28">
        <f t="shared" si="39"/>
        <v>123221.53583716429</v>
      </c>
      <c r="EE66" s="29">
        <f>(Dme_e_demand)*(EB66+Dme_st_ab_losses)/1000000+Dme_st_e_demand*DZ66/1000000+$CV66*(Carriers!$X$21/Carriers!$X$23*EB66)/$CS66</f>
        <v>1550.2168192291549</v>
      </c>
      <c r="EF66" s="29">
        <f t="shared" si="86"/>
        <v>1.0354708994708997</v>
      </c>
      <c r="EG66" s="28">
        <f>IFERROR(ED66*1000000/Storage!$Q$12,"")</f>
        <v>1190.0048171332242</v>
      </c>
      <c r="EH66" s="28">
        <f>IF($E66="","No Port",((F66/24/Shipping!$R$44+F66/24/Shipping!$R$50+Shipping!$R$59+Shipping!$R$64)*Carriers!$X$39*wacc_nl))</f>
        <v>114.30167164699124</v>
      </c>
      <c r="EI66" s="100">
        <f>H2_retrieval!$P$25*h2_demand_kt/1000+(co2_liq_e_demand+co2_st_e_demand*2)*Storage!$Q$12*co2_density/Dme_density/1000000</f>
        <v>252.45335899349112</v>
      </c>
      <c r="EJ66" s="28">
        <f>IFERROR((((DX66+DZ66+EC66)*(1+H2_retrieval!$P$34)+EH66)*1000000/H2_retrieval!$P$8)+h2_regen_dme,"")</f>
        <v>8868.8308125975364</v>
      </c>
      <c r="EK66" s="149">
        <f>(ome_invest*(M66+1/ome_lifetime)/ome_prod+ome_opex+ome_e_demand*1000*$AU66/100+Carriers!$Z$21/Carriers!$Z$23*(CO66*1000000/CS66))*(EO66+ome_st_ab_losses)/1000000</f>
        <v>194282.34010624987</v>
      </c>
      <c r="EL66" s="86">
        <f>(ome_invest*(M66+1/ome_lifetime)/ome_prod+ome_opex+ome_e_demand*1000*$AU66/100+Carriers!$Z$21/Carriers!$Z$23*(CP66*1000000/CS66))*(EO66+ome_st_ab_losses)/1000000</f>
        <v>239505.4053855931</v>
      </c>
      <c r="EM66" s="63">
        <f>ome_st_nl_cost*ome_st_nl_demand/1000000+(ome_st_invest*(M66+1/ome_st_lifetime+ome_st_opex)/(Storage!$S$63/1000000)+ome_st_e_demand*1000*$AU66/100)*(EO66+ome_st_ab_losses)/1000000+co2_st_nl_cost*Storage!$S$12*co2_density/ome_density/1000000+(co2_st_opex_lev+co2_st_invest_lev+co2_st_e_demand*1000*$AU66/100)*Storage!$S$12/1000000+co2_st_invest_lev*Storage!$S$12*co2_st_lifetime*M66/1000000+(h2_demand_kt*1000/365.25*short_st_duration_hrs/24)*(h2_short_st_invest*(1/gh2_short_st_lifetime+$M66+h2_short_st_opex)+h2_short_st_e_demand*1000*$AU66/100)/1000000</f>
        <v>5064.1843940528388</v>
      </c>
      <c r="EN66" s="63">
        <f>ome_st_nl_cost*ome_st_nl_demand/1000000+(ome_st_invest*(M66+1/ome_st_lifetime+ome_st_opex)/(Storage!$S$63/1000000)+ome_st_e_demand*1000*$AU66/100)*(EO66+ome_st_ab_losses)/1000000+(h2_demand_kt*1000/365.25*short_st_duration_hrs/24)*(h2_short_st_invest*(1/gh2_short_st_lifetime+$M66+h2_short_st_opex)+h2_short_st_e_demand*1000*$AU66/100)/1000000</f>
        <v>1798.543264973116</v>
      </c>
      <c r="EO66" s="63">
        <f>Storage!$S$57/((1-Shipping!$T$37)^($F66/24/Shipping!$T$44+0.5*Shipping!$T$59))</f>
        <v>128282539.68253967</v>
      </c>
      <c r="EP66" s="28">
        <f>IF($E66="","No Port",IF(AND(ship_choice="VLCC",G66="Panama"),"Ship cannot pass through Panama",IF(ship_choice="VLCC",((F66/24/Shipping!$AD$44+F66/24/Shipping!$AD$50+Shipping!$AD$59+Shipping!$AD$64)*(Shipping!$AD$22+wacc_nl*Shipping!$AD$19/365.25*1000000+Shipping!$AD$35)+(F66/24/Shipping!$AD$44*Shipping!$AD$45+Shipping!$AD$64*Shipping!$AD$65)*IF(bunker_choice="HFO",$H66,IF(bunker_choice="hydrogen",$BD66*hfo_e_density_lhv/h2_e_density_lhv,(EK66+EM66)*1000000/EO66*hfo_e_density_lhv/Dme_e_density_lhv))+(F66/24/Shipping!$AD$50*Shipping!$AD$51+Shipping!$AD$59*Shipping!$AD$60)*IF(bunker_choice="HFO",bunker_price_ROT,IF(bunker_choice="hydrogen",$BD66*hfo_e_density_lhv/h2_e_density_lhv,(EK66+EM66)*1000000/EO66*hfo_e_density_lhv/ome_e_density_lhv))+Shipping!$AD$73+IF(G66="Panama",Shipping!$AD$55,0)+IF(G66="Suez",Shipping!$AD$56,0))/Shipping!$AD$31*(EO66+ome_st_ab_losses)/1000000+IF(inland_transport_to_port="hv dc grid",$BM66/100*1000*ER66,IF(inland_transport_to_port="pipeline",$BN66,0)),((F66/24/Shipping!$T$44+F66/24/Shipping!$T$50+Shipping!$T$59+Shipping!$T$64)*(Shipping!$T$22+wacc_nl*Shipping!$T$19/365.25*1000000+Shipping!$T$35)+(F66/24/Shipping!$T$44*Shipping!$T$45+Shipping!$T$64*Shipping!$T$65)*IF(bunker_choice="HFO",$H66,IF(bunker_choice="hydrogen",$BD66*hfo_e_density_lhv/h2_e_density_lhv,(EK66+EM66)*1000000/EO66*hfo_e_density_lhv/Dme_e_density_lhv))+(F66/24/Shipping!$T$50*Shipping!$T$51+Shipping!$T$59*Shipping!$T$60)*IF(bunker_choice="HFO",bunker_price_ROT,IF(bunker_choice="hydrogen",$BD66*hfo_e_density_lhv/h2_e_density_lhv,(EK66+EM66)*1000000/EO66*hfo_e_density_lhv/ome_e_density_lhv))+Shipping!$T$73+IF(G66="Panama",Shipping!$T$55,0)+IF(G66="Suez",Shipping!$T$56,0))/Shipping!$T$31*(EO66+ome_st_ab_losses)/1000000+IF(inland_transport_to_port="hv dc grid",$BM66/100*1000*ER66,IF(inland_transport_to_port="pipeline",$BN66,0)))))</f>
        <v>10179.974191316849</v>
      </c>
      <c r="EQ66" s="28">
        <f t="shared" si="40"/>
        <v>251483.92284188306</v>
      </c>
      <c r="ER66" s="29">
        <f>(ome_e_demand)*(EO66+ome_st_ab_losses)/1000000+ome_st_e_demand*EM66/1000000+$CV66*(Carriers!$Z$21/Carriers!$Z$23*EO66)/$CS66</f>
        <v>3352.0814577370602</v>
      </c>
      <c r="ES66" s="29">
        <f t="shared" si="87"/>
        <v>0.1924238095238095</v>
      </c>
      <c r="ET66" s="28">
        <f>IFERROR(EQ66*1000000/Storage!$S$12,"")</f>
        <v>1960.3908954736116</v>
      </c>
      <c r="EU66" s="28">
        <f>IF($E66="","No Port",((F66/24/Shipping!$T$44+F66/24/Shipping!$T$50+Shipping!$T$59+Shipping!$T$64)*Carriers!$Z$39*wacc_nl))</f>
        <v>130.46506446922839</v>
      </c>
      <c r="EV66" s="100">
        <f>H2_retrieval!$R$25*h2_demand_kt/1000+(co2_liq_e_demand+co2_st_e_demand*2)*Storage!$S$12*co2_density/ome_density/1000000</f>
        <v>254.51942895252085</v>
      </c>
      <c r="EW66" s="28">
        <f>IFERROR((((EK66+EM66+EP66)*(1+H2_retrieval!$R$34)+EU66)*1000000/H2_retrieval!$R$8)+h2_regen_ome,"")</f>
        <v>16586.081760555586</v>
      </c>
      <c r="EX66" s="149">
        <f>(sng_invest*(M66+1/sng_lifetime)/sng_prod+lng_invest*(M66+1/lng_lifetime)/lng_prod+sng_opex+lng_opex+(sng_e_demand+lng_e_demand)*1000*$AU66/100+Carriers!$AB$18/Carriers!$AB$23*BD66+Carriers!$AB$20/Carriers!$AB$23*co2_liq_cost)*(FB66+lng_st_ab_losses)/1000000</f>
        <v>69467.171615398067</v>
      </c>
      <c r="EY66" s="86">
        <f>(sng_invest*(M66+1/sng_lifetime)/sng_prod+lng_invest*(M66+1/lng_lifetime)/lng_prod+sng_opex+lng_opex+(sng_e_demand+lng_e_demand)*1000*$AU66/100+Carriers!$AB$18/Carriers!$AB$23*BD66+Carriers!$AB$20/Carriers!$AB$23*BP66)*(FB66+lng_st_ab_losses)/1000000</f>
        <v>81450.017017999853</v>
      </c>
      <c r="EZ66" s="63">
        <f>lng_st_nl_cost*lng_st_nl_demand/1000000+(lng_st_invest*(M66+1/lng_st_lifetime+lng_st_opex)/(Storage!$U$63/1000000)+lng_st_e_demand*1000*$AU66/100)*(FB66+lng_st_ab_losses)/1000000+co2_st_nl_cost*Storage!$U$12*co2_density/lng_density/1000000+(co2_st_opex_lev+co2_st_invest_lev+co2_st_e_demand*1000*$AU66/100)*Storage!$U$12/1000000+co2_st_invest_lev*Storage!$U$12*co2_st_lifetime*M66/1000000+Carriers!$AB$18/Carriers!$AB$23*((FB66+lng_st_ab_losses)/365.25*short_st_duration_hrs/24)*(h2_short_st_invest*(1/gh2_short_st_lifetime+$M66+h2_short_st_opex)+h2_short_st_e_demand*1000*$AU66/100)/1000000+Carriers!$AB$20/Carriers!$AB$23*((FB66+lng_st_ab_losses)/365.25*short_st_duration_hrs/24)*(co2_short_st_invest*(1/co2_short_st_lifetime+$M66+co2_short_st_opex)+co2_short_st_e_demand*1000*$AU66/100)/1000000</f>
        <v>6292.7553725339576</v>
      </c>
      <c r="FA66" s="63">
        <f>lng_st_nl_cost*lng_st_nl_demand/1000000+(lng_st_invest*(M66+1/lng_st_lifetime+lng_st_opex)/(Storage!$U$63/1000000)+lng_st_e_demand*1000*$AU66/100)*(FB66+lng_st_ab_losses)/1000000+Carriers!$AB$18/Carriers!$AB$23*((FB66+lng_st_ab_losses)/365.25*short_st_duration_hrs/24)*(h2_short_st_invest*(1/gh2_short_st_lifetime+$M66+h2_short_st_opex)+h2_short_st_e_demand*1000*$AU66/100)/1000000+Carriers!$AB$20/Carriers!$AB$23*((FB66+lng_st_ab_losses)/365.25*short_st_duration_hrs/24)*(co2_short_st_invest*(1/co2_short_st_lifetime+$M66+co2_short_st_opex)+co2_short_st_e_demand*1000*$AU66/100)/1000000</f>
        <v>4714.6943120486367</v>
      </c>
      <c r="FB66" s="63">
        <f>Storage!$U$57/((1-Shipping!$V$37)^($F66/24/Shipping!$V$44+0.5*Shipping!$V$59))</f>
        <v>41543347.282367021</v>
      </c>
      <c r="FC66" s="28">
        <f>IF($E66="","No Port",IF(G66="Panama","Ship cannot pass through Panama",((F66/24/Shipping!$V$44+F66/24/Shipping!$V$50+Shipping!$V$59+Shipping!$V$64)*(Shipping!$V$22+wacc_nl*Shipping!$V$19/365.25*1000000+Shipping!$V$35)+(F66/24/Shipping!$V$44*Shipping!$V$45+Shipping!$V$64*Shipping!$V$65)*IF(bunker_choice="HFO",$H66,IF(bunker_choice="hydrogen",$BD66*hfo_e_density_lhv/h2_e_density_lhv,(EX66+EZ66)*1000000/FB66*hfo_e_density_lhv/lng_e_density_lhv))+(F66/24/Shipping!$V$50*Shipping!$V$51+Shipping!$V$59*Shipping!$V$60)*IF(bunker_choice="HFO",bunker_price_ROT,IF(bunker_choice="hydrogen",$BD66*hfo_e_density_lhv/h2_e_density_lhv,(EX66+EZ66)*1000000/FB66*hfo_e_density_lhv/lng_e_density_lhv))+Shipping!$V$73+IF(G66="Panama",Shipping!$V$55,0)+IF(G66="Suez",Shipping!$V$56,0))/Shipping!$V$31*(FB66+lng_st_ab_losses)/1000000)+IF(inland_transport_to_port="hv dc grid",$BM66/100*1000*FE66,IF(inland_transport_to_port="pipeline",$BN66,0)))</f>
        <v>5115.8022530232802</v>
      </c>
      <c r="FD66" s="28">
        <f t="shared" si="41"/>
        <v>91280.513583071777</v>
      </c>
      <c r="FE66" s="29">
        <f>((Carriers!$AB$18/Carriers!$AB$23*alk_el_e_demand)+sng_e_demand+lng_e_demand)*(FB66+lng_st_ab_losses)/1000000+lng_st_e_demand*EZ66/1000000</f>
        <v>1114.1504251637173</v>
      </c>
      <c r="FF66" s="29">
        <f t="shared" si="88"/>
        <v>0.8126185861001558</v>
      </c>
      <c r="FG66" s="28">
        <f>IFERROR(FD66*1000000/Storage!$U$12,"")</f>
        <v>2249.1678487693689</v>
      </c>
      <c r="FH66" s="28">
        <f>IF($E66="","No Port",((F66/24/Shipping!$V$44+F66/24/Shipping!$V$50+Shipping!$V$59+Shipping!$V$64)*Carriers!$AB$39*wacc_nl))</f>
        <v>38.32544960068028</v>
      </c>
      <c r="FI66" s="100">
        <f>H2_retrieval!$T$25*h2_demand_kt/1000+(co2_liq_e_demand+co2_st_e_demand*2)*Storage!$U$12*co2_density/lng_density/1000000</f>
        <v>236.51371749646054</v>
      </c>
      <c r="FJ66" s="28">
        <f>IFERROR((((EX66+EZ66+FC66)*(1+H2_retrieval!$T$34)+FH66)*1000000/H2_retrieval!$T$8)+h2_regen_lng,"")</f>
        <v>7119.6913880899383</v>
      </c>
      <c r="FK66" s="149">
        <f>(lh2_invest*(M66+1/lh2_lifetime)/lh2_prod+lh2_opex+lh2_e_demand*1000*$AU66/100+Carriers!$AD$18/Carriers!$AD$23*BD66)*(FM66+lh2_st_ab_losses)/1000000</f>
        <v>54480.94815748644</v>
      </c>
      <c r="FL66" s="28">
        <f>lh2_st_nl_cost*lh2_st_nl_demand/1000000+(lh2_st_invest*(M66+1/lh2_st_lifetime+lh2_st_opex)/(Storage!$Y$63/1000000)+lh2_st_e_demand*1000*$AU66/100)*(FM66+lh2_st_ab_losses)/1000000+((FM66+lh2_st_ab_losses)/365.25*short_st_duration_hrs/24)*(h2_short_st_invest*(1/gh2_short_st_lifetime+$M66+h2_short_st_opex)+h2_short_st_e_demand*1000*$AU66/100)/1000000</f>
        <v>54945.128323873403</v>
      </c>
      <c r="FM66" s="63">
        <f>Storage!$Y$57/((1-Shipping!$Z$37)^($F66/24/Shipping!$Z$44+0.5*Shipping!$Z$59))</f>
        <v>14111831.107819607</v>
      </c>
      <c r="FN66" s="28">
        <f>IF($E66="","No Port",IF(G66="Panama","Ship cannot pass through Panama",((F66/24/Shipping!$Z$44+F66/24/Shipping!$Z$50+Shipping!$Z$59+Shipping!$Z$64)*(Shipping!$Z$22+wacc_nl*Shipping!$Z$19/365.25*1000000+Shipping!$Z$35)+(F66/24/Shipping!$Z$44*Shipping!$Z$45+Shipping!$Z$64*Shipping!$Z$65)*IF(bunker_choice="HFO",$H66,IF(bunker_choice="hydrogen",$BD66*hfo_e_density_lhv/h2_e_density_lhv,(FK66+FL66)*1000000/FM66*hfo_e_density_lhv/lh2_e_density_lhv))+(F66/24/Shipping!$Z$50*Shipping!$Z$51+Shipping!$Z$59*Shipping!$Z$60)*IF(bunker_choice="HFO",bunker_price_ROT,IF(bunker_choice="hydrogen",$BD66*hfo_e_density_lhv/h2_e_density_lhv,(FK66+FL66)*1000000/FM66*hfo_e_density_lhv/lh2_e_density_lhv))+Shipping!$Z$73+IF(G66="Panama",Shipping!$Z$55,0)+IF(G66="Suez",Shipping!$Z$56,0))/Shipping!$Z$31*(FM66+lh2_st_ab_losses)/1000000)+IF(inland_transport_to_port="hv dc grid",$BM66/100*1000*FP66,IF(inland_transport_to_port="pipeline",$BN66,0)))</f>
        <v>7152.2080870376194</v>
      </c>
      <c r="FO66" s="28">
        <f t="shared" si="42"/>
        <v>116578.28456839746</v>
      </c>
      <c r="FP66" s="29">
        <f>((Carriers!$AD$18/Carriers!$AD$23*alk_el_e_demand)+lh2_e_demand)*(FM66+lh2_st_ab_losses)/1000000+lh2_st_e_demand*FM66/1000000</f>
        <v>817.75071935952428</v>
      </c>
      <c r="FQ66" s="100">
        <f t="shared" si="89"/>
        <v>1.361902463475859</v>
      </c>
      <c r="FR66" s="28">
        <f>IFERROR(FO66*1000000/Storage!$Y$12,"")</f>
        <v>8571.9326888527539</v>
      </c>
      <c r="FS66" s="100">
        <f>H2_retrieval!$V$25*h2_demand_kt/1000</f>
        <v>8.16</v>
      </c>
      <c r="FT66" s="28">
        <f>IFERROR(FR66*(1+H2_retrieval!$V$34)/Carrier_properties!$U$7+H2_retrieval!$V$38,"")</f>
        <v>8603.901414721222</v>
      </c>
      <c r="FU66" s="12"/>
      <c r="FV66" s="24">
        <f t="shared" si="90"/>
        <v>2.5455272572904866</v>
      </c>
      <c r="FW66" s="24" t="str">
        <f t="shared" si="92"/>
        <v/>
      </c>
      <c r="FX66" s="24">
        <f t="shared" si="93"/>
        <v>7.5298325342500787</v>
      </c>
      <c r="FY66" s="24">
        <f t="shared" si="45"/>
        <v>2.5455272572904866</v>
      </c>
      <c r="FZ66" s="28">
        <f t="shared" si="94"/>
        <v>2902.1641106577226</v>
      </c>
      <c r="GA66" s="28">
        <f t="shared" si="47"/>
        <v>658.25593985677926</v>
      </c>
      <c r="GB66" s="28">
        <f t="shared" si="48"/>
        <v>420.65571003008989</v>
      </c>
      <c r="GC66" s="28">
        <f t="shared" si="49"/>
        <v>735.49991134156949</v>
      </c>
      <c r="GD66" s="28">
        <f t="shared" si="50"/>
        <v>1071.0757074821743</v>
      </c>
      <c r="GE66" s="28">
        <f t="shared" si="51"/>
        <v>1867.0148406657388</v>
      </c>
      <c r="GF66" s="28">
        <f t="shared" si="52"/>
        <v>1960.6031373541034</v>
      </c>
      <c r="GG66" s="12"/>
      <c r="GH66" s="12"/>
      <c r="GI66" s="12"/>
      <c r="GJ66" s="12"/>
      <c r="GK66" s="12"/>
      <c r="GL66" s="12"/>
      <c r="GM66" s="12"/>
      <c r="GN66" s="12"/>
      <c r="GO66" s="12"/>
      <c r="GP66" s="12"/>
      <c r="GQ66" s="12"/>
      <c r="GR66" s="12"/>
      <c r="GS66" s="12"/>
      <c r="GT66" s="12"/>
      <c r="GU66" s="12"/>
      <c r="GV66" s="12"/>
      <c r="GW66" s="12"/>
      <c r="GX66" s="12"/>
      <c r="GY66" s="12"/>
      <c r="GZ66" s="12"/>
      <c r="HA66" s="12"/>
      <c r="HB66" s="12"/>
      <c r="HC66" s="12"/>
      <c r="HD66" s="12"/>
      <c r="HE66" s="12"/>
      <c r="HF66" s="12"/>
    </row>
    <row r="67" spans="1:214" x14ac:dyDescent="0.2">
      <c r="A67" s="40" t="s">
        <v>71</v>
      </c>
      <c r="B67" s="12">
        <v>11336</v>
      </c>
      <c r="C67" s="12">
        <v>1</v>
      </c>
      <c r="D67" s="12">
        <f t="shared" si="61"/>
        <v>0</v>
      </c>
      <c r="E67" s="12" t="s">
        <v>735</v>
      </c>
      <c r="F67" s="12">
        <v>8550</v>
      </c>
      <c r="G67" s="12" t="s">
        <v>692</v>
      </c>
      <c r="H67" s="16">
        <f t="shared" si="62"/>
        <v>382.75862068965517</v>
      </c>
      <c r="I67" s="16">
        <v>1811570</v>
      </c>
      <c r="J67" s="16">
        <f t="shared" si="31"/>
        <v>759.36858014667007</v>
      </c>
      <c r="K67" s="27">
        <f t="shared" si="32"/>
        <v>911.24229617600406</v>
      </c>
      <c r="L67" s="103">
        <v>0.13200000000000001</v>
      </c>
      <c r="M67" s="103">
        <f t="shared" si="63"/>
        <v>0.13477245498904242</v>
      </c>
      <c r="N67" s="122">
        <f t="shared" si="33"/>
        <v>0.8</v>
      </c>
      <c r="O67" s="46">
        <f t="shared" si="64"/>
        <v>40</v>
      </c>
      <c r="P67" s="70">
        <f t="array" ref="P67">SUMPRODUCT(IF(Solar_data!A$4:A$777=A67,Solar_data!C$4:C$777),IF(Solar_data!A$4:A$777=A67,Solar_data!I$4:I$777))/SUMIF(Solar_data!A$4:A$777,A67,Solar_data!I$4:I$777)</f>
        <v>1806.1763137772009</v>
      </c>
      <c r="Q67" s="16">
        <f t="array" ref="Q67">MAX(IF(Solar_data!$A$777:'Solar_data'!$A$4=Country_details!$A67,Solar_data!$C$4:'Solar_data'!$C$777))</f>
        <v>2463.75</v>
      </c>
      <c r="R67" s="16">
        <f t="array" ref="R67">MIN(IF(Solar_data!$A$777:'Solar_data'!$A$4=Country_details!A67,Solar_data!$C$4:'Solar_data'!$C$777))</f>
        <v>1551.25</v>
      </c>
      <c r="S67" s="24">
        <f t="shared" si="65"/>
        <v>2.9754863630528092</v>
      </c>
      <c r="T67" s="24">
        <f t="shared" si="66"/>
        <v>2.1813304884477134</v>
      </c>
      <c r="U67" s="24">
        <f t="shared" si="67"/>
        <v>3.4644660698875454</v>
      </c>
      <c r="V67" s="16">
        <f t="array" ref="V67">SUM(IF(Solar_data!$A$777:'Solar_data'!$A$4=Country_details!$A67,Solar_data!$I$4:'Solar_data'!$I$777))</f>
        <v>11923.178019941504</v>
      </c>
      <c r="W67" s="148"/>
      <c r="X67" s="16">
        <f>IFERROR(INDEX(Onshore_wind_data!$J$5:'Onshore_wind_data'!$J$221,MATCH(A67,Onshore_wind_data!$B$5:'Onshore_wind_data'!$B$221,0)),"")</f>
        <v>3256.8688193715275</v>
      </c>
      <c r="Y67" s="16">
        <f>IFERROR(INDEX(Onshore_wind_data!$K$5:'Onshore_wind_data'!$K$221,MATCH(A67,Onshore_wind_data!$B$5:'Onshore_wind_data'!$B$221,0)),"")</f>
        <v>3971</v>
      </c>
      <c r="Z67" s="16">
        <f>IFERROR(INDEX(Onshore_wind_data!$L$5:'Onshore_wind_data'!$L$221,MATCH(A67,Onshore_wind_data!$B$5:'Onshore_wind_data'!$B$221,0)),"")</f>
        <v>2847.5</v>
      </c>
      <c r="AA67" s="24">
        <f t="shared" si="68"/>
        <v>4.6586998387531837</v>
      </c>
      <c r="AB67" s="24">
        <f t="shared" si="69"/>
        <v>3.8208950500242778</v>
      </c>
      <c r="AC67" s="24">
        <f t="shared" si="70"/>
        <v>5.3284545192788091</v>
      </c>
      <c r="AD67" s="16">
        <f>IFERROR(INDEX(Onshore_wind_data!$I$5:'Onshore_wind_data'!$I$221,MATCH(A67,Onshore_wind_data!$B$5:'Onshore_wind_data'!$B$221,0)),"")</f>
        <v>31.223931943499998</v>
      </c>
      <c r="AE67" s="148"/>
      <c r="AF67" s="16">
        <f>INDEX(Offshore_wind_data!$AA$7:$AA$192,MATCH(Country_details!A67,Offshore_wind_data!$A$7:$A$192,0))</f>
        <v>3472.2432180889032</v>
      </c>
      <c r="AG67" s="16">
        <f>INDEX(Offshore_wind_data!$Y$7:$Y$192,MATCH(Country_details!A67,Offshore_wind_data!$A$7:$A$192,0))</f>
        <v>3854.4</v>
      </c>
      <c r="AH67" s="16">
        <f>INDEX(Offshore_wind_data!$Z$7:$Z$192,MATCH(Country_details!A67,Offshore_wind_data!$A$7:$A$192,0))</f>
        <v>3153.6</v>
      </c>
      <c r="AI67" s="24">
        <f t="shared" si="71"/>
        <v>8.2563754604277619</v>
      </c>
      <c r="AJ67" s="24">
        <f t="shared" si="72"/>
        <v>7.4377707810465807</v>
      </c>
      <c r="AK67" s="24">
        <f t="shared" si="73"/>
        <v>9.0906087323902653</v>
      </c>
      <c r="AL67" s="16">
        <f>INDEX(Offshore_wind_data!$W$7:$W$191,MATCH(A67,Offshore_wind_data!$A$7:$A$191,0))</f>
        <v>4864.8905279999999</v>
      </c>
      <c r="AM67" s="148"/>
      <c r="AN67" s="12">
        <v>264</v>
      </c>
      <c r="AO67" s="12">
        <v>321.60000000000002</v>
      </c>
      <c r="AP67" s="34">
        <f>0.85*11.63</f>
        <v>9.8855000000000004</v>
      </c>
      <c r="AQ67" s="15">
        <f t="shared" si="74"/>
        <v>50</v>
      </c>
      <c r="AR67" s="12">
        <f t="shared" si="34"/>
        <v>16080.000000000002</v>
      </c>
      <c r="AS67" s="16">
        <f t="shared" si="35"/>
        <v>739.29247988500174</v>
      </c>
      <c r="AT67" s="12"/>
      <c r="AU67" s="24">
        <f t="shared" si="75"/>
        <v>4.058235053058115</v>
      </c>
      <c r="AV67" s="16">
        <f t="shared" si="76"/>
        <v>5063.0451331487284</v>
      </c>
      <c r="AW67" s="149">
        <f>HV_DC_Grid!$E$3/(1-AX67)*AU67/100*1000</f>
        <v>5143.5728928436183</v>
      </c>
      <c r="AX67" s="31">
        <f>(1-(1-HV_DC_Grid!$E$25)^(B67*C67*HV_DC_Grid!$E$8/1000))+(1-(1-HV_DC_Grid!$E$26)^(B67*D67*HV_DC_Grid!$E$8/1000))+HV_DC_Grid!$E$35*HV_DC_Grid!$E$28</f>
        <v>0.21100854647079281</v>
      </c>
      <c r="AY67" s="28">
        <f>B67*nl_e_demand/IF(hv_dc_flh="electricity FLH",$AV67,hv_dc_custom)*1000*hv_dc_capacity_multiplier*hv_dc_length_multiplier*1000*(C67*hv_dc_overhead_invest*(hv_dc_overhead_opex+M67+1/hv_dc_lifetime)+D67*hv_dc_sea_invest*(hv_dc_sea_opex+M67+1/hv_dc_lifetime))/1000000+HV_DC_Grid!$E$10*1000*hv_dc_station_invest*hv_dc_station_number*(hv_dc_station_opex+M67+1/hv_dc_lifetime)/1000000</f>
        <v>10609.773383881617</v>
      </c>
      <c r="AZ67" s="24">
        <f>(AW67+AY67)/(HV_DC_Grid!$E$3*1000)*100</f>
        <v>15.753346276725235</v>
      </c>
      <c r="BA67" s="28">
        <f>MIN(((Carriers!$F$26+Carriers!$F$27)*(alk_el_opex+wacc_nl+1/alk_el_lifetime)+IF(hv_dc_flh="electricity FLH",$AV67,hv_dc_custom)*AZ67/100)/(IF(hv_dc_flh="electricity FLH",$AV67,hv_dc_custom)/alk_el_e_demand)*1000,((Carriers!$H$26+Carriers!$H$27)*(pem_el_opex+wacc_nl+1/pem_el_lifetime)+IF(hv_dc_flh="electricity FLH",$AV67,hv_dc_custom)*AZ67/100)/(IF(hv_dc_flh="electricity FLH",$AV67,hv_dc_custom)/pem_el_e_demand)*1000)</f>
        <v>8390.4307054615529</v>
      </c>
      <c r="BB67" s="12"/>
      <c r="BC67" s="12"/>
      <c r="BD67" s="149">
        <f>MIN(((Carriers!$F$26+Carriers!$F$27)*(alk_el_opex+M67+1/alk_el_lifetime)+$AV67*$AU67/100)/($AV67/alk_el_e_demand)*1000,((Carriers!$H$26+Carriers!$H$27)*(pem_el_opex+M67+1/pem_el_lifetime)+$AV67*$AU67/100)/($AV67/pem_el_e_demand)*1000)</f>
        <v>2788.2135237368548</v>
      </c>
      <c r="BE67" s="28">
        <f>Storage!$AC$50</f>
        <v>8.1664117557772418</v>
      </c>
      <c r="BF67" s="28">
        <f>((Pipeline!$D$22*Pipeline!$D$24*B67*(pipeline_opex+M67+1/pipeline_lifetime))*(Pipeline!$D$39/Pipeline!$D$3)+(Pipeline!$D$57*(pipeline_comp_opex+M67+1/pipeline_comp_lifetime)+Pipeline!$D$47*1000*Pipeline!$D$45*$AU67/100/1000000))*(Pipeline!$D$75/Pipeline!$D$45)</f>
        <v>26760.70155031174</v>
      </c>
      <c r="BG67" s="28">
        <f>BD67+(BE67+BF67)/Storage!$AC$12*1000000</f>
        <v>4756.5126385947606</v>
      </c>
      <c r="BH67" s="28"/>
      <c r="BI67" s="28"/>
      <c r="BJ67" s="28">
        <f>IF($E67="","No Port",BK67*HV_DC_Grid!$E$3*$AU67/100*1000)</f>
        <v>127.76420778787629</v>
      </c>
      <c r="BK67" s="31">
        <f>IFERROR((1-(1-HV_DC_Grid!$E$25)^(K67*HV_DC_Grid!$E$8/1000))+HV_DC_Grid!$E$35*HV_DC_Grid!$E$28,"")</f>
        <v>3.148270273098118E-2</v>
      </c>
      <c r="BL67" s="28">
        <f>IFERROR(K67*nl_e_demand/IF(hv_dc_flh="electricity FLH",$AV67,hv_dc_custom)*1000*hv_dc_capacity_multiplier*hv_dc_length_multiplier*1000*(hv_dc_overhead_invest*(hv_dc_overhead_opex+M67+1/hv_dc_lifetime))/1000000+HV_DC_Grid!$E$10*1000*hv_dc_station_invest*hv_dc_station_number*(hv_dc_station_opex+M67+1/hv_dc_lifetime)/1000000,"")</f>
        <v>1265.0355654085961</v>
      </c>
      <c r="BM67" s="29">
        <f>IFERROR((BJ67+BL67)/(HV_DC_Grid!$E$3*1000)*100,"")</f>
        <v>1.3927997731964725</v>
      </c>
      <c r="BN67" s="28">
        <f>IFERROR(((Pipeline!$D$22*Pipeline!$D$24*K67*(pipeline_opex+M67+1/pipeline_lifetime))*(Pipeline!$D$39/Pipeline!$D$3)+(Pipeline!$D$57*(pipeline_comp_opex+M67+1/pipeline_comp_lifetime)+Pipeline!$D$47*1000*Pipeline!$D$45*S67/100/1000000))*(Pipeline!$D$75/Pipeline!$D$45),"")</f>
        <v>2237.4219324014912</v>
      </c>
      <c r="BO67" s="28"/>
      <c r="BP67" s="150">
        <f t="shared" si="77"/>
        <v>126.20652028634083</v>
      </c>
      <c r="BQ67" s="34">
        <f t="shared" si="78"/>
        <v>36.926814684714024</v>
      </c>
      <c r="BR67" s="151">
        <f>(nh3_invest*(M67+1/nh3_lifetime)/nh3_prod+nh3_opex+nh3_e_demand*1000*$AU67/100+Carriers!$N$18/Carriers!$N$23*BD67+Carriers!$N$19/Carriers!$N$23*BQ67)*(BT67+nh3_st_ab_losses)/1000000</f>
        <v>53215.414936774796</v>
      </c>
      <c r="BS67" s="63">
        <f>nh3_st_nl_cost*nh3_st_nl_demand/1000000+(nh3_st_invest*(M67+1/nh3_st_lifetime+nh3_st_opex)/(Storage!$G$63/1000000)+nh3_st_e_demand*1000*$AU67/100)*(BT67+nh3_st_ab_losses)/1000000+Carriers!$N$18/Carriers!$N$23*((BT67+nh3_st_ab_losses)/365.25*short_st_duration_hrs/24)*(h2_short_st_invest*(1/gh2_short_st_lifetime+$M67+h2_short_st_opex)+h2_short_st_e_demand*1000*$AU67/100)/1000000+Carriers!$N$19/Carriers!$N$23*((BT67+nh3_st_ab_losses)/365.25*short_st_duration_hrs/24)*(n2_short_st_invest*(1/n2_short_st_lifetime+$M67+n2_short_st_opex)+n2_short_st_e_demand*1000*$AU67/100)/1000000</f>
        <v>3625.1440768823672</v>
      </c>
      <c r="BT67" s="63">
        <f>Storage!$G$57/((1-Shipping!$H$37)^(F67/24/Shipping!$H$44+0.5*Shipping!$H$59))</f>
        <v>81124143.485861138</v>
      </c>
      <c r="BU67" s="63">
        <f>IF($E67="","No Port",((F67/24/Shipping!$H$44+F67/24/Shipping!$H$50+Shipping!$H$59+Shipping!$H$64)*(Shipping!$H$22+wacc_nl*Shipping!$H$19/365.25*1000000+Shipping!$H$35)+(F67/24/Shipping!$H$44*Shipping!$H$45+Shipping!$H$64*Shipping!$H$65)*IF(bunker_choice="HFO",H67,IF(bunker_choice="hydrogen",BD67*hfo_e_density_lhv/h2_e_density_lhv,(BR67+BS67)*1000000/BT67*hfo_e_density_lhv/nh3_e_density_lhv))+(F67/24/Shipping!$H$50*Shipping!$H$51+Shipping!$H$59*Shipping!$H$60)*IF(bunker_choice="HFO",bunker_price_ROT,IF(bunker_choice="hydrogen",BD67*hfo_e_density_lhv/h2_e_density_lhv,(BR67+BS67)*1000000/BT67*hfo_e_density_lhv/nh3_e_density_lhv))+Shipping!$H$73+IF(G67="Panama",Shipping!$H$55,0)+IF(G67="Suez",Shipping!$H$56,0))/Shipping!$H$31*BT67/1000000+IF(inland_transport_to_port="hv dc grid",$BM67/100*1000*BW67,IF(inland_transport_to_port="pipeline",$BN67,0)))</f>
        <v>8172.3982095159072</v>
      </c>
      <c r="BV67" s="63">
        <f t="shared" si="91"/>
        <v>65012.957223173071</v>
      </c>
      <c r="BW67" s="33">
        <f>((Carriers!$N$18/Carriers!$N$23*alk_el_e_demand)+(Carriers!$N$19/Carriers!$N$23*n2_e_demand)+nh3_e_demand)*(BT67+nh3_st_ab_losses)/1000000+nh3_st_e_demand*BT67/1000000</f>
        <v>801.10480248922102</v>
      </c>
      <c r="BX67" s="33">
        <f t="shared" si="79"/>
        <v>0.76626754477640768</v>
      </c>
      <c r="BY67" s="63">
        <f>IFERROR(BV67*1000000/Storage!$G$12,"")</f>
        <v>849.14369438161418</v>
      </c>
      <c r="BZ67" s="63">
        <f>H2_retrieval!$F$25*h2_demand_kt/1000</f>
        <v>80</v>
      </c>
      <c r="CA67" s="63">
        <f>IFERROR(BY67*(1+H2_retrieval!$F$34)/Carrier_properties!$E$7+H2_retrieval!$F$38,"")</f>
        <v>5189.5904813476382</v>
      </c>
      <c r="CB67" s="149">
        <f>(FA_invest*(M67+1/FA_lifetime)/FA_prod+FA_opex+FA_e_demand*1000*$AU67/100+Carriers!$P$18/Carriers!$P$23*BD67+Carriers!$P$20/Carriers!$P$23*co2_liq_cost)*(CF67+FA_st_ab_losses)/1000000</f>
        <v>117195.32808322895</v>
      </c>
      <c r="CC67" s="86">
        <f>(FA_invest*(M67+1/FA_lifetime)/FA_prod+FA_opex+FA_e_demand*1000*$AU67/100+Carriers!$P$18/Carriers!$P$23*BD67+Carriers!$P$20/Carriers!$P$23*BP67)*(CF67+FA_st_ab_losses)/1000000</f>
        <v>147847.18508751367</v>
      </c>
      <c r="CD67" s="63">
        <f>FA_st_nl_cost*FA_st_nl_demand/1000000+(FA_st_invest*(M67+1/FA_st_lifetime+FA_st_opex)/(Storage!$I$63/1000000)+FA_st_e_demand*1000*$AU67/100)*(CF67+FA_st_ab_losses)/1000000+co2_st_nl_cost*Storage!$I$12*co2_density/FA_density/1000000+(co2_st_opex_lev+co2_st_invest_lev+co2_st_e_demand*1000*$AU67/100)*Storage!$I$12/1000000+co2_st_invest_lev*Storage!$I$12*co2_st_lifetime*M67/1000000+Carriers!$P$18/Carriers!$P$23*((CF67+FA_st_ab_losses)/365.25*short_st_duration_hrs/24)*(h2_short_st_invest*(1/gh2_short_st_lifetime+$M67+h2_short_st_opex)+h2_short_st_e_demand*1000*$AU67/100)/1000000+Carriers!$P$20/Carriers!$P$23*((CF67+FA_st_ab_losses)/365.25*short_st_duration_hrs/24)*(co2_short_st_invest*(1/co2_short_st_lifetime+$M67+co2_short_st_opex)+co2_short_st_e_demand*1000*$AU67/100)/1000000</f>
        <v>12528.295042007861</v>
      </c>
      <c r="CE67" s="63">
        <f>FA_st_nl_cost*FA_st_nl_demand/1000000+(FA_st_invest*(M67+1/FA_st_lifetime+FA_st_opex)/(Storage!$I$63/1000000)+FA_st_e_demand*1000*$AU67/100)*(CF67+FA_st_ab_losses)/1000000+Carriers!$P$18/Carriers!$P$23*((CF67+FA_st_ab_losses)/365.25*short_st_duration_hrs/24)*(h2_short_st_invest*(1/gh2_short_st_lifetime+$M67+h2_short_st_opex)+h2_short_st_e_demand*1000*$AU67/100)/1000000+Carriers!$P$20/Carriers!$P$23*((CF67+FA_st_ab_losses)/365.25*short_st_duration_hrs/24)*(co2_short_st_invest*(1/co2_short_st_lifetime+$M67+co2_short_st_opex)+co2_short_st_e_demand*1000*$AU67/100)/1000000</f>
        <v>5272.8125779512511</v>
      </c>
      <c r="CF67" s="63">
        <f>Storage!$I$57/((1-Shipping!$J$37)^($F67/24/Shipping!$J$44+0.5*Shipping!$J$59))</f>
        <v>310425396.82539684</v>
      </c>
      <c r="CG67" s="28">
        <f>IF($E67="","No Port",((F67/24/Shipping!$J$44+F67/24/Shipping!$J$50+Shipping!$J$59+Shipping!$J$64)*(Shipping!$J$22+wacc_nl*Shipping!$J$19/365.25*1000000+Shipping!$J$35)+(F67/24/Shipping!$J$44*Shipping!$J$45+Shipping!$J$64*Shipping!$J$65)*IF(bunker_choice="HFO",$H67,IF(bunker_choice="hydrogen",$BD67*hfo_e_density_lhv/h2_e_density_lhv,(CB67+CD67)*1000000/CF67*hfo_e_density_lhv/FA_e_density_lhv))+(F67/24/Shipping!$J$50*Shipping!$J$51+Shipping!$J$59*Shipping!$J$60)*IF(bunker_choice="HFO",bunker_price_ROT,IF(bunker_choice="hydrogen",$BD67*hfo_e_density_lhv/h2_e_density_lhv,(CB67+CD67)*1000000/CF67*hfo_e_density_lhv/FA_e_density_lhv))+Shipping!$J$73+IF(G67="Panama",Shipping!$J$55,0)+IF(G67="Suez",Shipping!$J$56,0))/Shipping!$J$31*CF67/1000000+IF(inland_transport_to_port="hv dc grid",$BM67/100*1000*CI67,IF(inland_transport_to_port="pipeline",$BN67,0)))</f>
        <v>27581.406636320939</v>
      </c>
      <c r="CH67" s="28">
        <f t="shared" si="36"/>
        <v>180701.40430178586</v>
      </c>
      <c r="CI67" s="29">
        <f>((Carriers!$P$18/Carriers!$P$23*alk_el_e_demand)+FA_e_demand)*(CF67+FA_st_ab_losses)/1000000+FA_st_e_demand*CF67/1000000</f>
        <v>1897.8881241622576</v>
      </c>
      <c r="CJ67" s="29">
        <f t="shared" si="80"/>
        <v>0.46563809523809524</v>
      </c>
      <c r="CK67" s="28">
        <f>IFERROR(CH67*1000000/Storage!$I$12,"")</f>
        <v>582.10895806126302</v>
      </c>
      <c r="CL67" s="28">
        <f>IF($E67="","No Port",((F67/24/Shipping!$J$44+F67/24/Shipping!$J$50+Shipping!$J$59+Shipping!$J$64)*Carriers!$P$39*wacc_nl))</f>
        <v>399.09214437497957</v>
      </c>
      <c r="CM67" s="29">
        <f>H2_retrieval!$H$25*h2_demand_kt/1000+(co2_liq_e_demand+co2_st_e_demand*2)*Storage!$I$12*co2_density/FA_density/1000000</f>
        <v>94.204253879484654</v>
      </c>
      <c r="CN67" s="28">
        <f>IFERROR((((CB67+CD67+CG67)*(1+H2_retrieval!$H$34)+CL67)*1000000/H2_retrieval!$H$8)+h2_regen_fa,"")</f>
        <v>11685.578684379654</v>
      </c>
      <c r="CO67" s="149">
        <f>(meoh_invest*(M67+1/meoh_lifetime)/meoh_prod+meoh_opex+meoh_e_demand*1000*$AU67/100+Carriers!$R$18/Carriers!$R$23*BD67+Carriers!$R$20/Carriers!$R$23*co2_liq_cost)*(CS67+meoh_st_ab_losses)/1000000</f>
        <v>61989.56406172931</v>
      </c>
      <c r="CP67" s="86">
        <f>(meoh_invest*(M67+1/meoh_lifetime)/meoh_prod+meoh_opex+meoh_e_demand*1000*$AU67/100+Carriers!$R$18/Carriers!$R$23*BD67+Carriers!$R$20/Carriers!$R$23*BP67)*(CS67+meoh_st_ab_losses)/1000000</f>
        <v>79983.150402360174</v>
      </c>
      <c r="CQ67" s="63">
        <f>meoh_st_nl_cost*meoh_st_nl_demand/1000000+(meoh_st_invest*(M67+1/meoh_st_lifetime+meoh_st_opex)/(Storage!$K$63/1000000)+meoh_st_e_demand*1000*$AU67/100)*(CS67+meoh_st_ab_losses)/1000000+co2_st_nl_cost*Storage!$K$12*co2_density/meoh_density/1000000+(co2_st_opex_lev+co2_st_invest_lev+co2_st_e_demand*1000*IFERROR(MIN(S67,AA67,AI67),S67)/100)*Storage!$K$12/1000000+co2_st_invest_lev*Storage!$K$12*co2_st_lifetime*M67/1000000+Carriers!$R$18/Carriers!$R$23*((CS67+meoh_st_ab_losses)/365.25*short_st_duration_hrs/24)*(h2_short_st_invest*(1/gh2_short_st_lifetime+$M67+h2_short_st_opex)+h2_short_st_e_demand*1000*$AU67/100)/1000000+Carriers!$R$20/Carriers!$R$23*((CF67+meoh_st_ab_losses)/365.25*short_st_duration_hrs/24)*(co2_short_st_invest*(1/co2_short_st_lifetime+$M67+co2_short_st_opex)+co2_short_st_e_demand*1000*$AU67/100)/1000000</f>
        <v>5096.2662078061703</v>
      </c>
      <c r="CR67" s="63">
        <f>meoh_st_nl_cost*meoh_st_nl_demand/1000000+(meoh_st_invest*(M67+1/meoh_st_lifetime+meoh_st_opex)/(Storage!$K$63/1000000)+meoh_st_e_demand*1000*$AU67/100)*(CS67+meoh_st_ab_losses)/1000000+Carriers!$R$18/Carriers!$R$23*((CS67+meoh_st_ab_losses)/365.25*short_st_duration_hrs/24)*(h2_short_st_invest*(1/gh2_short_st_lifetime+$M67+h2_short_st_opex)+h2_short_st_e_demand*1000*$AU67/100)/1000000+Carriers!$R$20/Carriers!$R$23*((CF67+meoh_st_ab_losses)/365.25*short_st_duration_hrs/24)*(co2_short_st_invest*(1/co2_short_st_lifetime+$M67+co2_short_st_opex)+co2_short_st_e_demand*1000*$AU67/100)/1000000</f>
        <v>2088.9623921487055</v>
      </c>
      <c r="CS67" s="63">
        <f>Storage!$K$57/((1-Shipping!$L$37)^($F67/24/Shipping!$L$44+0.5*Shipping!$L$59))</f>
        <v>108044444.44444443</v>
      </c>
      <c r="CT67" s="28">
        <f>IF($E67="","No Port",IF(AND(ship_choice="VLCC",G67="Panama"),"Ship cannot pass through Panama",IF(ship_choice="VLCC",((F67/24/Shipping!$AD$44+F67/24/Shipping!$AD$50+Shipping!$AD$59+Shipping!$AD$64)*(Shipping!$AD$22+wacc_nl*Shipping!$AD$19/365.25*1000000+Shipping!$AD$35)+(F67/24/Shipping!$AD$44*Shipping!$AD$45+Shipping!$AD$64*Shipping!$AD$65)*IF(bunker_choice="HFO",$H67,IF(bunker_choice="hydrogen",$BD67*hfo_e_density_lhv/h2_e_density_lhv,(CO67+CQ67)*1000000/CS67*hfo_e_density_lhv/meoh_e_density_lhv))+(F67/24/Shipping!$AD$50*Shipping!$AD$51+Shipping!$AD$59*Shipping!$AD$60)*IF(bunker_choice="HFO",bunker_price_ROT,IF(bunker_choice="hydrogen",$BD67*hfo_e_density_lhv/h2_e_density_lhv,(CO67+CQ67)*1000000/CS67*hfo_e_density_lhv/meoh_e_density_lhv))+Shipping!$AD$73+IF(G67="Panama",Shipping!$AD$55,0)+IF(G67="Suez",Shipping!$AD$56,0))/Shipping!$AD$31*CS67/1000000+IF(inland_transport_to_port="hv dc grid",$BM67/100*1000*CV67,IF(inland_transport_to_port="pipeline",$BN67,0)),((F67/24/Shipping!$L$44+F67/24/Shipping!$L$50+Shipping!$L$59+Shipping!$L$64)*(Shipping!$L$22+wacc_nl*Shipping!$L$19/365.25*1000000+Shipping!$L$35)+(F67/24/Shipping!$L$44*Shipping!$L$45+Shipping!$L$64*Shipping!$L$65)*IF(bunker_choice="HFO",$H67,IF(bunker_choice="hydrogen",$BD67*hfo_e_density_lhv/h2_e_density_lhv,(CO67+CQ67)*1000000/CS67*hfo_e_density_lhv/meoh_e_density_lhv))+(F67/24/Shipping!$L$50*Shipping!$L$51+Shipping!$L$59*Shipping!$L$60)*IF(bunker_choice="HFO",bunker_price_ROT,IF(bunker_choice="hydrogen",$BD67*hfo_e_density_lhv/h2_e_density_lhv,(CO67+CQ67)*1000000/CS67*hfo_e_density_lhv/meoh_e_density_lhv))+Shipping!$L$73+IF(G67="Panama",Shipping!$L$55,0)+IF(G67="Suez",Shipping!$L$56,0))/Shipping!$L$31*CS67/1000000+IF(inland_transport_to_port="hv dc grid",$BM67/100*1000*CV67,IF(inland_transport_to_port="pipeline",$BN67,0)))))</f>
        <v>10637.034274607693</v>
      </c>
      <c r="CU67" s="28">
        <f t="shared" si="37"/>
        <v>92709.147069116574</v>
      </c>
      <c r="CV67" s="29">
        <f>((Carriers!$R$18/Carriers!$R$23*alk_el_e_demand)+meoh_e_demand)*(CS67+meoh_st_ab_losses)/1000000+meoh_st_e_demand*CS67/1000000</f>
        <v>1119.9789871111109</v>
      </c>
      <c r="CW67" s="29">
        <f t="shared" si="81"/>
        <v>0.16206666666666666</v>
      </c>
      <c r="CX67" s="28">
        <f>IFERROR(CU67*1000000/Storage!$K$12,"")</f>
        <v>858.06491528388449</v>
      </c>
      <c r="CY67" s="28">
        <f>IF($E67="","No Port",((F67/24/Shipping!$L$44+F67/24/Shipping!$L$50+Shipping!$L$59+Shipping!$L$64)*Carriers!$R$39*wacc_nl))</f>
        <v>143.15781425450984</v>
      </c>
      <c r="CZ67" s="29">
        <f>H2_retrieval!$J$25*h2_demand_kt/1000+(co2_liq_e_demand+co2_st_e_demand*2)*Storage!$K$12*co2_density/meoh_density/1000000</f>
        <v>251.05079059698966</v>
      </c>
      <c r="DA67" s="28">
        <f>IFERROR((((CO67+CQ67+CT67)*(1+H2_retrieval!$J$34)+CY67)*1000000/H2_retrieval!$J$8)+h2_regen_meoh,"")</f>
        <v>6895.5713636665332</v>
      </c>
      <c r="DB67" s="149">
        <f>(DBT_invest*(M67+1/DBT_lifetime)/DBT_prod+DBT_opex+DBT_e_demand*1000*$AU67/100+Carriers!$T$18/Carriers!$T$23*BD67)*(DD67+DBT_st_ab_losses)/1000000</f>
        <v>41360.287728270458</v>
      </c>
      <c r="DC67" s="28">
        <f>2*(DBT_st_nl_cost*DBT_st_nl_demand/1000000+(DBT_st_invest*(M67+1/DBT_st_lifetime+DBT_st_opex)/(Storage!$M$63/1000000)+DBT_st_e_demand*1000*$AU67/100)*(DD67+DBT_st_ab_losses)/1000000)+Carriers!$T$18/Carriers!$T$23*((DD67+DBT_st_ab_losses)/365.25*short_st_duration_hrs/24)*(h2_short_st_invest*(1/gh2_short_st_lifetime+$M67+h2_short_st_opex)+h2_short_st_e_demand*1000*$AU67/100)/1000000</f>
        <v>4286.4752199665563</v>
      </c>
      <c r="DD67" s="63">
        <f>Storage!$M$57/((1-Shipping!$N$37)^($F67/24/Shipping!$N$44+0.5*Shipping!$N$59))</f>
        <v>219354838.70967743</v>
      </c>
      <c r="DE67" s="28">
        <f>IF($E67="","No Port",IF(AND(ship_choice="VLCC",G67="Panama"),"Ship cannot pass through Panama",IF(ship_choice="VLCC",((F67/24/Shipping!$AD$44+F67/24/Shipping!$AD$50+Shipping!$AD$59+Shipping!$AD$64)*(Shipping!$AD$22+wacc_nl*Shipping!$AD$19/365.25*1000000+Shipping!$AD$35)+(F67/24/Shipping!$AD$44*Shipping!$AD$45+Shipping!$AD$64*Shipping!$AD$65)*IF(bunker_choice="HFO",$H67,IF(bunker_choice="hydrogen",$BD67*hfo_e_density_lhv/h2_e_density_lhv,(DB67+DC67)*1000000/DD67*hfo_e_density_lhv/DBT_e_density_lhv))+(F67/24/Shipping!$AD$50*Shipping!$AD$51+Shipping!$AD$59*Shipping!$AD$60)*IF(bunker_choice="HFO",bunker_price_ROT,IF(bunker_choice="hydrogen",$BD67*hfo_e_density_lhv/h2_e_density_lhv,(DB67+DC67)*1000000/DD67*hfo_e_density_lhv/DBT_e_density_lhv))+Shipping!$AD$73+IF(G67="Panama",Shipping!$AD$55,0)+IF(G67="Suez",Shipping!$AD$56,0))/Shipping!$AD$31*DD67/1000000+IF(inland_transport_to_port="hv dc grid",$BM67/100*1000*DG67,IF(inland_transport_to_port="pipeline",$BN67,0)),((F67/24/Shipping!$N$44+F67/24/Shipping!$N$50+Shipping!$N$59+Shipping!$N$64)*(Shipping!$N$22+wacc_nl*Shipping!$N$19/365.25*1000000+Shipping!$N$35)+(F67/24/Shipping!$N$44*Shipping!$N$45+Shipping!$N$64*Shipping!$N$65)*IF(bunker_choice="HFO",$H67,IF(bunker_choice="hydrogen",$BD67*hfo_e_density_lhv/h2_e_density_lhv,(DB67+DC67)*1000000/DD67*hfo_e_density_lhv/DBT_e_density_lhv))+(F67/24/Shipping!$N$50*Shipping!$N$51+Shipping!$N$59*Shipping!$N$60)*IF(bunker_choice="HFO",bunker_price_ROT,IF(bunker_choice="hydrogen",$BD67*hfo_e_density_lhv/h2_e_density_lhv,(DB67+DC67)*1000000/DD67*hfo_e_density_lhv/DBT_e_density_lhv))+Shipping!$N$73+IF(G67="Panama",Shipping!$N$55,0)+IF(G67="Suez",Shipping!$N$56,0))/Shipping!$N$31*Shipping!$N$86/1000000+IF(inland_transport_to_port="hv dc grid",$BM67/100*1000*DG67,IF(inland_transport_to_port="pipeline",$BN67,0)))))</f>
        <v>18058.538216989968</v>
      </c>
      <c r="DF67" s="28">
        <f t="shared" si="82"/>
        <v>63705.301165226978</v>
      </c>
      <c r="DG67" s="29">
        <f>((Carriers!$T$18/Carriers!$T$23*alk_el_e_demand)+DBT_e_demand)*(DD67+DBT_st_ab_losses)/1000000+DBT_st_e_demand*DD67/1000000</f>
        <v>703.88335483870969</v>
      </c>
      <c r="DH67" s="29">
        <f t="shared" si="83"/>
        <v>0.21935483870967742</v>
      </c>
      <c r="DI67" s="28">
        <f>IFERROR(DF67*1000000/Storage!$M$12,"")</f>
        <v>290.42122590029942</v>
      </c>
      <c r="DJ67" s="28">
        <f>IF($E67="","No Port",((F67/24/Shipping!$N$44+F67/24/Shipping!$N$50+Shipping!$N$59+Shipping!$N$64)*Carriers!$T$39*wacc_nl))</f>
        <v>10426.653974446352</v>
      </c>
      <c r="DK67" s="100">
        <f>H2_retrieval!$L$25*h2_demand_kt/1000+(co2_liq_e_demand+co2_st_e_demand*2)*Storage!$M$12*co2_density/DBT_density/1000000</f>
        <v>206.61934861671787</v>
      </c>
      <c r="DL67" s="28">
        <f>IFERROR(((DF67*(1+H2_retrieval!$L$34)+DJ67)*1000000/H2_retrieval!$L$8)+h2_regen_lohc,"")</f>
        <v>5921.52883502654</v>
      </c>
      <c r="DM67" s="149">
        <f t="shared" si="84"/>
        <v>65862.12258091176</v>
      </c>
      <c r="DN67" s="16">
        <f>2*(nabh4_st_nl_cost*nabh4_st_nl_demand/1000000+(nabh4_st_invest*(M67+1/nabh4_st_lifetime+nabh4_st_opex)/(Storage!$O$63/1000000)+nabh4_st_e_demand*1000*$AU67/100)*(DO67+nabh4_st_ab_losses)/1000000)+(h2_demand_kt*1000/365.25*short_st_duration_hrs/24)*(h2_short_st_invest*(1/gh2_short_st_lifetime+$M67+h2_short_st_opex)+h2_short_st_e_demand*1000*$AU67/100)/1000000</f>
        <v>1540.5421766796385</v>
      </c>
      <c r="DO67" s="63">
        <f>Storage!$O$57/((1-Shipping!$P$37)^($F67/24/Shipping!$P$44+0.5*Shipping!$P$59))</f>
        <v>63920000</v>
      </c>
      <c r="DP67" s="16">
        <f>IF($E67="","No Port",((F67/24/Shipping!$P$44+F67/24/Shipping!$P$50+Shipping!$P$59+Shipping!$P$64)*(Shipping!$P$22+wacc_nl*Shipping!$P$19/365.25*1000000+Shipping!$P$35)+(F67/24/Shipping!$P$44*Shipping!$P$45+Shipping!$P$64*Shipping!$P$65)*IF(bunker_choice="HFO",$H67,IF(bunker_choice="hydrogen",$BD67*hfo_e_density_lhv/h2_e_density_lhv,(DM67+DN67)*1000000/DO67*hfo_e_density_lhv/nabh4_e_density_lhv))+(F67/24/Shipping!$P$50*Shipping!$P$51+Shipping!$P$59*Shipping!$P$60)*IF(bunker_choice="HFO",bunker_price_ROT,IF(bunker_choice="hydrogen",$BD67*hfo_e_density_lhv/h2_e_density_lhv,(DM67+DN67)*1000000/DO67*hfo_e_density_lhv/nabh4_e_density_lhv))+Shipping!$P$73+IF(G67="Panama",Shipping!$P$55,0)+IF(G67="Suez",Shipping!$P$56,0))/Shipping!$P$31*(DO67+nabh4_st_ab_losses)/1000000+IF(inland_transport_to_port="hv dc grid",$BM67/100*1000*DR67,IF(inland_transport_to_port="pipeline",$BN67,0)))</f>
        <v>6103.0614453755115</v>
      </c>
      <c r="DQ67" s="28">
        <f t="shared" si="60"/>
        <v>73505.726202966907</v>
      </c>
      <c r="DR67" s="29">
        <f>((Carriers!$V$18/Carriers!$V$23*alk_el_e_demand)+nabh4_e_demand)*(DO67+nabh4_st_ab_losses)/1000000+nabh4_st_e_demand*DO67/1000000</f>
        <v>980.02139682539689</v>
      </c>
      <c r="DS67" s="28">
        <f t="shared" si="85"/>
        <v>3.1960000000000002</v>
      </c>
      <c r="DT67" s="28">
        <f>IFERROR(DQ67*1000000/Storage!$O$12,"")</f>
        <v>1149.9644274556774</v>
      </c>
      <c r="DU67" s="28">
        <f>IF($E67="","No Port",((F67/24/Shipping!$P$44+F67/24/Shipping!$P$50+Shipping!$P$59+Shipping!$P$64)*Carriers!$V$39*wacc_nl))</f>
        <v>955.7995778080948</v>
      </c>
      <c r="DV67" s="100">
        <f>H2_retrieval!$N$25*h2_demand_kt/1000+(co2_liq_e_demand+co2_st_e_demand*2)*Storage!$O$12*co2_density/nabh4_density/1000000</f>
        <v>18.783638728971958</v>
      </c>
      <c r="DW67" s="28">
        <f>IFERROR(((DQ67*(1+H2_retrieval!$N$34)+DU67)*1000000/H2_retrieval!$N$8)+h2_regen_nabh4,"")</f>
        <v>5590.08305639434</v>
      </c>
      <c r="DX67" s="149">
        <f>(Dme_invest*(M67+1/Dme_lifetime)/Dme_prod+Dme_opex+Dme_e_demand*1000*$AU67/100+Carriers!$X$21/Carriers!$X$23*(CO67*1000000/CS67))*(EB67+Dme_st_ab_losses)/1000000</f>
        <v>87807.243426435773</v>
      </c>
      <c r="DY67" s="86">
        <f>(Dme_invest*(M67+1/Dme_lifetime)/Dme_prod+Dme_opex+Dme_e_demand*1000*$AU67/100+Carriers!$X$21/Carriers!$X$23*(CP67*1000000/CS67))*(EB67+Dme_st_ab_losses)/1000000</f>
        <v>112218.4944609152</v>
      </c>
      <c r="DZ67" s="63">
        <f>Dme_st_nl_cost*Dme_st_nl_demand/1000000+(Dme_st_invest*(M67+1/Dme_st_lifetime+Dme_st_opex)/(Storage!$Q$63/1000000)+Dme_st_e_demand*1000*$AU67/100)*(EB67+Dme_st_ab_losses)/1000000+co2_st_nl_cost*Storage!$Q$12*co2_density/Dme_density/1000000+(co2_st_opex_lev+co2_st_invest_lev+co2_st_e_demand*1000*$AU67/100)*Storage!$Q$12/1000000+co2_st_invest_lev*Storage!$Q$12*co2_st_lifetime*M67/1000000+(h2_demand_kt*1000/365.25*short_st_duration_hrs/24)*(h2_short_st_invest*(1/gh2_short_st_lifetime+$M67+h2_short_st_opex)+h2_short_st_e_demand*1000*$AU67/100)/1000000</f>
        <v>6252.2314110065399</v>
      </c>
      <c r="EA67" s="63">
        <f>Dme_st_nl_cost*Dme_st_nl_demand/1000000+(Dme_st_invest*(M67+1/Dme_st_lifetime+Dme_st_opex)/(Storage!$Q$63/1000000)+Dme_st_e_demand*1000*$AU67/100)*(EB67+Dme_st_ab_losses)/1000000+(h2_demand_kt*1000/365.25*short_st_duration_hrs/24)*(h2_short_st_invest*(1/gh2_short_st_lifetime+$M67+h2_short_st_opex)+h2_short_st_e_demand*1000*$AU67/100)/1000000</f>
        <v>3131.0905708873497</v>
      </c>
      <c r="EB67" s="63">
        <f>Storage!$Q$57/((1-Shipping!$R$37)^($F67/24/Shipping!$R$44+0.5*Shipping!$R$59))</f>
        <v>103547089.94708996</v>
      </c>
      <c r="EC67" s="153">
        <f>IF($E67="","No Port",IF(AND(ship_choice="VLCC",G67="Panama"),"Ship cannot pass through Panama",IF(ship_choice="VLCC",((F67/24/Shipping!$AD$44+F67/24/Shipping!$AD$50+Shipping!$AD$59+Shipping!$AD$64)*(Shipping!$AD$22+wacc_nl*Shipping!$AD$19/365.25*1000000+Shipping!$AD$35)+(F67/24/Shipping!$AD$44*Shipping!$AD$45+Shipping!$AD$64*Shipping!$AD$65)*IF(bunker_choice="HFO",$H67,IF(bunker_choice="hydrogen",$BD67*hfo_e_density_lhv/h2_e_density_lhv,(DX67+DZ67)*1000000/EB67*hfo_e_density_lhv/Dme_e_density_lhv))+(F67/24/Shipping!$AD$50*Shipping!$AD$51+Shipping!$AD$59*Shipping!$AD$60)*IF(bunker_choice="HFO",bunker_price_ROT,IF(bunker_choice="hydrogen",$BD67*hfo_e_density_lhv/h2_e_density_lhv,(DX67+DZ67)*1000000/EB67*hfo_e_density_lhv/Dme_e_density_lhv))+Shipping!$AD$73+IF(G67="Panama",Shipping!$AD$55,0)+IF(G67="Suez",Shipping!$AD$56,0))/Shipping!$AD$31*(EB67+Dme_st_ab_losses)/1000000+IF(inland_transport_to_port="hv dc grid",$BM67/100*1000*EE67,IF(inland_transport_to_port="pipeline",$BN67,0)),((F67/24/Shipping!$R$44+F67/24/Shipping!$R$50+Shipping!$R$59+Shipping!$R$64)*(Shipping!$R$22+wacc_nl*Shipping!$R$19/365.25*1000000+Shipping!$R$35)+(F67/24/Shipping!$R$44*Shipping!$R$45+Shipping!$R$64*Shipping!$R$65)*IF(bunker_choice="HFO",$H67,IF(bunker_choice="hydrogen",$BD67*hfo_e_density_lhv/h2_e_density_lhv,(DX67+DZ67)*1000000/EB67*hfo_e_density_lhv/Dme_e_density_lhv))+(F67/24/Shipping!$R$50*Shipping!$R$51+Shipping!$R$59*Shipping!$R$60)*IF(bunker_choice="HFO",bunker_price_ROT,IF(bunker_choice="hydrogen",$BD67*hfo_e_density_lhv/h2_e_density_lhv,(DX67+DZ67)*1000000/EB67*hfo_e_density_lhv/Dme_e_density_lhv))+Shipping!$R$73+IF(G67="Panama",Shipping!$R$55,0)+IF(G67="Suez",Shipping!$R$56,0))/Shipping!$R$31*(EB67+Dme_st_ab_losses)/1000000+IF(inland_transport_to_port="hv dc grid",$BM67/100*1000*EE67,IF(inland_transport_to_port="pipeline",$BN67,0)))))</f>
        <v>10604.167477329342</v>
      </c>
      <c r="ED67" s="28">
        <f t="shared" si="39"/>
        <v>125953.75250913188</v>
      </c>
      <c r="EE67" s="29">
        <f>(Dme_e_demand)*(EB67+Dme_st_ab_losses)/1000000+Dme_st_e_demand*DZ67/1000000+$CV67*(Carriers!$X$21/Carriers!$X$23*EB67)/$CS67</f>
        <v>1550.21682268937</v>
      </c>
      <c r="EF67" s="29">
        <f t="shared" si="86"/>
        <v>1.0354708994708997</v>
      </c>
      <c r="EG67" s="28">
        <f>IFERROR(ED67*1000000/Storage!$Q$12,"")</f>
        <v>1216.3910407669707</v>
      </c>
      <c r="EH67" s="28">
        <f>IF($E67="","No Port",((F67/24/Shipping!$R$44+F67/24/Shipping!$R$50+Shipping!$R$59+Shipping!$R$64)*Carriers!$X$39*wacc_nl))</f>
        <v>149.36064058581036</v>
      </c>
      <c r="EI67" s="100">
        <f>H2_retrieval!$P$25*h2_demand_kt/1000+(co2_liq_e_demand+co2_st_e_demand*2)*Storage!$Q$12*co2_density/Dme_density/1000000</f>
        <v>252.45335899349112</v>
      </c>
      <c r="EJ67" s="28">
        <f>IFERROR((((DX67+DZ67+EC67)*(1+H2_retrieval!$P$34)+EH67)*1000000/H2_retrieval!$P$8)+h2_regen_dme,"")</f>
        <v>8876.9669957959286</v>
      </c>
      <c r="EK67" s="149">
        <f>(ome_invest*(M67+1/ome_lifetime)/ome_prod+ome_opex+ome_e_demand*1000*$AU67/100+Carriers!$Z$21/Carriers!$Z$23*(CO67*1000000/CS67))*(EO67+ome_st_ab_losses)/1000000</f>
        <v>192693.8811140084</v>
      </c>
      <c r="EL67" s="86">
        <f>(ome_invest*(M67+1/ome_lifetime)/ome_prod+ome_opex+ome_e_demand*1000*$AU67/100+Carriers!$Z$21/Carriers!$Z$23*(CP67*1000000/CS67))*(EO67+ome_st_ab_losses)/1000000</f>
        <v>243937.84900355552</v>
      </c>
      <c r="EM67" s="63">
        <f>ome_st_nl_cost*ome_st_nl_demand/1000000+(ome_st_invest*(M67+1/ome_st_lifetime+ome_st_opex)/(Storage!$S$63/1000000)+ome_st_e_demand*1000*$AU67/100)*(EO67+ome_st_ab_losses)/1000000+co2_st_nl_cost*Storage!$S$12*co2_density/ome_density/1000000+(co2_st_opex_lev+co2_st_invest_lev+co2_st_e_demand*1000*$AU67/100)*Storage!$S$12/1000000+co2_st_invest_lev*Storage!$S$12*co2_st_lifetime*M67/1000000+(h2_demand_kt*1000/365.25*short_st_duration_hrs/24)*(h2_short_st_invest*(1/gh2_short_st_lifetime+$M67+h2_short_st_opex)+h2_short_st_e_demand*1000*$AU67/100)/1000000</f>
        <v>5406.7249719352285</v>
      </c>
      <c r="EN67" s="63">
        <f>ome_st_nl_cost*ome_st_nl_demand/1000000+(ome_st_invest*(M67+1/ome_st_lifetime+ome_st_opex)/(Storage!$S$63/1000000)+ome_st_e_demand*1000*$AU67/100)*(EO67+ome_st_ab_losses)/1000000+(h2_demand_kt*1000/365.25*short_st_duration_hrs/24)*(h2_short_st_invest*(1/gh2_short_st_lifetime+$M67+h2_short_st_opex)+h2_short_st_e_demand*1000*$AU67/100)/1000000</f>
        <v>1878.9702021745652</v>
      </c>
      <c r="EO67" s="63">
        <f>Storage!$S$57/((1-Shipping!$T$37)^($F67/24/Shipping!$T$44+0.5*Shipping!$T$59))</f>
        <v>128282539.68253967</v>
      </c>
      <c r="EP67" s="28">
        <f>IF($E67="","No Port",IF(AND(ship_choice="VLCC",G67="Panama"),"Ship cannot pass through Panama",IF(ship_choice="VLCC",((F67/24/Shipping!$AD$44+F67/24/Shipping!$AD$50+Shipping!$AD$59+Shipping!$AD$64)*(Shipping!$AD$22+wacc_nl*Shipping!$AD$19/365.25*1000000+Shipping!$AD$35)+(F67/24/Shipping!$AD$44*Shipping!$AD$45+Shipping!$AD$64*Shipping!$AD$65)*IF(bunker_choice="HFO",$H67,IF(bunker_choice="hydrogen",$BD67*hfo_e_density_lhv/h2_e_density_lhv,(EK67+EM67)*1000000/EO67*hfo_e_density_lhv/Dme_e_density_lhv))+(F67/24/Shipping!$AD$50*Shipping!$AD$51+Shipping!$AD$59*Shipping!$AD$60)*IF(bunker_choice="HFO",bunker_price_ROT,IF(bunker_choice="hydrogen",$BD67*hfo_e_density_lhv/h2_e_density_lhv,(EK67+EM67)*1000000/EO67*hfo_e_density_lhv/ome_e_density_lhv))+Shipping!$AD$73+IF(G67="Panama",Shipping!$AD$55,0)+IF(G67="Suez",Shipping!$AD$56,0))/Shipping!$AD$31*(EO67+ome_st_ab_losses)/1000000+IF(inland_transport_to_port="hv dc grid",$BM67/100*1000*ER67,IF(inland_transport_to_port="pipeline",$BN67,0)),((F67/24/Shipping!$T$44+F67/24/Shipping!$T$50+Shipping!$T$59+Shipping!$T$64)*(Shipping!$T$22+wacc_nl*Shipping!$T$19/365.25*1000000+Shipping!$T$35)+(F67/24/Shipping!$T$44*Shipping!$T$45+Shipping!$T$64*Shipping!$T$65)*IF(bunker_choice="HFO",$H67,IF(bunker_choice="hydrogen",$BD67*hfo_e_density_lhv/h2_e_density_lhv,(EK67+EM67)*1000000/EO67*hfo_e_density_lhv/Dme_e_density_lhv))+(F67/24/Shipping!$T$50*Shipping!$T$51+Shipping!$T$59*Shipping!$T$60)*IF(bunker_choice="HFO",bunker_price_ROT,IF(bunker_choice="hydrogen",$BD67*hfo_e_density_lhv/h2_e_density_lhv,(EK67+EM67)*1000000/EO67*hfo_e_density_lhv/ome_e_density_lhv))+Shipping!$T$73+IF(G67="Panama",Shipping!$T$55,0)+IF(G67="Suez",Shipping!$T$56,0))/Shipping!$T$31*(EO67+ome_st_ab_losses)/1000000+IF(inland_transport_to_port="hv dc grid",$BM67/100*1000*ER67,IF(inland_transport_to_port="pipeline",$BN67,0)))))</f>
        <v>11645.850428178172</v>
      </c>
      <c r="EQ67" s="28">
        <f t="shared" si="40"/>
        <v>257462.66963390826</v>
      </c>
      <c r="ER67" s="29">
        <f>(ome_e_demand)*(EO67+ome_st_ab_losses)/1000000+ome_st_e_demand*EM67/1000000+$CV67*(Carriers!$Z$21/Carriers!$Z$23*EO67)/$CS67</f>
        <v>3352.081458250871</v>
      </c>
      <c r="ES67" s="29">
        <f t="shared" si="87"/>
        <v>0.1924238095238095</v>
      </c>
      <c r="ET67" s="28">
        <f>IFERROR(EQ67*1000000/Storage!$S$12,"")</f>
        <v>2006.996979254154</v>
      </c>
      <c r="EU67" s="28">
        <f>IF($E67="","No Port",((F67/24/Shipping!$T$44+F67/24/Shipping!$T$50+Shipping!$T$59+Shipping!$T$64)*Carriers!$Z$39*wacc_nl))</f>
        <v>169.97308915233259</v>
      </c>
      <c r="EV67" s="100">
        <f>H2_retrieval!$R$25*h2_demand_kt/1000+(co2_liq_e_demand+co2_st_e_demand*2)*Storage!$S$12*co2_density/ome_density/1000000</f>
        <v>254.51942895252085</v>
      </c>
      <c r="EW67" s="28">
        <f>IFERROR((((EK67+EM67+EP67)*(1+H2_retrieval!$R$34)+EU67)*1000000/H2_retrieval!$R$8)+h2_regen_ome,"")</f>
        <v>16605.160131672157</v>
      </c>
      <c r="EX67" s="149">
        <f>(sng_invest*(M67+1/sng_lifetime)/sng_prod+lng_invest*(M67+1/lng_lifetime)/lng_prod+sng_opex+lng_opex+(sng_e_demand+lng_e_demand)*1000*$AU67/100+Carriers!$AB$18/Carriers!$AB$23*BD67+Carriers!$AB$20/Carriers!$AB$23*co2_liq_cost)*(FB67+lng_st_ab_losses)/1000000</f>
        <v>68538.836626629316</v>
      </c>
      <c r="EY67" s="86">
        <f>(sng_invest*(M67+1/sng_lifetime)/sng_prod+lng_invest*(M67+1/lng_lifetime)/lng_prod+sng_opex+lng_opex+(sng_e_demand+lng_e_demand)*1000*$AU67/100+Carriers!$AB$18/Carriers!$AB$23*BD67+Carriers!$AB$20/Carriers!$AB$23*BP67)*(FB67+lng_st_ab_losses)/1000000</f>
        <v>82214.702639715033</v>
      </c>
      <c r="EZ67" s="63">
        <f>lng_st_nl_cost*lng_st_nl_demand/1000000+(lng_st_invest*(M67+1/lng_st_lifetime+lng_st_opex)/(Storage!$U$63/1000000)+lng_st_e_demand*1000*$AU67/100)*(FB67+lng_st_ab_losses)/1000000+co2_st_nl_cost*Storage!$U$12*co2_density/lng_density/1000000+(co2_st_opex_lev+co2_st_invest_lev+co2_st_e_demand*1000*$AU67/100)*Storage!$U$12/1000000+co2_st_invest_lev*Storage!$U$12*co2_st_lifetime*M67/1000000+Carriers!$AB$18/Carriers!$AB$23*((FB67+lng_st_ab_losses)/365.25*short_st_duration_hrs/24)*(h2_short_st_invest*(1/gh2_short_st_lifetime+$M67+h2_short_st_opex)+h2_short_st_e_demand*1000*$AU67/100)/1000000+Carriers!$AB$20/Carriers!$AB$23*((FB67+lng_st_ab_losses)/365.25*short_st_duration_hrs/24)*(co2_short_st_invest*(1/co2_short_st_lifetime+$M67+co2_short_st_opex)+co2_short_st_e_demand*1000*$AU67/100)/1000000</f>
        <v>6600.8084081823108</v>
      </c>
      <c r="FA67" s="63">
        <f>lng_st_nl_cost*lng_st_nl_demand/1000000+(lng_st_invest*(M67+1/lng_st_lifetime+lng_st_opex)/(Storage!$U$63/1000000)+lng_st_e_demand*1000*$AU67/100)*(FB67+lng_st_ab_losses)/1000000+Carriers!$AB$18/Carriers!$AB$23*((FB67+lng_st_ab_losses)/365.25*short_st_duration_hrs/24)*(h2_short_st_invest*(1/gh2_short_st_lifetime+$M67+h2_short_st_opex)+h2_short_st_e_demand*1000*$AU67/100)/1000000+Carriers!$AB$20/Carriers!$AB$23*((FB67+lng_st_ab_losses)/365.25*short_st_duration_hrs/24)*(co2_short_st_invest*(1/co2_short_st_lifetime+$M67+co2_short_st_opex)+co2_short_st_e_demand*1000*$AU67/100)/1000000</f>
        <v>4939.823722206007</v>
      </c>
      <c r="FB67" s="63">
        <f>Storage!$U$57/((1-Shipping!$V$37)^($F67/24/Shipping!$V$44+0.5*Shipping!$V$59))</f>
        <v>41842450.043954052</v>
      </c>
      <c r="FC67" s="28">
        <f>IF($E67="","No Port",IF(G67="Panama","Ship cannot pass through Panama",((F67/24/Shipping!$V$44+F67/24/Shipping!$V$50+Shipping!$V$59+Shipping!$V$64)*(Shipping!$V$22+wacc_nl*Shipping!$V$19/365.25*1000000+Shipping!$V$35)+(F67/24/Shipping!$V$44*Shipping!$V$45+Shipping!$V$64*Shipping!$V$65)*IF(bunker_choice="HFO",$H67,IF(bunker_choice="hydrogen",$BD67*hfo_e_density_lhv/h2_e_density_lhv,(EX67+EZ67)*1000000/FB67*hfo_e_density_lhv/lng_e_density_lhv))+(F67/24/Shipping!$V$50*Shipping!$V$51+Shipping!$V$59*Shipping!$V$60)*IF(bunker_choice="HFO",bunker_price_ROT,IF(bunker_choice="hydrogen",$BD67*hfo_e_density_lhv/h2_e_density_lhv,(EX67+EZ67)*1000000/FB67*hfo_e_density_lhv/lng_e_density_lhv))+Shipping!$V$73+IF(G67="Panama",Shipping!$V$55,0)+IF(G67="Suez",Shipping!$V$56,0))/Shipping!$V$31*(FB67+lng_st_ab_losses)/1000000)+IF(inland_transport_to_port="hv dc grid",$BM67/100*1000*FE67,IF(inland_transport_to_port="pipeline",$BN67,0)))</f>
        <v>5325.50838176654</v>
      </c>
      <c r="FD67" s="28">
        <f t="shared" si="41"/>
        <v>92480.034743687589</v>
      </c>
      <c r="FE67" s="29">
        <f>((Carriers!$AB$18/Carriers!$AB$23*alk_el_e_demand)+sng_e_demand+lng_e_demand)*(FB67+lng_st_ab_losses)/1000000+lng_st_e_demand*EZ67/1000000</f>
        <v>1122.1630361007947</v>
      </c>
      <c r="FF67" s="29">
        <f t="shared" si="88"/>
        <v>0.8126185861001558</v>
      </c>
      <c r="FG67" s="28">
        <f>IFERROR(FD67*1000000/Storage!$U$12,"")</f>
        <v>2278.724260345869</v>
      </c>
      <c r="FH67" s="28">
        <f>IF($E67="","No Port",((F67/24/Shipping!$V$44+F67/24/Shipping!$V$50+Shipping!$V$59+Shipping!$V$64)*Carriers!$AB$39*wacc_nl))</f>
        <v>49.741584539972465</v>
      </c>
      <c r="FI67" s="100">
        <f>H2_retrieval!$T$25*h2_demand_kt/1000+(co2_liq_e_demand+co2_st_e_demand*2)*Storage!$U$12*co2_density/lng_density/1000000</f>
        <v>236.51371749646054</v>
      </c>
      <c r="FJ67" s="28">
        <f>IFERROR((((EX67+EZ67+FC67)*(1+H2_retrieval!$T$34)+FH67)*1000000/H2_retrieval!$T$8)+h2_regen_lng,"")</f>
        <v>7090.3414109253918</v>
      </c>
      <c r="FK67" s="149">
        <f>(lh2_invest*(M67+1/lh2_lifetime)/lh2_prod+lh2_opex+lh2_e_demand*1000*$AU67/100+Carriers!$AD$18/Carriers!$AD$23*BD67)*(FM67+lh2_st_ab_losses)/1000000</f>
        <v>55548.613852171286</v>
      </c>
      <c r="FL67" s="28">
        <f>lh2_st_nl_cost*lh2_st_nl_demand/1000000+(lh2_st_invest*(M67+1/lh2_st_lifetime+lh2_st_opex)/(Storage!$Y$63/1000000)+lh2_st_e_demand*1000*$AU67/100)*(FM67+lh2_st_ab_losses)/1000000+((FM67+lh2_st_ab_losses)/365.25*short_st_duration_hrs/24)*(h2_short_st_invest*(1/gh2_short_st_lifetime+$M67+h2_short_st_opex)+h2_short_st_e_demand*1000*$AU67/100)/1000000</f>
        <v>57370.474591125894</v>
      </c>
      <c r="FM67" s="63">
        <f>Storage!$Y$57/((1-Shipping!$Z$37)^($F67/24/Shipping!$Z$44+0.5*Shipping!$Z$59))</f>
        <v>14274806.654919397</v>
      </c>
      <c r="FN67" s="28">
        <f>IF($E67="","No Port",IF(G67="Panama","Ship cannot pass through Panama",((F67/24/Shipping!$Z$44+F67/24/Shipping!$Z$50+Shipping!$Z$59+Shipping!$Z$64)*(Shipping!$Z$22+wacc_nl*Shipping!$Z$19/365.25*1000000+Shipping!$Z$35)+(F67/24/Shipping!$Z$44*Shipping!$Z$45+Shipping!$Z$64*Shipping!$Z$65)*IF(bunker_choice="HFO",$H67,IF(bunker_choice="hydrogen",$BD67*hfo_e_density_lhv/h2_e_density_lhv,(FK67+FL67)*1000000/FM67*hfo_e_density_lhv/lh2_e_density_lhv))+(F67/24/Shipping!$Z$50*Shipping!$Z$51+Shipping!$Z$59*Shipping!$Z$60)*IF(bunker_choice="HFO",bunker_price_ROT,IF(bunker_choice="hydrogen",$BD67*hfo_e_density_lhv/h2_e_density_lhv,(FK67+FL67)*1000000/FM67*hfo_e_density_lhv/lh2_e_density_lhv))+Shipping!$Z$73+IF(G67="Panama",Shipping!$Z$55,0)+IF(G67="Suez",Shipping!$Z$56,0))/Shipping!$Z$31*(FM67+lh2_st_ab_losses)/1000000)+IF(inland_transport_to_port="hv dc grid",$BM67/100*1000*FP67,IF(inland_transport_to_port="pipeline",$BN67,0)))</f>
        <v>7921.8640374655106</v>
      </c>
      <c r="FO67" s="28">
        <f t="shared" si="42"/>
        <v>120840.95248076269</v>
      </c>
      <c r="FP67" s="29">
        <f>((Carriers!$AD$18/Carriers!$AD$23*alk_el_e_demand)+lh2_e_demand)*(FM67+lh2_st_ab_losses)/1000000+lh2_st_e_demand*FM67/1000000</f>
        <v>827.18211427018912</v>
      </c>
      <c r="FQ67" s="100">
        <f t="shared" si="89"/>
        <v>1.361902463475859</v>
      </c>
      <c r="FR67" s="28">
        <f>IFERROR(FO67*1000000/Storage!$Y$12,"")</f>
        <v>8885.3641529972556</v>
      </c>
      <c r="FS67" s="100">
        <f>H2_retrieval!$V$25*h2_demand_kt/1000</f>
        <v>8.16</v>
      </c>
      <c r="FT67" s="28">
        <f>IFERROR(FR67*(1+H2_retrieval!$V$34)/Carrier_properties!$U$7+H2_retrieval!$V$38,"")</f>
        <v>8917.3328788657236</v>
      </c>
      <c r="FU67" s="12"/>
      <c r="FV67" s="24">
        <f t="shared" si="90"/>
        <v>2.9754863630528092</v>
      </c>
      <c r="FW67" s="24">
        <f t="shared" si="92"/>
        <v>4.6586998387531837</v>
      </c>
      <c r="FX67" s="24">
        <f t="shared" si="93"/>
        <v>8.2563754604277619</v>
      </c>
      <c r="FY67" s="24">
        <f t="shared" si="45"/>
        <v>2.9754863630528092</v>
      </c>
      <c r="FZ67" s="28">
        <f t="shared" si="94"/>
        <v>2788.2135237368548</v>
      </c>
      <c r="GA67" s="28">
        <f t="shared" si="47"/>
        <v>655.97506056935492</v>
      </c>
      <c r="GB67" s="28">
        <f t="shared" si="48"/>
        <v>476.27283914103333</v>
      </c>
      <c r="GC67" s="28">
        <f t="shared" si="49"/>
        <v>740.28008393792845</v>
      </c>
      <c r="GD67" s="28">
        <f t="shared" si="50"/>
        <v>1083.7435848584073</v>
      </c>
      <c r="GE67" s="28">
        <f t="shared" si="51"/>
        <v>1901.5670379400626</v>
      </c>
      <c r="GF67" s="28">
        <f t="shared" si="52"/>
        <v>1964.863495167021</v>
      </c>
      <c r="GG67" s="12"/>
      <c r="GH67" s="12"/>
      <c r="GI67" s="12"/>
      <c r="GJ67" s="12"/>
      <c r="GK67" s="12"/>
      <c r="GL67" s="12"/>
      <c r="GM67" s="12"/>
      <c r="GN67" s="12"/>
      <c r="GO67" s="12"/>
      <c r="GP67" s="12"/>
      <c r="GQ67" s="12"/>
      <c r="GR67" s="12"/>
      <c r="GS67" s="12"/>
      <c r="GT67" s="12"/>
      <c r="GU67" s="12"/>
      <c r="GV67" s="12"/>
      <c r="GW67" s="12"/>
      <c r="GX67" s="12"/>
      <c r="GY67" s="12"/>
      <c r="GZ67" s="12"/>
      <c r="HA67" s="12"/>
      <c r="HB67" s="12"/>
      <c r="HC67" s="12"/>
      <c r="HD67" s="12"/>
      <c r="HE67" s="12"/>
      <c r="HF67" s="12"/>
    </row>
    <row r="68" spans="1:214" x14ac:dyDescent="0.2">
      <c r="A68" s="40" t="s">
        <v>72</v>
      </c>
      <c r="B68" s="12">
        <v>4435</v>
      </c>
      <c r="C68" s="12">
        <v>1</v>
      </c>
      <c r="D68" s="12">
        <f t="shared" si="61"/>
        <v>0</v>
      </c>
      <c r="E68" s="12" t="s">
        <v>736</v>
      </c>
      <c r="F68" s="12">
        <v>6470</v>
      </c>
      <c r="G68" s="12" t="s">
        <v>692</v>
      </c>
      <c r="H68" s="16">
        <f t="shared" si="62"/>
        <v>382.75862068965517</v>
      </c>
      <c r="I68" s="16">
        <v>1628760</v>
      </c>
      <c r="J68" s="16">
        <f t="shared" si="31"/>
        <v>720.03500624671778</v>
      </c>
      <c r="K68" s="27">
        <f t="shared" si="32"/>
        <v>864.04200749606127</v>
      </c>
      <c r="L68" s="103">
        <v>0.127</v>
      </c>
      <c r="M68" s="103">
        <f t="shared" si="63"/>
        <v>0.13123692108310966</v>
      </c>
      <c r="N68" s="122">
        <f t="shared" si="33"/>
        <v>0.8</v>
      </c>
      <c r="O68" s="46">
        <f t="shared" si="64"/>
        <v>40</v>
      </c>
      <c r="P68" s="70">
        <f t="array" ref="P68">SUMPRODUCT(IF(Solar_data!A$4:A$777=A68,Solar_data!C$4:C$777),IF(Solar_data!A$4:A$777=A68,Solar_data!I$4:I$777))/SUMIF(Solar_data!A$4:A$777,A68,Solar_data!I$4:I$777)</f>
        <v>2064.1790688222704</v>
      </c>
      <c r="Q68" s="16">
        <f t="array" ref="Q68">MAX(IF(Solar_data!$A$777:'Solar_data'!$A$4=Country_details!$A68,Solar_data!$C$4:'Solar_data'!$C$777))</f>
        <v>2463.75</v>
      </c>
      <c r="R68" s="16">
        <f t="array" ref="R68">MIN(IF(Solar_data!$A$777:'Solar_data'!$A$4=Country_details!A68,Solar_data!$C$4:'Solar_data'!$C$777))</f>
        <v>1368.75</v>
      </c>
      <c r="S68" s="24">
        <f t="shared" si="65"/>
        <v>2.5509101428442951</v>
      </c>
      <c r="T68" s="24">
        <f t="shared" si="66"/>
        <v>2.1372035812503793</v>
      </c>
      <c r="U68" s="24">
        <f t="shared" si="67"/>
        <v>3.8469664462506827</v>
      </c>
      <c r="V68" s="16">
        <f t="array" ref="V68">SUM(IF(Solar_data!$A$777:'Solar_data'!$A$4=Country_details!$A68,Solar_data!$I$4:'Solar_data'!$I$777))</f>
        <v>12441.38710089919</v>
      </c>
      <c r="W68" s="148"/>
      <c r="X68" s="16" t="str">
        <f>IFERROR(INDEX(Onshore_wind_data!$J$5:'Onshore_wind_data'!$J$221,MATCH(A68,Onshore_wind_data!$B$5:'Onshore_wind_data'!$B$221,0)),"")</f>
        <v/>
      </c>
      <c r="Y68" s="16" t="str">
        <f>IFERROR(INDEX(Onshore_wind_data!$K$5:'Onshore_wind_data'!$K$221,MATCH(A68,Onshore_wind_data!$B$5:'Onshore_wind_data'!$B$221,0)),"")</f>
        <v/>
      </c>
      <c r="Z68" s="16" t="str">
        <f>IFERROR(INDEX(Onshore_wind_data!$L$5:'Onshore_wind_data'!$L$221,MATCH(A68,Onshore_wind_data!$B$5:'Onshore_wind_data'!$B$221,0)),"")</f>
        <v/>
      </c>
      <c r="AA68" s="24" t="str">
        <f t="shared" si="68"/>
        <v/>
      </c>
      <c r="AB68" s="24" t="str">
        <f t="shared" si="69"/>
        <v/>
      </c>
      <c r="AC68" s="24" t="str">
        <f t="shared" si="70"/>
        <v/>
      </c>
      <c r="AD68" s="16">
        <f>IFERROR(INDEX(Onshore_wind_data!$I$5:'Onshore_wind_data'!$I$221,MATCH(A68,Onshore_wind_data!$B$5:'Onshore_wind_data'!$B$221,0)),"")</f>
        <v>0</v>
      </c>
      <c r="AE68" s="148"/>
      <c r="AF68" s="16" t="str">
        <f>INDEX(Offshore_wind_data!$AA$7:$AA$192,MATCH(Country_details!A68,Offshore_wind_data!$A$7:$A$192,0))</f>
        <v/>
      </c>
      <c r="AG68" s="16" t="str">
        <f>INDEX(Offshore_wind_data!$Y$7:$Y$192,MATCH(Country_details!A68,Offshore_wind_data!$A$7:$A$192,0))</f>
        <v/>
      </c>
      <c r="AH68" s="16" t="str">
        <f>INDEX(Offshore_wind_data!$Z$7:$Z$192,MATCH(Country_details!A68,Offshore_wind_data!$A$7:$A$192,0))</f>
        <v/>
      </c>
      <c r="AI68" s="24" t="str">
        <f t="shared" si="71"/>
        <v/>
      </c>
      <c r="AJ68" s="24" t="str">
        <f t="shared" si="72"/>
        <v/>
      </c>
      <c r="AK68" s="24" t="str">
        <f t="shared" si="73"/>
        <v/>
      </c>
      <c r="AL68" s="16">
        <f>INDEX(Offshore_wind_data!$W$7:$W$191,MATCH(A68,Offshore_wind_data!$A$7:$A$191,0))</f>
        <v>0</v>
      </c>
      <c r="AM68" s="148"/>
      <c r="AN68" s="12">
        <v>81.2</v>
      </c>
      <c r="AO68" s="12">
        <v>93.6</v>
      </c>
      <c r="AP68" s="34">
        <f>2.96*11.63</f>
        <v>34.424800000000005</v>
      </c>
      <c r="AQ68" s="15">
        <f t="shared" si="74"/>
        <v>50</v>
      </c>
      <c r="AR68" s="12">
        <f t="shared" si="34"/>
        <v>4680</v>
      </c>
      <c r="AS68" s="16">
        <f t="shared" si="35"/>
        <v>7761.38710089919</v>
      </c>
      <c r="AT68" s="12"/>
      <c r="AU68" s="24">
        <f t="shared" si="75"/>
        <v>2.5509101428442951</v>
      </c>
      <c r="AV68" s="16">
        <f t="shared" si="76"/>
        <v>2064.1790688222704</v>
      </c>
      <c r="AW68" s="149">
        <f>HV_DC_Grid!$E$3/(1-AX68)*AU68/100*1000</f>
        <v>2822.6134005087852</v>
      </c>
      <c r="AX68" s="31">
        <f>(1-(1-HV_DC_Grid!$E$25)^(B68*C68*HV_DC_Grid!$E$8/1000))+(1-(1-HV_DC_Grid!$E$26)^(B68*D68*HV_DC_Grid!$E$8/1000))+HV_DC_Grid!$E$35*HV_DC_Grid!$E$28</f>
        <v>9.6259465648223283E-2</v>
      </c>
      <c r="AY68" s="28">
        <f>B68*nl_e_demand/IF(hv_dc_flh="electricity FLH",$AV68,hv_dc_custom)*1000*hv_dc_capacity_multiplier*hv_dc_length_multiplier*1000*(C68*hv_dc_overhead_invest*(hv_dc_overhead_opex+M68+1/hv_dc_lifetime)+D68*hv_dc_sea_invest*(hv_dc_sea_opex+M68+1/hv_dc_lifetime))/1000000+HV_DC_Grid!$E$10*1000*hv_dc_station_invest*hv_dc_station_number*(hv_dc_station_opex+M68+1/hv_dc_lifetime)/1000000</f>
        <v>4331.6022052783719</v>
      </c>
      <c r="AZ68" s="24">
        <f>(AW68+AY68)/(HV_DC_Grid!$E$3*1000)*100</f>
        <v>7.1542156057871562</v>
      </c>
      <c r="BA68" s="28">
        <f>MIN(((Carriers!$F$26+Carriers!$F$27)*(alk_el_opex+wacc_nl+1/alk_el_lifetime)+IF(hv_dc_flh="electricity FLH",$AV68,hv_dc_custom)*AZ68/100)/(IF(hv_dc_flh="electricity FLH",$AV68,hv_dc_custom)/alk_el_e_demand)*1000,((Carriers!$H$26+Carriers!$H$27)*(pem_el_opex+wacc_nl+1/pem_el_lifetime)+IF(hv_dc_flh="electricity FLH",$AV68,hv_dc_custom)*AZ68/100)/(IF(hv_dc_flh="electricity FLH",$AV68,hv_dc_custom)/pem_el_e_demand)*1000)</f>
        <v>3999.1669665600057</v>
      </c>
      <c r="BB68" s="12"/>
      <c r="BC68" s="12"/>
      <c r="BD68" s="149">
        <f>MIN(((Carriers!$F$26+Carriers!$F$27)*(alk_el_opex+M68+1/alk_el_lifetime)+$AV68*$AU68/100)/($AV68/alk_el_e_demand)*1000,((Carriers!$H$26+Carriers!$H$27)*(pem_el_opex+M68+1/pem_el_lifetime)+$AV68*$AU68/100)/($AV68/pem_el_e_demand)*1000)</f>
        <v>3005.1566157977736</v>
      </c>
      <c r="BE68" s="28">
        <f>Storage!$AC$50</f>
        <v>8.1664117557772418</v>
      </c>
      <c r="BF68" s="28">
        <f>((Pipeline!$D$22*Pipeline!$D$24*B68*(pipeline_opex+M68+1/pipeline_lifetime))*(Pipeline!$D$39/Pipeline!$D$3)+(Pipeline!$D$57*(pipeline_comp_opex+M68+1/pipeline_comp_lifetime)+Pipeline!$D$47*1000*Pipeline!$D$45*$AU68/100/1000000))*(Pipeline!$D$75/Pipeline!$D$45)</f>
        <v>10320.258190313367</v>
      </c>
      <c r="BG68" s="28">
        <f>BD68+(BE68+BF68)/Storage!$AC$12*1000000</f>
        <v>3764.5996012440341</v>
      </c>
      <c r="BH68" s="28"/>
      <c r="BI68" s="28"/>
      <c r="BJ68" s="28">
        <f>IF($E68="","No Port",BK68*HV_DC_Grid!$E$3*$AU68/100*1000)</f>
        <v>78.018797345064314</v>
      </c>
      <c r="BK68" s="31">
        <f>IFERROR((1-(1-HV_DC_Grid!$E$25)^(K68*HV_DC_Grid!$E$8/1000))+HV_DC_Grid!$E$35*HV_DC_Grid!$E$28,"")</f>
        <v>3.0584690552083668E-2</v>
      </c>
      <c r="BL68" s="28">
        <f>IFERROR(K68*nl_e_demand/IF(hv_dc_flh="electricity FLH",$AV68,hv_dc_custom)*1000*hv_dc_capacity_multiplier*hv_dc_length_multiplier*1000*(hv_dc_overhead_invest*(hv_dc_overhead_opex+M68+1/hv_dc_lifetime))/1000000+HV_DC_Grid!$E$10*1000*hv_dc_station_invest*hv_dc_station_number*(hv_dc_station_opex+M68+1/hv_dc_lifetime)/1000000,"")</f>
        <v>1197.2618779660133</v>
      </c>
      <c r="BM68" s="29">
        <f>IFERROR((BJ68+BL68)/(HV_DC_Grid!$E$3*1000)*100,"")</f>
        <v>1.2752806753110777</v>
      </c>
      <c r="BN68" s="28">
        <f>IFERROR(((Pipeline!$D$22*Pipeline!$D$24*K68*(pipeline_opex+M68+1/pipeline_lifetime))*(Pipeline!$D$39/Pipeline!$D$3)+(Pipeline!$D$57*(pipeline_comp_opex+M68+1/pipeline_comp_lifetime)+Pipeline!$D$47*1000*Pipeline!$D$45*S68/100/1000000))*(Pipeline!$D$75/Pipeline!$D$45),"")</f>
        <v>2078.6366692913502</v>
      </c>
      <c r="BO68" s="28"/>
      <c r="BP68" s="150">
        <f t="shared" si="77"/>
        <v>116.14846632719846</v>
      </c>
      <c r="BQ68" s="34">
        <f t="shared" si="78"/>
        <v>34.741200129935976</v>
      </c>
      <c r="BR68" s="151">
        <f>(nh3_invest*(M68+1/nh3_lifetime)/nh3_prod+nh3_opex+nh3_e_demand*1000*$AU68/100+Carriers!$N$18/Carriers!$N$23*BD68+Carriers!$N$19/Carriers!$N$23*BQ68)*(BT68+nh3_st_ab_losses)/1000000</f>
        <v>54553.787625161356</v>
      </c>
      <c r="BS68" s="63">
        <f>nh3_st_nl_cost*nh3_st_nl_demand/1000000+(nh3_st_invest*(M68+1/nh3_st_lifetime+nh3_st_opex)/(Storage!$G$63/1000000)+nh3_st_e_demand*1000*$AU68/100)*(BT68+nh3_st_ab_losses)/1000000+Carriers!$N$18/Carriers!$N$23*((BT68+nh3_st_ab_losses)/365.25*short_st_duration_hrs/24)*(h2_short_st_invest*(1/gh2_short_st_lifetime+$M68+h2_short_st_opex)+h2_short_st_e_demand*1000*$AU68/100)/1000000+Carriers!$N$19/Carriers!$N$23*((BT68+nh3_st_ab_losses)/365.25*short_st_duration_hrs/24)*(n2_short_st_invest*(1/n2_short_st_lifetime+$M68+n2_short_st_opex)+n2_short_st_e_demand*1000*$AU68/100)/1000000</f>
        <v>3538.7086535830344</v>
      </c>
      <c r="BT68" s="63">
        <f>Storage!$G$57/((1-Shipping!$H$37)^(F68/24/Shipping!$H$44+0.5*Shipping!$H$59))</f>
        <v>80064787.848801926</v>
      </c>
      <c r="BU68" s="63">
        <f>IF($E68="","No Port",((F68/24/Shipping!$H$44+F68/24/Shipping!$H$50+Shipping!$H$59+Shipping!$H$64)*(Shipping!$H$22+wacc_nl*Shipping!$H$19/365.25*1000000+Shipping!$H$35)+(F68/24/Shipping!$H$44*Shipping!$H$45+Shipping!$H$64*Shipping!$H$65)*IF(bunker_choice="HFO",H68,IF(bunker_choice="hydrogen",BD68*hfo_e_density_lhv/h2_e_density_lhv,(BR68+BS68)*1000000/BT68*hfo_e_density_lhv/nh3_e_density_lhv))+(F68/24/Shipping!$H$50*Shipping!$H$51+Shipping!$H$59*Shipping!$H$60)*IF(bunker_choice="HFO",bunker_price_ROT,IF(bunker_choice="hydrogen",BD68*hfo_e_density_lhv/h2_e_density_lhv,(BR68+BS68)*1000000/BT68*hfo_e_density_lhv/nh3_e_density_lhv))+Shipping!$H$73+IF(G68="Panama",Shipping!$H$55,0)+IF(G68="Suez",Shipping!$H$56,0))/Shipping!$H$31*BT68/1000000+IF(inland_transport_to_port="hv dc grid",$BM68/100*1000*BW68,IF(inland_transport_to_port="pipeline",$BN68,0)))</f>
        <v>6877.1383505963258</v>
      </c>
      <c r="BV68" s="63">
        <f t="shared" si="91"/>
        <v>64969.634629340711</v>
      </c>
      <c r="BW68" s="33">
        <f>((Carriers!$N$18/Carriers!$N$23*alk_el_e_demand)+(Carriers!$N$19/Carriers!$N$23*n2_e_demand)+nh3_e_demand)*(BT68+nh3_st_ab_losses)/1000000+nh3_st_e_demand*BT68/1000000</f>
        <v>790.65182614285209</v>
      </c>
      <c r="BX68" s="33">
        <f t="shared" si="79"/>
        <v>0.76626754477640768</v>
      </c>
      <c r="BY68" s="63">
        <f>IFERROR(BV68*1000000/Storage!$G$12,"")</f>
        <v>848.5778516796629</v>
      </c>
      <c r="BZ68" s="63">
        <f>H2_retrieval!$F$25*h2_demand_kt/1000</f>
        <v>80</v>
      </c>
      <c r="CA68" s="63">
        <f>IFERROR(BY68*(1+H2_retrieval!$F$34)/Carrier_properties!$E$7+H2_retrieval!$F$38,"")</f>
        <v>5186.4049965070235</v>
      </c>
      <c r="CB68" s="149">
        <f>(FA_invest*(M68+1/FA_lifetime)/FA_prod+FA_opex+FA_e_demand*1000*$AU68/100+Carriers!$P$18/Carriers!$P$23*BD68+Carriers!$P$20/Carriers!$P$23*co2_liq_cost)*(CF68+FA_st_ab_losses)/1000000</f>
        <v>106383.10901820868</v>
      </c>
      <c r="CC68" s="86">
        <f>(FA_invest*(M68+1/FA_lifetime)/FA_prod+FA_opex+FA_e_demand*1000*$AU68/100+Carriers!$P$18/Carriers!$P$23*BD68+Carriers!$P$20/Carriers!$P$23*BP68)*(CF68+FA_st_ab_losses)/1000000</f>
        <v>134443.27337721319</v>
      </c>
      <c r="CD68" s="63">
        <f>FA_st_nl_cost*FA_st_nl_demand/1000000+(FA_st_invest*(M68+1/FA_st_lifetime+FA_st_opex)/(Storage!$I$63/1000000)+FA_st_e_demand*1000*$AU68/100)*(CF68+FA_st_ab_losses)/1000000+co2_st_nl_cost*Storage!$I$12*co2_density/FA_density/1000000+(co2_st_opex_lev+co2_st_invest_lev+co2_st_e_demand*1000*$AU68/100)*Storage!$I$12/1000000+co2_st_invest_lev*Storage!$I$12*co2_st_lifetime*M68/1000000+Carriers!$P$18/Carriers!$P$23*((CF68+FA_st_ab_losses)/365.25*short_st_duration_hrs/24)*(h2_short_st_invest*(1/gh2_short_st_lifetime+$M68+h2_short_st_opex)+h2_short_st_e_demand*1000*$AU68/100)/1000000+Carriers!$P$20/Carriers!$P$23*((CF68+FA_st_ab_losses)/365.25*short_st_duration_hrs/24)*(co2_short_st_invest*(1/co2_short_st_lifetime+$M68+co2_short_st_opex)+co2_short_st_e_demand*1000*$AU68/100)/1000000</f>
        <v>11939.091775846644</v>
      </c>
      <c r="CE68" s="63">
        <f>FA_st_nl_cost*FA_st_nl_demand/1000000+(FA_st_invest*(M68+1/FA_st_lifetime+FA_st_opex)/(Storage!$I$63/1000000)+FA_st_e_demand*1000*$AU68/100)*(CF68+FA_st_ab_losses)/1000000+Carriers!$P$18/Carriers!$P$23*((CF68+FA_st_ab_losses)/365.25*short_st_duration_hrs/24)*(h2_short_st_invest*(1/gh2_short_st_lifetime+$M68+h2_short_st_opex)+h2_short_st_e_demand*1000*$AU68/100)/1000000+Carriers!$P$20/Carriers!$P$23*((CF68+FA_st_ab_losses)/365.25*short_st_duration_hrs/24)*(co2_short_st_invest*(1/co2_short_st_lifetime+$M68+co2_short_st_opex)+co2_short_st_e_demand*1000*$AU68/100)/1000000</f>
        <v>5202.9883078758148</v>
      </c>
      <c r="CF68" s="63">
        <f>Storage!$I$57/((1-Shipping!$J$37)^($F68/24/Shipping!$J$44+0.5*Shipping!$J$59))</f>
        <v>310425396.82539684</v>
      </c>
      <c r="CG68" s="28">
        <f>IF($E68="","No Port",((F68/24/Shipping!$J$44+F68/24/Shipping!$J$50+Shipping!$J$59+Shipping!$J$64)*(Shipping!$J$22+wacc_nl*Shipping!$J$19/365.25*1000000+Shipping!$J$35)+(F68/24/Shipping!$J$44*Shipping!$J$45+Shipping!$J$64*Shipping!$J$65)*IF(bunker_choice="HFO",$H68,IF(bunker_choice="hydrogen",$BD68*hfo_e_density_lhv/h2_e_density_lhv,(CB68+CD68)*1000000/CF68*hfo_e_density_lhv/FA_e_density_lhv))+(F68/24/Shipping!$J$50*Shipping!$J$51+Shipping!$J$59*Shipping!$J$60)*IF(bunker_choice="HFO",bunker_price_ROT,IF(bunker_choice="hydrogen",$BD68*hfo_e_density_lhv/h2_e_density_lhv,(CB68+CD68)*1000000/CF68*hfo_e_density_lhv/FA_e_density_lhv))+Shipping!$J$73+IF(G68="Panama",Shipping!$J$55,0)+IF(G68="Suez",Shipping!$J$56,0))/Shipping!$J$31*CF68/1000000+IF(inland_transport_to_port="hv dc grid",$BM68/100*1000*CI68,IF(inland_transport_to_port="pipeline",$BN68,0)))</f>
        <v>22982.287122798381</v>
      </c>
      <c r="CH68" s="28">
        <f t="shared" si="36"/>
        <v>162628.54880788739</v>
      </c>
      <c r="CI68" s="29">
        <f>((Carriers!$P$18/Carriers!$P$23*alk_el_e_demand)+FA_e_demand)*(CF68+FA_st_ab_losses)/1000000+FA_st_e_demand*CF68/1000000</f>
        <v>1897.8881241622576</v>
      </c>
      <c r="CJ68" s="29">
        <f t="shared" si="80"/>
        <v>0.46563809523809524</v>
      </c>
      <c r="CK68" s="28">
        <f>IFERROR(CH68*1000000/Storage!$I$12,"")</f>
        <v>523.88931598711986</v>
      </c>
      <c r="CL68" s="28">
        <f>IF($E68="","No Port",((F68/24/Shipping!$J$44+F68/24/Shipping!$J$50+Shipping!$J$59+Shipping!$J$64)*Carriers!$P$39*wacc_nl))</f>
        <v>312.89155659720615</v>
      </c>
      <c r="CM68" s="29">
        <f>H2_retrieval!$H$25*h2_demand_kt/1000+(co2_liq_e_demand+co2_st_e_demand*2)*Storage!$I$12*co2_density/FA_density/1000000</f>
        <v>94.204253879484654</v>
      </c>
      <c r="CN68" s="28">
        <f>IFERROR((((CB68+CD68+CG68)*(1+H2_retrieval!$H$34)+CL68)*1000000/H2_retrieval!$H$8)+h2_regen_fa,"")</f>
        <v>10502.729976108933</v>
      </c>
      <c r="CO68" s="149">
        <f>(meoh_invest*(M68+1/meoh_lifetime)/meoh_prod+meoh_opex+meoh_e_demand*1000*$AU68/100+Carriers!$R$18/Carriers!$R$23*BD68+Carriers!$R$20/Carriers!$R$23*co2_liq_cost)*(CS68+meoh_st_ab_losses)/1000000</f>
        <v>65767.087200603535</v>
      </c>
      <c r="CP68" s="86">
        <f>(meoh_invest*(M68+1/meoh_lifetime)/meoh_prod+meoh_opex+meoh_e_demand*1000*$AU68/100+Carriers!$R$18/Carriers!$R$23*BD68+Carriers!$R$20/Carriers!$R$23*BP68)*(CS68+meoh_st_ab_losses)/1000000</f>
        <v>82239.269948143497</v>
      </c>
      <c r="CQ68" s="63">
        <f>meoh_st_nl_cost*meoh_st_nl_demand/1000000+(meoh_st_invest*(M68+1/meoh_st_lifetime+meoh_st_opex)/(Storage!$K$63/1000000)+meoh_st_e_demand*1000*$AU68/100)*(CS68+meoh_st_ab_losses)/1000000+co2_st_nl_cost*Storage!$K$12*co2_density/meoh_density/1000000+(co2_st_opex_lev+co2_st_invest_lev+co2_st_e_demand*1000*IFERROR(MIN(S68,AA68,AI68),S68)/100)*Storage!$K$12/1000000+co2_st_invest_lev*Storage!$K$12*co2_st_lifetime*M68/1000000+Carriers!$R$18/Carriers!$R$23*((CS68+meoh_st_ab_losses)/365.25*short_st_duration_hrs/24)*(h2_short_st_invest*(1/gh2_short_st_lifetime+$M68+h2_short_st_opex)+h2_short_st_e_demand*1000*$AU68/100)/1000000+Carriers!$R$20/Carriers!$R$23*((CF68+meoh_st_ab_losses)/365.25*short_st_duration_hrs/24)*(co2_short_st_invest*(1/co2_short_st_lifetime+$M68+co2_short_st_opex)+co2_short_st_e_demand*1000*$AU68/100)/1000000</f>
        <v>5000.804358096766</v>
      </c>
      <c r="CR68" s="63">
        <f>meoh_st_nl_cost*meoh_st_nl_demand/1000000+(meoh_st_invest*(M68+1/meoh_st_lifetime+meoh_st_opex)/(Storage!$K$63/1000000)+meoh_st_e_demand*1000*$AU68/100)*(CS68+meoh_st_ab_losses)/1000000+Carriers!$R$18/Carriers!$R$23*((CS68+meoh_st_ab_losses)/365.25*short_st_duration_hrs/24)*(h2_short_st_invest*(1/gh2_short_st_lifetime+$M68+h2_short_st_opex)+h2_short_st_e_demand*1000*$AU68/100)/1000000+Carriers!$R$20/Carriers!$R$23*((CF68+meoh_st_ab_losses)/365.25*short_st_duration_hrs/24)*(co2_short_st_invest*(1/co2_short_st_lifetime+$M68+co2_short_st_opex)+co2_short_st_e_demand*1000*$AU68/100)/1000000</f>
        <v>2057.2869021865326</v>
      </c>
      <c r="CS68" s="63">
        <f>Storage!$K$57/((1-Shipping!$L$37)^($F68/24/Shipping!$L$44+0.5*Shipping!$L$59))</f>
        <v>108044444.44444443</v>
      </c>
      <c r="CT68" s="28">
        <f>IF($E68="","No Port",IF(AND(ship_choice="VLCC",G68="Panama"),"Ship cannot pass through Panama",IF(ship_choice="VLCC",((F68/24/Shipping!$AD$44+F68/24/Shipping!$AD$50+Shipping!$AD$59+Shipping!$AD$64)*(Shipping!$AD$22+wacc_nl*Shipping!$AD$19/365.25*1000000+Shipping!$AD$35)+(F68/24/Shipping!$AD$44*Shipping!$AD$45+Shipping!$AD$64*Shipping!$AD$65)*IF(bunker_choice="HFO",$H68,IF(bunker_choice="hydrogen",$BD68*hfo_e_density_lhv/h2_e_density_lhv,(CO68+CQ68)*1000000/CS68*hfo_e_density_lhv/meoh_e_density_lhv))+(F68/24/Shipping!$AD$50*Shipping!$AD$51+Shipping!$AD$59*Shipping!$AD$60)*IF(bunker_choice="HFO",bunker_price_ROT,IF(bunker_choice="hydrogen",$BD68*hfo_e_density_lhv/h2_e_density_lhv,(CO68+CQ68)*1000000/CS68*hfo_e_density_lhv/meoh_e_density_lhv))+Shipping!$AD$73+IF(G68="Panama",Shipping!$AD$55,0)+IF(G68="Suez",Shipping!$AD$56,0))/Shipping!$AD$31*CS68/1000000+IF(inland_transport_to_port="hv dc grid",$BM68/100*1000*CV68,IF(inland_transport_to_port="pipeline",$BN68,0)),((F68/24/Shipping!$L$44+F68/24/Shipping!$L$50+Shipping!$L$59+Shipping!$L$64)*(Shipping!$L$22+wacc_nl*Shipping!$L$19/365.25*1000000+Shipping!$L$35)+(F68/24/Shipping!$L$44*Shipping!$L$45+Shipping!$L$64*Shipping!$L$65)*IF(bunker_choice="HFO",$H68,IF(bunker_choice="hydrogen",$BD68*hfo_e_density_lhv/h2_e_density_lhv,(CO68+CQ68)*1000000/CS68*hfo_e_density_lhv/meoh_e_density_lhv))+(F68/24/Shipping!$L$50*Shipping!$L$51+Shipping!$L$59*Shipping!$L$60)*IF(bunker_choice="HFO",bunker_price_ROT,IF(bunker_choice="hydrogen",$BD68*hfo_e_density_lhv/h2_e_density_lhv,(CO68+CQ68)*1000000/CS68*hfo_e_density_lhv/meoh_e_density_lhv))+Shipping!$L$73+IF(G68="Panama",Shipping!$L$55,0)+IF(G68="Suez",Shipping!$L$56,0))/Shipping!$L$31*CS68/1000000+IF(inland_transport_to_port="hv dc grid",$BM68/100*1000*CV68,IF(inland_transport_to_port="pipeline",$BN68,0)))))</f>
        <v>9027.4606364970587</v>
      </c>
      <c r="CU68" s="28">
        <f t="shared" si="37"/>
        <v>93324.017486827084</v>
      </c>
      <c r="CV68" s="29">
        <f>((Carriers!$R$18/Carriers!$R$23*alk_el_e_demand)+meoh_e_demand)*(CS68+meoh_st_ab_losses)/1000000+meoh_st_e_demand*CS68/1000000</f>
        <v>1119.9789871111109</v>
      </c>
      <c r="CW68" s="29">
        <f t="shared" si="81"/>
        <v>0.16206666666666666</v>
      </c>
      <c r="CX68" s="28">
        <f>IFERROR(CU68*1000000/Storage!$K$12,"")</f>
        <v>863.75581795705875</v>
      </c>
      <c r="CY68" s="28">
        <f>IF($E68="","No Port",((F68/24/Shipping!$L$44+F68/24/Shipping!$L$50+Shipping!$L$59+Shipping!$L$64)*Carriers!$R$39*wacc_nl))</f>
        <v>112.12088975488709</v>
      </c>
      <c r="CZ68" s="29">
        <f>H2_retrieval!$J$25*h2_demand_kt/1000+(co2_liq_e_demand+co2_st_e_demand*2)*Storage!$K$12*co2_density/meoh_density/1000000</f>
        <v>251.05079059698966</v>
      </c>
      <c r="DA68" s="28">
        <f>IFERROR((((CO68+CQ68+CT68)*(1+H2_retrieval!$J$34)+CY68)*1000000/H2_retrieval!$J$8)+h2_regen_meoh,"")</f>
        <v>7045.6780347367221</v>
      </c>
      <c r="DB68" s="149">
        <f>(DBT_invest*(M68+1/DBT_lifetime)/DBT_prod+DBT_opex+DBT_e_demand*1000*$AU68/100+Carriers!$T$18/Carriers!$T$23*BD68)*(DD68+DBT_st_ab_losses)/1000000</f>
        <v>44196.032640936312</v>
      </c>
      <c r="DC68" s="28">
        <f>2*(DBT_st_nl_cost*DBT_st_nl_demand/1000000+(DBT_st_invest*(M68+1/DBT_st_lifetime+DBT_st_opex)/(Storage!$M$63/1000000)+DBT_st_e_demand*1000*$AU68/100)*(DD68+DBT_st_ab_losses)/1000000)+Carriers!$T$18/Carriers!$T$23*((DD68+DBT_st_ab_losses)/365.25*short_st_duration_hrs/24)*(h2_short_st_invest*(1/gh2_short_st_lifetime+$M68+h2_short_st_opex)+h2_short_st_e_demand*1000*$AU68/100)/1000000</f>
        <v>4229.5326992061118</v>
      </c>
      <c r="DD68" s="63">
        <f>Storage!$M$57/((1-Shipping!$N$37)^($F68/24/Shipping!$N$44+0.5*Shipping!$N$59))</f>
        <v>219354838.70967743</v>
      </c>
      <c r="DE68" s="28">
        <f>IF($E68="","No Port",IF(AND(ship_choice="VLCC",G68="Panama"),"Ship cannot pass through Panama",IF(ship_choice="VLCC",((F68/24/Shipping!$AD$44+F68/24/Shipping!$AD$50+Shipping!$AD$59+Shipping!$AD$64)*(Shipping!$AD$22+wacc_nl*Shipping!$AD$19/365.25*1000000+Shipping!$AD$35)+(F68/24/Shipping!$AD$44*Shipping!$AD$45+Shipping!$AD$64*Shipping!$AD$65)*IF(bunker_choice="HFO",$H68,IF(bunker_choice="hydrogen",$BD68*hfo_e_density_lhv/h2_e_density_lhv,(DB68+DC68)*1000000/DD68*hfo_e_density_lhv/DBT_e_density_lhv))+(F68/24/Shipping!$AD$50*Shipping!$AD$51+Shipping!$AD$59*Shipping!$AD$60)*IF(bunker_choice="HFO",bunker_price_ROT,IF(bunker_choice="hydrogen",$BD68*hfo_e_density_lhv/h2_e_density_lhv,(DB68+DC68)*1000000/DD68*hfo_e_density_lhv/DBT_e_density_lhv))+Shipping!$AD$73+IF(G68="Panama",Shipping!$AD$55,0)+IF(G68="Suez",Shipping!$AD$56,0))/Shipping!$AD$31*DD68/1000000+IF(inland_transport_to_port="hv dc grid",$BM68/100*1000*DG68,IF(inland_transport_to_port="pipeline",$BN68,0)),((F68/24/Shipping!$N$44+F68/24/Shipping!$N$50+Shipping!$N$59+Shipping!$N$64)*(Shipping!$N$22+wacc_nl*Shipping!$N$19/365.25*1000000+Shipping!$N$35)+(F68/24/Shipping!$N$44*Shipping!$N$45+Shipping!$N$64*Shipping!$N$65)*IF(bunker_choice="HFO",$H68,IF(bunker_choice="hydrogen",$BD68*hfo_e_density_lhv/h2_e_density_lhv,(DB68+DC68)*1000000/DD68*hfo_e_density_lhv/DBT_e_density_lhv))+(F68/24/Shipping!$N$50*Shipping!$N$51+Shipping!$N$59*Shipping!$N$60)*IF(bunker_choice="HFO",bunker_price_ROT,IF(bunker_choice="hydrogen",$BD68*hfo_e_density_lhv/h2_e_density_lhv,(DB68+DC68)*1000000/DD68*hfo_e_density_lhv/DBT_e_density_lhv))+Shipping!$N$73+IF(G68="Panama",Shipping!$N$55,0)+IF(G68="Suez",Shipping!$N$56,0))/Shipping!$N$31*Shipping!$N$86/1000000+IF(inland_transport_to_port="hv dc grid",$BM68/100*1000*DG68,IF(inland_transport_to_port="pipeline",$BN68,0)))))</f>
        <v>15176.210017045431</v>
      </c>
      <c r="DF68" s="28">
        <f t="shared" si="82"/>
        <v>63601.775357187849</v>
      </c>
      <c r="DG68" s="29">
        <f>((Carriers!$T$18/Carriers!$T$23*alk_el_e_demand)+DBT_e_demand)*(DD68+DBT_st_ab_losses)/1000000+DBT_st_e_demand*DD68/1000000</f>
        <v>703.88335483870969</v>
      </c>
      <c r="DH68" s="29">
        <f t="shared" si="83"/>
        <v>0.21935483870967742</v>
      </c>
      <c r="DI68" s="28">
        <f>IFERROR(DF68*1000000/Storage!$M$12,"")</f>
        <v>289.94927001070931</v>
      </c>
      <c r="DJ68" s="28">
        <f>IF($E68="","No Port",((F68/24/Shipping!$N$44+F68/24/Shipping!$N$50+Shipping!$N$59+Shipping!$N$64)*Carriers!$T$39*wacc_nl))</f>
        <v>8166.1327875745119</v>
      </c>
      <c r="DK68" s="100">
        <f>H2_retrieval!$L$25*h2_demand_kt/1000+(co2_liq_e_demand+co2_st_e_demand*2)*Storage!$M$12*co2_density/DBT_density/1000000</f>
        <v>206.61934861671787</v>
      </c>
      <c r="DL68" s="28">
        <f>IFERROR(((DF68*(1+H2_retrieval!$L$34)+DJ68)*1000000/H2_retrieval!$L$8)+h2_regen_lohc,"")</f>
        <v>5747.7018501066159</v>
      </c>
      <c r="DM68" s="149">
        <f t="shared" si="84"/>
        <v>50844.401319820165</v>
      </c>
      <c r="DN68" s="16">
        <f>2*(nabh4_st_nl_cost*nabh4_st_nl_demand/1000000+(nabh4_st_invest*(M68+1/nabh4_st_lifetime+nabh4_st_opex)/(Storage!$O$63/1000000)+nabh4_st_e_demand*1000*$AU68/100)*(DO68+nabh4_st_ab_losses)/1000000)+(h2_demand_kt*1000/365.25*short_st_duration_hrs/24)*(h2_short_st_invest*(1/gh2_short_st_lifetime+$M68+h2_short_st_opex)+h2_short_st_e_demand*1000*$AU68/100)/1000000</f>
        <v>1429.316950530779</v>
      </c>
      <c r="DO68" s="63">
        <f>Storage!$O$57/((1-Shipping!$P$37)^($F68/24/Shipping!$P$44+0.5*Shipping!$P$59))</f>
        <v>63920000</v>
      </c>
      <c r="DP68" s="16">
        <f>IF($E68="","No Port",((F68/24/Shipping!$P$44+F68/24/Shipping!$P$50+Shipping!$P$59+Shipping!$P$64)*(Shipping!$P$22+wacc_nl*Shipping!$P$19/365.25*1000000+Shipping!$P$35)+(F68/24/Shipping!$P$44*Shipping!$P$45+Shipping!$P$64*Shipping!$P$65)*IF(bunker_choice="HFO",$H68,IF(bunker_choice="hydrogen",$BD68*hfo_e_density_lhv/h2_e_density_lhv,(DM68+DN68)*1000000/DO68*hfo_e_density_lhv/nabh4_e_density_lhv))+(F68/24/Shipping!$P$50*Shipping!$P$51+Shipping!$P$59*Shipping!$P$60)*IF(bunker_choice="HFO",bunker_price_ROT,IF(bunker_choice="hydrogen",$BD68*hfo_e_density_lhv/h2_e_density_lhv,(DM68+DN68)*1000000/DO68*hfo_e_density_lhv/nabh4_e_density_lhv))+Shipping!$P$73+IF(G68="Panama",Shipping!$P$55,0)+IF(G68="Suez",Shipping!$P$56,0))/Shipping!$P$31*(DO68+nabh4_st_ab_losses)/1000000+IF(inland_transport_to_port="hv dc grid",$BM68/100*1000*DR68,IF(inland_transport_to_port="pipeline",$BN68,0)))</f>
        <v>5282.0449225372977</v>
      </c>
      <c r="DQ68" s="28">
        <f t="shared" si="60"/>
        <v>57555.763192888247</v>
      </c>
      <c r="DR68" s="29">
        <f>((Carriers!$V$18/Carriers!$V$23*alk_el_e_demand)+nabh4_e_demand)*(DO68+nabh4_st_ab_losses)/1000000+nabh4_st_e_demand*DO68/1000000</f>
        <v>980.02139682539689</v>
      </c>
      <c r="DS68" s="28">
        <f t="shared" si="85"/>
        <v>3.1960000000000002</v>
      </c>
      <c r="DT68" s="28">
        <f>IFERROR(DQ68*1000000/Storage!$O$12,"")</f>
        <v>900.43434281740053</v>
      </c>
      <c r="DU68" s="28">
        <f>IF($E68="","No Port",((F68/24/Shipping!$P$44+F68/24/Shipping!$P$50+Shipping!$P$59+Shipping!$P$64)*Carriers!$V$39*wacc_nl))</f>
        <v>753.43982842484115</v>
      </c>
      <c r="DV68" s="100">
        <f>H2_retrieval!$N$25*h2_demand_kt/1000+(co2_liq_e_demand+co2_st_e_demand*2)*Storage!$O$12*co2_density/nabh4_density/1000000</f>
        <v>18.783638728971958</v>
      </c>
      <c r="DW68" s="28">
        <f>IFERROR(((DQ68*(1+H2_retrieval!$N$34)+DU68)*1000000/H2_retrieval!$N$8)+h2_regen_nabh4,"")</f>
        <v>4378.9564373014373</v>
      </c>
      <c r="DX68" s="149">
        <f>(Dme_invest*(M68+1/Dme_lifetime)/Dme_prod+Dme_opex+Dme_e_demand*1000*$AU68/100+Carriers!$X$21/Carriers!$X$23*(CO68*1000000/CS68))*(EB68+Dme_st_ab_losses)/1000000</f>
        <v>92410.012283514108</v>
      </c>
      <c r="DY68" s="86">
        <f>(Dme_invest*(M68+1/Dme_lifetime)/Dme_prod+Dme_opex+Dme_e_demand*1000*$AU68/100+Carriers!$X$21/Carriers!$X$23*(CP68*1000000/CS68))*(EB68+Dme_st_ab_losses)/1000000</f>
        <v>114757.22981557621</v>
      </c>
      <c r="DZ68" s="63">
        <f>Dme_st_nl_cost*Dme_st_nl_demand/1000000+(Dme_st_invest*(M68+1/Dme_st_lifetime+Dme_st_opex)/(Storage!$Q$63/1000000)+Dme_st_e_demand*1000*$AU68/100)*(EB68+Dme_st_ab_losses)/1000000+co2_st_nl_cost*Storage!$Q$12*co2_density/Dme_density/1000000+(co2_st_opex_lev+co2_st_invest_lev+co2_st_e_demand*1000*$AU68/100)*Storage!$Q$12/1000000+co2_st_invest_lev*Storage!$Q$12*co2_st_lifetime*M68/1000000+(h2_demand_kt*1000/365.25*short_st_duration_hrs/24)*(h2_short_st_invest*(1/gh2_short_st_lifetime+$M68+h2_short_st_opex)+h2_short_st_e_demand*1000*$AU68/100)/1000000</f>
        <v>6026.2350058984139</v>
      </c>
      <c r="EA68" s="63">
        <f>Dme_st_nl_cost*Dme_st_nl_demand/1000000+(Dme_st_invest*(M68+1/Dme_st_lifetime+Dme_st_opex)/(Storage!$Q$63/1000000)+Dme_st_e_demand*1000*$AU68/100)*(EB68+Dme_st_ab_losses)/1000000+(h2_demand_kt*1000/365.25*short_st_duration_hrs/24)*(h2_short_st_invest*(1/gh2_short_st_lifetime+$M68+h2_short_st_opex)+h2_short_st_e_demand*1000*$AU68/100)/1000000</f>
        <v>3078.3408916409389</v>
      </c>
      <c r="EB68" s="63">
        <f>Storage!$Q$57/((1-Shipping!$R$37)^($F68/24/Shipping!$R$44+0.5*Shipping!$R$59))</f>
        <v>103547089.94708996</v>
      </c>
      <c r="EC68" s="153">
        <f>IF($E68="","No Port",IF(AND(ship_choice="VLCC",G68="Panama"),"Ship cannot pass through Panama",IF(ship_choice="VLCC",((F68/24/Shipping!$AD$44+F68/24/Shipping!$AD$50+Shipping!$AD$59+Shipping!$AD$64)*(Shipping!$AD$22+wacc_nl*Shipping!$AD$19/365.25*1000000+Shipping!$AD$35)+(F68/24/Shipping!$AD$44*Shipping!$AD$45+Shipping!$AD$64*Shipping!$AD$65)*IF(bunker_choice="HFO",$H68,IF(bunker_choice="hydrogen",$BD68*hfo_e_density_lhv/h2_e_density_lhv,(DX68+DZ68)*1000000/EB68*hfo_e_density_lhv/Dme_e_density_lhv))+(F68/24/Shipping!$AD$50*Shipping!$AD$51+Shipping!$AD$59*Shipping!$AD$60)*IF(bunker_choice="HFO",bunker_price_ROT,IF(bunker_choice="hydrogen",$BD68*hfo_e_density_lhv/h2_e_density_lhv,(DX68+DZ68)*1000000/EB68*hfo_e_density_lhv/Dme_e_density_lhv))+Shipping!$AD$73+IF(G68="Panama",Shipping!$AD$55,0)+IF(G68="Suez",Shipping!$AD$56,0))/Shipping!$AD$31*(EB68+Dme_st_ab_losses)/1000000+IF(inland_transport_to_port="hv dc grid",$BM68/100*1000*EE68,IF(inland_transport_to_port="pipeline",$BN68,0)),((F68/24/Shipping!$R$44+F68/24/Shipping!$R$50+Shipping!$R$59+Shipping!$R$64)*(Shipping!$R$22+wacc_nl*Shipping!$R$19/365.25*1000000+Shipping!$R$35)+(F68/24/Shipping!$R$44*Shipping!$R$45+Shipping!$R$64*Shipping!$R$65)*IF(bunker_choice="HFO",$H68,IF(bunker_choice="hydrogen",$BD68*hfo_e_density_lhv/h2_e_density_lhv,(DX68+DZ68)*1000000/EB68*hfo_e_density_lhv/Dme_e_density_lhv))+(F68/24/Shipping!$R$50*Shipping!$R$51+Shipping!$R$59*Shipping!$R$60)*IF(bunker_choice="HFO",bunker_price_ROT,IF(bunker_choice="hydrogen",$BD68*hfo_e_density_lhv/h2_e_density_lhv,(DX68+DZ68)*1000000/EB68*hfo_e_density_lhv/Dme_e_density_lhv))+Shipping!$R$73+IF(G68="Panama",Shipping!$R$55,0)+IF(G68="Suez",Shipping!$R$56,0))/Shipping!$R$31*(EB68+Dme_st_ab_losses)/1000000+IF(inland_transport_to_port="hv dc grid",$BM68/100*1000*EE68,IF(inland_transport_to_port="pipeline",$BN68,0)))))</f>
        <v>8946.4159548373373</v>
      </c>
      <c r="ED68" s="28">
        <f t="shared" si="39"/>
        <v>126781.98666205449</v>
      </c>
      <c r="EE68" s="29">
        <f>(Dme_e_demand)*(EB68+Dme_st_ab_losses)/1000000+Dme_st_e_demand*DZ68/1000000+$CV68*(Carriers!$X$21/Carriers!$X$23*EB68)/$CS68</f>
        <v>1550.216820429406</v>
      </c>
      <c r="EF68" s="29">
        <f t="shared" si="86"/>
        <v>1.0354708994708997</v>
      </c>
      <c r="EG68" s="28">
        <f>IFERROR(ED68*1000000/Storage!$Q$12,"")</f>
        <v>1224.3896639377988</v>
      </c>
      <c r="EH68" s="28">
        <f>IF($E68="","No Port",((F68/24/Shipping!$R$44+F68/24/Shipping!$R$50+Shipping!$R$59+Shipping!$R$64)*Carriers!$X$39*wacc_nl))</f>
        <v>116.65989825722572</v>
      </c>
      <c r="EI68" s="100">
        <f>H2_retrieval!$P$25*h2_demand_kt/1000+(co2_liq_e_demand+co2_st_e_demand*2)*Storage!$Q$12*co2_density/Dme_density/1000000</f>
        <v>252.45335899349112</v>
      </c>
      <c r="EJ68" s="28">
        <f>IFERROR((((DX68+DZ68+EC68)*(1+H2_retrieval!$P$34)+EH68)*1000000/H2_retrieval!$P$8)+h2_regen_dme,"")</f>
        <v>9074.4905389686955</v>
      </c>
      <c r="EK68" s="149">
        <f>(ome_invest*(M68+1/ome_lifetime)/ome_prod+ome_opex+ome_e_demand*1000*$AU68/100+Carriers!$Z$21/Carriers!$Z$23*(CO68*1000000/CS68))*(EO68+ome_st_ab_losses)/1000000</f>
        <v>200845.26088217518</v>
      </c>
      <c r="EL68" s="86">
        <f>(ome_invest*(M68+1/ome_lifetime)/ome_prod+ome_opex+ome_e_demand*1000*$AU68/100+Carriers!$Z$21/Carriers!$Z$23*(CP68*1000000/CS68))*(EO68+ome_st_ab_losses)/1000000</f>
        <v>247756.4206591257</v>
      </c>
      <c r="EM68" s="63">
        <f>ome_st_nl_cost*ome_st_nl_demand/1000000+(ome_st_invest*(M68+1/ome_st_lifetime+ome_st_opex)/(Storage!$S$63/1000000)+ome_st_e_demand*1000*$AU68/100)*(EO68+ome_st_ab_losses)/1000000+co2_st_nl_cost*Storage!$S$12*co2_density/ome_density/1000000+(co2_st_opex_lev+co2_st_invest_lev+co2_st_e_demand*1000*$AU68/100)*Storage!$S$12/1000000+co2_st_invest_lev*Storage!$S$12*co2_st_lifetime*M68/1000000+(h2_demand_kt*1000/365.25*short_st_duration_hrs/24)*(h2_short_st_invest*(1/gh2_short_st_lifetime+$M68+h2_short_st_opex)+h2_short_st_e_demand*1000*$AU68/100)/1000000</f>
        <v>5164.9557830858294</v>
      </c>
      <c r="EN68" s="63">
        <f>ome_st_nl_cost*ome_st_nl_demand/1000000+(ome_st_invest*(M68+1/ome_st_lifetime+ome_st_opex)/(Storage!$S$63/1000000)+ome_st_e_demand*1000*$AU68/100)*(EO68+ome_st_ab_losses)/1000000+(h2_demand_kt*1000/365.25*short_st_duration_hrs/24)*(h2_short_st_invest*(1/gh2_short_st_lifetime+$M68+h2_short_st_opex)+h2_short_st_e_demand*1000*$AU68/100)/1000000</f>
        <v>1851.833119322368</v>
      </c>
      <c r="EO68" s="63">
        <f>Storage!$S$57/((1-Shipping!$T$37)^($F68/24/Shipping!$T$44+0.5*Shipping!$T$59))</f>
        <v>128282539.68253967</v>
      </c>
      <c r="EP68" s="28">
        <f>IF($E68="","No Port",IF(AND(ship_choice="VLCC",G68="Panama"),"Ship cannot pass through Panama",IF(ship_choice="VLCC",((F68/24/Shipping!$AD$44+F68/24/Shipping!$AD$50+Shipping!$AD$59+Shipping!$AD$64)*(Shipping!$AD$22+wacc_nl*Shipping!$AD$19/365.25*1000000+Shipping!$AD$35)+(F68/24/Shipping!$AD$44*Shipping!$AD$45+Shipping!$AD$64*Shipping!$AD$65)*IF(bunker_choice="HFO",$H68,IF(bunker_choice="hydrogen",$BD68*hfo_e_density_lhv/h2_e_density_lhv,(EK68+EM68)*1000000/EO68*hfo_e_density_lhv/Dme_e_density_lhv))+(F68/24/Shipping!$AD$50*Shipping!$AD$51+Shipping!$AD$59*Shipping!$AD$60)*IF(bunker_choice="HFO",bunker_price_ROT,IF(bunker_choice="hydrogen",$BD68*hfo_e_density_lhv/h2_e_density_lhv,(EK68+EM68)*1000000/EO68*hfo_e_density_lhv/ome_e_density_lhv))+Shipping!$AD$73+IF(G68="Panama",Shipping!$AD$55,0)+IF(G68="Suez",Shipping!$AD$56,0))/Shipping!$AD$31*(EO68+ome_st_ab_losses)/1000000+IF(inland_transport_to_port="hv dc grid",$BM68/100*1000*ER68,IF(inland_transport_to_port="pipeline",$BN68,0)),((F68/24/Shipping!$T$44+F68/24/Shipping!$T$50+Shipping!$T$59+Shipping!$T$64)*(Shipping!$T$22+wacc_nl*Shipping!$T$19/365.25*1000000+Shipping!$T$35)+(F68/24/Shipping!$T$44*Shipping!$T$45+Shipping!$T$64*Shipping!$T$65)*IF(bunker_choice="HFO",$H68,IF(bunker_choice="hydrogen",$BD68*hfo_e_density_lhv/h2_e_density_lhv,(EK68+EM68)*1000000/EO68*hfo_e_density_lhv/Dme_e_density_lhv))+(F68/24/Shipping!$T$50*Shipping!$T$51+Shipping!$T$59*Shipping!$T$60)*IF(bunker_choice="HFO",bunker_price_ROT,IF(bunker_choice="hydrogen",$BD68*hfo_e_density_lhv/h2_e_density_lhv,(EK68+EM68)*1000000/EO68*hfo_e_density_lhv/ome_e_density_lhv))+Shipping!$T$73+IF(G68="Panama",Shipping!$T$55,0)+IF(G68="Suez",Shipping!$T$56,0))/Shipping!$T$31*(EO68+ome_st_ab_losses)/1000000+IF(inland_transport_to_port="hv dc grid",$BM68/100*1000*ER68,IF(inland_transport_to_port="pipeline",$BN68,0)))))</f>
        <v>9860.4764874094963</v>
      </c>
      <c r="EQ68" s="28">
        <f t="shared" si="40"/>
        <v>259468.73026585756</v>
      </c>
      <c r="ER68" s="29">
        <f>(ome_e_demand)*(EO68+ome_st_ab_losses)/1000000+ome_st_e_demand*EM68/1000000+$CV68*(Carriers!$Z$21/Carriers!$Z$23*EO68)/$CS68</f>
        <v>3352.0814578882173</v>
      </c>
      <c r="ES68" s="29">
        <f t="shared" si="87"/>
        <v>0.1924238095238095</v>
      </c>
      <c r="ET68" s="28">
        <f>IFERROR(EQ68*1000000/Storage!$S$12,"")</f>
        <v>2022.6348099122756</v>
      </c>
      <c r="EU68" s="28">
        <f>IF($E68="","No Port",((F68/24/Shipping!$T$44+F68/24/Shipping!$T$50+Shipping!$T$59+Shipping!$T$64)*Carriers!$Z$39*wacc_nl))</f>
        <v>133.12255491876454</v>
      </c>
      <c r="EV68" s="100">
        <f>H2_retrieval!$R$25*h2_demand_kt/1000+(co2_liq_e_demand+co2_st_e_demand*2)*Storage!$S$12*co2_density/ome_density/1000000</f>
        <v>254.51942895252085</v>
      </c>
      <c r="EW68" s="28">
        <f>IFERROR((((EK68+EM68+EP68)*(1+H2_retrieval!$R$34)+EU68)*1000000/H2_retrieval!$R$8)+h2_regen_ome,"")</f>
        <v>17052.762051107093</v>
      </c>
      <c r="EX68" s="149">
        <f>(sng_invest*(M68+1/sng_lifetime)/sng_prod+lng_invest*(M68+1/lng_lifetime)/lng_prod+sng_opex+lng_opex+(sng_e_demand+lng_e_demand)*1000*$AU68/100+Carriers!$AB$18/Carriers!$AB$23*BD68+Carriers!$AB$20/Carriers!$AB$23*co2_liq_cost)*(FB68+lng_st_ab_losses)/1000000</f>
        <v>71911.785819023411</v>
      </c>
      <c r="EY68" s="86">
        <f>(sng_invest*(M68+1/sng_lifetime)/sng_prod+lng_invest*(M68+1/lng_lifetime)/lng_prod+sng_opex+lng_opex+(sng_e_demand+lng_e_demand)*1000*$AU68/100+Carriers!$AB$18/Carriers!$AB$23*BD68+Carriers!$AB$20/Carriers!$AB$23*BP68)*(FB68+lng_st_ab_losses)/1000000</f>
        <v>84347.921893036153</v>
      </c>
      <c r="EZ68" s="63">
        <f>lng_st_nl_cost*lng_st_nl_demand/1000000+(lng_st_invest*(M68+1/lng_st_lifetime+lng_st_opex)/(Storage!$U$63/1000000)+lng_st_e_demand*1000*$AU68/100)*(FB68+lng_st_ab_losses)/1000000+co2_st_nl_cost*Storage!$U$12*co2_density/lng_density/1000000+(co2_st_opex_lev+co2_st_invest_lev+co2_st_e_demand*1000*$AU68/100)*Storage!$U$12/1000000+co2_st_invest_lev*Storage!$U$12*co2_st_lifetime*M68/1000000+Carriers!$AB$18/Carriers!$AB$23*((FB68+lng_st_ab_losses)/365.25*short_st_duration_hrs/24)*(h2_short_st_invest*(1/gh2_short_st_lifetime+$M68+h2_short_st_opex)+h2_short_st_e_demand*1000*$AU68/100)/1000000+Carriers!$AB$20/Carriers!$AB$23*((FB68+lng_st_ab_losses)/365.25*short_st_duration_hrs/24)*(co2_short_st_invest*(1/co2_short_st_lifetime+$M68+co2_short_st_opex)+co2_short_st_e_demand*1000*$AU68/100)/1000000</f>
        <v>6439.1274528748536</v>
      </c>
      <c r="FA68" s="63">
        <f>lng_st_nl_cost*lng_st_nl_demand/1000000+(lng_st_invest*(M68+1/lng_st_lifetime+lng_st_opex)/(Storage!$U$63/1000000)+lng_st_e_demand*1000*$AU68/100)*(FB68+lng_st_ab_losses)/1000000+Carriers!$AB$18/Carriers!$AB$23*((FB68+lng_st_ab_losses)/365.25*short_st_duration_hrs/24)*(h2_short_st_invest*(1/gh2_short_st_lifetime+$M68+h2_short_st_opex)+h2_short_st_e_demand*1000*$AU68/100)/1000000+Carriers!$AB$20/Carriers!$AB$23*((FB68+lng_st_ab_losses)/365.25*short_st_duration_hrs/24)*(co2_short_st_invest*(1/co2_short_st_lifetime+$M68+co2_short_st_opex)+co2_short_st_e_demand*1000*$AU68/100)/1000000</f>
        <v>4846.044888779028</v>
      </c>
      <c r="FB68" s="63">
        <f>Storage!$U$57/((1-Shipping!$V$37)^($F68/24/Shipping!$V$44+0.5*Shipping!$V$59))</f>
        <v>41563399.059414171</v>
      </c>
      <c r="FC68" s="28">
        <f>IF($E68="","No Port",IF(G68="Panama","Ship cannot pass through Panama",((F68/24/Shipping!$V$44+F68/24/Shipping!$V$50+Shipping!$V$59+Shipping!$V$64)*(Shipping!$V$22+wacc_nl*Shipping!$V$19/365.25*1000000+Shipping!$V$35)+(F68/24/Shipping!$V$44*Shipping!$V$45+Shipping!$V$64*Shipping!$V$65)*IF(bunker_choice="HFO",$H68,IF(bunker_choice="hydrogen",$BD68*hfo_e_density_lhv/h2_e_density_lhv,(EX68+EZ68)*1000000/FB68*hfo_e_density_lhv/lng_e_density_lhv))+(F68/24/Shipping!$V$50*Shipping!$V$51+Shipping!$V$59*Shipping!$V$60)*IF(bunker_choice="HFO",bunker_price_ROT,IF(bunker_choice="hydrogen",$BD68*hfo_e_density_lhv/h2_e_density_lhv,(EX68+EZ68)*1000000/FB68*hfo_e_density_lhv/lng_e_density_lhv))+Shipping!$V$73+IF(G68="Panama",Shipping!$V$55,0)+IF(G68="Suez",Shipping!$V$56,0))/Shipping!$V$31*(FB68+lng_st_ab_losses)/1000000)+IF(inland_transport_to_port="hv dc grid",$BM68/100*1000*FE68,IF(inland_transport_to_port="pipeline",$BN68,0)))</f>
        <v>4612.7450215100416</v>
      </c>
      <c r="FD68" s="28">
        <f t="shared" si="41"/>
        <v>93806.711803325219</v>
      </c>
      <c r="FE68" s="29">
        <f>((Carriers!$AB$18/Carriers!$AB$23*alk_el_e_demand)+sng_e_demand+lng_e_demand)*(FB68+lng_st_ab_losses)/1000000+lng_st_e_demand*EZ68/1000000</f>
        <v>1114.687591184148</v>
      </c>
      <c r="FF68" s="29">
        <f t="shared" si="88"/>
        <v>0.8126185861001558</v>
      </c>
      <c r="FG68" s="28">
        <f>IFERROR(FD68*1000000/Storage!$U$12,"")</f>
        <v>2311.4138155543997</v>
      </c>
      <c r="FH68" s="28">
        <f>IF($E68="","No Port",((F68/24/Shipping!$V$44+F68/24/Shipping!$V$50+Shipping!$V$59+Shipping!$V$64)*Carriers!$AB$39*wacc_nl))</f>
        <v>39.093351053995896</v>
      </c>
      <c r="FI68" s="100">
        <f>H2_retrieval!$T$25*h2_demand_kt/1000+(co2_liq_e_demand+co2_st_e_demand*2)*Storage!$U$12*co2_density/lng_density/1000000</f>
        <v>236.51371749646054</v>
      </c>
      <c r="FJ68" s="28">
        <f>IFERROR((((EX68+EZ68+FC68)*(1+H2_retrieval!$T$34)+FH68)*1000000/H2_retrieval!$T$8)+h2_regen_lng,"")</f>
        <v>7273.2720464654021</v>
      </c>
      <c r="FK68" s="149">
        <f>(lh2_invest*(M68+1/lh2_lifetime)/lh2_prod+lh2_opex+lh2_e_demand*1000*$AU68/100+Carriers!$AD$18/Carriers!$AD$23*BD68)*(FM68+lh2_st_ab_losses)/1000000</f>
        <v>56449.790531114973</v>
      </c>
      <c r="FL68" s="28">
        <f>lh2_st_nl_cost*lh2_st_nl_demand/1000000+(lh2_st_invest*(M68+1/lh2_st_lifetime+lh2_st_opex)/(Storage!$Y$63/1000000)+lh2_st_e_demand*1000*$AU68/100)*(FM68+lh2_st_ab_losses)/1000000+((FM68+lh2_st_ab_losses)/365.25*short_st_duration_hrs/24)*(h2_short_st_invest*(1/gh2_short_st_lifetime+$M68+h2_short_st_opex)+h2_short_st_e_demand*1000*$AU68/100)/1000000</f>
        <v>56351.579862457191</v>
      </c>
      <c r="FM68" s="63">
        <f>Storage!$Y$57/((1-Shipping!$Z$37)^($F68/24/Shipping!$Z$44+0.5*Shipping!$Z$59))</f>
        <v>14122734.980100317</v>
      </c>
      <c r="FN68" s="28">
        <f>IF($E68="","No Port",IF(G68="Panama","Ship cannot pass through Panama",((F68/24/Shipping!$Z$44+F68/24/Shipping!$Z$50+Shipping!$Z$59+Shipping!$Z$64)*(Shipping!$Z$22+wacc_nl*Shipping!$Z$19/365.25*1000000+Shipping!$Z$35)+(F68/24/Shipping!$Z$44*Shipping!$Z$45+Shipping!$Z$64*Shipping!$Z$65)*IF(bunker_choice="HFO",$H68,IF(bunker_choice="hydrogen",$BD68*hfo_e_density_lhv/h2_e_density_lhv,(FK68+FL68)*1000000/FM68*hfo_e_density_lhv/lh2_e_density_lhv))+(F68/24/Shipping!$Z$50*Shipping!$Z$51+Shipping!$Z$59*Shipping!$Z$60)*IF(bunker_choice="HFO",bunker_price_ROT,IF(bunker_choice="hydrogen",$BD68*hfo_e_density_lhv/h2_e_density_lhv,(FK68+FL68)*1000000/FM68*hfo_e_density_lhv/lh2_e_density_lhv))+Shipping!$Z$73+IF(G68="Panama",Shipping!$Z$55,0)+IF(G68="Suez",Shipping!$Z$56,0))/Shipping!$Z$31*(FM68+lh2_st_ab_losses)/1000000)+IF(inland_transport_to_port="hv dc grid",$BM68/100*1000*FP68,IF(inland_transport_to_port="pipeline",$BN68,0)))</f>
        <v>6695.6425514569437</v>
      </c>
      <c r="FO68" s="28">
        <f t="shared" si="42"/>
        <v>119497.01294502911</v>
      </c>
      <c r="FP68" s="29">
        <f>((Carriers!$AD$18/Carriers!$AD$23*alk_el_e_demand)+lh2_e_demand)*(FM68+lh2_st_ab_losses)/1000000+lh2_st_e_demand*FM68/1000000</f>
        <v>818.38172644840904</v>
      </c>
      <c r="FQ68" s="100">
        <f t="shared" si="89"/>
        <v>1.361902463475859</v>
      </c>
      <c r="FR68" s="28">
        <f>IFERROR(FO68*1000000/Storage!$Y$12,"")</f>
        <v>8786.5450694874344</v>
      </c>
      <c r="FS68" s="100">
        <f>H2_retrieval!$V$25*h2_demand_kt/1000</f>
        <v>8.16</v>
      </c>
      <c r="FT68" s="28">
        <f>IFERROR(FR68*(1+H2_retrieval!$V$34)/Carrier_properties!$U$7+H2_retrieval!$V$38,"")</f>
        <v>8818.5137953559024</v>
      </c>
      <c r="FU68" s="12"/>
      <c r="FV68" s="24">
        <f t="shared" si="90"/>
        <v>2.5509101428442951</v>
      </c>
      <c r="FW68" s="24" t="str">
        <f t="shared" si="92"/>
        <v/>
      </c>
      <c r="FX68" s="24" t="str">
        <f t="shared" si="93"/>
        <v/>
      </c>
      <c r="FY68" s="24">
        <f t="shared" si="45"/>
        <v>2.5509101428442951</v>
      </c>
      <c r="FZ68" s="28">
        <f t="shared" si="94"/>
        <v>3005.1566157977736</v>
      </c>
      <c r="GA68" s="28">
        <f t="shared" si="47"/>
        <v>681.37053867154771</v>
      </c>
      <c r="GB68" s="28">
        <f t="shared" si="48"/>
        <v>433.09366679438511</v>
      </c>
      <c r="GC68" s="28">
        <f t="shared" si="49"/>
        <v>761.1614865624141</v>
      </c>
      <c r="GD68" s="28">
        <f t="shared" si="50"/>
        <v>1108.2612739210188</v>
      </c>
      <c r="GE68" s="28">
        <f t="shared" si="51"/>
        <v>1931.3339233246209</v>
      </c>
      <c r="GF68" s="28">
        <f t="shared" si="52"/>
        <v>2029.3797861060937</v>
      </c>
      <c r="GG68" s="12"/>
      <c r="GH68" s="12"/>
      <c r="GI68" s="12"/>
      <c r="GJ68" s="12"/>
      <c r="GK68" s="12"/>
      <c r="GL68" s="12"/>
      <c r="GM68" s="12"/>
      <c r="GN68" s="12"/>
      <c r="GO68" s="12"/>
      <c r="GP68" s="12"/>
      <c r="GQ68" s="12"/>
      <c r="GR68" s="12"/>
      <c r="GS68" s="12"/>
      <c r="GT68" s="12"/>
      <c r="GU68" s="12"/>
      <c r="GV68" s="12"/>
      <c r="GW68" s="12"/>
      <c r="GX68" s="12"/>
      <c r="GY68" s="12"/>
      <c r="GZ68" s="12"/>
      <c r="HA68" s="12"/>
      <c r="HB68" s="12"/>
      <c r="HC68" s="12"/>
      <c r="HD68" s="12"/>
      <c r="HE68" s="12"/>
      <c r="HF68" s="12"/>
    </row>
    <row r="69" spans="1:214" x14ac:dyDescent="0.2">
      <c r="A69" s="40" t="s">
        <v>73</v>
      </c>
      <c r="B69" s="12">
        <v>3712</v>
      </c>
      <c r="C69" s="12">
        <v>1</v>
      </c>
      <c r="D69" s="12">
        <f t="shared" si="61"/>
        <v>0</v>
      </c>
      <c r="E69" s="12" t="s">
        <v>737</v>
      </c>
      <c r="F69" s="12">
        <v>6630</v>
      </c>
      <c r="G69" s="12" t="s">
        <v>692</v>
      </c>
      <c r="H69" s="16">
        <f t="shared" si="62"/>
        <v>382.75862068965517</v>
      </c>
      <c r="I69" s="16">
        <v>434320</v>
      </c>
      <c r="J69" s="16">
        <f t="shared" si="31"/>
        <v>371.81762971562279</v>
      </c>
      <c r="K69" s="27">
        <f t="shared" si="32"/>
        <v>446.18115565874734</v>
      </c>
      <c r="L69" s="103">
        <v>0.128</v>
      </c>
      <c r="M69" s="103">
        <f t="shared" si="63"/>
        <v>0.13194402786429624</v>
      </c>
      <c r="N69" s="122">
        <f t="shared" si="33"/>
        <v>0.8</v>
      </c>
      <c r="O69" s="46">
        <f t="shared" si="64"/>
        <v>40</v>
      </c>
      <c r="P69" s="70">
        <f t="array" ref="P69">SUMPRODUCT(IF(Solar_data!A$4:A$777=A69,Solar_data!C$4:C$777),IF(Solar_data!A$4:A$777=A69,Solar_data!I$4:I$777))/SUMIF(Solar_data!A$4:A$777,A69,Solar_data!I$4:I$777)</f>
        <v>2103.2196121175607</v>
      </c>
      <c r="Q69" s="16">
        <f t="array" ref="Q69">MAX(IF(Solar_data!$A$777:'Solar_data'!$A$4=Country_details!$A69,Solar_data!$C$4:'Solar_data'!$C$777))</f>
        <v>2463.75</v>
      </c>
      <c r="R69" s="16">
        <f t="array" ref="R69">MIN(IF(Solar_data!$A$777:'Solar_data'!$A$4=Country_details!A69,Solar_data!$C$4:'Solar_data'!$C$777))</f>
        <v>1733.75</v>
      </c>
      <c r="S69" s="24">
        <f t="shared" si="65"/>
        <v>2.5138976578407699</v>
      </c>
      <c r="T69" s="24">
        <f t="shared" si="66"/>
        <v>2.1460289626898459</v>
      </c>
      <c r="U69" s="24">
        <f t="shared" si="67"/>
        <v>3.0496201048750446</v>
      </c>
      <c r="V69" s="16">
        <f t="array" ref="V69">SUM(IF(Solar_data!$A$777:'Solar_data'!$A$4=Country_details!$A69,Solar_data!$I$4:'Solar_data'!$I$777))</f>
        <v>3249.9681800629801</v>
      </c>
      <c r="W69" s="148"/>
      <c r="X69" s="16" t="str">
        <f>IFERROR(INDEX(Onshore_wind_data!$J$5:'Onshore_wind_data'!$J$221,MATCH(A69,Onshore_wind_data!$B$5:'Onshore_wind_data'!$B$221,0)),"")</f>
        <v/>
      </c>
      <c r="Y69" s="16" t="str">
        <f>IFERROR(INDEX(Onshore_wind_data!$K$5:'Onshore_wind_data'!$K$221,MATCH(A69,Onshore_wind_data!$B$5:'Onshore_wind_data'!$B$221,0)),"")</f>
        <v/>
      </c>
      <c r="Z69" s="16" t="str">
        <f>IFERROR(INDEX(Onshore_wind_data!$L$5:'Onshore_wind_data'!$L$221,MATCH(A69,Onshore_wind_data!$B$5:'Onshore_wind_data'!$B$221,0)),"")</f>
        <v/>
      </c>
      <c r="AA69" s="24" t="str">
        <f t="shared" si="68"/>
        <v/>
      </c>
      <c r="AB69" s="24" t="str">
        <f t="shared" si="69"/>
        <v/>
      </c>
      <c r="AC69" s="24" t="str">
        <f t="shared" si="70"/>
        <v/>
      </c>
      <c r="AD69" s="16">
        <f>IFERROR(INDEX(Onshore_wind_data!$I$5:'Onshore_wind_data'!$I$221,MATCH(A69,Onshore_wind_data!$B$5:'Onshore_wind_data'!$B$221,0)),"")</f>
        <v>0</v>
      </c>
      <c r="AE69" s="148"/>
      <c r="AF69" s="16" t="str">
        <f>INDEX(Offshore_wind_data!$AA$7:$AA$192,MATCH(Country_details!A69,Offshore_wind_data!$A$7:$A$192,0))</f>
        <v/>
      </c>
      <c r="AG69" s="16" t="str">
        <f>INDEX(Offshore_wind_data!$Y$7:$Y$192,MATCH(Country_details!A69,Offshore_wind_data!$A$7:$A$192,0))</f>
        <v/>
      </c>
      <c r="AH69" s="16" t="str">
        <f>INDEX(Offshore_wind_data!$Z$7:$Z$192,MATCH(Country_details!A69,Offshore_wind_data!$A$7:$A$192,0))</f>
        <v/>
      </c>
      <c r="AI69" s="24" t="str">
        <f t="shared" si="71"/>
        <v/>
      </c>
      <c r="AJ69" s="24" t="str">
        <f t="shared" si="72"/>
        <v/>
      </c>
      <c r="AK69" s="24" t="str">
        <f t="shared" si="73"/>
        <v/>
      </c>
      <c r="AL69" s="16">
        <f>INDEX(Offshore_wind_data!$W$7:$W$191,MATCH(A69,Offshore_wind_data!$A$7:$A$191,0))</f>
        <v>0</v>
      </c>
      <c r="AM69" s="148"/>
      <c r="AN69" s="12">
        <v>38.299999999999997</v>
      </c>
      <c r="AO69" s="12">
        <v>81.5</v>
      </c>
      <c r="AP69" s="34">
        <f>1.466*11.63</f>
        <v>17.049580000000002</v>
      </c>
      <c r="AQ69" s="15">
        <f t="shared" si="74"/>
        <v>50</v>
      </c>
      <c r="AR69" s="12">
        <f t="shared" si="34"/>
        <v>4075</v>
      </c>
      <c r="AS69" s="16">
        <f t="shared" si="35"/>
        <v>-825.03181993701992</v>
      </c>
      <c r="AT69" s="12"/>
      <c r="AU69" s="24">
        <f t="shared" si="75"/>
        <v>2.5138976578407699</v>
      </c>
      <c r="AV69" s="16">
        <f t="shared" si="76"/>
        <v>2103.2196121175607</v>
      </c>
      <c r="AW69" s="149">
        <f>HV_DC_Grid!$E$3/(1-AX69)*AU69/100*1000</f>
        <v>2742.413246721314</v>
      </c>
      <c r="AX69" s="31">
        <f>(1-(1-HV_DC_Grid!$E$25)^(B69*C69*HV_DC_Grid!$E$8/1000))+(1-(1-HV_DC_Grid!$E$26)^(B69*D69*HV_DC_Grid!$E$8/1000))+HV_DC_Grid!$E$35*HV_DC_Grid!$E$28</f>
        <v>8.3326460428144941E-2</v>
      </c>
      <c r="AY69" s="28">
        <f>B69*nl_e_demand/IF(hv_dc_flh="electricity FLH",$AV69,hv_dc_custom)*1000*hv_dc_capacity_multiplier*hv_dc_length_multiplier*1000*(C69*hv_dc_overhead_invest*(hv_dc_overhead_opex+M69+1/hv_dc_lifetime)+D69*hv_dc_sea_invest*(hv_dc_sea_opex+M69+1/hv_dc_lifetime))/1000000+HV_DC_Grid!$E$10*1000*hv_dc_station_invest*hv_dc_station_number*(hv_dc_station_opex+M69+1/hv_dc_lifetime)/1000000</f>
        <v>3712.7283355241161</v>
      </c>
      <c r="AZ69" s="24">
        <f>(AW69+AY69)/(HV_DC_Grid!$E$3*1000)*100</f>
        <v>6.4551415822454299</v>
      </c>
      <c r="BA69" s="28">
        <f>MIN(((Carriers!$F$26+Carriers!$F$27)*(alk_el_opex+wacc_nl+1/alk_el_lifetime)+IF(hv_dc_flh="electricity FLH",$AV69,hv_dc_custom)*AZ69/100)/(IF(hv_dc_flh="electricity FLH",$AV69,hv_dc_custom)/alk_el_e_demand)*1000,((Carriers!$H$26+Carriers!$H$27)*(pem_el_opex+wacc_nl+1/pem_el_lifetime)+IF(hv_dc_flh="electricity FLH",$AV69,hv_dc_custom)*AZ69/100)/(IF(hv_dc_flh="electricity FLH",$AV69,hv_dc_custom)/pem_el_e_demand)*1000)</f>
        <v>3640.0526406666204</v>
      </c>
      <c r="BB69" s="12"/>
      <c r="BC69" s="12"/>
      <c r="BD69" s="149">
        <f>MIN(((Carriers!$F$26+Carriers!$F$27)*(alk_el_opex+M69+1/alk_el_lifetime)+$AV69*$AU69/100)/($AV69/alk_el_e_demand)*1000,((Carriers!$H$26+Carriers!$H$27)*(pem_el_opex+M69+1/pem_el_lifetime)+$AV69*$AU69/100)/($AV69/pem_el_e_demand)*1000)</f>
        <v>2960.7295541217127</v>
      </c>
      <c r="BE69" s="28">
        <f>Storage!$AC$50</f>
        <v>8.1664117557772418</v>
      </c>
      <c r="BF69" s="28">
        <f>((Pipeline!$D$22*Pipeline!$D$24*B69*(pipeline_opex+M69+1/pipeline_lifetime))*(Pipeline!$D$39/Pipeline!$D$3)+(Pipeline!$D$57*(pipeline_comp_opex+M69+1/pipeline_comp_lifetime)+Pipeline!$D$47*1000*Pipeline!$D$45*$AU69/100/1000000))*(Pipeline!$D$75/Pipeline!$D$45)</f>
        <v>8681.4997124088859</v>
      </c>
      <c r="BG69" s="28">
        <f>BD69+(BE69+BF69)/Storage!$AC$12*1000000</f>
        <v>3599.6755926632322</v>
      </c>
      <c r="BH69" s="28"/>
      <c r="BI69" s="28"/>
      <c r="BJ69" s="28">
        <f>IF($E69="","No Port",BK69*HV_DC_Grid!$E$3*$AU69/100*1000)</f>
        <v>56.810991974296932</v>
      </c>
      <c r="BK69" s="31">
        <f>IFERROR((1-(1-HV_DC_Grid!$E$25)^(K69*HV_DC_Grid!$E$8/1000))+HV_DC_Grid!$E$35*HV_DC_Grid!$E$28,"")</f>
        <v>2.2598768807117184E-2</v>
      </c>
      <c r="BL69" s="28">
        <f>IFERROR(K69*nl_e_demand/IF(hv_dc_flh="electricity FLH",$AV69,hv_dc_custom)*1000*hv_dc_capacity_multiplier*hv_dc_length_multiplier*1000*(hv_dc_overhead_invest*(hv_dc_overhead_opex+M69+1/hv_dc_lifetime))/1000000+HV_DC_Grid!$E$10*1000*hv_dc_station_invest*hv_dc_station_number*(hv_dc_station_opex+M69+1/hv_dc_lifetime)/1000000,"")</f>
        <v>834.02506817502024</v>
      </c>
      <c r="BM69" s="29">
        <f>IFERROR((BJ69+BL69)/(HV_DC_Grid!$E$3*1000)*100,"")</f>
        <v>0.89083606014931715</v>
      </c>
      <c r="BN69" s="28">
        <f>IFERROR(((Pipeline!$D$22*Pipeline!$D$24*K69*(pipeline_opex+M69+1/pipeline_lifetime))*(Pipeline!$D$39/Pipeline!$D$3)+(Pipeline!$D$57*(pipeline_comp_opex+M69+1/pipeline_comp_lifetime)+Pipeline!$D$47*1000*Pipeline!$D$45*S69/100/1000000))*(Pipeline!$D$75/Pipeline!$D$45),"")</f>
        <v>1116.9669103498056</v>
      </c>
      <c r="BO69" s="28"/>
      <c r="BP69" s="150">
        <f t="shared" si="77"/>
        <v>116.29845105027235</v>
      </c>
      <c r="BQ69" s="34">
        <f t="shared" si="78"/>
        <v>34.812158199362145</v>
      </c>
      <c r="BR69" s="151">
        <f>(nh3_invest*(M69+1/nh3_lifetime)/nh3_prod+nh3_opex+nh3_e_demand*1000*$AU69/100+Carriers!$N$18/Carriers!$N$23*BD69+Carriers!$N$19/Carriers!$N$23*BQ69)*(BT69+nh3_st_ab_losses)/1000000</f>
        <v>53988.834025123637</v>
      </c>
      <c r="BS69" s="63">
        <f>nh3_st_nl_cost*nh3_st_nl_demand/1000000+(nh3_st_invest*(M69+1/nh3_st_lifetime+nh3_st_opex)/(Storage!$G$63/1000000)+nh3_st_e_demand*1000*$AU69/100)*(BT69+nh3_st_ab_losses)/1000000+Carriers!$N$18/Carriers!$N$23*((BT69+nh3_st_ab_losses)/365.25*short_st_duration_hrs/24)*(h2_short_st_invest*(1/gh2_short_st_lifetime+$M69+h2_short_st_opex)+h2_short_st_e_demand*1000*$AU69/100)/1000000+Carriers!$N$19/Carriers!$N$23*((BT69+nh3_st_ab_losses)/365.25*short_st_duration_hrs/24)*(n2_short_st_invest*(1/n2_short_st_lifetime+$M69+n2_short_st_opex)+n2_short_st_e_demand*1000*$AU69/100)/1000000</f>
        <v>3549.3153780793887</v>
      </c>
      <c r="BT69" s="63">
        <f>Storage!$G$57/((1-Shipping!$H$37)^(F69/24/Shipping!$H$44+0.5*Shipping!$H$59))</f>
        <v>80145783.294249564</v>
      </c>
      <c r="BU69" s="63">
        <f>IF($E69="","No Port",((F69/24/Shipping!$H$44+F69/24/Shipping!$H$50+Shipping!$H$59+Shipping!$H$64)*(Shipping!$H$22+wacc_nl*Shipping!$H$19/365.25*1000000+Shipping!$H$35)+(F69/24/Shipping!$H$44*Shipping!$H$45+Shipping!$H$64*Shipping!$H$65)*IF(bunker_choice="HFO",H69,IF(bunker_choice="hydrogen",BD69*hfo_e_density_lhv/h2_e_density_lhv,(BR69+BS69)*1000000/BT69*hfo_e_density_lhv/nh3_e_density_lhv))+(F69/24/Shipping!$H$50*Shipping!$H$51+Shipping!$H$59*Shipping!$H$60)*IF(bunker_choice="HFO",bunker_price_ROT,IF(bunker_choice="hydrogen",BD69*hfo_e_density_lhv/h2_e_density_lhv,(BR69+BS69)*1000000/BT69*hfo_e_density_lhv/nh3_e_density_lhv))+Shipping!$H$73+IF(G69="Panama",Shipping!$H$55,0)+IF(G69="Suez",Shipping!$H$56,0))/Shipping!$H$31*BT69/1000000+IF(inland_transport_to_port="hv dc grid",$BM69/100*1000*BW69,IF(inland_transport_to_port="pipeline",$BN69,0)))</f>
        <v>5988.4253445453105</v>
      </c>
      <c r="BV69" s="63">
        <f t="shared" si="91"/>
        <v>63526.574747748338</v>
      </c>
      <c r="BW69" s="33">
        <f>((Carriers!$N$18/Carriers!$N$23*alk_el_e_demand)+(Carriers!$N$19/Carriers!$N$23*n2_e_demand)+nh3_e_demand)*(BT69+nh3_st_ab_losses)/1000000+nh3_st_e_demand*BT69/1000000</f>
        <v>791.45103223173271</v>
      </c>
      <c r="BX69" s="33">
        <f t="shared" si="79"/>
        <v>0.76626754477640768</v>
      </c>
      <c r="BY69" s="63">
        <f>IFERROR(BV69*1000000/Storage!$G$12,"")</f>
        <v>829.72983658533519</v>
      </c>
      <c r="BZ69" s="63">
        <f>H2_retrieval!$F$25*h2_demand_kt/1000</f>
        <v>80</v>
      </c>
      <c r="CA69" s="63">
        <f>IFERROR(BY69*(1+H2_retrieval!$F$34)/Carrier_properties!$E$7+H2_retrieval!$F$38,"")</f>
        <v>5080.2976522722893</v>
      </c>
      <c r="CB69" s="149">
        <f>(FA_invest*(M69+1/FA_lifetime)/FA_prod+FA_opex+FA_e_demand*1000*$AU69/100+Carriers!$P$18/Carriers!$P$23*BD69+Carriers!$P$20/Carriers!$P$23*co2_liq_cost)*(CF69+FA_st_ab_losses)/1000000</f>
        <v>105296.8053325292</v>
      </c>
      <c r="CC69" s="86">
        <f>(FA_invest*(M69+1/FA_lifetime)/FA_prod+FA_opex+FA_e_demand*1000*$AU69/100+Carriers!$P$18/Carriers!$P$23*BD69+Carriers!$P$20/Carriers!$P$23*BP69)*(CF69+FA_st_ab_losses)/1000000</f>
        <v>133395.61676036773</v>
      </c>
      <c r="CD69" s="63">
        <f>FA_st_nl_cost*FA_st_nl_demand/1000000+(FA_st_invest*(M69+1/FA_st_lifetime+FA_st_opex)/(Storage!$I$63/1000000)+FA_st_e_demand*1000*$AU69/100)*(CF69+FA_st_ab_losses)/1000000+co2_st_nl_cost*Storage!$I$12*co2_density/FA_density/1000000+(co2_st_opex_lev+co2_st_invest_lev+co2_st_e_demand*1000*$AU69/100)*Storage!$I$12/1000000+co2_st_invest_lev*Storage!$I$12*co2_st_lifetime*M69/1000000+Carriers!$P$18/Carriers!$P$23*((CF69+FA_st_ab_losses)/365.25*short_st_duration_hrs/24)*(h2_short_st_invest*(1/gh2_short_st_lifetime+$M69+h2_short_st_opex)+h2_short_st_e_demand*1000*$AU69/100)/1000000+Carriers!$P$20/Carriers!$P$23*((CF69+FA_st_ab_losses)/365.25*short_st_duration_hrs/24)*(co2_short_st_invest*(1/co2_short_st_lifetime+$M69+co2_short_st_opex)+co2_short_st_e_demand*1000*$AU69/100)/1000000</f>
        <v>11950.199079698292</v>
      </c>
      <c r="CE69" s="63">
        <f>FA_st_nl_cost*FA_st_nl_demand/1000000+(FA_st_invest*(M69+1/FA_st_lifetime+FA_st_opex)/(Storage!$I$63/1000000)+FA_st_e_demand*1000*$AU69/100)*(CF69+FA_st_ab_losses)/1000000+Carriers!$P$18/Carriers!$P$23*((CF69+FA_st_ab_losses)/365.25*short_st_duration_hrs/24)*(h2_short_st_invest*(1/gh2_short_st_lifetime+$M69+h2_short_st_opex)+h2_short_st_e_demand*1000*$AU69/100)/1000000+Carriers!$P$20/Carriers!$P$23*((CF69+FA_st_ab_losses)/365.25*short_st_duration_hrs/24)*(co2_short_st_invest*(1/co2_short_st_lifetime+$M69+co2_short_st_opex)+co2_short_st_e_demand*1000*$AU69/100)/1000000</f>
        <v>5215.2918145346084</v>
      </c>
      <c r="CF69" s="63">
        <f>Storage!$I$57/((1-Shipping!$J$37)^($F69/24/Shipping!$J$44+0.5*Shipping!$J$59))</f>
        <v>310425396.82539684</v>
      </c>
      <c r="CG69" s="28">
        <f>IF($E69="","No Port",((F69/24/Shipping!$J$44+F69/24/Shipping!$J$50+Shipping!$J$59+Shipping!$J$64)*(Shipping!$J$22+wacc_nl*Shipping!$J$19/365.25*1000000+Shipping!$J$35)+(F69/24/Shipping!$J$44*Shipping!$J$45+Shipping!$J$64*Shipping!$J$65)*IF(bunker_choice="HFO",$H69,IF(bunker_choice="hydrogen",$BD69*hfo_e_density_lhv/h2_e_density_lhv,(CB69+CD69)*1000000/CF69*hfo_e_density_lhv/FA_e_density_lhv))+(F69/24/Shipping!$J$50*Shipping!$J$51+Shipping!$J$59*Shipping!$J$60)*IF(bunker_choice="HFO",bunker_price_ROT,IF(bunker_choice="hydrogen",$BD69*hfo_e_density_lhv/h2_e_density_lhv,(CB69+CD69)*1000000/CF69*hfo_e_density_lhv/FA_e_density_lhv))+Shipping!$J$73+IF(G69="Panama",Shipping!$J$55,0)+IF(G69="Suez",Shipping!$J$56,0))/Shipping!$J$31*CF69/1000000+IF(inland_transport_to_port="hv dc grid",$BM69/100*1000*CI69,IF(inland_transport_to_port="pipeline",$BN69,0)))</f>
        <v>22283.023261547241</v>
      </c>
      <c r="CH69" s="28">
        <f t="shared" si="36"/>
        <v>160893.93183644957</v>
      </c>
      <c r="CI69" s="29">
        <f>((Carriers!$P$18/Carriers!$P$23*alk_el_e_demand)+FA_e_demand)*(CF69+FA_st_ab_losses)/1000000+FA_st_e_demand*CF69/1000000</f>
        <v>1897.8881241622576</v>
      </c>
      <c r="CJ69" s="29">
        <f t="shared" si="80"/>
        <v>0.46563809523809524</v>
      </c>
      <c r="CK69" s="28">
        <f>IFERROR(CH69*1000000/Storage!$I$12,"")</f>
        <v>518.30144531295116</v>
      </c>
      <c r="CL69" s="28">
        <f>IF($E69="","No Port",((F69/24/Shipping!$J$44+F69/24/Shipping!$J$50+Shipping!$J$59+Shipping!$J$64)*Carriers!$P$39*wacc_nl))</f>
        <v>319.52237104165033</v>
      </c>
      <c r="CM69" s="29">
        <f>H2_retrieval!$H$25*h2_demand_kt/1000+(co2_liq_e_demand+co2_st_e_demand*2)*Storage!$I$12*co2_density/FA_density/1000000</f>
        <v>94.204253879484654</v>
      </c>
      <c r="CN69" s="28">
        <f>IFERROR((((CB69+CD69+CG69)*(1+H2_retrieval!$H$34)+CL69)*1000000/H2_retrieval!$H$8)+h2_regen_fa,"")</f>
        <v>10372.7425181211</v>
      </c>
      <c r="CO69" s="149">
        <f>(meoh_invest*(M69+1/meoh_lifetime)/meoh_prod+meoh_opex+meoh_e_demand*1000*$AU69/100+Carriers!$R$18/Carriers!$R$23*BD69+Carriers!$R$20/Carriers!$R$23*co2_liq_cost)*(CS69+meoh_st_ab_losses)/1000000</f>
        <v>64825.360609422969</v>
      </c>
      <c r="CP69" s="86">
        <f>(meoh_invest*(M69+1/meoh_lifetime)/meoh_prod+meoh_opex+meoh_e_demand*1000*$AU69/100+Carriers!$R$18/Carriers!$R$23*BD69+Carriers!$R$20/Carriers!$R$23*BP69)*(CS69+meoh_st_ab_losses)/1000000</f>
        <v>81320.230379474466</v>
      </c>
      <c r="CQ69" s="63">
        <f>meoh_st_nl_cost*meoh_st_nl_demand/1000000+(meoh_st_invest*(M69+1/meoh_st_lifetime+meoh_st_opex)/(Storage!$K$63/1000000)+meoh_st_e_demand*1000*$AU69/100)*(CS69+meoh_st_ab_losses)/1000000+co2_st_nl_cost*Storage!$K$12*co2_density/meoh_density/1000000+(co2_st_opex_lev+co2_st_invest_lev+co2_st_e_demand*1000*IFERROR(MIN(S69,AA69,AI69),S69)/100)*Storage!$K$12/1000000+co2_st_invest_lev*Storage!$K$12*co2_st_lifetime*M69/1000000+Carriers!$R$18/Carriers!$R$23*((CS69+meoh_st_ab_losses)/365.25*short_st_duration_hrs/24)*(h2_short_st_invest*(1/gh2_short_st_lifetime+$M69+h2_short_st_opex)+h2_short_st_e_demand*1000*$AU69/100)/1000000+Carriers!$R$20/Carriers!$R$23*((CF69+meoh_st_ab_losses)/365.25*short_st_duration_hrs/24)*(co2_short_st_invest*(1/co2_short_st_lifetime+$M69+co2_short_st_opex)+co2_short_st_e_demand*1000*$AU69/100)/1000000</f>
        <v>5006.033867093548</v>
      </c>
      <c r="CR69" s="63">
        <f>meoh_st_nl_cost*meoh_st_nl_demand/1000000+(meoh_st_invest*(M69+1/meoh_st_lifetime+meoh_st_opex)/(Storage!$K$63/1000000)+meoh_st_e_demand*1000*$AU69/100)*(CS69+meoh_st_ab_losses)/1000000+Carriers!$R$18/Carriers!$R$23*((CS69+meoh_st_ab_losses)/365.25*short_st_duration_hrs/24)*(h2_short_st_invest*(1/gh2_short_st_lifetime+$M69+h2_short_st_opex)+h2_short_st_e_demand*1000*$AU69/100)/1000000+Carriers!$R$20/Carriers!$R$23*((CF69+meoh_st_ab_losses)/365.25*short_st_duration_hrs/24)*(co2_short_st_invest*(1/co2_short_st_lifetime+$M69+co2_short_st_opex)+co2_short_st_e_demand*1000*$AU69/100)/1000000</f>
        <v>2062.9327529809316</v>
      </c>
      <c r="CS69" s="63">
        <f>Storage!$K$57/((1-Shipping!$L$37)^($F69/24/Shipping!$L$44+0.5*Shipping!$L$59))</f>
        <v>108044444.44444443</v>
      </c>
      <c r="CT69" s="28">
        <f>IF($E69="","No Port",IF(AND(ship_choice="VLCC",G69="Panama"),"Ship cannot pass through Panama",IF(ship_choice="VLCC",((F69/24/Shipping!$AD$44+F69/24/Shipping!$AD$50+Shipping!$AD$59+Shipping!$AD$64)*(Shipping!$AD$22+wacc_nl*Shipping!$AD$19/365.25*1000000+Shipping!$AD$35)+(F69/24/Shipping!$AD$44*Shipping!$AD$45+Shipping!$AD$64*Shipping!$AD$65)*IF(bunker_choice="HFO",$H69,IF(bunker_choice="hydrogen",$BD69*hfo_e_density_lhv/h2_e_density_lhv,(CO69+CQ69)*1000000/CS69*hfo_e_density_lhv/meoh_e_density_lhv))+(F69/24/Shipping!$AD$50*Shipping!$AD$51+Shipping!$AD$59*Shipping!$AD$60)*IF(bunker_choice="HFO",bunker_price_ROT,IF(bunker_choice="hydrogen",$BD69*hfo_e_density_lhv/h2_e_density_lhv,(CO69+CQ69)*1000000/CS69*hfo_e_density_lhv/meoh_e_density_lhv))+Shipping!$AD$73+IF(G69="Panama",Shipping!$AD$55,0)+IF(G69="Suez",Shipping!$AD$56,0))/Shipping!$AD$31*CS69/1000000+IF(inland_transport_to_port="hv dc grid",$BM69/100*1000*CV69,IF(inland_transport_to_port="pipeline",$BN69,0)),((F69/24/Shipping!$L$44+F69/24/Shipping!$L$50+Shipping!$L$59+Shipping!$L$64)*(Shipping!$L$22+wacc_nl*Shipping!$L$19/365.25*1000000+Shipping!$L$35)+(F69/24/Shipping!$L$44*Shipping!$L$45+Shipping!$L$64*Shipping!$L$65)*IF(bunker_choice="HFO",$H69,IF(bunker_choice="hydrogen",$BD69*hfo_e_density_lhv/h2_e_density_lhv,(CO69+CQ69)*1000000/CS69*hfo_e_density_lhv/meoh_e_density_lhv))+(F69/24/Shipping!$L$50*Shipping!$L$51+Shipping!$L$59*Shipping!$L$60)*IF(bunker_choice="HFO",bunker_price_ROT,IF(bunker_choice="hydrogen",$BD69*hfo_e_density_lhv/h2_e_density_lhv,(CO69+CQ69)*1000000/CS69*hfo_e_density_lhv/meoh_e_density_lhv))+Shipping!$L$73+IF(G69="Panama",Shipping!$L$55,0)+IF(G69="Suez",Shipping!$L$56,0))/Shipping!$L$31*CS69/1000000+IF(inland_transport_to_port="hv dc grid",$BM69/100*1000*CV69,IF(inland_transport_to_port="pipeline",$BN69,0)))))</f>
        <v>8150.90274759557</v>
      </c>
      <c r="CU69" s="28">
        <f t="shared" si="37"/>
        <v>91534.06588005097</v>
      </c>
      <c r="CV69" s="29">
        <f>((Carriers!$R$18/Carriers!$R$23*alk_el_e_demand)+meoh_e_demand)*(CS69+meoh_st_ab_losses)/1000000+meoh_st_e_demand*CS69/1000000</f>
        <v>1119.9789871111109</v>
      </c>
      <c r="CW69" s="29">
        <f t="shared" si="81"/>
        <v>0.16206666666666666</v>
      </c>
      <c r="CX69" s="28">
        <f>IFERROR(CU69*1000000/Storage!$K$12,"")</f>
        <v>847.1890095850049</v>
      </c>
      <c r="CY69" s="28">
        <f>IF($E69="","No Port",((F69/24/Shipping!$L$44+F69/24/Shipping!$L$50+Shipping!$L$59+Shipping!$L$64)*Carriers!$R$39*wacc_nl))</f>
        <v>114.50834548562732</v>
      </c>
      <c r="CZ69" s="29">
        <f>H2_retrieval!$J$25*h2_demand_kt/1000+(co2_liq_e_demand+co2_st_e_demand*2)*Storage!$K$12*co2_density/meoh_density/1000000</f>
        <v>251.05079059698966</v>
      </c>
      <c r="DA69" s="28">
        <f>IFERROR((((CO69+CQ69+CT69)*(1+H2_retrieval!$J$34)+CY69)*1000000/H2_retrieval!$J$8)+h2_regen_meoh,"")</f>
        <v>6912.5407174312413</v>
      </c>
      <c r="DB69" s="149">
        <f>(DBT_invest*(M69+1/DBT_lifetime)/DBT_prod+DBT_opex+DBT_e_demand*1000*$AU69/100+Carriers!$T$18/Carriers!$T$23*BD69)*(DD69+DBT_st_ab_losses)/1000000</f>
        <v>43597.728643872644</v>
      </c>
      <c r="DC69" s="28">
        <f>2*(DBT_st_nl_cost*DBT_st_nl_demand/1000000+(DBT_st_invest*(M69+1/DBT_st_lifetime+DBT_st_opex)/(Storage!$M$63/1000000)+DBT_st_e_demand*1000*$AU69/100)*(DD69+DBT_st_ab_losses)/1000000)+Carriers!$T$18/Carriers!$T$23*((DD69+DBT_st_ab_losses)/365.25*short_st_duration_hrs/24)*(h2_short_st_invest*(1/gh2_short_st_lifetime+$M69+h2_short_st_opex)+h2_short_st_e_demand*1000*$AU69/100)/1000000</f>
        <v>4239.4320689107608</v>
      </c>
      <c r="DD69" s="63">
        <f>Storage!$M$57/((1-Shipping!$N$37)^($F69/24/Shipping!$N$44+0.5*Shipping!$N$59))</f>
        <v>219354838.70967743</v>
      </c>
      <c r="DE69" s="28">
        <f>IF($E69="","No Port",IF(AND(ship_choice="VLCC",G69="Panama"),"Ship cannot pass through Panama",IF(ship_choice="VLCC",((F69/24/Shipping!$AD$44+F69/24/Shipping!$AD$50+Shipping!$AD$59+Shipping!$AD$64)*(Shipping!$AD$22+wacc_nl*Shipping!$AD$19/365.25*1000000+Shipping!$AD$35)+(F69/24/Shipping!$AD$44*Shipping!$AD$45+Shipping!$AD$64*Shipping!$AD$65)*IF(bunker_choice="HFO",$H69,IF(bunker_choice="hydrogen",$BD69*hfo_e_density_lhv/h2_e_density_lhv,(DB69+DC69)*1000000/DD69*hfo_e_density_lhv/DBT_e_density_lhv))+(F69/24/Shipping!$AD$50*Shipping!$AD$51+Shipping!$AD$59*Shipping!$AD$60)*IF(bunker_choice="HFO",bunker_price_ROT,IF(bunker_choice="hydrogen",$BD69*hfo_e_density_lhv/h2_e_density_lhv,(DB69+DC69)*1000000/DD69*hfo_e_density_lhv/DBT_e_density_lhv))+Shipping!$AD$73+IF(G69="Panama",Shipping!$AD$55,0)+IF(G69="Suez",Shipping!$AD$56,0))/Shipping!$AD$31*DD69/1000000+IF(inland_transport_to_port="hv dc grid",$BM69/100*1000*DG69,IF(inland_transport_to_port="pipeline",$BN69,0)),((F69/24/Shipping!$N$44+F69/24/Shipping!$N$50+Shipping!$N$59+Shipping!$N$64)*(Shipping!$N$22+wacc_nl*Shipping!$N$19/365.25*1000000+Shipping!$N$35)+(F69/24/Shipping!$N$44*Shipping!$N$45+Shipping!$N$64*Shipping!$N$65)*IF(bunker_choice="HFO",$H69,IF(bunker_choice="hydrogen",$BD69*hfo_e_density_lhv/h2_e_density_lhv,(DB69+DC69)*1000000/DD69*hfo_e_density_lhv/DBT_e_density_lhv))+(F69/24/Shipping!$N$50*Shipping!$N$51+Shipping!$N$59*Shipping!$N$60)*IF(bunker_choice="HFO",bunker_price_ROT,IF(bunker_choice="hydrogen",$BD69*hfo_e_density_lhv/h2_e_density_lhv,(DB69+DC69)*1000000/DD69*hfo_e_density_lhv/DBT_e_density_lhv))+Shipping!$N$73+IF(G69="Panama",Shipping!$N$55,0)+IF(G69="Suez",Shipping!$N$56,0))/Shipping!$N$31*Shipping!$N$86/1000000+IF(inland_transport_to_port="hv dc grid",$BM69/100*1000*DG69,IF(inland_transport_to_port="pipeline",$BN69,0)))))</f>
        <v>14372.292942565466</v>
      </c>
      <c r="DF69" s="28">
        <f t="shared" si="82"/>
        <v>62209.453655348872</v>
      </c>
      <c r="DG69" s="29">
        <f>((Carriers!$T$18/Carriers!$T$23*alk_el_e_demand)+DBT_e_demand)*(DD69+DBT_st_ab_losses)/1000000+DBT_st_e_demand*DD69/1000000</f>
        <v>703.88335483870969</v>
      </c>
      <c r="DH69" s="29">
        <f t="shared" si="83"/>
        <v>0.21935483870967742</v>
      </c>
      <c r="DI69" s="28">
        <f>IFERROR(DF69*1000000/Storage!$M$12,"")</f>
        <v>283.6019210758551</v>
      </c>
      <c r="DJ69" s="28">
        <f>IF($E69="","No Port",((F69/24/Shipping!$N$44+F69/24/Shipping!$N$50+Shipping!$N$59+Shipping!$N$64)*Carriers!$T$39*wacc_nl))</f>
        <v>8340.019032718501</v>
      </c>
      <c r="DK69" s="100">
        <f>H2_retrieval!$L$25*h2_demand_kt/1000+(co2_liq_e_demand+co2_st_e_demand*2)*Storage!$M$12*co2_density/DBT_density/1000000</f>
        <v>206.61934861671787</v>
      </c>
      <c r="DL69" s="28">
        <f>IFERROR(((DF69*(1+H2_retrieval!$L$34)+DJ69)*1000000/H2_retrieval!$L$8)+h2_regen_lohc,"")</f>
        <v>5658.1110077025724</v>
      </c>
      <c r="DM69" s="149">
        <f t="shared" si="84"/>
        <v>50541.611711399019</v>
      </c>
      <c r="DN69" s="16">
        <f>2*(nabh4_st_nl_cost*nabh4_st_nl_demand/1000000+(nabh4_st_invest*(M69+1/nabh4_st_lifetime+nabh4_st_opex)/(Storage!$O$63/1000000)+nabh4_st_e_demand*1000*$AU69/100)*(DO69+nabh4_st_ab_losses)/1000000)+(h2_demand_kt*1000/365.25*short_st_duration_hrs/24)*(h2_short_st_invest*(1/gh2_short_st_lifetime+$M69+h2_short_st_opex)+h2_short_st_e_demand*1000*$AU69/100)/1000000</f>
        <v>1429.9223150233274</v>
      </c>
      <c r="DO69" s="63">
        <f>Storage!$O$57/((1-Shipping!$P$37)^($F69/24/Shipping!$P$44+0.5*Shipping!$P$59))</f>
        <v>63920000</v>
      </c>
      <c r="DP69" s="16">
        <f>IF($E69="","No Port",((F69/24/Shipping!$P$44+F69/24/Shipping!$P$50+Shipping!$P$59+Shipping!$P$64)*(Shipping!$P$22+wacc_nl*Shipping!$P$19/365.25*1000000+Shipping!$P$35)+(F69/24/Shipping!$P$44*Shipping!$P$45+Shipping!$P$64*Shipping!$P$65)*IF(bunker_choice="HFO",$H69,IF(bunker_choice="hydrogen",$BD69*hfo_e_density_lhv/h2_e_density_lhv,(DM69+DN69)*1000000/DO69*hfo_e_density_lhv/nabh4_e_density_lhv))+(F69/24/Shipping!$P$50*Shipping!$P$51+Shipping!$P$59*Shipping!$P$60)*IF(bunker_choice="HFO",bunker_price_ROT,IF(bunker_choice="hydrogen",$BD69*hfo_e_density_lhv/h2_e_density_lhv,(DM69+DN69)*1000000/DO69*hfo_e_density_lhv/nabh4_e_density_lhv))+Shipping!$P$73+IF(G69="Panama",Shipping!$P$55,0)+IF(G69="Suez",Shipping!$P$56,0))/Shipping!$P$31*(DO69+nabh4_st_ab_losses)/1000000+IF(inland_transport_to_port="hv dc grid",$BM69/100*1000*DR69,IF(inland_transport_to_port="pipeline",$BN69,0)))</f>
        <v>4355.6063770625587</v>
      </c>
      <c r="DQ69" s="28">
        <f t="shared" si="60"/>
        <v>56327.140403484911</v>
      </c>
      <c r="DR69" s="29">
        <f>((Carriers!$V$18/Carriers!$V$23*alk_el_e_demand)+nabh4_e_demand)*(DO69+nabh4_st_ab_losses)/1000000+nabh4_st_e_demand*DO69/1000000</f>
        <v>980.02139682539689</v>
      </c>
      <c r="DS69" s="28">
        <f t="shared" si="85"/>
        <v>3.1960000000000002</v>
      </c>
      <c r="DT69" s="28">
        <f>IFERROR(DQ69*1000000/Storage!$O$12,"")</f>
        <v>881.21308516090278</v>
      </c>
      <c r="DU69" s="28">
        <f>IF($E69="","No Port",((F69/24/Shipping!$P$44+F69/24/Shipping!$P$50+Shipping!$P$59+Shipping!$P$64)*Carriers!$V$39*wacc_nl))</f>
        <v>769.00596299278368</v>
      </c>
      <c r="DV69" s="100">
        <f>H2_retrieval!$N$25*h2_demand_kt/1000+(co2_liq_e_demand+co2_st_e_demand*2)*Storage!$O$12*co2_density/nabh4_density/1000000</f>
        <v>18.783638728971958</v>
      </c>
      <c r="DW69" s="28">
        <f>IFERROR(((DQ69*(1+H2_retrieval!$N$34)+DU69)*1000000/H2_retrieval!$N$8)+h2_regen_nabh4,"")</f>
        <v>4287.9542968144187</v>
      </c>
      <c r="DX69" s="149">
        <f>(Dme_invest*(M69+1/Dme_lifetime)/Dme_prod+Dme_opex+Dme_e_demand*1000*$AU69/100+Carriers!$X$21/Carriers!$X$23*(CO69*1000000/CS69))*(EB69+Dme_st_ab_losses)/1000000</f>
        <v>91128.4931883518</v>
      </c>
      <c r="DY69" s="86">
        <f>(Dme_invest*(M69+1/Dme_lifetime)/Dme_prod+Dme_opex+Dme_e_demand*1000*$AU69/100+Carriers!$X$21/Carriers!$X$23*(CP69*1000000/CS69))*(EB69+Dme_st_ab_losses)/1000000</f>
        <v>113506.48938739393</v>
      </c>
      <c r="DZ69" s="63">
        <f>Dme_st_nl_cost*Dme_st_nl_demand/1000000+(Dme_st_invest*(M69+1/Dme_st_lifetime+Dme_st_opex)/(Storage!$Q$63/1000000)+Dme_st_e_demand*1000*$AU69/100)*(EB69+Dme_st_ab_losses)/1000000+co2_st_nl_cost*Storage!$Q$12*co2_density/Dme_density/1000000+(co2_st_opex_lev+co2_st_invest_lev+co2_st_e_demand*1000*$AU69/100)*Storage!$Q$12/1000000+co2_st_invest_lev*Storage!$Q$12*co2_st_lifetime*M69/1000000+(h2_demand_kt*1000/365.25*short_st_duration_hrs/24)*(h2_short_st_invest*(1/gh2_short_st_lifetime+$M69+h2_short_st_opex)+h2_short_st_e_demand*1000*$AU69/100)/1000000</f>
        <v>6032.8740725951666</v>
      </c>
      <c r="EA69" s="63">
        <f>Dme_st_nl_cost*Dme_st_nl_demand/1000000+(Dme_st_invest*(M69+1/Dme_st_lifetime+Dme_st_opex)/(Storage!$Q$63/1000000)+Dme_st_e_demand*1000*$AU69/100)*(EB69+Dme_st_ab_losses)/1000000+(h2_demand_kt*1000/365.25*short_st_duration_hrs/24)*(h2_short_st_invest*(1/gh2_short_st_lifetime+$M69+h2_short_st_opex)+h2_short_st_e_demand*1000*$AU69/100)/1000000</f>
        <v>3085.3789698906544</v>
      </c>
      <c r="EB69" s="63">
        <f>Storage!$Q$57/((1-Shipping!$R$37)^($F69/24/Shipping!$R$44+0.5*Shipping!$R$59))</f>
        <v>103547089.94708996</v>
      </c>
      <c r="EC69" s="153">
        <f>IF($E69="","No Port",IF(AND(ship_choice="VLCC",G69="Panama"),"Ship cannot pass through Panama",IF(ship_choice="VLCC",((F69/24/Shipping!$AD$44+F69/24/Shipping!$AD$50+Shipping!$AD$59+Shipping!$AD$64)*(Shipping!$AD$22+wacc_nl*Shipping!$AD$19/365.25*1000000+Shipping!$AD$35)+(F69/24/Shipping!$AD$44*Shipping!$AD$45+Shipping!$AD$64*Shipping!$AD$65)*IF(bunker_choice="HFO",$H69,IF(bunker_choice="hydrogen",$BD69*hfo_e_density_lhv/h2_e_density_lhv,(DX69+DZ69)*1000000/EB69*hfo_e_density_lhv/Dme_e_density_lhv))+(F69/24/Shipping!$AD$50*Shipping!$AD$51+Shipping!$AD$59*Shipping!$AD$60)*IF(bunker_choice="HFO",bunker_price_ROT,IF(bunker_choice="hydrogen",$BD69*hfo_e_density_lhv/h2_e_density_lhv,(DX69+DZ69)*1000000/EB69*hfo_e_density_lhv/Dme_e_density_lhv))+Shipping!$AD$73+IF(G69="Panama",Shipping!$AD$55,0)+IF(G69="Suez",Shipping!$AD$56,0))/Shipping!$AD$31*(EB69+Dme_st_ab_losses)/1000000+IF(inland_transport_to_port="hv dc grid",$BM69/100*1000*EE69,IF(inland_transport_to_port="pipeline",$BN69,0)),((F69/24/Shipping!$R$44+F69/24/Shipping!$R$50+Shipping!$R$59+Shipping!$R$64)*(Shipping!$R$22+wacc_nl*Shipping!$R$19/365.25*1000000+Shipping!$R$35)+(F69/24/Shipping!$R$44*Shipping!$R$45+Shipping!$R$64*Shipping!$R$65)*IF(bunker_choice="HFO",$H69,IF(bunker_choice="hydrogen",$BD69*hfo_e_density_lhv/h2_e_density_lhv,(DX69+DZ69)*1000000/EB69*hfo_e_density_lhv/Dme_e_density_lhv))+(F69/24/Shipping!$R$50*Shipping!$R$51+Shipping!$R$59*Shipping!$R$60)*IF(bunker_choice="HFO",bunker_price_ROT,IF(bunker_choice="hydrogen",$BD69*hfo_e_density_lhv/h2_e_density_lhv,(DX69+DZ69)*1000000/EB69*hfo_e_density_lhv/Dme_e_density_lhv))+Shipping!$R$73+IF(G69="Panama",Shipping!$R$55,0)+IF(G69="Suez",Shipping!$R$56,0))/Shipping!$R$31*(EB69+Dme_st_ab_losses)/1000000+IF(inland_transport_to_port="hv dc grid",$BM69/100*1000*EE69,IF(inland_transport_to_port="pipeline",$BN69,0)))))</f>
        <v>8078.1429669401668</v>
      </c>
      <c r="ED69" s="28">
        <f t="shared" si="39"/>
        <v>124670.01132422475</v>
      </c>
      <c r="EE69" s="29">
        <f>(Dme_e_demand)*(EB69+Dme_st_ab_losses)/1000000+Dme_st_e_demand*DZ69/1000000+$CV69*(Carriers!$X$21/Carriers!$X$23*EB69)/$CS69</f>
        <v>1550.2168204957966</v>
      </c>
      <c r="EF69" s="29">
        <f t="shared" si="86"/>
        <v>1.0354708994708997</v>
      </c>
      <c r="EG69" s="28">
        <f>IFERROR(ED69*1000000/Storage!$Q$12,"")</f>
        <v>1203.9933849220495</v>
      </c>
      <c r="EH69" s="28">
        <f>IF($E69="","No Port",((F69/24/Shipping!$R$44+F69/24/Shipping!$R$50+Shipping!$R$59+Shipping!$R$64)*Carriers!$X$39*wacc_nl))</f>
        <v>119.17533997480916</v>
      </c>
      <c r="EI69" s="100">
        <f>H2_retrieval!$P$25*h2_demand_kt/1000+(co2_liq_e_demand+co2_st_e_demand*2)*Storage!$Q$12*co2_density/Dme_density/1000000</f>
        <v>252.45335899349112</v>
      </c>
      <c r="EJ69" s="28">
        <f>IFERROR((((DX69+DZ69+EC69)*(1+H2_retrieval!$P$34)+EH69)*1000000/H2_retrieval!$P$8)+h2_regen_dme,"")</f>
        <v>8917.0907173036121</v>
      </c>
      <c r="EK69" s="149">
        <f>(ome_invest*(M69+1/ome_lifetime)/ome_prod+ome_opex+ome_e_demand*1000*$AU69/100+Carriers!$Z$21/Carriers!$Z$23*(CO69*1000000/CS69))*(EO69+ome_st_ab_losses)/1000000</f>
        <v>198134.64689856558</v>
      </c>
      <c r="EL69" s="86">
        <f>(ome_invest*(M69+1/ome_lifetime)/ome_prod+ome_opex+ome_e_demand*1000*$AU69/100+Carriers!$Z$21/Carriers!$Z$23*(CP69*1000000/CS69))*(EO69+ome_st_ab_losses)/1000000</f>
        <v>245110.41708897587</v>
      </c>
      <c r="EM69" s="63">
        <f>ome_st_nl_cost*ome_st_nl_demand/1000000+(ome_st_invest*(M69+1/ome_st_lifetime+ome_st_opex)/(Storage!$S$63/1000000)+ome_st_e_demand*1000*$AU69/100)*(EO69+ome_st_ab_losses)/1000000+co2_st_nl_cost*Storage!$S$12*co2_density/ome_density/1000000+(co2_st_opex_lev+co2_st_invest_lev+co2_st_e_demand*1000*$AU69/100)*Storage!$S$12/1000000+co2_st_invest_lev*Storage!$S$12*co2_st_lifetime*M69/1000000+(h2_demand_kt*1000/365.25*short_st_duration_hrs/24)*(h2_short_st_invest*(1/gh2_short_st_lifetime+$M69+h2_short_st_opex)+h2_short_st_e_demand*1000*$AU69/100)/1000000</f>
        <v>5169.2333594776028</v>
      </c>
      <c r="EN69" s="63">
        <f>ome_st_nl_cost*ome_st_nl_demand/1000000+(ome_st_invest*(M69+1/ome_st_lifetime+ome_st_opex)/(Storage!$S$63/1000000)+ome_st_e_demand*1000*$AU69/100)*(EO69+ome_st_ab_losses)/1000000+(h2_demand_kt*1000/365.25*short_st_duration_hrs/24)*(h2_short_st_invest*(1/gh2_short_st_lifetime+$M69+h2_short_st_opex)+h2_short_st_e_demand*1000*$AU69/100)/1000000</f>
        <v>1856.6050236127126</v>
      </c>
      <c r="EO69" s="63">
        <f>Storage!$S$57/((1-Shipping!$T$37)^($F69/24/Shipping!$T$44+0.5*Shipping!$T$59))</f>
        <v>128282539.68253967</v>
      </c>
      <c r="EP69" s="28">
        <f>IF($E69="","No Port",IF(AND(ship_choice="VLCC",G69="Panama"),"Ship cannot pass through Panama",IF(ship_choice="VLCC",((F69/24/Shipping!$AD$44+F69/24/Shipping!$AD$50+Shipping!$AD$59+Shipping!$AD$64)*(Shipping!$AD$22+wacc_nl*Shipping!$AD$19/365.25*1000000+Shipping!$AD$35)+(F69/24/Shipping!$AD$44*Shipping!$AD$45+Shipping!$AD$64*Shipping!$AD$65)*IF(bunker_choice="HFO",$H69,IF(bunker_choice="hydrogen",$BD69*hfo_e_density_lhv/h2_e_density_lhv,(EK69+EM69)*1000000/EO69*hfo_e_density_lhv/Dme_e_density_lhv))+(F69/24/Shipping!$AD$50*Shipping!$AD$51+Shipping!$AD$59*Shipping!$AD$60)*IF(bunker_choice="HFO",bunker_price_ROT,IF(bunker_choice="hydrogen",$BD69*hfo_e_density_lhv/h2_e_density_lhv,(EK69+EM69)*1000000/EO69*hfo_e_density_lhv/ome_e_density_lhv))+Shipping!$AD$73+IF(G69="Panama",Shipping!$AD$55,0)+IF(G69="Suez",Shipping!$AD$56,0))/Shipping!$AD$31*(EO69+ome_st_ab_losses)/1000000+IF(inland_transport_to_port="hv dc grid",$BM69/100*1000*ER69,IF(inland_transport_to_port="pipeline",$BN69,0)),((F69/24/Shipping!$T$44+F69/24/Shipping!$T$50+Shipping!$T$59+Shipping!$T$64)*(Shipping!$T$22+wacc_nl*Shipping!$T$19/365.25*1000000+Shipping!$T$35)+(F69/24/Shipping!$T$44*Shipping!$T$45+Shipping!$T$64*Shipping!$T$65)*IF(bunker_choice="HFO",$H69,IF(bunker_choice="hydrogen",$BD69*hfo_e_density_lhv/h2_e_density_lhv,(EK69+EM69)*1000000/EO69*hfo_e_density_lhv/Dme_e_density_lhv))+(F69/24/Shipping!$T$50*Shipping!$T$51+Shipping!$T$59*Shipping!$T$60)*IF(bunker_choice="HFO",bunker_price_ROT,IF(bunker_choice="hydrogen",$BD69*hfo_e_density_lhv/h2_e_density_lhv,(EK69+EM69)*1000000/EO69*hfo_e_density_lhv/ome_e_density_lhv))+Shipping!$T$73+IF(G69="Panama",Shipping!$T$55,0)+IF(G69="Suez",Shipping!$T$56,0))/Shipping!$T$31*(EO69+ome_st_ab_losses)/1000000+IF(inland_transport_to_port="hv dc grid",$BM69/100*1000*ER69,IF(inland_transport_to_port="pipeline",$BN69,0)))))</f>
        <v>8993.6642692356127</v>
      </c>
      <c r="EQ69" s="28">
        <f t="shared" si="40"/>
        <v>255960.6863818242</v>
      </c>
      <c r="ER69" s="29">
        <f>(ome_e_demand)*(EO69+ome_st_ab_losses)/1000000+ome_st_e_demand*EM69/1000000+$CV69*(Carriers!$Z$21/Carriers!$Z$23*EO69)/$CS69</f>
        <v>3352.0814578946333</v>
      </c>
      <c r="ES69" s="29">
        <f t="shared" si="87"/>
        <v>0.1924238095238095</v>
      </c>
      <c r="ET69" s="28">
        <f>IFERROR(EQ69*1000000/Storage!$S$12,"")</f>
        <v>1995.2885795311595</v>
      </c>
      <c r="EU69" s="28">
        <f>IF($E69="","No Port",((F69/24/Shipping!$T$44+F69/24/Shipping!$T$50+Shipping!$T$59+Shipping!$T$64)*Carriers!$Z$39*wacc_nl))</f>
        <v>135.95721139826981</v>
      </c>
      <c r="EV69" s="100">
        <f>H2_retrieval!$R$25*h2_demand_kt/1000+(co2_liq_e_demand+co2_st_e_demand*2)*Storage!$S$12*co2_density/ome_density/1000000</f>
        <v>254.51942895252085</v>
      </c>
      <c r="EW69" s="28">
        <f>IFERROR((((EK69+EM69+EP69)*(1+H2_retrieval!$R$34)+EU69)*1000000/H2_retrieval!$R$8)+h2_regen_ome,"")</f>
        <v>16790.238965157663</v>
      </c>
      <c r="EX69" s="149">
        <f>(sng_invest*(M69+1/sng_lifetime)/sng_prod+lng_invest*(M69+1/lng_lifetime)/lng_prod+sng_opex+lng_opex+(sng_e_demand+lng_e_demand)*1000*$AU69/100+Carriers!$AB$18/Carriers!$AB$23*BD69+Carriers!$AB$20/Carriers!$AB$23*co2_liq_cost)*(FB69+lng_st_ab_losses)/1000000</f>
        <v>71026.855233808441</v>
      </c>
      <c r="EY69" s="86">
        <f>(sng_invest*(M69+1/sng_lifetime)/sng_prod+lng_invest*(M69+1/lng_lifetime)/lng_prod+sng_opex+lng_opex+(sng_e_demand+lng_e_demand)*1000*$AU69/100+Carriers!$AB$18/Carriers!$AB$23*BD69+Carriers!$AB$20/Carriers!$AB$23*BP69)*(FB69+lng_st_ab_losses)/1000000</f>
        <v>83486.523956882171</v>
      </c>
      <c r="EZ69" s="63">
        <f>lng_st_nl_cost*lng_st_nl_demand/1000000+(lng_st_invest*(M69+1/lng_st_lifetime+lng_st_opex)/(Storage!$U$63/1000000)+lng_st_e_demand*1000*$AU69/100)*(FB69+lng_st_ab_losses)/1000000+co2_st_nl_cost*Storage!$U$12*co2_density/lng_density/1000000+(co2_st_opex_lev+co2_st_invest_lev+co2_st_e_demand*1000*$AU69/100)*Storage!$U$12/1000000+co2_st_invest_lev*Storage!$U$12*co2_st_lifetime*M69/1000000+Carriers!$AB$18/Carriers!$AB$23*((FB69+lng_st_ab_losses)/365.25*short_st_duration_hrs/24)*(h2_short_st_invest*(1/gh2_short_st_lifetime+$M69+h2_short_st_opex)+h2_short_st_e_demand*1000*$AU69/100)/1000000+Carriers!$AB$20/Carriers!$AB$23*((FB69+lng_st_ab_losses)/365.25*short_st_duration_hrs/24)*(co2_short_st_invest*(1/co2_short_st_lifetime+$M69+co2_short_st_opex)+co2_short_st_e_demand*1000*$AU69/100)/1000000</f>
        <v>6452.1193714604678</v>
      </c>
      <c r="FA69" s="63">
        <f>lng_st_nl_cost*lng_st_nl_demand/1000000+(lng_st_invest*(M69+1/lng_st_lifetime+lng_st_opex)/(Storage!$U$63/1000000)+lng_st_e_demand*1000*$AU69/100)*(FB69+lng_st_ab_losses)/1000000+Carriers!$AB$18/Carriers!$AB$23*((FB69+lng_st_ab_losses)/365.25*short_st_duration_hrs/24)*(h2_short_st_invest*(1/gh2_short_st_lifetime+$M69+h2_short_st_opex)+h2_short_st_e_demand*1000*$AU69/100)/1000000+Carriers!$AB$20/Carriers!$AB$23*((FB69+lng_st_ab_losses)/365.25*short_st_duration_hrs/24)*(co2_short_st_invest*(1/co2_short_st_lifetime+$M69+co2_short_st_opex)+co2_short_st_e_demand*1000*$AU69/100)/1000000</f>
        <v>4859.1931954924185</v>
      </c>
      <c r="FB69" s="63">
        <f>Storage!$U$57/((1-Shipping!$V$37)^($F69/24/Shipping!$V$44+0.5*Shipping!$V$59))</f>
        <v>41584798.289476484</v>
      </c>
      <c r="FC69" s="28">
        <f>IF($E69="","No Port",IF(G69="Panama","Ship cannot pass through Panama",((F69/24/Shipping!$V$44+F69/24/Shipping!$V$50+Shipping!$V$59+Shipping!$V$64)*(Shipping!$V$22+wacc_nl*Shipping!$V$19/365.25*1000000+Shipping!$V$35)+(F69/24/Shipping!$V$44*Shipping!$V$45+Shipping!$V$64*Shipping!$V$65)*IF(bunker_choice="HFO",$H69,IF(bunker_choice="hydrogen",$BD69*hfo_e_density_lhv/h2_e_density_lhv,(EX69+EZ69)*1000000/FB69*hfo_e_density_lhv/lng_e_density_lhv))+(F69/24/Shipping!$V$50*Shipping!$V$51+Shipping!$V$59*Shipping!$V$60)*IF(bunker_choice="HFO",bunker_price_ROT,IF(bunker_choice="hydrogen",$BD69*hfo_e_density_lhv/h2_e_density_lhv,(EX69+EZ69)*1000000/FB69*hfo_e_density_lhv/lng_e_density_lhv))+Shipping!$V$73+IF(G69="Panama",Shipping!$V$55,0)+IF(G69="Suez",Shipping!$V$56,0))/Shipping!$V$31*(FB69+lng_st_ab_losses)/1000000)+IF(inland_transport_to_port="hv dc grid",$BM69/100*1000*FE69,IF(inland_transport_to_port="pipeline",$BN69,0)))</f>
        <v>3683.720747776817</v>
      </c>
      <c r="FD69" s="28">
        <f t="shared" si="41"/>
        <v>92029.437900151417</v>
      </c>
      <c r="FE69" s="29">
        <f>((Carriers!$AB$18/Carriers!$AB$23*alk_el_e_demand)+sng_e_demand+lng_e_demand)*(FB69+lng_st_ab_losses)/1000000+lng_st_e_demand*EZ69/1000000</f>
        <v>1115.2608511895353</v>
      </c>
      <c r="FF69" s="29">
        <f t="shared" si="88"/>
        <v>0.8126185861001558</v>
      </c>
      <c r="FG69" s="28">
        <f>IFERROR(FD69*1000000/Storage!$U$12,"")</f>
        <v>2267.6214751679986</v>
      </c>
      <c r="FH69" s="28">
        <f>IF($E69="","No Port",((F69/24/Shipping!$V$44+F69/24/Shipping!$V$50+Shipping!$V$59+Shipping!$V$64)*Carriers!$AB$39*wacc_nl))</f>
        <v>39.91244593753256</v>
      </c>
      <c r="FI69" s="100">
        <f>H2_retrieval!$T$25*h2_demand_kt/1000+(co2_liq_e_demand+co2_st_e_demand*2)*Storage!$U$12*co2_density/lng_density/1000000</f>
        <v>236.51371749646054</v>
      </c>
      <c r="FJ69" s="28">
        <f>IFERROR((((EX69+EZ69+FC69)*(1+H2_retrieval!$T$34)+FH69)*1000000/H2_retrieval!$T$8)+h2_regen_lng,"")</f>
        <v>7140.9085284154744</v>
      </c>
      <c r="FK69" s="149">
        <f>(lh2_invest*(M69+1/lh2_lifetime)/lh2_prod+lh2_opex+lh2_e_demand*1000*$AU69/100+Carriers!$AD$18/Carriers!$AD$23*BD69)*(FM69+lh2_st_ab_losses)/1000000</f>
        <v>55876.281008829093</v>
      </c>
      <c r="FL69" s="28">
        <f>lh2_st_nl_cost*lh2_st_nl_demand/1000000+(lh2_st_invest*(M69+1/lh2_st_lifetime+lh2_st_opex)/(Storage!$Y$63/1000000)+lh2_st_e_demand*1000*$AU69/100)*(FM69+lh2_st_ab_losses)/1000000+((FM69+lh2_st_ab_losses)/365.25*short_st_duration_hrs/24)*(h2_short_st_invest*(1/gh2_short_st_lifetime+$M69+h2_short_st_opex)+h2_short_st_e_demand*1000*$AU69/100)/1000000</f>
        <v>56504.502691895643</v>
      </c>
      <c r="FM69" s="63">
        <f>Storage!$Y$57/((1-Shipping!$Z$37)^($F69/24/Shipping!$Z$44+0.5*Shipping!$Z$59))</f>
        <v>14134375.063757408</v>
      </c>
      <c r="FN69" s="28">
        <f>IF($E69="","No Port",IF(G69="Panama","Ship cannot pass through Panama",((F69/24/Shipping!$Z$44+F69/24/Shipping!$Z$50+Shipping!$Z$59+Shipping!$Z$64)*(Shipping!$Z$22+wacc_nl*Shipping!$Z$19/365.25*1000000+Shipping!$Z$35)+(F69/24/Shipping!$Z$44*Shipping!$Z$45+Shipping!$Z$64*Shipping!$Z$65)*IF(bunker_choice="HFO",$H69,IF(bunker_choice="hydrogen",$BD69*hfo_e_density_lhv/h2_e_density_lhv,(FK69+FL69)*1000000/FM69*hfo_e_density_lhv/lh2_e_density_lhv))+(F69/24/Shipping!$Z$50*Shipping!$Z$51+Shipping!$Z$59*Shipping!$Z$60)*IF(bunker_choice="HFO",bunker_price_ROT,IF(bunker_choice="hydrogen",$BD69*hfo_e_density_lhv/h2_e_density_lhv,(FK69+FL69)*1000000/FM69*hfo_e_density_lhv/lh2_e_density_lhv))+Shipping!$Z$73+IF(G69="Panama",Shipping!$Z$55,0)+IF(G69="Suez",Shipping!$Z$56,0))/Shipping!$Z$31*(FM69+lh2_st_ab_losses)/1000000)+IF(inland_transport_to_port="hv dc grid",$BM69/100*1000*FP69,IF(inland_transport_to_port="pipeline",$BN69,0)))</f>
        <v>5803.6260231703645</v>
      </c>
      <c r="FO69" s="28">
        <f t="shared" si="42"/>
        <v>118184.40972389511</v>
      </c>
      <c r="FP69" s="29">
        <f>((Carriers!$AD$18/Carriers!$AD$23*alk_el_e_demand)+lh2_e_demand)*(FM69+lh2_st_ab_losses)/1000000+lh2_st_e_demand*FM69/1000000</f>
        <v>819.05533808964492</v>
      </c>
      <c r="FQ69" s="100">
        <f t="shared" si="89"/>
        <v>1.361902463475859</v>
      </c>
      <c r="FR69" s="28">
        <f>IFERROR(FO69*1000000/Storage!$Y$12,"")</f>
        <v>8690.0301267569939</v>
      </c>
      <c r="FS69" s="100">
        <f>H2_retrieval!$V$25*h2_demand_kt/1000</f>
        <v>8.16</v>
      </c>
      <c r="FT69" s="28">
        <f>IFERROR(FR69*(1+H2_retrieval!$V$34)/Carrier_properties!$U$7+H2_retrieval!$V$38,"")</f>
        <v>8721.998852625462</v>
      </c>
      <c r="FU69" s="12"/>
      <c r="FV69" s="24">
        <f t="shared" si="90"/>
        <v>2.5138976578407699</v>
      </c>
      <c r="FW69" s="24" t="str">
        <f t="shared" si="92"/>
        <v/>
      </c>
      <c r="FX69" s="24" t="str">
        <f t="shared" si="93"/>
        <v/>
      </c>
      <c r="FY69" s="24">
        <f t="shared" si="45"/>
        <v>2.5138976578407699</v>
      </c>
      <c r="FZ69" s="28">
        <f t="shared" si="94"/>
        <v>2960.7295541217127</v>
      </c>
      <c r="GA69" s="28">
        <f t="shared" si="47"/>
        <v>673.63287007761164</v>
      </c>
      <c r="GB69" s="28">
        <f t="shared" si="48"/>
        <v>429.71876052846926</v>
      </c>
      <c r="GC69" s="28">
        <f t="shared" si="49"/>
        <v>752.65536138962398</v>
      </c>
      <c r="GD69" s="28">
        <f t="shared" si="50"/>
        <v>1096.1823209652052</v>
      </c>
      <c r="GE69" s="28">
        <f t="shared" si="51"/>
        <v>1910.7075498781808</v>
      </c>
      <c r="GF69" s="28">
        <f t="shared" si="52"/>
        <v>2007.6212315789783</v>
      </c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  <c r="GZ69" s="12"/>
      <c r="HA69" s="12"/>
      <c r="HB69" s="12"/>
      <c r="HC69" s="12"/>
      <c r="HD69" s="12"/>
      <c r="HE69" s="12"/>
      <c r="HF69" s="12"/>
    </row>
    <row r="70" spans="1:214" x14ac:dyDescent="0.2">
      <c r="A70" s="154" t="s">
        <v>74</v>
      </c>
      <c r="B70" s="12">
        <v>920</v>
      </c>
      <c r="C70" s="12">
        <v>0.4</v>
      </c>
      <c r="D70" s="12">
        <f t="shared" si="61"/>
        <v>0.6</v>
      </c>
      <c r="E70" s="12" t="s">
        <v>738</v>
      </c>
      <c r="F70" s="12">
        <v>628</v>
      </c>
      <c r="G70" s="12"/>
      <c r="H70" s="16">
        <f t="shared" si="62"/>
        <v>382.75862068965517</v>
      </c>
      <c r="I70" s="16">
        <v>68890</v>
      </c>
      <c r="J70" s="16">
        <f t="shared" si="31"/>
        <v>148.08230164068001</v>
      </c>
      <c r="K70" s="27">
        <f t="shared" si="32"/>
        <v>177.698761968816</v>
      </c>
      <c r="L70" s="103">
        <v>3.7999999999999999E-2</v>
      </c>
      <c r="M70" s="103">
        <f t="shared" si="63"/>
        <v>6.830441755750695E-2</v>
      </c>
      <c r="N70" s="122">
        <f t="shared" si="33"/>
        <v>0.9</v>
      </c>
      <c r="O70" s="46">
        <f t="shared" si="64"/>
        <v>40</v>
      </c>
      <c r="P70" s="70">
        <f t="array" ref="P70">SUMPRODUCT(IF(Solar_data!A$4:A$777=A70,Solar_data!C$4:C$777),IF(Solar_data!A$4:A$777=A70,Solar_data!I$4:I$777))/SUMIF(Solar_data!A$4:A$777,A70,Solar_data!I$4:I$777)</f>
        <v>1088.3371770852953</v>
      </c>
      <c r="Q70" s="16">
        <f t="array" ref="Q70">MAX(IF(Solar_data!$A$777:'Solar_data'!$A$4=Country_details!$A70,Solar_data!$C$4:'Solar_data'!$C$777))</f>
        <v>1186.25</v>
      </c>
      <c r="R70" s="16">
        <f t="array" ref="R70">MIN(IF(Solar_data!$A$777:'Solar_data'!$A$4=Country_details!A70,Solar_data!$C$4:'Solar_data'!$C$777))</f>
        <v>821.25</v>
      </c>
      <c r="S70" s="24">
        <f t="shared" si="65"/>
        <v>2.7200400839930605</v>
      </c>
      <c r="T70" s="24">
        <f t="shared" si="66"/>
        <v>2.4955285534852321</v>
      </c>
      <c r="U70" s="24">
        <f t="shared" si="67"/>
        <v>3.6046523550342249</v>
      </c>
      <c r="V70" s="16">
        <f t="array" ref="V70">SUM(IF(Solar_data!$A$777:'Solar_data'!$A$4=Country_details!$A70,Solar_data!$I$4:'Solar_data'!$I$777))</f>
        <v>299.41224629374551</v>
      </c>
      <c r="W70" s="148"/>
      <c r="X70" s="16">
        <f>IFERROR(INDEX(Onshore_wind_data!$J$5:'Onshore_wind_data'!$J$221,MATCH(A70,Onshore_wind_data!$B$5:'Onshore_wind_data'!$B$221,0)),"")</f>
        <v>3249.2710727104641</v>
      </c>
      <c r="Y70" s="16">
        <f>IFERROR(INDEX(Onshore_wind_data!$K$5:'Onshore_wind_data'!$K$221,MATCH(A70,Onshore_wind_data!$B$5:'Onshore_wind_data'!$B$221,0)),"")</f>
        <v>3971</v>
      </c>
      <c r="Z70" s="16">
        <f>IFERROR(INDEX(Onshore_wind_data!$L$5:'Onshore_wind_data'!$L$221,MATCH(A70,Onshore_wind_data!$B$5:'Onshore_wind_data'!$B$221,0)),"")</f>
        <v>2847.5</v>
      </c>
      <c r="AA70" s="24">
        <f t="shared" si="68"/>
        <v>3.0760481055808842</v>
      </c>
      <c r="AB70" s="24">
        <f t="shared" si="69"/>
        <v>2.516976612372146</v>
      </c>
      <c r="AC70" s="24">
        <f t="shared" si="70"/>
        <v>3.5100664188691102</v>
      </c>
      <c r="AD70" s="16">
        <f>IFERROR(INDEX(Onshore_wind_data!$I$5:'Onshore_wind_data'!$I$221,MATCH(A70,Onshore_wind_data!$B$5:'Onshore_wind_data'!$B$221,0)),"")</f>
        <v>426.51605475000002</v>
      </c>
      <c r="AE70" s="148"/>
      <c r="AF70" s="16">
        <f>INDEX(Offshore_wind_data!$AA$7:$AA$192,MATCH(Country_details!A70,Offshore_wind_data!$A$7:$A$192,0))</f>
        <v>4204.8</v>
      </c>
      <c r="AG70" s="16">
        <f>INDEX(Offshore_wind_data!$Y$7:$Y$192,MATCH(Country_details!A70,Offshore_wind_data!$A$7:$A$192,0))</f>
        <v>4204.8</v>
      </c>
      <c r="AH70" s="16">
        <f>INDEX(Offshore_wind_data!$Z$7:$Z$192,MATCH(Country_details!A70,Offshore_wind_data!$A$7:$A$192,0))</f>
        <v>4204.8</v>
      </c>
      <c r="AI70" s="24">
        <f t="shared" si="71"/>
        <v>4.6048845267434766</v>
      </c>
      <c r="AJ70" s="24">
        <f t="shared" si="72"/>
        <v>4.6048845267434766</v>
      </c>
      <c r="AK70" s="24">
        <f t="shared" si="73"/>
        <v>4.6048845267434766</v>
      </c>
      <c r="AL70" s="16">
        <f>INDEX(Offshore_wind_data!$W$7:$W$191,MATCH(A70,Offshore_wind_data!$A$7:$A$191,0))</f>
        <v>3404.4583679999996</v>
      </c>
      <c r="AM70" s="148"/>
      <c r="AN70" s="12">
        <v>4.8</v>
      </c>
      <c r="AO70" s="12">
        <v>5.8</v>
      </c>
      <c r="AP70" s="34">
        <f>2.84*11.63</f>
        <v>33.029200000000003</v>
      </c>
      <c r="AQ70" s="15">
        <f t="shared" si="74"/>
        <v>50</v>
      </c>
      <c r="AR70" s="12">
        <f t="shared" si="34"/>
        <v>290</v>
      </c>
      <c r="AS70" s="16">
        <f t="shared" si="35"/>
        <v>3840.3866690437453</v>
      </c>
      <c r="AT70" s="12"/>
      <c r="AU70" s="24">
        <f t="shared" si="75"/>
        <v>2.9867231267165852</v>
      </c>
      <c r="AV70" s="16">
        <f t="shared" si="76"/>
        <v>4337.6082497957595</v>
      </c>
      <c r="AW70" s="149">
        <f>HV_DC_Grid!$E$3/(1-AX70)*AU70/100*1000</f>
        <v>3084.5803870114073</v>
      </c>
      <c r="AX70" s="31">
        <f>(1-(1-HV_DC_Grid!$E$25)^(B70*C70*HV_DC_Grid!$E$8/1000))+(1-(1-HV_DC_Grid!$E$26)^(B70*D70*HV_DC_Grid!$E$8/1000))+HV_DC_Grid!$E$35*HV_DC_Grid!$E$28</f>
        <v>3.1724658792126256E-2</v>
      </c>
      <c r="AY70" s="28">
        <f>B70*nl_e_demand/IF(hv_dc_flh="electricity FLH",$AV70,hv_dc_custom)*1000*hv_dc_capacity_multiplier*hv_dc_length_multiplier*1000*(C70*hv_dc_overhead_invest*(hv_dc_overhead_opex+M70+1/hv_dc_lifetime)+D70*hv_dc_sea_invest*(hv_dc_sea_opex+M70+1/hv_dc_lifetime))/1000000+HV_DC_Grid!$E$10*1000*hv_dc_station_invest*hv_dc_station_number*(hv_dc_station_opex+M70+1/hv_dc_lifetime)/1000000</f>
        <v>1389.6345552974485</v>
      </c>
      <c r="AZ70" s="24">
        <f>(AW70+AY70)/(HV_DC_Grid!$E$3*1000)*100</f>
        <v>4.4742149423088557</v>
      </c>
      <c r="BA70" s="28">
        <f>MIN(((Carriers!$F$26+Carriers!$F$27)*(alk_el_opex+wacc_nl+1/alk_el_lifetime)+IF(hv_dc_flh="electricity FLH",$AV70,hv_dc_custom)*AZ70/100)/(IF(hv_dc_flh="electricity FLH",$AV70,hv_dc_custom)/alk_el_e_demand)*1000,((Carriers!$H$26+Carriers!$H$27)*(pem_el_opex+wacc_nl+1/pem_el_lifetime)+IF(hv_dc_flh="electricity FLH",$AV70,hv_dc_custom)*AZ70/100)/(IF(hv_dc_flh="electricity FLH",$AV70,hv_dc_custom)/pem_el_e_demand)*1000)</f>
        <v>2622.4506257312032</v>
      </c>
      <c r="BB70" s="12"/>
      <c r="BC70" s="12"/>
      <c r="BD70" s="149">
        <f>MIN(((Carriers!$F$26+Carriers!$F$27)*(alk_el_opex+M70+1/alk_el_lifetime)+$AV70*$AU70/100)/($AV70/alk_el_e_demand)*1000,((Carriers!$H$26+Carriers!$H$27)*(pem_el_opex+M70+1/pem_el_lifetime)+$AV70*$AU70/100)/($AV70/pem_el_e_demand)*1000)</f>
        <v>2079.921601379152</v>
      </c>
      <c r="BE70" s="28">
        <f>Storage!$AC$50</f>
        <v>8.1664117557772418</v>
      </c>
      <c r="BF70" s="28">
        <f>((Pipeline!$D$22*Pipeline!$D$24*B70*(pipeline_opex+M70+1/pipeline_lifetime))*(Pipeline!$D$39/Pipeline!$D$3)+(Pipeline!$D$57*(pipeline_comp_opex+M70+1/pipeline_comp_lifetime)+Pipeline!$D$47*1000*Pipeline!$D$45*$AU70/100/1000000))*(Pipeline!$D$75/Pipeline!$D$45)</f>
        <v>1534.6971564162843</v>
      </c>
      <c r="BG70" s="28">
        <f>BD70+(BE70+BF70)/Storage!$AC$12*1000000</f>
        <v>2193.3674519800388</v>
      </c>
      <c r="BH70" s="28"/>
      <c r="BI70" s="28"/>
      <c r="BJ70" s="28">
        <f>IF($E70="","No Port",BK70*HV_DC_Grid!$E$3*$AU70/100*1000)</f>
        <v>52.069030045358538</v>
      </c>
      <c r="BK70" s="31">
        <f>IFERROR((1-(1-HV_DC_Grid!$E$25)^(K70*HV_DC_Grid!$E$8/1000))+HV_DC_Grid!$E$35*HV_DC_Grid!$E$28,"")</f>
        <v>1.7433497460676892E-2</v>
      </c>
      <c r="BL70" s="28">
        <f>IFERROR(K70*nl_e_demand/IF(hv_dc_flh="electricity FLH",$AV70,hv_dc_custom)*1000*hv_dc_capacity_multiplier*hv_dc_length_multiplier*1000*(hv_dc_overhead_invest*(hv_dc_overhead_opex+M70+1/hv_dc_lifetime))/1000000+HV_DC_Grid!$E$10*1000*hv_dc_station_invest*hv_dc_station_number*(hv_dc_station_opex+M70+1/hv_dc_lifetime)/1000000,"")</f>
        <v>369.64897667085739</v>
      </c>
      <c r="BM70" s="29">
        <f>IFERROR((BJ70+BL70)/(HV_DC_Grid!$E$3*1000)*100,"")</f>
        <v>0.42171800671621595</v>
      </c>
      <c r="BN70" s="28">
        <f>IFERROR(((Pipeline!$D$22*Pipeline!$D$24*K70*(pipeline_opex+M70+1/pipeline_lifetime))*(Pipeline!$D$39/Pipeline!$D$3)+(Pipeline!$D$57*(pipeline_comp_opex+M70+1/pipeline_comp_lifetime)+Pipeline!$D$47*1000*Pipeline!$D$45*S70/100/1000000))*(Pipeline!$D$75/Pipeline!$D$45),"")</f>
        <v>363.55086787662901</v>
      </c>
      <c r="BO70" s="28"/>
      <c r="BP70" s="150">
        <f t="shared" si="77"/>
        <v>87.079185975694699</v>
      </c>
      <c r="BQ70" s="34">
        <f t="shared" si="78"/>
        <v>25.333825673491603</v>
      </c>
      <c r="BR70" s="151">
        <f>(nh3_invest*(M70+1/nh3_lifetime)/nh3_prod+nh3_opex+nh3_e_demand*1000*$AU70/100+Carriers!$N$18/Carriers!$N$23*BD70+Carriers!$N$19/Carriers!$N$23*BQ70)*(BT70+nh3_st_ab_losses)/1000000</f>
        <v>37155.554898077338</v>
      </c>
      <c r="BS70" s="63">
        <f>nh3_st_nl_cost*nh3_st_nl_demand/1000000+(nh3_st_invest*(M70+1/nh3_st_lifetime+nh3_st_opex)/(Storage!$G$63/1000000)+nh3_st_e_demand*1000*$AU70/100)*(BT70+nh3_st_ab_losses)/1000000+Carriers!$N$18/Carriers!$N$23*((BT70+nh3_st_ab_losses)/365.25*short_st_duration_hrs/24)*(h2_short_st_invest*(1/gh2_short_st_lifetime+$M70+h2_short_st_opex)+h2_short_st_e_demand*1000*$AU70/100)/1000000+Carriers!$N$19/Carriers!$N$23*((BT70+nh3_st_ab_losses)/365.25*short_st_duration_hrs/24)*(n2_short_st_invest*(1/n2_short_st_lifetime+$M70+n2_short_st_opex)+n2_short_st_e_demand*1000*$AU70/100)/1000000</f>
        <v>2725.0061084767776</v>
      </c>
      <c r="BT70" s="63">
        <f>Storage!$G$57/((1-Shipping!$H$37)^(F70/24/Shipping!$H$44+0.5*Shipping!$H$59))</f>
        <v>77162833.62208353</v>
      </c>
      <c r="BU70" s="63">
        <f>IF($E70="","No Port",((F70/24/Shipping!$H$44+F70/24/Shipping!$H$50+Shipping!$H$59+Shipping!$H$64)*(Shipping!$H$22+wacc_nl*Shipping!$H$19/365.25*1000000+Shipping!$H$35)+(F70/24/Shipping!$H$44*Shipping!$H$45+Shipping!$H$64*Shipping!$H$65)*IF(bunker_choice="HFO",H70,IF(bunker_choice="hydrogen",BD70*hfo_e_density_lhv/h2_e_density_lhv,(BR70+BS70)*1000000/BT70*hfo_e_density_lhv/nh3_e_density_lhv))+(F70/24/Shipping!$H$50*Shipping!$H$51+Shipping!$H$59*Shipping!$H$60)*IF(bunker_choice="HFO",bunker_price_ROT,IF(bunker_choice="hydrogen",BD70*hfo_e_density_lhv/h2_e_density_lhv,(BR70+BS70)*1000000/BT70*hfo_e_density_lhv/nh3_e_density_lhv))+Shipping!$H$73+IF(G70="Panama",Shipping!$H$55,0)+IF(G70="Suez",Shipping!$H$56,0))/Shipping!$H$31*BT70/1000000+IF(inland_transport_to_port="hv dc grid",$BM70/100*1000*BW70,IF(inland_transport_to_port="pipeline",$BN70,0)))</f>
        <v>1110.3823670312383</v>
      </c>
      <c r="BV70" s="63">
        <f t="shared" si="91"/>
        <v>40990.94337358536</v>
      </c>
      <c r="BW70" s="33">
        <f>((Carriers!$N$18/Carriers!$N$23*alk_el_e_demand)+(Carriers!$N$19/Carriers!$N$23*n2_e_demand)+nh3_e_demand)*(BT70+nh3_st_ab_losses)/1000000+nh3_st_e_demand*BT70/1000000</f>
        <v>762.01738287473438</v>
      </c>
      <c r="BX70" s="33">
        <f t="shared" si="79"/>
        <v>0.76626754477640768</v>
      </c>
      <c r="BY70" s="63">
        <f>IFERROR(BV70*1000000/Storage!$G$12,"")</f>
        <v>535.38867602883352</v>
      </c>
      <c r="BZ70" s="63">
        <f>H2_retrieval!$F$25*h2_demand_kt/1000</f>
        <v>80</v>
      </c>
      <c r="CA70" s="63">
        <f>IFERROR(BY70*(1+H2_retrieval!$F$34)/Carrier_properties!$E$7+H2_retrieval!$F$38,"")</f>
        <v>3423.2659335838352</v>
      </c>
      <c r="CB70" s="149">
        <f>(FA_invest*(M70+1/FA_lifetime)/FA_prod+FA_opex+FA_e_demand*1000*$AU70/100+Carriers!$P$18/Carriers!$P$23*BD70+Carriers!$P$20/Carriers!$P$23*co2_liq_cost)*(CF70+FA_st_ab_losses)/1000000</f>
        <v>86199.348908435888</v>
      </c>
      <c r="CC70" s="86">
        <f>(FA_invest*(M70+1/FA_lifetime)/FA_prod+FA_opex+FA_e_demand*1000*$AU70/100+Carriers!$P$18/Carriers!$P$23*BD70+Carriers!$P$20/Carriers!$P$23*BP70)*(CF70+FA_st_ab_losses)/1000000</f>
        <v>106769.13387629582</v>
      </c>
      <c r="CD70" s="63">
        <f>FA_st_nl_cost*FA_st_nl_demand/1000000+(FA_st_invest*(M70+1/FA_st_lifetime+FA_st_opex)/(Storage!$I$63/1000000)+FA_st_e_demand*1000*$AU70/100)*(CF70+FA_st_ab_losses)/1000000+co2_st_nl_cost*Storage!$I$12*co2_density/FA_density/1000000+(co2_st_opex_lev+co2_st_invest_lev+co2_st_e_demand*1000*$AU70/100)*Storage!$I$12/1000000+co2_st_invest_lev*Storage!$I$12*co2_st_lifetime*M70/1000000+Carriers!$P$18/Carriers!$P$23*((CF70+FA_st_ab_losses)/365.25*short_st_duration_hrs/24)*(h2_short_st_invest*(1/gh2_short_st_lifetime+$M70+h2_short_st_opex)+h2_short_st_e_demand*1000*$AU70/100)/1000000+Carriers!$P$20/Carriers!$P$23*((CF70+FA_st_ab_losses)/365.25*short_st_duration_hrs/24)*(co2_short_st_invest*(1/co2_short_st_lifetime+$M70+co2_short_st_opex)+co2_short_st_e_demand*1000*$AU70/100)/1000000</f>
        <v>10049.224014337493</v>
      </c>
      <c r="CE70" s="63">
        <f>FA_st_nl_cost*FA_st_nl_demand/1000000+(FA_st_invest*(M70+1/FA_st_lifetime+FA_st_opex)/(Storage!$I$63/1000000)+FA_st_e_demand*1000*$AU70/100)*(CF70+FA_st_ab_losses)/1000000+Carriers!$P$18/Carriers!$P$23*((CF70+FA_st_ab_losses)/365.25*short_st_duration_hrs/24)*(h2_short_st_invest*(1/gh2_short_st_lifetime+$M70+h2_short_st_opex)+h2_short_st_e_demand*1000*$AU70/100)/1000000+Carriers!$P$20/Carriers!$P$23*((CF70+FA_st_ab_losses)/365.25*short_st_duration_hrs/24)*(co2_short_st_invest*(1/co2_short_st_lifetime+$M70+co2_short_st_opex)+co2_short_st_e_demand*1000*$AU70/100)/1000000</f>
        <v>4093.9468437501923</v>
      </c>
      <c r="CF70" s="63">
        <f>Storage!$I$57/((1-Shipping!$J$37)^($F70/24/Shipping!$J$44+0.5*Shipping!$J$59))</f>
        <v>310425396.82539684</v>
      </c>
      <c r="CG70" s="28">
        <f>IF($E70="","No Port",((F70/24/Shipping!$J$44+F70/24/Shipping!$J$50+Shipping!$J$59+Shipping!$J$64)*(Shipping!$J$22+wacc_nl*Shipping!$J$19/365.25*1000000+Shipping!$J$35)+(F70/24/Shipping!$J$44*Shipping!$J$45+Shipping!$J$64*Shipping!$J$65)*IF(bunker_choice="HFO",$H70,IF(bunker_choice="hydrogen",$BD70*hfo_e_density_lhv/h2_e_density_lhv,(CB70+CD70)*1000000/CF70*hfo_e_density_lhv/FA_e_density_lhv))+(F70/24/Shipping!$J$50*Shipping!$J$51+Shipping!$J$59*Shipping!$J$60)*IF(bunker_choice="HFO",bunker_price_ROT,IF(bunker_choice="hydrogen",$BD70*hfo_e_density_lhv/h2_e_density_lhv,(CB70+CD70)*1000000/CF70*hfo_e_density_lhv/FA_e_density_lhv))+Shipping!$J$73+IF(G70="Panama",Shipping!$J$55,0)+IF(G70="Suez",Shipping!$J$56,0))/Shipping!$J$31*CF70/1000000+IF(inland_transport_to_port="hv dc grid",$BM70/100*1000*CI70,IF(inland_transport_to_port="pipeline",$BN70,0)))</f>
        <v>3376.1489558366593</v>
      </c>
      <c r="CH70" s="28">
        <f t="shared" si="36"/>
        <v>114239.22967588267</v>
      </c>
      <c r="CI70" s="29">
        <f>((Carriers!$P$18/Carriers!$P$23*alk_el_e_demand)+FA_e_demand)*(CF70+FA_st_ab_losses)/1000000+FA_st_e_demand*CF70/1000000</f>
        <v>1897.8881241622576</v>
      </c>
      <c r="CJ70" s="29">
        <f t="shared" si="80"/>
        <v>0.46563809523809524</v>
      </c>
      <c r="CK70" s="28">
        <f>IFERROR(CH70*1000000/Storage!$I$12,"")</f>
        <v>368.00864505341406</v>
      </c>
      <c r="CL70" s="28">
        <f>IF($E70="","No Port",((F70/24/Shipping!$J$44+F70/24/Shipping!$J$50+Shipping!$J$59+Shipping!$J$64)*Carriers!$P$39*wacc_nl))</f>
        <v>70.783944194440821</v>
      </c>
      <c r="CM70" s="29">
        <f>H2_retrieval!$H$25*h2_demand_kt/1000+(co2_liq_e_demand+co2_st_e_demand*2)*Storage!$I$12*co2_density/FA_density/1000000</f>
        <v>94.204253879484654</v>
      </c>
      <c r="CN70" s="28">
        <f>IFERROR((((CB70+CD70+CG70)*(1+H2_retrieval!$H$34)+CL70)*1000000/H2_retrieval!$H$8)+h2_regen_fa,"")</f>
        <v>7420.2392665025782</v>
      </c>
      <c r="CO70" s="149">
        <f>(meoh_invest*(M70+1/meoh_lifetime)/meoh_prod+meoh_opex+meoh_e_demand*1000*$AU70/100+Carriers!$R$18/Carriers!$R$23*BD70+Carriers!$R$20/Carriers!$R$23*co2_liq_cost)*(CS70+meoh_st_ab_losses)/1000000</f>
        <v>46446.244584569824</v>
      </c>
      <c r="CP70" s="86">
        <f>(meoh_invest*(M70+1/meoh_lifetime)/meoh_prod+meoh_opex+meoh_e_demand*1000*$AU70/100+Carriers!$R$18/Carriers!$R$23*BD70+Carriers!$R$20/Carriers!$R$23*BP70)*(CS70+meoh_st_ab_losses)/1000000</f>
        <v>58521.343387740548</v>
      </c>
      <c r="CQ70" s="63">
        <f>meoh_st_nl_cost*meoh_st_nl_demand/1000000+(meoh_st_invest*(M70+1/meoh_st_lifetime+meoh_st_opex)/(Storage!$K$63/1000000)+meoh_st_e_demand*1000*$AU70/100)*(CS70+meoh_st_ab_losses)/1000000+co2_st_nl_cost*Storage!$K$12*co2_density/meoh_density/1000000+(co2_st_opex_lev+co2_st_invest_lev+co2_st_e_demand*1000*IFERROR(MIN(S70,AA70,AI70),S70)/100)*Storage!$K$12/1000000+co2_st_invest_lev*Storage!$K$12*co2_st_lifetime*M70/1000000+Carriers!$R$18/Carriers!$R$23*((CS70+meoh_st_ab_losses)/365.25*short_st_duration_hrs/24)*(h2_short_st_invest*(1/gh2_short_st_lifetime+$M70+h2_short_st_opex)+h2_short_st_e_demand*1000*$AU70/100)/1000000+Carriers!$R$20/Carriers!$R$23*((CF70+meoh_st_ab_losses)/365.25*short_st_duration_hrs/24)*(co2_short_st_invest*(1/co2_short_st_lifetime+$M70+co2_short_st_opex)+co2_short_st_e_demand*1000*$AU70/100)/1000000</f>
        <v>4191.9207978177155</v>
      </c>
      <c r="CR70" s="63">
        <f>meoh_st_nl_cost*meoh_st_nl_demand/1000000+(meoh_st_invest*(M70+1/meoh_st_lifetime+meoh_st_opex)/(Storage!$K$63/1000000)+meoh_st_e_demand*1000*$AU70/100)*(CS70+meoh_st_ab_losses)/1000000+Carriers!$R$18/Carriers!$R$23*((CS70+meoh_st_ab_losses)/365.25*short_st_duration_hrs/24)*(h2_short_st_invest*(1/gh2_short_st_lifetime+$M70+h2_short_st_opex)+h2_short_st_e_demand*1000*$AU70/100)/1000000+Carriers!$R$20/Carriers!$R$23*((CF70+meoh_st_ab_losses)/365.25*short_st_duration_hrs/24)*(co2_short_st_invest*(1/co2_short_st_lifetime+$M70+co2_short_st_opex)+co2_short_st_e_demand*1000*$AU70/100)/1000000</f>
        <v>1548.9857821836742</v>
      </c>
      <c r="CS70" s="63">
        <f>Storage!$K$57/((1-Shipping!$L$37)^($F70/24/Shipping!$L$44+0.5*Shipping!$L$59))</f>
        <v>108044444.44444443</v>
      </c>
      <c r="CT70" s="28">
        <f>IF($E70="","No Port",IF(AND(ship_choice="VLCC",G70="Panama"),"Ship cannot pass through Panama",IF(ship_choice="VLCC",((F70/24/Shipping!$AD$44+F70/24/Shipping!$AD$50+Shipping!$AD$59+Shipping!$AD$64)*(Shipping!$AD$22+wacc_nl*Shipping!$AD$19/365.25*1000000+Shipping!$AD$35)+(F70/24/Shipping!$AD$44*Shipping!$AD$45+Shipping!$AD$64*Shipping!$AD$65)*IF(bunker_choice="HFO",$H70,IF(bunker_choice="hydrogen",$BD70*hfo_e_density_lhv/h2_e_density_lhv,(CO70+CQ70)*1000000/CS70*hfo_e_density_lhv/meoh_e_density_lhv))+(F70/24/Shipping!$AD$50*Shipping!$AD$51+Shipping!$AD$59*Shipping!$AD$60)*IF(bunker_choice="HFO",bunker_price_ROT,IF(bunker_choice="hydrogen",$BD70*hfo_e_density_lhv/h2_e_density_lhv,(CO70+CQ70)*1000000/CS70*hfo_e_density_lhv/meoh_e_density_lhv))+Shipping!$AD$73+IF(G70="Panama",Shipping!$AD$55,0)+IF(G70="Suez",Shipping!$AD$56,0))/Shipping!$AD$31*CS70/1000000+IF(inland_transport_to_port="hv dc grid",$BM70/100*1000*CV70,IF(inland_transport_to_port="pipeline",$BN70,0)),((F70/24/Shipping!$L$44+F70/24/Shipping!$L$50+Shipping!$L$59+Shipping!$L$64)*(Shipping!$L$22+wacc_nl*Shipping!$L$19/365.25*1000000+Shipping!$L$35)+(F70/24/Shipping!$L$44*Shipping!$L$45+Shipping!$L$64*Shipping!$L$65)*IF(bunker_choice="HFO",$H70,IF(bunker_choice="hydrogen",$BD70*hfo_e_density_lhv/h2_e_density_lhv,(CO70+CQ70)*1000000/CS70*hfo_e_density_lhv/meoh_e_density_lhv))+(F70/24/Shipping!$L$50*Shipping!$L$51+Shipping!$L$59*Shipping!$L$60)*IF(bunker_choice="HFO",bunker_price_ROT,IF(bunker_choice="hydrogen",$BD70*hfo_e_density_lhv/h2_e_density_lhv,(CO70+CQ70)*1000000/CS70*hfo_e_density_lhv/meoh_e_density_lhv))+Shipping!$L$73+IF(G70="Panama",Shipping!$L$55,0)+IF(G70="Suez",Shipping!$L$56,0))/Shipping!$L$31*CS70/1000000+IF(inland_transport_to_port="hv dc grid",$BM70/100*1000*CV70,IF(inland_transport_to_port="pipeline",$BN70,0)))))</f>
        <v>1343.3869033379256</v>
      </c>
      <c r="CU70" s="28">
        <f t="shared" si="37"/>
        <v>61413.716073262149</v>
      </c>
      <c r="CV70" s="29">
        <f>((Carriers!$R$18/Carriers!$R$23*alk_el_e_demand)+meoh_e_demand)*(CS70+meoh_st_ab_losses)/1000000+meoh_st_e_demand*CS70/1000000</f>
        <v>1119.9789871111109</v>
      </c>
      <c r="CW70" s="29">
        <f t="shared" si="81"/>
        <v>0.16206666666666666</v>
      </c>
      <c r="CX70" s="28">
        <f>IFERROR(CU70*1000000/Storage!$K$12,"")</f>
        <v>568.41160495614906</v>
      </c>
      <c r="CY70" s="28">
        <f>IF($E70="","No Port",((F70/24/Shipping!$L$44+F70/24/Shipping!$L$50+Shipping!$L$59+Shipping!$L$64)*Carriers!$R$39*wacc_nl))</f>
        <v>24.948912386235193</v>
      </c>
      <c r="CZ70" s="29">
        <f>H2_retrieval!$J$25*h2_demand_kt/1000+(co2_liq_e_demand+co2_st_e_demand*2)*Storage!$K$12*co2_density/meoh_density/1000000</f>
        <v>251.05079059698966</v>
      </c>
      <c r="DA70" s="28">
        <f>IFERROR((((CO70+CQ70+CT70)*(1+H2_retrieval!$J$34)+CY70)*1000000/H2_retrieval!$J$8)+h2_regen_meoh,"")</f>
        <v>4994.1359842337406</v>
      </c>
      <c r="DB70" s="149">
        <f>(DBT_invest*(M70+1/DBT_lifetime)/DBT_prod+DBT_opex+DBT_e_demand*1000*$AU70/100+Carriers!$T$18/Carriers!$T$23*BD70)*(DD70+DBT_st_ab_losses)/1000000</f>
        <v>30943.547166315475</v>
      </c>
      <c r="DC70" s="28">
        <f>2*(DBT_st_nl_cost*DBT_st_nl_demand/1000000+(DBT_st_invest*(M70+1/DBT_st_lifetime+DBT_st_opex)/(Storage!$M$63/1000000)+DBT_st_e_demand*1000*$AU70/100)*(DD70+DBT_st_ab_losses)/1000000)+Carriers!$T$18/Carriers!$T$23*((DD70+DBT_st_ab_losses)/365.25*short_st_duration_hrs/24)*(h2_short_st_invest*(1/gh2_short_st_lifetime+$M70+h2_short_st_opex)+h2_short_st_e_demand*1000*$AU70/100)/1000000</f>
        <v>3335.9136887351474</v>
      </c>
      <c r="DD70" s="63">
        <f>Storage!$M$57/((1-Shipping!$N$37)^($F70/24/Shipping!$N$44+0.5*Shipping!$N$59))</f>
        <v>219354838.70967743</v>
      </c>
      <c r="DE70" s="28">
        <f>IF($E70="","No Port",IF(AND(ship_choice="VLCC",G70="Panama"),"Ship cannot pass through Panama",IF(ship_choice="VLCC",((F70/24/Shipping!$AD$44+F70/24/Shipping!$AD$50+Shipping!$AD$59+Shipping!$AD$64)*(Shipping!$AD$22+wacc_nl*Shipping!$AD$19/365.25*1000000+Shipping!$AD$35)+(F70/24/Shipping!$AD$44*Shipping!$AD$45+Shipping!$AD$64*Shipping!$AD$65)*IF(bunker_choice="HFO",$H70,IF(bunker_choice="hydrogen",$BD70*hfo_e_density_lhv/h2_e_density_lhv,(DB70+DC70)*1000000/DD70*hfo_e_density_lhv/DBT_e_density_lhv))+(F70/24/Shipping!$AD$50*Shipping!$AD$51+Shipping!$AD$59*Shipping!$AD$60)*IF(bunker_choice="HFO",bunker_price_ROT,IF(bunker_choice="hydrogen",$BD70*hfo_e_density_lhv/h2_e_density_lhv,(DB70+DC70)*1000000/DD70*hfo_e_density_lhv/DBT_e_density_lhv))+Shipping!$AD$73+IF(G70="Panama",Shipping!$AD$55,0)+IF(G70="Suez",Shipping!$AD$56,0))/Shipping!$AD$31*DD70/1000000+IF(inland_transport_to_port="hv dc grid",$BM70/100*1000*DG70,IF(inland_transport_to_port="pipeline",$BN70,0)),((F70/24/Shipping!$N$44+F70/24/Shipping!$N$50+Shipping!$N$59+Shipping!$N$64)*(Shipping!$N$22+wacc_nl*Shipping!$N$19/365.25*1000000+Shipping!$N$35)+(F70/24/Shipping!$N$44*Shipping!$N$45+Shipping!$N$64*Shipping!$N$65)*IF(bunker_choice="HFO",$H70,IF(bunker_choice="hydrogen",$BD70*hfo_e_density_lhv/h2_e_density_lhv,(DB70+DC70)*1000000/DD70*hfo_e_density_lhv/DBT_e_density_lhv))+(F70/24/Shipping!$N$50*Shipping!$N$51+Shipping!$N$59*Shipping!$N$60)*IF(bunker_choice="HFO",bunker_price_ROT,IF(bunker_choice="hydrogen",$BD70*hfo_e_density_lhv/h2_e_density_lhv,(DB70+DC70)*1000000/DD70*hfo_e_density_lhv/DBT_e_density_lhv))+Shipping!$N$73+IF(G70="Panama",Shipping!$N$55,0)+IF(G70="Suez",Shipping!$N$56,0))/Shipping!$N$31*Shipping!$N$86/1000000+IF(inland_transport_to_port="hv dc grid",$BM70/100*1000*DG70,IF(inland_transport_to_port="pipeline",$BN70,0)))))</f>
        <v>2177.0197772063593</v>
      </c>
      <c r="DF70" s="28">
        <f t="shared" si="82"/>
        <v>36456.480632256986</v>
      </c>
      <c r="DG70" s="29">
        <f>((Carriers!$T$18/Carriers!$T$23*alk_el_e_demand)+DBT_e_demand)*(DD70+DBT_st_ab_losses)/1000000+DBT_st_e_demand*DD70/1000000</f>
        <v>703.88335483870969</v>
      </c>
      <c r="DH70" s="29">
        <f t="shared" si="83"/>
        <v>0.21935483870967742</v>
      </c>
      <c r="DI70" s="28">
        <f>IFERROR(DF70*1000000/Storage!$M$12,"")</f>
        <v>166.19866170587744</v>
      </c>
      <c r="DJ70" s="28">
        <f>IF($E70="","No Port",((F70/24/Shipping!$N$44+F70/24/Shipping!$N$50+Shipping!$N$59+Shipping!$N$64)*Carriers!$T$39*wacc_nl))</f>
        <v>1817.1112617546698</v>
      </c>
      <c r="DK70" s="100">
        <f>H2_retrieval!$L$25*h2_demand_kt/1000+(co2_liq_e_demand+co2_st_e_demand*2)*Storage!$M$12*co2_density/DBT_density/1000000</f>
        <v>206.61934861671787</v>
      </c>
      <c r="DL70" s="28">
        <f>IFERROR(((DF70*(1+H2_retrieval!$L$34)+DJ70)*1000000/H2_retrieval!$L$8)+h2_regen_lohc,"")</f>
        <v>3284.8844787278867</v>
      </c>
      <c r="DM70" s="149">
        <f t="shared" si="84"/>
        <v>49872.09391598378</v>
      </c>
      <c r="DN70" s="16">
        <f>2*(nabh4_st_nl_cost*nabh4_st_nl_demand/1000000+(nabh4_st_invest*(M70+1/nabh4_st_lifetime+nabh4_st_opex)/(Storage!$O$63/1000000)+nabh4_st_e_demand*1000*$AU70/100)*(DO70+nabh4_st_ab_losses)/1000000)+(h2_demand_kt*1000/365.25*short_st_duration_hrs/24)*(h2_short_st_invest*(1/gh2_short_st_lifetime+$M70+h2_short_st_opex)+h2_short_st_e_demand*1000*$AU70/100)/1000000</f>
        <v>1192.7016149104418</v>
      </c>
      <c r="DO70" s="63">
        <f>Storage!$O$57/((1-Shipping!$P$37)^($F70/24/Shipping!$P$44+0.5*Shipping!$P$59))</f>
        <v>63920000</v>
      </c>
      <c r="DP70" s="16">
        <f>IF($E70="","No Port",((F70/24/Shipping!$P$44+F70/24/Shipping!$P$50+Shipping!$P$59+Shipping!$P$64)*(Shipping!$P$22+wacc_nl*Shipping!$P$19/365.25*1000000+Shipping!$P$35)+(F70/24/Shipping!$P$44*Shipping!$P$45+Shipping!$P$64*Shipping!$P$65)*IF(bunker_choice="HFO",$H70,IF(bunker_choice="hydrogen",$BD70*hfo_e_density_lhv/h2_e_density_lhv,(DM70+DN70)*1000000/DO70*hfo_e_density_lhv/nabh4_e_density_lhv))+(F70/24/Shipping!$P$50*Shipping!$P$51+Shipping!$P$59*Shipping!$P$60)*IF(bunker_choice="HFO",bunker_price_ROT,IF(bunker_choice="hydrogen",$BD70*hfo_e_density_lhv/h2_e_density_lhv,(DM70+DN70)*1000000/DO70*hfo_e_density_lhv/nabh4_e_density_lhv))+Shipping!$P$73+IF(G70="Panama",Shipping!$P$55,0)+IF(G70="Suez",Shipping!$P$56,0))/Shipping!$P$31*(DO70+nabh4_st_ab_losses)/1000000+IF(inland_transport_to_port="hv dc grid",$BM70/100*1000*DR70,IF(inland_transport_to_port="pipeline",$BN70,0)))</f>
        <v>820.5880447463195</v>
      </c>
      <c r="DQ70" s="28">
        <f t="shared" si="60"/>
        <v>51885.383575640539</v>
      </c>
      <c r="DR70" s="29">
        <f>((Carriers!$V$18/Carriers!$V$23*alk_el_e_demand)+nabh4_e_demand)*(DO70+nabh4_st_ab_losses)/1000000+nabh4_st_e_demand*DO70/1000000</f>
        <v>980.02139682539689</v>
      </c>
      <c r="DS70" s="28">
        <f t="shared" si="85"/>
        <v>3.1960000000000002</v>
      </c>
      <c r="DT70" s="28">
        <f>IFERROR(DQ70*1000000/Storage!$O$12,"")</f>
        <v>811.72377308574062</v>
      </c>
      <c r="DU70" s="28">
        <f>IF($E70="","No Port",((F70/24/Shipping!$P$44+F70/24/Shipping!$P$50+Shipping!$P$59+Shipping!$P$64)*Carriers!$V$39*wacc_nl))</f>
        <v>185.08134001283739</v>
      </c>
      <c r="DV70" s="100">
        <f>H2_retrieval!$N$25*h2_demand_kt/1000+(co2_liq_e_demand+co2_st_e_demand*2)*Storage!$O$12*co2_density/nabh4_density/1000000</f>
        <v>18.783638728971958</v>
      </c>
      <c r="DW70" s="28">
        <f>IFERROR(((DQ70*(1+H2_retrieval!$N$34)+DU70)*1000000/H2_retrieval!$N$8)+h2_regen_nabh4,"")</f>
        <v>3911.8869006834475</v>
      </c>
      <c r="DX70" s="149">
        <f>(Dme_invest*(M70+1/Dme_lifetime)/Dme_prod+Dme_opex+Dme_e_demand*1000*$AU70/100+Carriers!$X$21/Carriers!$X$23*(CO70*1000000/CS70))*(EB70+Dme_st_ab_losses)/1000000</f>
        <v>65631.578793513443</v>
      </c>
      <c r="DY70" s="86">
        <f>(Dme_invest*(M70+1/Dme_lifetime)/Dme_prod+Dme_opex+Dme_e_demand*1000*$AU70/100+Carriers!$X$21/Carriers!$X$23*(CP70*1000000/CS70))*(EB70+Dme_st_ab_losses)/1000000</f>
        <v>82013.430780670329</v>
      </c>
      <c r="DZ70" s="63">
        <f>Dme_st_nl_cost*Dme_st_nl_demand/1000000+(Dme_st_invest*(M70+1/Dme_st_lifetime+Dme_st_opex)/(Storage!$Q$63/1000000)+Dme_st_e_demand*1000*$AU70/100)*(EB70+Dme_st_ab_losses)/1000000+co2_st_nl_cost*Storage!$Q$12*co2_density/Dme_density/1000000+(co2_st_opex_lev+co2_st_invest_lev+co2_st_e_demand*1000*$AU70/100)*Storage!$Q$12/1000000+co2_st_invest_lev*Storage!$Q$12*co2_st_lifetime*M70/1000000+(h2_demand_kt*1000/365.25*short_st_duration_hrs/24)*(h2_short_st_invest*(1/gh2_short_st_lifetime+$M70+h2_short_st_opex)+h2_short_st_e_demand*1000*$AU70/100)/1000000</f>
        <v>5109.7334679232581</v>
      </c>
      <c r="EA70" s="63">
        <f>Dme_st_nl_cost*Dme_st_nl_demand/1000000+(Dme_st_invest*(M70+1/Dme_st_lifetime+Dme_st_opex)/(Storage!$Q$63/1000000)+Dme_st_e_demand*1000*$AU70/100)*(EB70+Dme_st_ab_losses)/1000000+(h2_demand_kt*1000/365.25*short_st_duration_hrs/24)*(h2_short_st_invest*(1/gh2_short_st_lifetime+$M70+h2_short_st_opex)+h2_short_st_e_demand*1000*$AU70/100)/1000000</f>
        <v>2422.2957843414661</v>
      </c>
      <c r="EB70" s="63">
        <f>Storage!$Q$57/((1-Shipping!$R$37)^($F70/24/Shipping!$R$44+0.5*Shipping!$R$59))</f>
        <v>103547089.94708996</v>
      </c>
      <c r="EC70" s="153">
        <f>IF($E70="","No Port",IF(AND(ship_choice="VLCC",G70="Panama"),"Ship cannot pass through Panama",IF(ship_choice="VLCC",((F70/24/Shipping!$AD$44+F70/24/Shipping!$AD$50+Shipping!$AD$59+Shipping!$AD$64)*(Shipping!$AD$22+wacc_nl*Shipping!$AD$19/365.25*1000000+Shipping!$AD$35)+(F70/24/Shipping!$AD$44*Shipping!$AD$45+Shipping!$AD$64*Shipping!$AD$65)*IF(bunker_choice="HFO",$H70,IF(bunker_choice="hydrogen",$BD70*hfo_e_density_lhv/h2_e_density_lhv,(DX70+DZ70)*1000000/EB70*hfo_e_density_lhv/Dme_e_density_lhv))+(F70/24/Shipping!$AD$50*Shipping!$AD$51+Shipping!$AD$59*Shipping!$AD$60)*IF(bunker_choice="HFO",bunker_price_ROT,IF(bunker_choice="hydrogen",$BD70*hfo_e_density_lhv/h2_e_density_lhv,(DX70+DZ70)*1000000/EB70*hfo_e_density_lhv/Dme_e_density_lhv))+Shipping!$AD$73+IF(G70="Panama",Shipping!$AD$55,0)+IF(G70="Suez",Shipping!$AD$56,0))/Shipping!$AD$31*(EB70+Dme_st_ab_losses)/1000000+IF(inland_transport_to_port="hv dc grid",$BM70/100*1000*EE70,IF(inland_transport_to_port="pipeline",$BN70,0)),((F70/24/Shipping!$R$44+F70/24/Shipping!$R$50+Shipping!$R$59+Shipping!$R$64)*(Shipping!$R$22+wacc_nl*Shipping!$R$19/365.25*1000000+Shipping!$R$35)+(F70/24/Shipping!$R$44*Shipping!$R$45+Shipping!$R$64*Shipping!$R$65)*IF(bunker_choice="HFO",$H70,IF(bunker_choice="hydrogen",$BD70*hfo_e_density_lhv/h2_e_density_lhv,(DX70+DZ70)*1000000/EB70*hfo_e_density_lhv/Dme_e_density_lhv))+(F70/24/Shipping!$R$50*Shipping!$R$51+Shipping!$R$59*Shipping!$R$60)*IF(bunker_choice="HFO",bunker_price_ROT,IF(bunker_choice="hydrogen",$BD70*hfo_e_density_lhv/h2_e_density_lhv,(DX70+DZ70)*1000000/EB70*hfo_e_density_lhv/Dme_e_density_lhv))+Shipping!$R$73+IF(G70="Panama",Shipping!$R$55,0)+IF(G70="Suez",Shipping!$R$56,0))/Shipping!$R$31*(EB70+Dme_st_ab_losses)/1000000+IF(inland_transport_to_port="hv dc grid",$BM70/100*1000*EE70,IF(inland_transport_to_port="pipeline",$BN70,0)))))</f>
        <v>1410.6534622742338</v>
      </c>
      <c r="ED70" s="28">
        <f t="shared" si="39"/>
        <v>85846.380027286024</v>
      </c>
      <c r="EE70" s="29">
        <f>(Dme_e_demand)*(EB70+Dme_st_ab_losses)/1000000+Dme_st_e_demand*DZ70/1000000+$CV70*(Carriers!$X$21/Carriers!$X$23*EB70)/$CS70</f>
        <v>1550.2168112643906</v>
      </c>
      <c r="EF70" s="29">
        <f t="shared" si="86"/>
        <v>1.0354708994708997</v>
      </c>
      <c r="EG70" s="28">
        <f>IFERROR(ED70*1000000/Storage!$Q$12,"")</f>
        <v>829.05642322880772</v>
      </c>
      <c r="EH70" s="28">
        <f>IF($E70="","No Port",((F70/24/Shipping!$R$44+F70/24/Shipping!$R$50+Shipping!$R$59+Shipping!$R$64)*Carriers!$X$39*wacc_nl))</f>
        <v>24.814832543960581</v>
      </c>
      <c r="EI70" s="100">
        <f>H2_retrieval!$P$25*h2_demand_kt/1000+(co2_liq_e_demand+co2_st_e_demand*2)*Storage!$Q$12*co2_density/Dme_density/1000000</f>
        <v>252.45335899349112</v>
      </c>
      <c r="EJ70" s="28">
        <f>IFERROR((((DX70+DZ70+EC70)*(1+H2_retrieval!$P$34)+EH70)*1000000/H2_retrieval!$P$8)+h2_regen_dme,"")</f>
        <v>6477.2447605677989</v>
      </c>
      <c r="EK70" s="149">
        <f>(ome_invest*(M70+1/ome_lifetime)/ome_prod+ome_opex+ome_e_demand*1000*$AU70/100+Carriers!$Z$21/Carriers!$Z$23*(CO70*1000000/CS70))*(EO70+ome_st_ab_losses)/1000000</f>
        <v>143728.46193180914</v>
      </c>
      <c r="EL70" s="86">
        <f>(ome_invest*(M70+1/ome_lifetime)/ome_prod+ome_opex+ome_e_demand*1000*$AU70/100+Carriers!$Z$21/Carriers!$Z$23*(CP70*1000000/CS70))*(EO70+ome_st_ab_losses)/1000000</f>
        <v>178117.1581938515</v>
      </c>
      <c r="EM70" s="63">
        <f>ome_st_nl_cost*ome_st_nl_demand/1000000+(ome_st_invest*(M70+1/ome_st_lifetime+ome_st_opex)/(Storage!$S$63/1000000)+ome_st_e_demand*1000*$AU70/100)*(EO70+ome_st_ab_losses)/1000000+co2_st_nl_cost*Storage!$S$12*co2_density/ome_density/1000000+(co2_st_opex_lev+co2_st_invest_lev+co2_st_e_demand*1000*$AU70/100)*Storage!$S$12/1000000+co2_st_invest_lev*Storage!$S$12*co2_st_lifetime*M70/1000000+(h2_demand_kt*1000/365.25*short_st_duration_hrs/24)*(h2_short_st_invest*(1/gh2_short_st_lifetime+$M70+h2_short_st_opex)+h2_short_st_e_demand*1000*$AU70/100)/1000000</f>
        <v>4412.0462120585989</v>
      </c>
      <c r="EN70" s="63">
        <f>ome_st_nl_cost*ome_st_nl_demand/1000000+(ome_st_invest*(M70+1/ome_st_lifetime+ome_st_opex)/(Storage!$S$63/1000000)+ome_st_e_demand*1000*$AU70/100)*(EO70+ome_st_ab_losses)/1000000+(h2_demand_kt*1000/365.25*short_st_duration_hrs/24)*(h2_short_st_invest*(1/gh2_short_st_lifetime+$M70+h2_short_st_opex)+h2_short_st_e_demand*1000*$AU70/100)/1000000</f>
        <v>1421.5981152076274</v>
      </c>
      <c r="EO70" s="63">
        <f>Storage!$S$57/((1-Shipping!$T$37)^($F70/24/Shipping!$T$44+0.5*Shipping!$T$59))</f>
        <v>128282539.68253967</v>
      </c>
      <c r="EP70" s="28">
        <f>IF($E70="","No Port",IF(AND(ship_choice="VLCC",G70="Panama"),"Ship cannot pass through Panama",IF(ship_choice="VLCC",((F70/24/Shipping!$AD$44+F70/24/Shipping!$AD$50+Shipping!$AD$59+Shipping!$AD$64)*(Shipping!$AD$22+wacc_nl*Shipping!$AD$19/365.25*1000000+Shipping!$AD$35)+(F70/24/Shipping!$AD$44*Shipping!$AD$45+Shipping!$AD$64*Shipping!$AD$65)*IF(bunker_choice="HFO",$H70,IF(bunker_choice="hydrogen",$BD70*hfo_e_density_lhv/h2_e_density_lhv,(EK70+EM70)*1000000/EO70*hfo_e_density_lhv/Dme_e_density_lhv))+(F70/24/Shipping!$AD$50*Shipping!$AD$51+Shipping!$AD$59*Shipping!$AD$60)*IF(bunker_choice="HFO",bunker_price_ROT,IF(bunker_choice="hydrogen",$BD70*hfo_e_density_lhv/h2_e_density_lhv,(EK70+EM70)*1000000/EO70*hfo_e_density_lhv/ome_e_density_lhv))+Shipping!$AD$73+IF(G70="Panama",Shipping!$AD$55,0)+IF(G70="Suez",Shipping!$AD$56,0))/Shipping!$AD$31*(EO70+ome_st_ab_losses)/1000000+IF(inland_transport_to_port="hv dc grid",$BM70/100*1000*ER70,IF(inland_transport_to_port="pipeline",$BN70,0)),((F70/24/Shipping!$T$44+F70/24/Shipping!$T$50+Shipping!$T$59+Shipping!$T$64)*(Shipping!$T$22+wacc_nl*Shipping!$T$19/365.25*1000000+Shipping!$T$35)+(F70/24/Shipping!$T$44*Shipping!$T$45+Shipping!$T$64*Shipping!$T$65)*IF(bunker_choice="HFO",$H70,IF(bunker_choice="hydrogen",$BD70*hfo_e_density_lhv/h2_e_density_lhv,(EK70+EM70)*1000000/EO70*hfo_e_density_lhv/Dme_e_density_lhv))+(F70/24/Shipping!$T$50*Shipping!$T$51+Shipping!$T$59*Shipping!$T$60)*IF(bunker_choice="HFO",bunker_price_ROT,IF(bunker_choice="hydrogen",$BD70*hfo_e_density_lhv/h2_e_density_lhv,(EK70+EM70)*1000000/EO70*hfo_e_density_lhv/ome_e_density_lhv))+Shipping!$T$73+IF(G70="Panama",Shipping!$T$55,0)+IF(G70="Suez",Shipping!$T$56,0))/Shipping!$T$31*(EO70+ome_st_ab_losses)/1000000+IF(inland_transport_to_port="hv dc grid",$BM70/100*1000*ER70,IF(inland_transport_to_port="pipeline",$BN70,0)))))</f>
        <v>1451.2797720384301</v>
      </c>
      <c r="EQ70" s="28">
        <f t="shared" si="40"/>
        <v>180990.03608109755</v>
      </c>
      <c r="ER70" s="29">
        <f>(ome_e_demand)*(EO70+ome_st_ab_losses)/1000000+ome_st_e_demand*EM70/1000000+$CV70*(Carriers!$Z$21/Carriers!$Z$23*EO70)/$CS70</f>
        <v>3352.0814567588527</v>
      </c>
      <c r="ES70" s="29">
        <f t="shared" si="87"/>
        <v>0.1924238095238095</v>
      </c>
      <c r="ET70" s="28">
        <f>IFERROR(EQ70*1000000/Storage!$S$12,"")</f>
        <v>1410.8703844575648</v>
      </c>
      <c r="EU70" s="28">
        <f>IF($E70="","No Port",((F70/24/Shipping!$T$44+F70/24/Shipping!$T$50+Shipping!$T$59+Shipping!$T$64)*Carriers!$Z$39*wacc_nl))</f>
        <v>29.622160210829698</v>
      </c>
      <c r="EV70" s="100">
        <f>H2_retrieval!$R$25*h2_demand_kt/1000+(co2_liq_e_demand+co2_st_e_demand*2)*Storage!$S$12*co2_density/ome_density/1000000</f>
        <v>254.51942895252085</v>
      </c>
      <c r="EW70" s="28">
        <f>IFERROR((((EK70+EM70+EP70)*(1+H2_retrieval!$R$34)+EU70)*1000000/H2_retrieval!$R$8)+h2_regen_ome,"")</f>
        <v>12171.702813498836</v>
      </c>
      <c r="EX70" s="149">
        <f>(sng_invest*(M70+1/sng_lifetime)/sng_prod+lng_invest*(M70+1/lng_lifetime)/lng_prod+sng_opex+lng_opex+(sng_e_demand+lng_e_demand)*1000*$AU70/100+Carriers!$AB$18/Carriers!$AB$23*BD70+Carriers!$AB$20/Carriers!$AB$23*co2_liq_cost)*(FB70+lng_st_ab_losses)/1000000</f>
        <v>49726.685242427877</v>
      </c>
      <c r="EY70" s="86">
        <f>(sng_invest*(M70+1/sng_lifetime)/sng_prod+lng_invest*(M70+1/lng_lifetime)/lng_prod+sng_opex+lng_opex+(sng_e_demand+lng_e_demand)*1000*$AU70/100+Carriers!$AB$18/Carriers!$AB$23*BD70+Carriers!$AB$20/Carriers!$AB$23*BP70)*(FB70+lng_st_ab_losses)/1000000</f>
        <v>58673.577084609649</v>
      </c>
      <c r="EZ70" s="63">
        <f>lng_st_nl_cost*lng_st_nl_demand/1000000+(lng_st_invest*(M70+1/lng_st_lifetime+lng_st_opex)/(Storage!$U$63/1000000)+lng_st_e_demand*1000*$AU70/100)*(FB70+lng_st_ab_losses)/1000000+co2_st_nl_cost*Storage!$U$12*co2_density/lng_density/1000000+(co2_st_opex_lev+co2_st_invest_lev+co2_st_e_demand*1000*$AU70/100)*Storage!$U$12/1000000+co2_st_invest_lev*Storage!$U$12*co2_st_lifetime*M70/1000000+Carriers!$AB$18/Carriers!$AB$23*((FB70+lng_st_ab_losses)/365.25*short_st_duration_hrs/24)*(h2_short_st_invest*(1/gh2_short_st_lifetime+$M70+h2_short_st_opex)+h2_short_st_e_demand*1000*$AU70/100)/1000000+Carriers!$AB$20/Carriers!$AB$23*((FB70+lng_st_ab_losses)/365.25*short_st_duration_hrs/24)*(co2_short_st_invest*(1/co2_short_st_lifetime+$M70+co2_short_st_opex)+co2_short_st_e_demand*1000*$AU70/100)/1000000</f>
        <v>5250.0537396507889</v>
      </c>
      <c r="FA70" s="63">
        <f>lng_st_nl_cost*lng_st_nl_demand/1000000+(lng_st_invest*(M70+1/lng_st_lifetime+lng_st_opex)/(Storage!$U$63/1000000)+lng_st_e_demand*1000*$AU70/100)*(FB70+lng_st_ab_losses)/1000000+Carriers!$AB$18/Carriers!$AB$23*((FB70+lng_st_ab_losses)/365.25*short_st_duration_hrs/24)*(h2_short_st_invest*(1/gh2_short_st_lifetime+$M70+h2_short_st_opex)+h2_short_st_e_demand*1000*$AU70/100)/1000000+Carriers!$AB$20/Carriers!$AB$23*((FB70+lng_st_ab_losses)/365.25*short_st_duration_hrs/24)*(co2_short_st_invest*(1/co2_short_st_lifetime+$M70+co2_short_st_opex)+co2_short_st_e_demand*1000*$AU70/100)/1000000</f>
        <v>3759.0541685369553</v>
      </c>
      <c r="FB70" s="63">
        <f>Storage!$U$57/((1-Shipping!$V$37)^($F70/24/Shipping!$V$44+0.5*Shipping!$V$59))</f>
        <v>40789555.290108413</v>
      </c>
      <c r="FC70" s="28">
        <f>IF($E70="","No Port",IF(G70="Panama","Ship cannot pass through Panama",((F70/24/Shipping!$V$44+F70/24/Shipping!$V$50+Shipping!$V$59+Shipping!$V$64)*(Shipping!$V$22+wacc_nl*Shipping!$V$19/365.25*1000000+Shipping!$V$35)+(F70/24/Shipping!$V$44*Shipping!$V$45+Shipping!$V$64*Shipping!$V$65)*IF(bunker_choice="HFO",$H70,IF(bunker_choice="hydrogen",$BD70*hfo_e_density_lhv/h2_e_density_lhv,(EX70+EZ70)*1000000/FB70*hfo_e_density_lhv/lng_e_density_lhv))+(F70/24/Shipping!$V$50*Shipping!$V$51+Shipping!$V$59*Shipping!$V$60)*IF(bunker_choice="HFO",bunker_price_ROT,IF(bunker_choice="hydrogen",$BD70*hfo_e_density_lhv/h2_e_density_lhv,(EX70+EZ70)*1000000/FB70*hfo_e_density_lhv/lng_e_density_lhv))+Shipping!$V$73+IF(G70="Panama",Shipping!$V$55,0)+IF(G70="Suez",Shipping!$V$56,0))/Shipping!$V$31*(FB70+lng_st_ab_losses)/1000000)+IF(inland_transport_to_port="hv dc grid",$BM70/100*1000*FE70,IF(inland_transport_to_port="pipeline",$BN70,0)))</f>
        <v>756.50647207967222</v>
      </c>
      <c r="FD70" s="28">
        <f t="shared" si="41"/>
        <v>63189.137725226276</v>
      </c>
      <c r="FE70" s="29">
        <f>((Carriers!$AB$18/Carriers!$AB$23*alk_el_e_demand)+sng_e_demand+lng_e_demand)*(FB70+lng_st_ab_losses)/1000000+lng_st_e_demand*EZ70/1000000</f>
        <v>1093.9572195819776</v>
      </c>
      <c r="FF70" s="29">
        <f t="shared" si="88"/>
        <v>0.8126185861001558</v>
      </c>
      <c r="FG70" s="28">
        <f>IFERROR(FD70*1000000/Storage!$U$12,"")</f>
        <v>1556.991425488601</v>
      </c>
      <c r="FH70" s="28">
        <f>IF($E70="","No Port",((F70/24/Shipping!$V$44+F70/24/Shipping!$V$50+Shipping!$V$59+Shipping!$V$64)*Carriers!$AB$39*wacc_nl))</f>
        <v>9.1861491188636322</v>
      </c>
      <c r="FI70" s="100">
        <f>H2_retrieval!$T$25*h2_demand_kt/1000+(co2_liq_e_demand+co2_st_e_demand*2)*Storage!$U$12*co2_density/lng_density/1000000</f>
        <v>236.51371749646054</v>
      </c>
      <c r="FJ70" s="28">
        <f>IFERROR((((EX70+EZ70+FC70)*(1+H2_retrieval!$T$34)+FH70)*1000000/H2_retrieval!$T$8)+h2_regen_lng,"")</f>
        <v>5268.8367493194391</v>
      </c>
      <c r="FK70" s="149">
        <f>(lh2_invest*(M70+1/lh2_lifetime)/lh2_prod+lh2_opex+lh2_e_demand*1000*$AU70/100+Carriers!$AD$18/Carriers!$AD$23*BD70)*(FM70+lh2_st_ab_losses)/1000000</f>
        <v>38810.412452722208</v>
      </c>
      <c r="FL70" s="28">
        <f>lh2_st_nl_cost*lh2_st_nl_demand/1000000+(lh2_st_invest*(M70+1/lh2_st_lifetime+lh2_st_opex)/(Storage!$Y$63/1000000)+lh2_st_e_demand*1000*$AU70/100)*(FM70+lh2_st_ab_losses)/1000000+((FM70+lh2_st_ab_losses)/365.25*short_st_duration_hrs/24)*(h2_short_st_invest*(1/gh2_short_st_lifetime+$M70+h2_short_st_opex)+h2_short_st_e_demand*1000*$AU70/100)/1000000</f>
        <v>44513.22091292945</v>
      </c>
      <c r="FM70" s="63">
        <f>Storage!$Y$57/((1-Shipping!$Z$37)^($F70/24/Shipping!$Z$44+0.5*Shipping!$Z$59))</f>
        <v>13704227.705677265</v>
      </c>
      <c r="FN70" s="28">
        <f>IF($E70="","No Port",IF(G70="Panama","Ship cannot pass through Panama",((F70/24/Shipping!$Z$44+F70/24/Shipping!$Z$50+Shipping!$Z$59+Shipping!$Z$64)*(Shipping!$Z$22+wacc_nl*Shipping!$Z$19/365.25*1000000+Shipping!$Z$35)+(F70/24/Shipping!$Z$44*Shipping!$Z$45+Shipping!$Z$64*Shipping!$Z$65)*IF(bunker_choice="HFO",$H70,IF(bunker_choice="hydrogen",$BD70*hfo_e_density_lhv/h2_e_density_lhv,(FK70+FL70)*1000000/FM70*hfo_e_density_lhv/lh2_e_density_lhv))+(F70/24/Shipping!$Z$50*Shipping!$Z$51+Shipping!$Z$59*Shipping!$Z$60)*IF(bunker_choice="HFO",bunker_price_ROT,IF(bunker_choice="hydrogen",$BD70*hfo_e_density_lhv/h2_e_density_lhv,(FK70+FL70)*1000000/FM70*hfo_e_density_lhv/lh2_e_density_lhv))+Shipping!$Z$73+IF(G70="Panama",Shipping!$Z$55,0)+IF(G70="Suez",Shipping!$Z$56,0))/Shipping!$Z$31*(FM70+lh2_st_ab_losses)/1000000)+IF(inland_transport_to_port="hv dc grid",$BM70/100*1000*FP70,IF(inland_transport_to_port="pipeline",$BN70,0)))</f>
        <v>1133.0467203577141</v>
      </c>
      <c r="FO70" s="28">
        <f t="shared" si="42"/>
        <v>84456.680086009364</v>
      </c>
      <c r="FP70" s="29">
        <f>((Carriers!$AD$18/Carriers!$AD$23*alk_el_e_demand)+lh2_e_demand)*(FM70+lh2_st_ab_losses)/1000000+lh2_st_e_demand*FM70/1000000</f>
        <v>794.16271047754708</v>
      </c>
      <c r="FQ70" s="100">
        <f t="shared" si="89"/>
        <v>1.361902463475859</v>
      </c>
      <c r="FR70" s="28">
        <f>IFERROR(FO70*1000000/Storage!$Y$12,"")</f>
        <v>6210.050006324218</v>
      </c>
      <c r="FS70" s="100">
        <f>H2_retrieval!$V$25*h2_demand_kt/1000</f>
        <v>8.16</v>
      </c>
      <c r="FT70" s="28">
        <f>IFERROR(FR70*(1+H2_retrieval!$V$34)/Carrier_properties!$U$7+H2_retrieval!$V$38,"")</f>
        <v>6242.0187321926851</v>
      </c>
      <c r="FU70" s="12"/>
      <c r="FV70" s="24">
        <f t="shared" si="90"/>
        <v>2.7200400839930605</v>
      </c>
      <c r="FW70" s="24">
        <f t="shared" si="92"/>
        <v>3.0760481055808842</v>
      </c>
      <c r="FX70" s="24">
        <f t="shared" si="93"/>
        <v>4.6048845267434766</v>
      </c>
      <c r="FY70" s="24">
        <f t="shared" si="45"/>
        <v>2.7200400839930605</v>
      </c>
      <c r="FZ70" s="28">
        <f t="shared" si="94"/>
        <v>2079.921601379152</v>
      </c>
      <c r="GA70" s="28">
        <f t="shared" si="47"/>
        <v>481.52138994858848</v>
      </c>
      <c r="GB70" s="28">
        <f t="shared" si="48"/>
        <v>343.94458368478672</v>
      </c>
      <c r="GC70" s="28">
        <f t="shared" si="49"/>
        <v>541.64139293466167</v>
      </c>
      <c r="GD70" s="28">
        <f t="shared" si="50"/>
        <v>792.03993876194113</v>
      </c>
      <c r="GE70" s="28">
        <f t="shared" si="51"/>
        <v>1388.4754592061972</v>
      </c>
      <c r="GF70" s="28">
        <f t="shared" si="52"/>
        <v>1438.4461087477991</v>
      </c>
      <c r="GG70" s="12"/>
      <c r="GH70" s="12"/>
      <c r="GI70" s="12"/>
      <c r="GJ70" s="12"/>
      <c r="GK70" s="12"/>
      <c r="GL70" s="12"/>
      <c r="GM70" s="12"/>
      <c r="GN70" s="12"/>
      <c r="GO70" s="12"/>
      <c r="GP70" s="12"/>
      <c r="GQ70" s="12"/>
      <c r="GR70" s="12"/>
      <c r="GS70" s="12"/>
      <c r="GT70" s="12"/>
      <c r="GU70" s="12"/>
      <c r="GV70" s="12"/>
      <c r="GW70" s="12"/>
      <c r="GX70" s="12"/>
      <c r="GY70" s="12"/>
      <c r="GZ70" s="12"/>
      <c r="HA70" s="12"/>
      <c r="HB70" s="12"/>
      <c r="HC70" s="12"/>
      <c r="HD70" s="12"/>
      <c r="HE70" s="12"/>
      <c r="HF70" s="12"/>
    </row>
    <row r="71" spans="1:214" x14ac:dyDescent="0.2">
      <c r="A71" s="40" t="s">
        <v>75</v>
      </c>
      <c r="B71" s="12">
        <v>3354</v>
      </c>
      <c r="C71" s="12">
        <v>1</v>
      </c>
      <c r="D71" s="12">
        <f t="shared" si="61"/>
        <v>0</v>
      </c>
      <c r="E71" s="12" t="s">
        <v>739</v>
      </c>
      <c r="F71" s="12">
        <v>3361</v>
      </c>
      <c r="G71" s="12"/>
      <c r="H71" s="16">
        <f t="shared" si="62"/>
        <v>382.75862068965517</v>
      </c>
      <c r="I71" s="16">
        <v>21640</v>
      </c>
      <c r="J71" s="16">
        <f t="shared" si="31"/>
        <v>82.995336838988919</v>
      </c>
      <c r="K71" s="27">
        <f t="shared" si="32"/>
        <v>99.594404206786706</v>
      </c>
      <c r="L71" s="103">
        <v>0.08</v>
      </c>
      <c r="M71" s="103">
        <f t="shared" si="63"/>
        <v>9.8002902367341937E-2</v>
      </c>
      <c r="N71" s="122">
        <f t="shared" si="33"/>
        <v>0.8</v>
      </c>
      <c r="O71" s="46">
        <f t="shared" si="64"/>
        <v>40</v>
      </c>
      <c r="P71" s="70">
        <f t="array" ref="P71">SUMPRODUCT(IF(Solar_data!A$4:A$777=A71,Solar_data!C$4:C$777),IF(Solar_data!A$4:A$777=A71,Solar_data!I$4:I$777))/SUMIF(Solar_data!A$4:A$777,A71,Solar_data!I$4:I$777)</f>
        <v>2194.6244255650699</v>
      </c>
      <c r="Q71" s="16">
        <f t="array" ref="Q71">MAX(IF(Solar_data!$A$777:'Solar_data'!$A$4=Country_details!$A71,Solar_data!$C$4:'Solar_data'!$C$777))</f>
        <v>2463.75</v>
      </c>
      <c r="R71" s="16">
        <f t="array" ref="R71">MIN(IF(Solar_data!$A$777:'Solar_data'!$A$4=Country_details!A71,Solar_data!$C$4:'Solar_data'!$C$777))</f>
        <v>1916.25</v>
      </c>
      <c r="S71" s="24">
        <f t="shared" si="65"/>
        <v>1.9336289154364663</v>
      </c>
      <c r="T71" s="24">
        <f t="shared" si="66"/>
        <v>1.7224106535954395</v>
      </c>
      <c r="U71" s="24">
        <f t="shared" si="67"/>
        <v>2.2145279831941367</v>
      </c>
      <c r="V71" s="16">
        <f t="array" ref="V71">SUM(IF(Solar_data!$A$777:'Solar_data'!$A$4=Country_details!$A71,Solar_data!$I$4:'Solar_data'!$I$777))</f>
        <v>178.93175509288656</v>
      </c>
      <c r="W71" s="148"/>
      <c r="X71" s="16" t="str">
        <f>IFERROR(INDEX(Onshore_wind_data!$J$5:'Onshore_wind_data'!$J$221,MATCH(A71,Onshore_wind_data!$B$5:'Onshore_wind_data'!$B$221,0)),"")</f>
        <v/>
      </c>
      <c r="Y71" s="16" t="str">
        <f>IFERROR(INDEX(Onshore_wind_data!$K$5:'Onshore_wind_data'!$K$221,MATCH(A71,Onshore_wind_data!$B$5:'Onshore_wind_data'!$B$221,0)),"")</f>
        <v/>
      </c>
      <c r="Z71" s="16" t="str">
        <f>IFERROR(INDEX(Onshore_wind_data!$L$5:'Onshore_wind_data'!$L$221,MATCH(A71,Onshore_wind_data!$B$5:'Onshore_wind_data'!$B$221,0)),"")</f>
        <v/>
      </c>
      <c r="AA71" s="24" t="str">
        <f t="shared" si="68"/>
        <v/>
      </c>
      <c r="AB71" s="24" t="str">
        <f t="shared" si="69"/>
        <v/>
      </c>
      <c r="AC71" s="24" t="str">
        <f t="shared" si="70"/>
        <v/>
      </c>
      <c r="AD71" s="16">
        <f>IFERROR(INDEX(Onshore_wind_data!$I$5:'Onshore_wind_data'!$I$221,MATCH(A71,Onshore_wind_data!$B$5:'Onshore_wind_data'!$B$221,0)),"")</f>
        <v>0</v>
      </c>
      <c r="AE71" s="148"/>
      <c r="AF71" s="16" t="str">
        <f>INDEX(Offshore_wind_data!$AA$7:$AA$192,MATCH(Country_details!A71,Offshore_wind_data!$A$7:$A$192,0))</f>
        <v/>
      </c>
      <c r="AG71" s="16" t="str">
        <f>INDEX(Offshore_wind_data!$Y$7:$Y$192,MATCH(Country_details!A71,Offshore_wind_data!$A$7:$A$192,0))</f>
        <v/>
      </c>
      <c r="AH71" s="16" t="str">
        <f>INDEX(Offshore_wind_data!$Z$7:$Z$192,MATCH(Country_details!A71,Offshore_wind_data!$A$7:$A$192,0))</f>
        <v/>
      </c>
      <c r="AI71" s="24" t="str">
        <f t="shared" si="71"/>
        <v/>
      </c>
      <c r="AJ71" s="24" t="str">
        <f t="shared" si="72"/>
        <v/>
      </c>
      <c r="AK71" s="24" t="str">
        <f t="shared" si="73"/>
        <v/>
      </c>
      <c r="AL71" s="16">
        <f>INDEX(Offshore_wind_data!$W$7:$W$191,MATCH(A71,Offshore_wind_data!$A$7:$A$191,0))</f>
        <v>0</v>
      </c>
      <c r="AM71" s="148"/>
      <c r="AN71" s="12">
        <v>8.3000000000000007</v>
      </c>
      <c r="AO71" s="12">
        <v>12.6</v>
      </c>
      <c r="AP71" s="34">
        <f>2.97*11.63</f>
        <v>34.541100000000007</v>
      </c>
      <c r="AQ71" s="15">
        <f t="shared" si="74"/>
        <v>50</v>
      </c>
      <c r="AR71" s="12">
        <f t="shared" si="34"/>
        <v>630</v>
      </c>
      <c r="AS71" s="16">
        <f t="shared" si="35"/>
        <v>-451.06824490711347</v>
      </c>
      <c r="AT71" s="12"/>
      <c r="AU71" s="24">
        <f t="shared" si="75"/>
        <v>1.9336289154364663</v>
      </c>
      <c r="AV71" s="16">
        <f t="shared" si="76"/>
        <v>2194.6244255650699</v>
      </c>
      <c r="AW71" s="149">
        <f>HV_DC_Grid!$E$3/(1-AX71)*AU71/100*1000</f>
        <v>2094.6107696287713</v>
      </c>
      <c r="AX71" s="31">
        <f>(1-(1-HV_DC_Grid!$E$25)^(B71*C71*HV_DC_Grid!$E$8/1000))+(1-(1-HV_DC_Grid!$E$26)^(B71*D71*HV_DC_Grid!$E$8/1000))+HV_DC_Grid!$E$35*HV_DC_Grid!$E$28</f>
        <v>7.6855259471828238E-2</v>
      </c>
      <c r="AY71" s="28">
        <f>B71*nl_e_demand/IF(hv_dc_flh="electricity FLH",$AV71,hv_dc_custom)*1000*hv_dc_capacity_multiplier*hv_dc_length_multiplier*1000*(C71*hv_dc_overhead_invest*(hv_dc_overhead_opex+M71+1/hv_dc_lifetime)+D71*hv_dc_sea_invest*(hv_dc_sea_opex+M71+1/hv_dc_lifetime))/1000000+HV_DC_Grid!$E$10*1000*hv_dc_station_invest*hv_dc_station_number*(hv_dc_station_opex+M71+1/hv_dc_lifetime)/1000000</f>
        <v>2706.4920206213255</v>
      </c>
      <c r="AZ71" s="24">
        <f>(AW71+AY71)/(HV_DC_Grid!$E$3*1000)*100</f>
        <v>4.8011027902500976</v>
      </c>
      <c r="BA71" s="28">
        <f>MIN(((Carriers!$F$26+Carriers!$F$27)*(alk_el_opex+wacc_nl+1/alk_el_lifetime)+IF(hv_dc_flh="electricity FLH",$AV71,hv_dc_custom)*AZ71/100)/(IF(hv_dc_flh="electricity FLH",$AV71,hv_dc_custom)/alk_el_e_demand)*1000,((Carriers!$H$26+Carriers!$H$27)*(pem_el_opex+wacc_nl+1/pem_el_lifetime)+IF(hv_dc_flh="electricity FLH",$AV71,hv_dc_custom)*AZ71/100)/(IF(hv_dc_flh="electricity FLH",$AV71,hv_dc_custom)/pem_el_e_demand)*1000)</f>
        <v>2790.372913218619</v>
      </c>
      <c r="BB71" s="12"/>
      <c r="BC71" s="12"/>
      <c r="BD71" s="149">
        <f>MIN(((Carriers!$F$26+Carriers!$F$27)*(alk_el_opex+M71+1/alk_el_lifetime)+$AV71*$AU71/100)/($AV71/alk_el_e_demand)*1000,((Carriers!$H$26+Carriers!$H$27)*(pem_el_opex+M71+1/pem_el_lifetime)+$AV71*$AU71/100)/($AV71/pem_el_e_demand)*1000)</f>
        <v>2315.0551808265809</v>
      </c>
      <c r="BE71" s="28">
        <f>Storage!$AC$50</f>
        <v>8.1664117557772418</v>
      </c>
      <c r="BF71" s="28">
        <f>((Pipeline!$D$22*Pipeline!$D$24*B71*(pipeline_opex+M71+1/pipeline_lifetime))*(Pipeline!$D$39/Pipeline!$D$3)+(Pipeline!$D$57*(pipeline_comp_opex+M71+1/pipeline_comp_lifetime)+Pipeline!$D$47*1000*Pipeline!$D$45*$AU71/100/1000000))*(Pipeline!$D$75/Pipeline!$D$45)</f>
        <v>6495.1330375801081</v>
      </c>
      <c r="BG71" s="28">
        <f>BD71+(BE71+BF71)/Storage!$AC$12*1000000</f>
        <v>2793.2389638659843</v>
      </c>
      <c r="BH71" s="28"/>
      <c r="BI71" s="28"/>
      <c r="BJ71" s="28">
        <f>IF($E71="","No Port",BK71*HV_DC_Grid!$E$3*$AU71/100*1000)</f>
        <v>30.79462343832083</v>
      </c>
      <c r="BK71" s="31">
        <f>IFERROR((1-(1-HV_DC_Grid!$E$25)^(K71*HV_DC_Grid!$E$8/1000))+HV_DC_Grid!$E$35*HV_DC_Grid!$E$28,"")</f>
        <v>1.5925818647250498E-2</v>
      </c>
      <c r="BL71" s="28">
        <f>IFERROR(K71*nl_e_demand/IF(hv_dc_flh="electricity FLH",$AV71,hv_dc_custom)*1000*hv_dc_capacity_multiplier*hv_dc_length_multiplier*1000*(hv_dc_overhead_invest*(hv_dc_overhead_opex+M71+1/hv_dc_lifetime))/1000000+HV_DC_Grid!$E$10*1000*hv_dc_station_invest*hv_dc_station_number*(hv_dc_station_opex+M71+1/hv_dc_lifetime)/1000000,"")</f>
        <v>421.06836289436063</v>
      </c>
      <c r="BM71" s="29">
        <f>IFERROR((BJ71+BL71)/(HV_DC_Grid!$E$3*1000)*100,"")</f>
        <v>0.45186298633268152</v>
      </c>
      <c r="BN71" s="28">
        <f>IFERROR(((Pipeline!$D$22*Pipeline!$D$24*K71*(pipeline_opex+M71+1/pipeline_lifetime))*(Pipeline!$D$39/Pipeline!$D$3)+(Pipeline!$D$57*(pipeline_comp_opex+M71+1/pipeline_comp_lifetime)+Pipeline!$D$47*1000*Pipeline!$D$45*S71/100/1000000))*(Pipeline!$D$75/Pipeline!$D$45),"")</f>
        <v>256.14404590577891</v>
      </c>
      <c r="BO71" s="28"/>
      <c r="BP71" s="150">
        <f t="shared" si="77"/>
        <v>96.136410218571527</v>
      </c>
      <c r="BQ71" s="34">
        <f t="shared" si="78"/>
        <v>28.856511613300896</v>
      </c>
      <c r="BR71" s="151">
        <f>(nh3_invest*(M71+1/nh3_lifetime)/nh3_prod+nh3_opex+nh3_e_demand*1000*$AU71/100+Carriers!$N$18/Carriers!$N$23*BD71+Carriers!$N$19/Carriers!$N$23*BQ71)*(BT71+nh3_st_ab_losses)/1000000</f>
        <v>41907.856041033534</v>
      </c>
      <c r="BS71" s="63">
        <f>nh3_st_nl_cost*nh3_st_nl_demand/1000000+(nh3_st_invest*(M71+1/nh3_st_lifetime+nh3_st_opex)/(Storage!$G$63/1000000)+nh3_st_e_demand*1000*$AU71/100)*(BT71+nh3_st_ab_losses)/1000000+Carriers!$N$18/Carriers!$N$23*((BT71+nh3_st_ab_losses)/365.25*short_st_duration_hrs/24)*(h2_short_st_invest*(1/gh2_short_st_lifetime+$M71+h2_short_st_opex)+h2_short_st_e_demand*1000*$AU71/100)/1000000+Carriers!$N$19/Carriers!$N$23*((BT71+nh3_st_ab_losses)/365.25*short_st_duration_hrs/24)*(n2_short_st_invest*(1/n2_short_st_lifetime+$M71+n2_short_st_opex)+n2_short_st_e_demand*1000*$AU71/100)/1000000</f>
        <v>3094.8445344507777</v>
      </c>
      <c r="BT71" s="63">
        <f>Storage!$G$57/((1-Shipping!$H$37)^(F71/24/Shipping!$H$44+0.5*Shipping!$H$59))</f>
        <v>78507092.89420341</v>
      </c>
      <c r="BU71" s="63">
        <f>IF($E71="","No Port",((F71/24/Shipping!$H$44+F71/24/Shipping!$H$50+Shipping!$H$59+Shipping!$H$64)*(Shipping!$H$22+wacc_nl*Shipping!$H$19/365.25*1000000+Shipping!$H$35)+(F71/24/Shipping!$H$44*Shipping!$H$45+Shipping!$H$64*Shipping!$H$65)*IF(bunker_choice="HFO",H71,IF(bunker_choice="hydrogen",BD71*hfo_e_density_lhv/h2_e_density_lhv,(BR71+BS71)*1000000/BT71*hfo_e_density_lhv/nh3_e_density_lhv))+(F71/24/Shipping!$H$50*Shipping!$H$51+Shipping!$H$59*Shipping!$H$60)*IF(bunker_choice="HFO",bunker_price_ROT,IF(bunker_choice="hydrogen",BD71*hfo_e_density_lhv/h2_e_density_lhv,(BR71+BS71)*1000000/BT71*hfo_e_density_lhv/nh3_e_density_lhv))+Shipping!$H$73+IF(G71="Panama",Shipping!$H$55,0)+IF(G71="Suez",Shipping!$H$56,0))/Shipping!$H$31*BT71/1000000+IF(inland_transport_to_port="hv dc grid",$BM71/100*1000*BW71,IF(inland_transport_to_port="pipeline",$BN71,0)))</f>
        <v>2444.09803256124</v>
      </c>
      <c r="BV71" s="63">
        <f t="shared" si="91"/>
        <v>47446.798608045552</v>
      </c>
      <c r="BW71" s="33">
        <f>((Carriers!$N$18/Carriers!$N$23*alk_el_e_demand)+(Carriers!$N$19/Carriers!$N$23*n2_e_demand)+nh3_e_demand)*(BT71+nh3_st_ab_losses)/1000000+nh3_st_e_demand*BT71/1000000</f>
        <v>775.28158790965858</v>
      </c>
      <c r="BX71" s="33">
        <f t="shared" si="79"/>
        <v>0.76626754477640768</v>
      </c>
      <c r="BY71" s="63">
        <f>IFERROR(BV71*1000000/Storage!$G$12,"")</f>
        <v>619.70954064300986</v>
      </c>
      <c r="BZ71" s="63">
        <f>H2_retrieval!$F$25*h2_demand_kt/1000</f>
        <v>80</v>
      </c>
      <c r="CA71" s="63">
        <f>IFERROR(BY71*(1+H2_retrieval!$F$34)/Carrier_properties!$E$7+H2_retrieval!$F$38,"")</f>
        <v>3897.9611714117914</v>
      </c>
      <c r="CB71" s="149">
        <f>(FA_invest*(M71+1/FA_lifetime)/FA_prod+FA_opex+FA_e_demand*1000*$AU71/100+Carriers!$P$18/Carriers!$P$23*BD71+Carriers!$P$20/Carriers!$P$23*co2_liq_cost)*(CF71+FA_st_ab_losses)/1000000</f>
        <v>83938.48772252418</v>
      </c>
      <c r="CC71" s="86">
        <f>(FA_invest*(M71+1/FA_lifetime)/FA_prod+FA_opex+FA_e_demand*1000*$AU71/100+Carriers!$P$18/Carriers!$P$23*BD71+Carriers!$P$20/Carriers!$P$23*BP71)*(CF71+FA_st_ab_losses)/1000000</f>
        <v>106842.07817127247</v>
      </c>
      <c r="CD71" s="63">
        <f>FA_st_nl_cost*FA_st_nl_demand/1000000+(FA_st_invest*(M71+1/FA_st_lifetime+FA_st_opex)/(Storage!$I$63/1000000)+FA_st_e_demand*1000*$AU71/100)*(CF71+FA_st_ab_losses)/1000000+co2_st_nl_cost*Storage!$I$12*co2_density/FA_density/1000000+(co2_st_opex_lev+co2_st_invest_lev+co2_st_e_demand*1000*$AU71/100)*Storage!$I$12/1000000+co2_st_invest_lev*Storage!$I$12*co2_st_lifetime*M71/1000000+Carriers!$P$18/Carriers!$P$23*((CF71+FA_st_ab_losses)/365.25*short_st_duration_hrs/24)*(h2_short_st_invest*(1/gh2_short_st_lifetime+$M71+h2_short_st_opex)+h2_short_st_e_demand*1000*$AU71/100)/1000000+Carriers!$P$20/Carriers!$P$23*((CF71+FA_st_ab_losses)/365.25*short_st_duration_hrs/24)*(co2_short_st_invest*(1/co2_short_st_lifetime+$M71+co2_short_st_opex)+co2_short_st_e_demand*1000*$AU71/100)/1000000</f>
        <v>10673.848599439139</v>
      </c>
      <c r="CE71" s="63">
        <f>FA_st_nl_cost*FA_st_nl_demand/1000000+(FA_st_invest*(M71+1/FA_st_lifetime+FA_st_opex)/(Storage!$I$63/1000000)+FA_st_e_demand*1000*$AU71/100)*(CF71+FA_st_ab_losses)/1000000+Carriers!$P$18/Carriers!$P$23*((CF71+FA_st_ab_losses)/365.25*short_st_duration_hrs/24)*(h2_short_st_invest*(1/gh2_short_st_lifetime+$M71+h2_short_st_opex)+h2_short_st_e_demand*1000*$AU71/100)/1000000+Carriers!$P$20/Carriers!$P$23*((CF71+FA_st_ab_losses)/365.25*short_st_duration_hrs/24)*(co2_short_st_invest*(1/co2_short_st_lifetime+$M71+co2_short_st_opex)+co2_short_st_e_demand*1000*$AU71/100)/1000000</f>
        <v>4613.1552907050518</v>
      </c>
      <c r="CF71" s="63">
        <f>Storage!$I$57/((1-Shipping!$J$37)^($F71/24/Shipping!$J$44+0.5*Shipping!$J$59))</f>
        <v>310425396.82539684</v>
      </c>
      <c r="CG71" s="28">
        <f>IF($E71="","No Port",((F71/24/Shipping!$J$44+F71/24/Shipping!$J$50+Shipping!$J$59+Shipping!$J$64)*(Shipping!$J$22+wacc_nl*Shipping!$J$19/365.25*1000000+Shipping!$J$35)+(F71/24/Shipping!$J$44*Shipping!$J$45+Shipping!$J$64*Shipping!$J$65)*IF(bunker_choice="HFO",$H71,IF(bunker_choice="hydrogen",$BD71*hfo_e_density_lhv/h2_e_density_lhv,(CB71+CD71)*1000000/CF71*hfo_e_density_lhv/FA_e_density_lhv))+(F71/24/Shipping!$J$50*Shipping!$J$51+Shipping!$J$59*Shipping!$J$60)*IF(bunker_choice="HFO",bunker_price_ROT,IF(bunker_choice="hydrogen",$BD71*hfo_e_density_lhv/h2_e_density_lhv,(CB71+CD71)*1000000/CF71*hfo_e_density_lhv/FA_e_density_lhv))+Shipping!$J$73+IF(G71="Panama",Shipping!$J$55,0)+IF(G71="Suez",Shipping!$J$56,0))/Shipping!$J$31*CF71/1000000+IF(inland_transport_to_port="hv dc grid",$BM71/100*1000*CI71,IF(inland_transport_to_port="pipeline",$BN71,0)))</f>
        <v>9488.987423461811</v>
      </c>
      <c r="CH71" s="28">
        <f t="shared" si="36"/>
        <v>120944.22088543934</v>
      </c>
      <c r="CI71" s="29">
        <f>((Carriers!$P$18/Carriers!$P$23*alk_el_e_demand)+FA_e_demand)*(CF71+FA_st_ab_losses)/1000000+FA_st_e_demand*CF71/1000000</f>
        <v>1897.8881241622576</v>
      </c>
      <c r="CJ71" s="29">
        <f t="shared" si="80"/>
        <v>0.46563809523809524</v>
      </c>
      <c r="CK71" s="28">
        <f>IFERROR(CH71*1000000/Storage!$I$12,"")</f>
        <v>389.60800927466039</v>
      </c>
      <c r="CL71" s="28">
        <f>IF($E71="","No Port",((F71/24/Shipping!$J$44+F71/24/Shipping!$J$50+Shipping!$J$59+Shipping!$J$64)*Carriers!$P$39*wacc_nl))</f>
        <v>184.04654342360166</v>
      </c>
      <c r="CM71" s="29">
        <f>H2_retrieval!$H$25*h2_demand_kt/1000+(co2_liq_e_demand+co2_st_e_demand*2)*Storage!$I$12*co2_density/FA_density/1000000</f>
        <v>94.204253879484654</v>
      </c>
      <c r="CN71" s="28">
        <f>IFERROR((((CB71+CD71+CG71)*(1+H2_retrieval!$H$34)+CL71)*1000000/H2_retrieval!$H$8)+h2_regen_fa,"")</f>
        <v>7757.7293007705384</v>
      </c>
      <c r="CO71" s="149">
        <f>(meoh_invest*(M71+1/meoh_lifetime)/meoh_prod+meoh_opex+meoh_e_demand*1000*$AU71/100+Carriers!$R$18/Carriers!$R$23*BD71+Carriers!$R$20/Carriers!$R$23*co2_liq_cost)*(CS71+meoh_st_ab_losses)/1000000</f>
        <v>50950.252231426741</v>
      </c>
      <c r="CP71" s="86">
        <f>(meoh_invest*(M71+1/meoh_lifetime)/meoh_prod+meoh_opex+meoh_e_demand*1000*$AU71/100+Carriers!$R$18/Carriers!$R$23*BD71+Carriers!$R$20/Carriers!$R$23*BP71)*(CS71+meoh_st_ab_losses)/1000000</f>
        <v>64395.366900740017</v>
      </c>
      <c r="CQ71" s="63">
        <f>meoh_st_nl_cost*meoh_st_nl_demand/1000000+(meoh_st_invest*(M71+1/meoh_st_lifetime+meoh_st_opex)/(Storage!$K$63/1000000)+meoh_st_e_demand*1000*$AU71/100)*(CS71+meoh_st_ab_losses)/1000000+co2_st_nl_cost*Storage!$K$12*co2_density/meoh_density/1000000+(co2_st_opex_lev+co2_st_invest_lev+co2_st_e_demand*1000*IFERROR(MIN(S71,AA71,AI71),S71)/100)*Storage!$K$12/1000000+co2_st_invest_lev*Storage!$K$12*co2_st_lifetime*M71/1000000+Carriers!$R$18/Carriers!$R$23*((CS71+meoh_st_ab_losses)/365.25*short_st_duration_hrs/24)*(h2_short_st_invest*(1/gh2_short_st_lifetime+$M71+h2_short_st_opex)+h2_short_st_e_demand*1000*$AU71/100)/1000000+Carriers!$R$20/Carriers!$R$23*((CF71+meoh_st_ab_losses)/365.25*short_st_duration_hrs/24)*(co2_short_st_invest*(1/co2_short_st_lifetime+$M71+co2_short_st_opex)+co2_short_st_e_demand*1000*$AU71/100)/1000000</f>
        <v>4495.5716102465112</v>
      </c>
      <c r="CR71" s="63">
        <f>meoh_st_nl_cost*meoh_st_nl_demand/1000000+(meoh_st_invest*(M71+1/meoh_st_lifetime+meoh_st_opex)/(Storage!$K$63/1000000)+meoh_st_e_demand*1000*$AU71/100)*(CS71+meoh_st_ab_losses)/1000000+Carriers!$R$18/Carriers!$R$23*((CS71+meoh_st_ab_losses)/365.25*short_st_duration_hrs/24)*(h2_short_st_invest*(1/gh2_short_st_lifetime+$M71+h2_short_st_opex)+h2_short_st_e_demand*1000*$AU71/100)/1000000+Carriers!$R$20/Carriers!$R$23*((CF71+meoh_st_ab_losses)/365.25*short_st_duration_hrs/24)*(co2_short_st_invest*(1/co2_short_st_lifetime+$M71+co2_short_st_opex)+co2_short_st_e_demand*1000*$AU71/100)/1000000</f>
        <v>1787.1325859760468</v>
      </c>
      <c r="CS71" s="63">
        <f>Storage!$K$57/((1-Shipping!$L$37)^($F71/24/Shipping!$L$44+0.5*Shipping!$L$59))</f>
        <v>108044444.44444443</v>
      </c>
      <c r="CT71" s="28">
        <f>IF($E71="","No Port",IF(AND(ship_choice="VLCC",G71="Panama"),"Ship cannot pass through Panama",IF(ship_choice="VLCC",((F71/24/Shipping!$AD$44+F71/24/Shipping!$AD$50+Shipping!$AD$59+Shipping!$AD$64)*(Shipping!$AD$22+wacc_nl*Shipping!$AD$19/365.25*1000000+Shipping!$AD$35)+(F71/24/Shipping!$AD$44*Shipping!$AD$45+Shipping!$AD$64*Shipping!$AD$65)*IF(bunker_choice="HFO",$H71,IF(bunker_choice="hydrogen",$BD71*hfo_e_density_lhv/h2_e_density_lhv,(CO71+CQ71)*1000000/CS71*hfo_e_density_lhv/meoh_e_density_lhv))+(F71/24/Shipping!$AD$50*Shipping!$AD$51+Shipping!$AD$59*Shipping!$AD$60)*IF(bunker_choice="HFO",bunker_price_ROT,IF(bunker_choice="hydrogen",$BD71*hfo_e_density_lhv/h2_e_density_lhv,(CO71+CQ71)*1000000/CS71*hfo_e_density_lhv/meoh_e_density_lhv))+Shipping!$AD$73+IF(G71="Panama",Shipping!$AD$55,0)+IF(G71="Suez",Shipping!$AD$56,0))/Shipping!$AD$31*CS71/1000000+IF(inland_transport_to_port="hv dc grid",$BM71/100*1000*CV71,IF(inland_transport_to_port="pipeline",$BN71,0)),((F71/24/Shipping!$L$44+F71/24/Shipping!$L$50+Shipping!$L$59+Shipping!$L$64)*(Shipping!$L$22+wacc_nl*Shipping!$L$19/365.25*1000000+Shipping!$L$35)+(F71/24/Shipping!$L$44*Shipping!$L$45+Shipping!$L$64*Shipping!$L$65)*IF(bunker_choice="HFO",$H71,IF(bunker_choice="hydrogen",$BD71*hfo_e_density_lhv/h2_e_density_lhv,(CO71+CQ71)*1000000/CS71*hfo_e_density_lhv/meoh_e_density_lhv))+(F71/24/Shipping!$L$50*Shipping!$L$51+Shipping!$L$59*Shipping!$L$60)*IF(bunker_choice="HFO",bunker_price_ROT,IF(bunker_choice="hydrogen",$BD71*hfo_e_density_lhv/h2_e_density_lhv,(CO71+CQ71)*1000000/CS71*hfo_e_density_lhv/meoh_e_density_lhv))+Shipping!$L$73+IF(G71="Panama",Shipping!$L$55,0)+IF(G71="Suez",Shipping!$L$56,0))/Shipping!$L$31*CS71/1000000+IF(inland_transport_to_port="hv dc grid",$BM71/100*1000*CV71,IF(inland_transport_to_port="pipeline",$BN71,0)))))</f>
        <v>3271.1222989685252</v>
      </c>
      <c r="CU71" s="28">
        <f t="shared" si="37"/>
        <v>69453.621785684576</v>
      </c>
      <c r="CV71" s="29">
        <f>((Carriers!$R$18/Carriers!$R$23*alk_el_e_demand)+meoh_e_demand)*(CS71+meoh_st_ab_losses)/1000000+meoh_st_e_demand*CS71/1000000</f>
        <v>1119.9789871111109</v>
      </c>
      <c r="CW71" s="29">
        <f t="shared" si="81"/>
        <v>0.16206666666666666</v>
      </c>
      <c r="CX71" s="28">
        <f>IFERROR(CU71*1000000/Storage!$K$12,"")</f>
        <v>642.82455375479356</v>
      </c>
      <c r="CY71" s="28">
        <f>IF($E71="","No Port",((F71/24/Shipping!$L$44+F71/24/Shipping!$L$50+Shipping!$L$59+Shipping!$L$64)*Carriers!$R$39*wacc_nl))</f>
        <v>65.7296405869414</v>
      </c>
      <c r="CZ71" s="29">
        <f>H2_retrieval!$J$25*h2_demand_kt/1000+(co2_liq_e_demand+co2_st_e_demand*2)*Storage!$K$12*co2_density/meoh_density/1000000</f>
        <v>251.05079059698966</v>
      </c>
      <c r="DA71" s="28">
        <f>IFERROR((((CO71+CQ71+CT71)*(1+H2_retrieval!$J$34)+CY71)*1000000/H2_retrieval!$J$8)+h2_regen_meoh,"")</f>
        <v>5492.3841153452868</v>
      </c>
      <c r="DB71" s="149">
        <f>(DBT_invest*(M71+1/DBT_lifetime)/DBT_prod+DBT_opex+DBT_e_demand*1000*$AU71/100+Carriers!$T$18/Carriers!$T$23*BD71)*(DD71+DBT_st_ab_losses)/1000000</f>
        <v>34414.565565086581</v>
      </c>
      <c r="DC71" s="28">
        <f>2*(DBT_st_nl_cost*DBT_st_nl_demand/1000000+(DBT_st_invest*(M71+1/DBT_st_lifetime+DBT_st_opex)/(Storage!$M$63/1000000)+DBT_st_e_demand*1000*$AU71/100)*(DD71+DBT_st_ab_losses)/1000000)+Carriers!$T$18/Carriers!$T$23*((DD71+DBT_st_ab_losses)/365.25*short_st_duration_hrs/24)*(h2_short_st_invest*(1/gh2_short_st_lifetime+$M71+h2_short_st_opex)+h2_short_st_e_demand*1000*$AU71/100)/1000000</f>
        <v>3753.8932625084844</v>
      </c>
      <c r="DD71" s="63">
        <f>Storage!$M$57/((1-Shipping!$N$37)^($F71/24/Shipping!$N$44+0.5*Shipping!$N$59))</f>
        <v>219354838.70967743</v>
      </c>
      <c r="DE71" s="28">
        <f>IF($E71="","No Port",IF(AND(ship_choice="VLCC",G71="Panama"),"Ship cannot pass through Panama",IF(ship_choice="VLCC",((F71/24/Shipping!$AD$44+F71/24/Shipping!$AD$50+Shipping!$AD$59+Shipping!$AD$64)*(Shipping!$AD$22+wacc_nl*Shipping!$AD$19/365.25*1000000+Shipping!$AD$35)+(F71/24/Shipping!$AD$44*Shipping!$AD$45+Shipping!$AD$64*Shipping!$AD$65)*IF(bunker_choice="HFO",$H71,IF(bunker_choice="hydrogen",$BD71*hfo_e_density_lhv/h2_e_density_lhv,(DB71+DC71)*1000000/DD71*hfo_e_density_lhv/DBT_e_density_lhv))+(F71/24/Shipping!$AD$50*Shipping!$AD$51+Shipping!$AD$59*Shipping!$AD$60)*IF(bunker_choice="HFO",bunker_price_ROT,IF(bunker_choice="hydrogen",$BD71*hfo_e_density_lhv/h2_e_density_lhv,(DB71+DC71)*1000000/DD71*hfo_e_density_lhv/DBT_e_density_lhv))+Shipping!$AD$73+IF(G71="Panama",Shipping!$AD$55,0)+IF(G71="Suez",Shipping!$AD$56,0))/Shipping!$AD$31*DD71/1000000+IF(inland_transport_to_port="hv dc grid",$BM71/100*1000*DG71,IF(inland_transport_to_port="pipeline",$BN71,0)),((F71/24/Shipping!$N$44+F71/24/Shipping!$N$50+Shipping!$N$59+Shipping!$N$64)*(Shipping!$N$22+wacc_nl*Shipping!$N$19/365.25*1000000+Shipping!$N$35)+(F71/24/Shipping!$N$44*Shipping!$N$45+Shipping!$N$64*Shipping!$N$65)*IF(bunker_choice="HFO",$H71,IF(bunker_choice="hydrogen",$BD71*hfo_e_density_lhv/h2_e_density_lhv,(DB71+DC71)*1000000/DD71*hfo_e_density_lhv/DBT_e_density_lhv))+(F71/24/Shipping!$N$50*Shipping!$N$51+Shipping!$N$59*Shipping!$N$60)*IF(bunker_choice="HFO",bunker_price_ROT,IF(bunker_choice="hydrogen",$BD71*hfo_e_density_lhv/h2_e_density_lhv,(DB71+DC71)*1000000/DD71*hfo_e_density_lhv/DBT_e_density_lhv))+Shipping!$N$73+IF(G71="Panama",Shipping!$N$55,0)+IF(G71="Suez",Shipping!$N$56,0))/Shipping!$N$31*Shipping!$N$86/1000000+IF(inland_transport_to_port="hv dc grid",$BM71/100*1000*DG71,IF(inland_transport_to_port="pipeline",$BN71,0)))))</f>
        <v>5900.0158186187236</v>
      </c>
      <c r="DF71" s="28">
        <f t="shared" si="82"/>
        <v>44068.474646213792</v>
      </c>
      <c r="DG71" s="29">
        <f>((Carriers!$T$18/Carriers!$T$23*alk_el_e_demand)+DBT_e_demand)*(DD71+DBT_st_ab_losses)/1000000+DBT_st_e_demand*DD71/1000000</f>
        <v>703.88335483870969</v>
      </c>
      <c r="DH71" s="29">
        <f t="shared" si="83"/>
        <v>0.21935483870967742</v>
      </c>
      <c r="DI71" s="28">
        <f>IFERROR(DF71*1000000/Storage!$M$12,"")</f>
        <v>200.90039912244521</v>
      </c>
      <c r="DJ71" s="28">
        <f>IF($E71="","No Port",((F71/24/Shipping!$N$44+F71/24/Shipping!$N$50+Shipping!$N$59+Shipping!$N$64)*Carriers!$T$39*wacc_nl))</f>
        <v>4787.305686620406</v>
      </c>
      <c r="DK71" s="100">
        <f>H2_retrieval!$L$25*h2_demand_kt/1000+(co2_liq_e_demand+co2_st_e_demand*2)*Storage!$M$12*co2_density/DBT_density/1000000</f>
        <v>206.61934861671787</v>
      </c>
      <c r="DL71" s="28">
        <f>IFERROR(((DF71*(1+H2_retrieval!$L$34)+DJ71)*1000000/H2_retrieval!$L$8)+h2_regen_lohc,"")</f>
        <v>4062.98656981778</v>
      </c>
      <c r="DM71" s="149">
        <f t="shared" si="84"/>
        <v>42053.027501459532</v>
      </c>
      <c r="DN71" s="16">
        <f>2*(nabh4_st_nl_cost*nabh4_st_nl_demand/1000000+(nabh4_st_invest*(M71+1/nabh4_st_lifetime+nabh4_st_opex)/(Storage!$O$63/1000000)+nabh4_st_e_demand*1000*$AU71/100)*(DO71+nabh4_st_ab_losses)/1000000)+(h2_demand_kt*1000/365.25*short_st_duration_hrs/24)*(h2_short_st_invest*(1/gh2_short_st_lifetime+$M71+h2_short_st_opex)+h2_short_st_e_demand*1000*$AU71/100)/1000000</f>
        <v>1250.184562897974</v>
      </c>
      <c r="DO71" s="63">
        <f>Storage!$O$57/((1-Shipping!$P$37)^($F71/24/Shipping!$P$44+0.5*Shipping!$P$59))</f>
        <v>63920000</v>
      </c>
      <c r="DP71" s="16">
        <f>IF($E71="","No Port",((F71/24/Shipping!$P$44+F71/24/Shipping!$P$50+Shipping!$P$59+Shipping!$P$64)*(Shipping!$P$22+wacc_nl*Shipping!$P$19/365.25*1000000+Shipping!$P$35)+(F71/24/Shipping!$P$44*Shipping!$P$45+Shipping!$P$64*Shipping!$P$65)*IF(bunker_choice="HFO",$H71,IF(bunker_choice="hydrogen",$BD71*hfo_e_density_lhv/h2_e_density_lhv,(DM71+DN71)*1000000/DO71*hfo_e_density_lhv/nabh4_e_density_lhv))+(F71/24/Shipping!$P$50*Shipping!$P$51+Shipping!$P$59*Shipping!$P$60)*IF(bunker_choice="HFO",bunker_price_ROT,IF(bunker_choice="hydrogen",$BD71*hfo_e_density_lhv/h2_e_density_lhv,(DM71+DN71)*1000000/DO71*hfo_e_density_lhv/nabh4_e_density_lhv))+Shipping!$P$73+IF(G71="Panama",Shipping!$P$55,0)+IF(G71="Suez",Shipping!$P$56,0))/Shipping!$P$31*(DO71+nabh4_st_ab_losses)/1000000+IF(inland_transport_to_port="hv dc grid",$BM71/100*1000*DR71,IF(inland_transport_to_port="pipeline",$BN71,0)))</f>
        <v>1660.6570711007582</v>
      </c>
      <c r="DQ71" s="28">
        <f t="shared" si="60"/>
        <v>44963.869135458262</v>
      </c>
      <c r="DR71" s="29">
        <f>((Carriers!$V$18/Carriers!$V$23*alk_el_e_demand)+nabh4_e_demand)*(DO71+nabh4_st_ab_losses)/1000000+nabh4_st_e_demand*DO71/1000000</f>
        <v>980.02139682539689</v>
      </c>
      <c r="DS71" s="28">
        <f t="shared" si="85"/>
        <v>3.1960000000000002</v>
      </c>
      <c r="DT71" s="28">
        <f>IFERROR(DQ71*1000000/Storage!$O$12,"")</f>
        <v>703.43975493520429</v>
      </c>
      <c r="DU71" s="28">
        <f>IF($E71="","No Port",((F71/24/Shipping!$P$44+F71/24/Shipping!$P$50+Shipping!$P$59+Shipping!$P$64)*Carriers!$V$39*wacc_nl))</f>
        <v>450.9703761015067</v>
      </c>
      <c r="DV71" s="100">
        <f>H2_retrieval!$N$25*h2_demand_kt/1000+(co2_liq_e_demand+co2_st_e_demand*2)*Storage!$O$12*co2_density/nabh4_density/1000000</f>
        <v>18.783638728971958</v>
      </c>
      <c r="DW71" s="28">
        <f>IFERROR(((DQ71*(1+H2_retrieval!$N$34)+DU71)*1000000/H2_retrieval!$N$8)+h2_regen_nabh4,"")</f>
        <v>3412.3239820880608</v>
      </c>
      <c r="DX71" s="149">
        <f>(Dme_invest*(M71+1/Dme_lifetime)/Dme_prod+Dme_opex+Dme_e_demand*1000*$AU71/100+Carriers!$X$21/Carriers!$X$23*(CO71*1000000/CS71))*(EB71+Dme_st_ab_losses)/1000000</f>
        <v>71738.153323363935</v>
      </c>
      <c r="DY71" s="86">
        <f>(Dme_invest*(M71+1/Dme_lifetime)/Dme_prod+Dme_opex+Dme_e_demand*1000*$AU71/100+Carriers!$X$21/Carriers!$X$23*(CP71*1000000/CS71))*(EB71+Dme_st_ab_losses)/1000000</f>
        <v>89978.656531934466</v>
      </c>
      <c r="DZ71" s="63">
        <f>Dme_st_nl_cost*Dme_st_nl_demand/1000000+(Dme_st_invest*(M71+1/Dme_st_lifetime+Dme_st_opex)/(Storage!$Q$63/1000000)+Dme_st_e_demand*1000*$AU71/100)*(EB71+Dme_st_ab_losses)/1000000+co2_st_nl_cost*Storage!$Q$12*co2_density/Dme_density/1000000+(co2_st_opex_lev+co2_st_invest_lev+co2_st_e_demand*1000*$AU71/100)*Storage!$Q$12/1000000+co2_st_invest_lev*Storage!$Q$12*co2_st_lifetime*M71/1000000+(h2_demand_kt*1000/365.25*short_st_duration_hrs/24)*(h2_short_st_invest*(1/gh2_short_st_lifetime+$M71+h2_short_st_opex)+h2_short_st_e_demand*1000*$AU71/100)/1000000</f>
        <v>5445.6984688083012</v>
      </c>
      <c r="EA71" s="63">
        <f>Dme_st_nl_cost*Dme_st_nl_demand/1000000+(Dme_st_invest*(M71+1/Dme_st_lifetime+Dme_st_opex)/(Storage!$Q$63/1000000)+Dme_st_e_demand*1000*$AU71/100)*(EB71+Dme_st_ab_losses)/1000000+(h2_demand_kt*1000/365.25*short_st_duration_hrs/24)*(h2_short_st_invest*(1/gh2_short_st_lifetime+$M71+h2_short_st_opex)+h2_short_st_e_demand*1000*$AU71/100)/1000000</f>
        <v>2723.0976366884411</v>
      </c>
      <c r="EB71" s="63">
        <f>Storage!$Q$57/((1-Shipping!$R$37)^($F71/24/Shipping!$R$44+0.5*Shipping!$R$59))</f>
        <v>103547089.94708996</v>
      </c>
      <c r="EC71" s="153">
        <f>IF($E71="","No Port",IF(AND(ship_choice="VLCC",G71="Panama"),"Ship cannot pass through Panama",IF(ship_choice="VLCC",((F71/24/Shipping!$AD$44+F71/24/Shipping!$AD$50+Shipping!$AD$59+Shipping!$AD$64)*(Shipping!$AD$22+wacc_nl*Shipping!$AD$19/365.25*1000000+Shipping!$AD$35)+(F71/24/Shipping!$AD$44*Shipping!$AD$45+Shipping!$AD$64*Shipping!$AD$65)*IF(bunker_choice="HFO",$H71,IF(bunker_choice="hydrogen",$BD71*hfo_e_density_lhv/h2_e_density_lhv,(DX71+DZ71)*1000000/EB71*hfo_e_density_lhv/Dme_e_density_lhv))+(F71/24/Shipping!$AD$50*Shipping!$AD$51+Shipping!$AD$59*Shipping!$AD$60)*IF(bunker_choice="HFO",bunker_price_ROT,IF(bunker_choice="hydrogen",$BD71*hfo_e_density_lhv/h2_e_density_lhv,(DX71+DZ71)*1000000/EB71*hfo_e_density_lhv/Dme_e_density_lhv))+Shipping!$AD$73+IF(G71="Panama",Shipping!$AD$55,0)+IF(G71="Suez",Shipping!$AD$56,0))/Shipping!$AD$31*(EB71+Dme_st_ab_losses)/1000000+IF(inland_transport_to_port="hv dc grid",$BM71/100*1000*EE71,IF(inland_transport_to_port="pipeline",$BN71,0)),((F71/24/Shipping!$R$44+F71/24/Shipping!$R$50+Shipping!$R$59+Shipping!$R$64)*(Shipping!$R$22+wacc_nl*Shipping!$R$19/365.25*1000000+Shipping!$R$35)+(F71/24/Shipping!$R$44*Shipping!$R$45+Shipping!$R$64*Shipping!$R$65)*IF(bunker_choice="HFO",$H71,IF(bunker_choice="hydrogen",$BD71*hfo_e_density_lhv/h2_e_density_lhv,(DX71+DZ71)*1000000/EB71*hfo_e_density_lhv/Dme_e_density_lhv))+(F71/24/Shipping!$R$50*Shipping!$R$51+Shipping!$R$59*Shipping!$R$60)*IF(bunker_choice="HFO",bunker_price_ROT,IF(bunker_choice="hydrogen",$BD71*hfo_e_density_lhv/h2_e_density_lhv,(DX71+DZ71)*1000000/EB71*hfo_e_density_lhv/Dme_e_density_lhv))+Shipping!$R$73+IF(G71="Panama",Shipping!$R$55,0)+IF(G71="Suez",Shipping!$R$56,0))/Shipping!$R$31*(EB71+Dme_st_ab_losses)/1000000+IF(inland_transport_to_port="hv dc grid",$BM71/100*1000*EE71,IF(inland_transport_to_port="pipeline",$BN71,0)))))</f>
        <v>3378.8990617314639</v>
      </c>
      <c r="ED71" s="28">
        <f t="shared" si="39"/>
        <v>96080.653230354379</v>
      </c>
      <c r="EE71" s="29">
        <f>(Dme_e_demand)*(EB71+Dme_st_ab_losses)/1000000+Dme_st_e_demand*DZ71/1000000+$CV71*(Carriers!$X$21/Carriers!$X$23*EB71)/$CS71</f>
        <v>1550.2168146240406</v>
      </c>
      <c r="EF71" s="29">
        <f t="shared" si="86"/>
        <v>1.0354708994708997</v>
      </c>
      <c r="EG71" s="28">
        <f>IFERROR(ED71*1000000/Storage!$Q$12,"")</f>
        <v>927.89332157426406</v>
      </c>
      <c r="EH71" s="28">
        <f>IF($E71="","No Port",((F71/24/Shipping!$R$44+F71/24/Shipping!$R$50+Shipping!$R$59+Shipping!$R$64)*Carriers!$X$39*wacc_nl))</f>
        <v>67.781721382432607</v>
      </c>
      <c r="EI71" s="100">
        <f>H2_retrieval!$P$25*h2_demand_kt/1000+(co2_liq_e_demand+co2_st_e_demand*2)*Storage!$Q$12*co2_density/Dme_density/1000000</f>
        <v>252.45335899349112</v>
      </c>
      <c r="EJ71" s="28">
        <f>IFERROR((((DX71+DZ71+EC71)*(1+H2_retrieval!$P$34)+EH71)*1000000/H2_retrieval!$P$8)+h2_regen_dme,"")</f>
        <v>7098.8441737318608</v>
      </c>
      <c r="EK71" s="149">
        <f>(ome_invest*(M71+1/ome_lifetime)/ome_prod+ome_opex+ome_e_demand*1000*$AU71/100+Carriers!$Z$21/Carriers!$Z$23*(CO71*1000000/CS71))*(EO71+ome_st_ab_losses)/1000000</f>
        <v>156166.11230007093</v>
      </c>
      <c r="EL71" s="86">
        <f>(ome_invest*(M71+1/ome_lifetime)/ome_prod+ome_opex+ome_e_demand*1000*$AU71/100+Carriers!$Z$21/Carriers!$Z$23*(CP71*1000000/CS71))*(EO71+ome_st_ab_losses)/1000000</f>
        <v>194456.47928654528</v>
      </c>
      <c r="EM71" s="63">
        <f>ome_st_nl_cost*ome_st_nl_demand/1000000+(ome_st_invest*(M71+1/ome_st_lifetime+ome_st_opex)/(Storage!$S$63/1000000)+ome_st_e_demand*1000*$AU71/100)*(EO71+ome_st_ab_losses)/1000000+co2_st_nl_cost*Storage!$S$12*co2_density/ome_density/1000000+(co2_st_opex_lev+co2_st_invest_lev+co2_st_e_demand*1000*$AU71/100)*Storage!$S$12/1000000+co2_st_invest_lev*Storage!$S$12*co2_st_lifetime*M71/1000000+(h2_demand_kt*1000/365.25*short_st_duration_hrs/24)*(h2_short_st_invest*(1/gh2_short_st_lifetime+$M71+h2_short_st_opex)+h2_short_st_e_demand*1000*$AU71/100)/1000000</f>
        <v>4657.0002493255506</v>
      </c>
      <c r="EN71" s="63">
        <f>ome_st_nl_cost*ome_st_nl_demand/1000000+(ome_st_invest*(M71+1/ome_st_lifetime+ome_st_opex)/(Storage!$S$63/1000000)+ome_st_e_demand*1000*$AU71/100)*(EO71+ome_st_ab_losses)/1000000+(h2_demand_kt*1000/365.25*short_st_duration_hrs/24)*(h2_short_st_invest*(1/gh2_short_st_lifetime+$M71+h2_short_st_opex)+h2_short_st_e_demand*1000*$AU71/100)/1000000</f>
        <v>1622.9891899615563</v>
      </c>
      <c r="EO71" s="63">
        <f>Storage!$S$57/((1-Shipping!$T$37)^($F71/24/Shipping!$T$44+0.5*Shipping!$T$59))</f>
        <v>128282539.68253967</v>
      </c>
      <c r="EP71" s="28">
        <f>IF($E71="","No Port",IF(AND(ship_choice="VLCC",G71="Panama"),"Ship cannot pass through Panama",IF(ship_choice="VLCC",((F71/24/Shipping!$AD$44+F71/24/Shipping!$AD$50+Shipping!$AD$59+Shipping!$AD$64)*(Shipping!$AD$22+wacc_nl*Shipping!$AD$19/365.25*1000000+Shipping!$AD$35)+(F71/24/Shipping!$AD$44*Shipping!$AD$45+Shipping!$AD$64*Shipping!$AD$65)*IF(bunker_choice="HFO",$H71,IF(bunker_choice="hydrogen",$BD71*hfo_e_density_lhv/h2_e_density_lhv,(EK71+EM71)*1000000/EO71*hfo_e_density_lhv/Dme_e_density_lhv))+(F71/24/Shipping!$AD$50*Shipping!$AD$51+Shipping!$AD$59*Shipping!$AD$60)*IF(bunker_choice="HFO",bunker_price_ROT,IF(bunker_choice="hydrogen",$BD71*hfo_e_density_lhv/h2_e_density_lhv,(EK71+EM71)*1000000/EO71*hfo_e_density_lhv/ome_e_density_lhv))+Shipping!$AD$73+IF(G71="Panama",Shipping!$AD$55,0)+IF(G71="Suez",Shipping!$AD$56,0))/Shipping!$AD$31*(EO71+ome_st_ab_losses)/1000000+IF(inland_transport_to_port="hv dc grid",$BM71/100*1000*ER71,IF(inland_transport_to_port="pipeline",$BN71,0)),((F71/24/Shipping!$T$44+F71/24/Shipping!$T$50+Shipping!$T$59+Shipping!$T$64)*(Shipping!$T$22+wacc_nl*Shipping!$T$19/365.25*1000000+Shipping!$T$35)+(F71/24/Shipping!$T$44*Shipping!$T$45+Shipping!$T$64*Shipping!$T$65)*IF(bunker_choice="HFO",$H71,IF(bunker_choice="hydrogen",$BD71*hfo_e_density_lhv/h2_e_density_lhv,(EK71+EM71)*1000000/EO71*hfo_e_density_lhv/Dme_e_density_lhv))+(F71/24/Shipping!$T$50*Shipping!$T$51+Shipping!$T$59*Shipping!$T$60)*IF(bunker_choice="HFO",bunker_price_ROT,IF(bunker_choice="hydrogen",$BD71*hfo_e_density_lhv/h2_e_density_lhv,(EK71+EM71)*1000000/EO71*hfo_e_density_lhv/ome_e_density_lhv))+Shipping!$T$73+IF(G71="Panama",Shipping!$T$55,0)+IF(G71="Suez",Shipping!$T$56,0))/Shipping!$T$31*(EO71+ome_st_ab_losses)/1000000+IF(inland_transport_to_port="hv dc grid",$BM71/100*1000*ER71,IF(inland_transport_to_port="pipeline",$BN71,0)))))</f>
        <v>3628.3880374170708</v>
      </c>
      <c r="EQ71" s="28">
        <f t="shared" si="40"/>
        <v>199707.85651392391</v>
      </c>
      <c r="ER71" s="29">
        <f>(ome_e_demand)*(EO71+ome_st_ab_losses)/1000000+ome_st_e_demand*EM71/1000000+$CV71*(Carriers!$Z$21/Carriers!$Z$23*EO71)/$CS71</f>
        <v>3352.081457126284</v>
      </c>
      <c r="ES71" s="29">
        <f t="shared" si="87"/>
        <v>0.1924238095238095</v>
      </c>
      <c r="ET71" s="28">
        <f>IFERROR(EQ71*1000000/Storage!$S$12,"")</f>
        <v>1556.7812814443821</v>
      </c>
      <c r="EU71" s="28">
        <f>IF($E71="","No Port",((F71/24/Shipping!$T$44+F71/24/Shipping!$T$50+Shipping!$T$59+Shipping!$T$64)*Carriers!$Z$39*wacc_nl))</f>
        <v>78.041636201378466</v>
      </c>
      <c r="EV71" s="100">
        <f>H2_retrieval!$R$25*h2_demand_kt/1000+(co2_liq_e_demand+co2_st_e_demand*2)*Storage!$S$12*co2_density/ome_density/1000000</f>
        <v>254.51942895252085</v>
      </c>
      <c r="EW71" s="28">
        <f>IFERROR((((EK71+EM71+EP71)*(1+H2_retrieval!$R$34)+EU71)*1000000/H2_retrieval!$R$8)+h2_regen_ome,"")</f>
        <v>13267.889000770743</v>
      </c>
      <c r="EX71" s="149">
        <f>(sng_invest*(M71+1/sng_lifetime)/sng_prod+lng_invest*(M71+1/lng_lifetime)/lng_prod+sng_opex+lng_opex+(sng_e_demand+lng_e_demand)*1000*$AU71/100+Carriers!$AB$18/Carriers!$AB$23*BD71+Carriers!$AB$20/Carriers!$AB$23*co2_liq_cost)*(FB71+lng_st_ab_losses)/1000000</f>
        <v>55583.403682896678</v>
      </c>
      <c r="EY71" s="86">
        <f>(sng_invest*(M71+1/sng_lifetime)/sng_prod+lng_invest*(M71+1/lng_lifetime)/lng_prod+sng_opex+lng_opex+(sng_e_demand+lng_e_demand)*1000*$AU71/100+Carriers!$AB$18/Carriers!$AB$23*BD71+Carriers!$AB$20/Carriers!$AB$23*BP71)*(FB71+lng_st_ab_losses)/1000000</f>
        <v>65633.264076441425</v>
      </c>
      <c r="EZ71" s="63">
        <f>lng_st_nl_cost*lng_st_nl_demand/1000000+(lng_st_invest*(M71+1/lng_st_lifetime+lng_st_opex)/(Storage!$U$63/1000000)+lng_st_e_demand*1000*$AU71/100)*(FB71+lng_st_ab_losses)/1000000+co2_st_nl_cost*Storage!$U$12*co2_density/lng_density/1000000+(co2_st_opex_lev+co2_st_invest_lev+co2_st_e_demand*1000*$AU71/100)*Storage!$U$12/1000000+co2_st_invest_lev*Storage!$U$12*co2_st_lifetime*M71/1000000+Carriers!$AB$18/Carriers!$AB$23*((FB71+lng_st_ab_losses)/365.25*short_st_duration_hrs/24)*(h2_short_st_invest*(1/gh2_short_st_lifetime+$M71+h2_short_st_opex)+h2_short_st_e_demand*1000*$AU71/100)/1000000+Carriers!$AB$20/Carriers!$AB$23*((FB71+lng_st_ab_losses)/365.25*short_st_duration_hrs/24)*(co2_short_st_invest*(1/co2_short_st_lifetime+$M71+co2_short_st_opex)+co2_short_st_e_demand*1000*$AU71/100)/1000000</f>
        <v>5764.5424368746462</v>
      </c>
      <c r="FA71" s="63">
        <f>lng_st_nl_cost*lng_st_nl_demand/1000000+(lng_st_invest*(M71+1/lng_st_lifetime+lng_st_opex)/(Storage!$U$63/1000000)+lng_st_e_demand*1000*$AU71/100)*(FB71+lng_st_ab_losses)/1000000+Carriers!$AB$18/Carriers!$AB$23*((FB71+lng_st_ab_losses)/365.25*short_st_duration_hrs/24)*(h2_short_st_invest*(1/gh2_short_st_lifetime+$M71+h2_short_st_opex)+h2_short_st_e_demand*1000*$AU71/100)/1000000+Carriers!$AB$20/Carriers!$AB$23*((FB71+lng_st_ab_losses)/365.25*short_st_duration_hrs/24)*(co2_short_st_invest*(1/co2_short_st_lifetime+$M71+co2_short_st_opex)+co2_short_st_e_demand*1000*$AU71/100)/1000000</f>
        <v>4259.7610618862664</v>
      </c>
      <c r="FB71" s="63">
        <f>Storage!$U$57/((1-Shipping!$V$37)^($F71/24/Shipping!$V$44+0.5*Shipping!$V$59))</f>
        <v>41149764.260341838</v>
      </c>
      <c r="FC71" s="28">
        <f>IF($E71="","No Port",IF(G71="Panama","Ship cannot pass through Panama",((F71/24/Shipping!$V$44+F71/24/Shipping!$V$50+Shipping!$V$59+Shipping!$V$64)*(Shipping!$V$22+wacc_nl*Shipping!$V$19/365.25*1000000+Shipping!$V$35)+(F71/24/Shipping!$V$44*Shipping!$V$45+Shipping!$V$64*Shipping!$V$65)*IF(bunker_choice="HFO",$H71,IF(bunker_choice="hydrogen",$BD71*hfo_e_density_lhv/h2_e_density_lhv,(EX71+EZ71)*1000000/FB71*hfo_e_density_lhv/lng_e_density_lhv))+(F71/24/Shipping!$V$50*Shipping!$V$51+Shipping!$V$59*Shipping!$V$60)*IF(bunker_choice="HFO",bunker_price_ROT,IF(bunker_choice="hydrogen",$BD71*hfo_e_density_lhv/h2_e_density_lhv,(EX71+EZ71)*1000000/FB71*hfo_e_density_lhv/lng_e_density_lhv))+Shipping!$V$73+IF(G71="Panama",Shipping!$V$55,0)+IF(G71="Suez",Shipping!$V$56,0))/Shipping!$V$31*(FB71+lng_st_ab_losses)/1000000)+IF(inland_transport_to_port="hv dc grid",$BM71/100*1000*FE71,IF(inland_transport_to_port="pipeline",$BN71,0)))</f>
        <v>1393.5128390571751</v>
      </c>
      <c r="FD71" s="28">
        <f t="shared" si="41"/>
        <v>71286.537977384869</v>
      </c>
      <c r="FE71" s="29">
        <f>((Carriers!$AB$18/Carriers!$AB$23*alk_el_e_demand)+sng_e_demand+lng_e_demand)*(FB71+lng_st_ab_losses)/1000000+lng_st_e_demand*EZ71/1000000</f>
        <v>1103.6067967963165</v>
      </c>
      <c r="FF71" s="29">
        <f t="shared" si="88"/>
        <v>0.8126185861001558</v>
      </c>
      <c r="FG71" s="28">
        <f>IFERROR(FD71*1000000/Storage!$U$12,"")</f>
        <v>1756.5127865203563</v>
      </c>
      <c r="FH71" s="28">
        <f>IF($E71="","No Port",((F71/24/Shipping!$V$44+F71/24/Shipping!$V$50+Shipping!$V$59+Shipping!$V$64)*Carriers!$AB$39*wacc_nl))</f>
        <v>23.177313598274189</v>
      </c>
      <c r="FI71" s="100">
        <f>H2_retrieval!$T$25*h2_demand_kt/1000+(co2_liq_e_demand+co2_st_e_demand*2)*Storage!$U$12*co2_density/lng_density/1000000</f>
        <v>236.51371749646054</v>
      </c>
      <c r="FJ71" s="28">
        <f>IFERROR((((EX71+EZ71+FC71)*(1+H2_retrieval!$T$34)+FH71)*1000000/H2_retrieval!$T$8)+h2_regen_lng,"")</f>
        <v>5785.1753279333789</v>
      </c>
      <c r="FK71" s="149">
        <f>(lh2_invest*(M71+1/lh2_lifetime)/lh2_prod+lh2_opex+lh2_e_demand*1000*$AU71/100+Carriers!$AD$18/Carriers!$AD$23*BD71)*(FM71+lh2_st_ab_losses)/1000000</f>
        <v>43443.067197618257</v>
      </c>
      <c r="FL71" s="28">
        <f>lh2_st_nl_cost*lh2_st_nl_demand/1000000+(lh2_st_invest*(M71+1/lh2_st_lifetime+lh2_st_opex)/(Storage!$Y$63/1000000)+lh2_st_e_demand*1000*$AU71/100)*(FM71+lh2_st_ab_losses)/1000000+((FM71+lh2_st_ab_losses)/365.25*short_st_duration_hrs/24)*(h2_short_st_invest*(1/gh2_short_st_lifetime+$M71+h2_short_st_opex)+h2_short_st_e_demand*1000*$AU71/100)/1000000</f>
        <v>49999.219893451736</v>
      </c>
      <c r="FM71" s="63">
        <f>Storage!$Y$57/((1-Shipping!$Z$37)^($F71/24/Shipping!$Z$44+0.5*Shipping!$Z$59))</f>
        <v>13898446.847103011</v>
      </c>
      <c r="FN71" s="28">
        <f>IF($E71="","No Port",IF(G71="Panama","Ship cannot pass through Panama",((F71/24/Shipping!$Z$44+F71/24/Shipping!$Z$50+Shipping!$Z$59+Shipping!$Z$64)*(Shipping!$Z$22+wacc_nl*Shipping!$Z$19/365.25*1000000+Shipping!$Z$35)+(F71/24/Shipping!$Z$44*Shipping!$Z$45+Shipping!$Z$64*Shipping!$Z$65)*IF(bunker_choice="HFO",$H71,IF(bunker_choice="hydrogen",$BD71*hfo_e_density_lhv/h2_e_density_lhv,(FK71+FL71)*1000000/FM71*hfo_e_density_lhv/lh2_e_density_lhv))+(F71/24/Shipping!$Z$50*Shipping!$Z$51+Shipping!$Z$59*Shipping!$Z$60)*IF(bunker_choice="HFO",bunker_price_ROT,IF(bunker_choice="hydrogen",$BD71*hfo_e_density_lhv/h2_e_density_lhv,(FK71+FL71)*1000000/FM71*hfo_e_density_lhv/lh2_e_density_lhv))+Shipping!$Z$73+IF(G71="Panama",Shipping!$Z$55,0)+IF(G71="Suez",Shipping!$Z$56,0))/Shipping!$Z$31*(FM71+lh2_st_ab_losses)/1000000)+IF(inland_transport_to_port="hv dc grid",$BM71/100*1000*FP71,IF(inland_transport_to_port="pipeline",$BN71,0)))</f>
        <v>2394.8189364002446</v>
      </c>
      <c r="FO71" s="28">
        <f t="shared" si="42"/>
        <v>95837.106027470247</v>
      </c>
      <c r="FP71" s="29">
        <f>((Carriers!$AD$18/Carriers!$AD$23*alk_el_e_demand)+lh2_e_demand)*(FM71+lh2_st_ab_losses)/1000000+lh2_st_e_demand*FM71/1000000</f>
        <v>805.4021721918549</v>
      </c>
      <c r="FQ71" s="100">
        <f t="shared" si="89"/>
        <v>1.361902463475859</v>
      </c>
      <c r="FR71" s="28">
        <f>IFERROR(FO71*1000000/Storage!$Y$12,"")</f>
        <v>7046.8460314316353</v>
      </c>
      <c r="FS71" s="100">
        <f>H2_retrieval!$V$25*h2_demand_kt/1000</f>
        <v>8.16</v>
      </c>
      <c r="FT71" s="28">
        <f>IFERROR(FR71*(1+H2_retrieval!$V$34)/Carrier_properties!$U$7+H2_retrieval!$V$38,"")</f>
        <v>7078.8147573001024</v>
      </c>
      <c r="FU71" s="12"/>
      <c r="FV71" s="24">
        <f t="shared" si="90"/>
        <v>1.9336289154364663</v>
      </c>
      <c r="FW71" s="24" t="str">
        <f t="shared" si="92"/>
        <v/>
      </c>
      <c r="FX71" s="24" t="str">
        <f t="shared" si="93"/>
        <v/>
      </c>
      <c r="FY71" s="24">
        <f t="shared" si="45"/>
        <v>1.9336289154364663</v>
      </c>
      <c r="FZ71" s="28">
        <f t="shared" si="94"/>
        <v>2315.0551808265809</v>
      </c>
      <c r="GA71" s="28">
        <f t="shared" si="47"/>
        <v>533.80980617265743</v>
      </c>
      <c r="GB71" s="28">
        <f t="shared" si="48"/>
        <v>344.17956540897109</v>
      </c>
      <c r="GC71" s="28">
        <f t="shared" si="49"/>
        <v>596.00812639516676</v>
      </c>
      <c r="GD71" s="28">
        <f t="shared" si="50"/>
        <v>868.9636432845324</v>
      </c>
      <c r="GE71" s="28">
        <f t="shared" si="51"/>
        <v>1515.8452566324772</v>
      </c>
      <c r="GF71" s="28">
        <f t="shared" si="52"/>
        <v>1594.9851780729543</v>
      </c>
      <c r="GG71" s="12"/>
      <c r="GH71" s="12"/>
      <c r="GI71" s="12"/>
      <c r="GJ71" s="12"/>
      <c r="GK71" s="12"/>
      <c r="GL71" s="12"/>
      <c r="GM71" s="12"/>
      <c r="GN71" s="12"/>
      <c r="GO71" s="12"/>
      <c r="GP71" s="12"/>
      <c r="GQ71" s="12"/>
      <c r="GR71" s="12"/>
      <c r="GS71" s="12"/>
      <c r="GT71" s="12"/>
      <c r="GU71" s="12"/>
      <c r="GV71" s="12"/>
      <c r="GW71" s="12"/>
      <c r="GX71" s="12"/>
      <c r="GY71" s="12"/>
      <c r="GZ71" s="12"/>
      <c r="HA71" s="12"/>
      <c r="HB71" s="12"/>
      <c r="HC71" s="12"/>
      <c r="HD71" s="12"/>
      <c r="HE71" s="12"/>
      <c r="HF71" s="12"/>
    </row>
    <row r="72" spans="1:214" x14ac:dyDescent="0.2">
      <c r="A72" s="40" t="s">
        <v>76</v>
      </c>
      <c r="B72" s="12">
        <v>1266</v>
      </c>
      <c r="C72" s="12">
        <v>1</v>
      </c>
      <c r="D72" s="12">
        <f>1-C72</f>
        <v>0</v>
      </c>
      <c r="E72" s="12" t="s">
        <v>741</v>
      </c>
      <c r="F72" s="12">
        <v>2208</v>
      </c>
      <c r="G72" s="12"/>
      <c r="H72" s="16">
        <f t="shared" si="62"/>
        <v>382.75862068965517</v>
      </c>
      <c r="I72" s="16">
        <v>294140</v>
      </c>
      <c r="J72" s="16">
        <f t="shared" si="31"/>
        <v>305.98638845886626</v>
      </c>
      <c r="K72" s="27">
        <f t="shared" si="32"/>
        <v>367.18366615063951</v>
      </c>
      <c r="L72" s="103">
        <v>5.6000000000000001E-2</v>
      </c>
      <c r="M72" s="103">
        <f t="shared" si="63"/>
        <v>8.1032339618864802E-2</v>
      </c>
      <c r="N72" s="122">
        <f t="shared" si="33"/>
        <v>0.9</v>
      </c>
      <c r="O72" s="46">
        <f t="shared" si="64"/>
        <v>40</v>
      </c>
      <c r="P72" s="70">
        <f t="array" ref="P72">SUMPRODUCT(IF(Solar_data!A$4:A$777=A72,Solar_data!C$4:C$777),IF(Solar_data!A$4:A$777=A72,Solar_data!I$4:I$777))/SUMIF(Solar_data!A$4:A$777,A72,Solar_data!I$4:I$777)</f>
        <v>1676.8213098437307</v>
      </c>
      <c r="Q72" s="16">
        <f t="array" ref="Q72">MAX(IF(Solar_data!$A$777:'Solar_data'!$A$4=Country_details!$A72,Solar_data!$C$4:'Solar_data'!$C$777))</f>
        <v>2098.75</v>
      </c>
      <c r="R72" s="16">
        <f t="array" ref="R72">MIN(IF(Solar_data!$A$777:'Solar_data'!$A$4=Country_details!A72,Solar_data!$C$4:'Solar_data'!$C$777))</f>
        <v>1368.75</v>
      </c>
      <c r="S72" s="24">
        <f t="shared" ref="S72:S103" si="95">(solar_invest*($M72+1/$O72)+solar_opex)/(P72*$N72)*100</f>
        <v>1.9729098524063626</v>
      </c>
      <c r="T72" s="24">
        <f t="shared" ref="T72:T103" si="96">(solar_invest*($M72+1/$O72)+solar_opex)/(Q72*$N72)*100</f>
        <v>1.5762798250938119</v>
      </c>
      <c r="U72" s="24">
        <f t="shared" ref="U72:U103" si="97">(solar_invest*($M72+1/$O72)+solar_opex)/(R72*$N72)*100</f>
        <v>2.4169623984771786</v>
      </c>
      <c r="V72" s="16">
        <f t="array" ref="V72">SUM(IF(Solar_data!$A$777:'Solar_data'!$A$4=Country_details!$A72,Solar_data!$I$4:'Solar_data'!$I$777))</f>
        <v>2030.8868985903985</v>
      </c>
      <c r="W72" s="148"/>
      <c r="X72" s="16">
        <f>IFERROR(INDEX(Onshore_wind_data!$J$5:'Onshore_wind_data'!$J$221,MATCH(A72,Onshore_wind_data!$B$5:'Onshore_wind_data'!$B$221,0)),"")</f>
        <v>3251.7716375431264</v>
      </c>
      <c r="Y72" s="16">
        <f>IFERROR(INDEX(Onshore_wind_data!$K$5:'Onshore_wind_data'!$K$221,MATCH(A72,Onshore_wind_data!$B$5:'Onshore_wind_data'!$B$221,0)),"")</f>
        <v>3723.5</v>
      </c>
      <c r="Z72" s="16">
        <f>IFERROR(INDEX(Onshore_wind_data!$L$5:'Onshore_wind_data'!$L$221,MATCH(A72,Onshore_wind_data!$B$5:'Onshore_wind_data'!$B$221,0)),"")</f>
        <v>2847.5</v>
      </c>
      <c r="AA72" s="24">
        <f t="shared" si="68"/>
        <v>3.3785949571201588</v>
      </c>
      <c r="AB72" s="24">
        <f t="shared" si="69"/>
        <v>2.9505624429460369</v>
      </c>
      <c r="AC72" s="24">
        <f t="shared" si="70"/>
        <v>3.8582683955433081</v>
      </c>
      <c r="AD72" s="16">
        <f>IFERROR(INDEX(Onshore_wind_data!$I$5:'Onshore_wind_data'!$I$221,MATCH(A72,Onshore_wind_data!$B$5:'Onshore_wind_data'!$B$221,0)),"")</f>
        <v>229.87781754999997</v>
      </c>
      <c r="AE72" s="148"/>
      <c r="AF72" s="16">
        <f>INDEX(Offshore_wind_data!$AA$7:$AA$192,MATCH(Country_details!A72,Offshore_wind_data!$A$7:$A$192,0))</f>
        <v>3310.2804340216999</v>
      </c>
      <c r="AG72" s="16">
        <f>INDEX(Offshore_wind_data!$Y$7:$Y$192,MATCH(Country_details!A72,Offshore_wind_data!$A$7:$A$192,0))</f>
        <v>3504</v>
      </c>
      <c r="AH72" s="16">
        <f>INDEX(Offshore_wind_data!$Z$7:$Z$192,MATCH(Country_details!A72,Offshore_wind_data!$A$7:$A$192,0))</f>
        <v>3153.6</v>
      </c>
      <c r="AI72" s="24">
        <f t="shared" ref="AI72:AI103" si="98">IF(AF72="","",(offshore_invest*($M72+1/offshore_lifetime)+offshore_opex)/AF72*100)</f>
        <v>6.3875336147736368</v>
      </c>
      <c r="AJ72" s="24">
        <f t="shared" ref="AJ72:AJ103" si="99">IF(AG72="","",(offshore_invest*($M72+1/offshore_lifetime)+offshore_opex)/AG72*100)</f>
        <v>6.0343971308907163</v>
      </c>
      <c r="AK72" s="24">
        <f t="shared" ref="AK72:AK103" si="100">IF(AH72="","",(offshore_invest*($M72+1/offshore_lifetime)+offshore_opex)/AH72*100)</f>
        <v>6.7048857009896849</v>
      </c>
      <c r="AL72" s="16">
        <f>INDEX(Offshore_wind_data!$W$7:$W$191,MATCH(A72,Offshore_wind_data!$A$7:$A$191,0))</f>
        <v>1134.8965439999997</v>
      </c>
      <c r="AM72" s="148"/>
      <c r="AN72" s="12">
        <v>59.4</v>
      </c>
      <c r="AO72" s="12">
        <v>55.1</v>
      </c>
      <c r="AP72" s="34">
        <f>2.579*11.63</f>
        <v>29.993770000000005</v>
      </c>
      <c r="AQ72" s="15">
        <f t="shared" ref="AQ72:AQ103" si="101">Fut_demand_pc</f>
        <v>50</v>
      </c>
      <c r="AR72" s="12">
        <f t="shared" si="34"/>
        <v>2755</v>
      </c>
      <c r="AS72" s="16">
        <f t="shared" si="35"/>
        <v>640.6612601403981</v>
      </c>
      <c r="AT72" s="12"/>
      <c r="AU72" s="24">
        <f t="shared" si="75"/>
        <v>2.9003483736274531</v>
      </c>
      <c r="AV72" s="16">
        <f t="shared" si="76"/>
        <v>4928.5929473868573</v>
      </c>
      <c r="AW72" s="149">
        <f>HV_DC_Grid!$E$3/(1-AX72)*AU72/100*1000</f>
        <v>3015.5608215415591</v>
      </c>
      <c r="AX72" s="31">
        <f>(1-(1-HV_DC_Grid!$E$25)^(B72*C72*HV_DC_Grid!$E$8/1000))+(1-(1-HV_DC_Grid!$E$26)^(B72*D72*HV_DC_Grid!$E$8/1000))+HV_DC_Grid!$E$35*HV_DC_Grid!$E$28</f>
        <v>3.8205977173827663E-2</v>
      </c>
      <c r="AY72" s="28">
        <f>B72*nl_e_demand/IF(hv_dc_flh="electricity FLH",$AV72,hv_dc_custom)*1000*hv_dc_capacity_multiplier*hv_dc_length_multiplier*1000*(C72*hv_dc_overhead_invest*(hv_dc_overhead_opex+M72+1/hv_dc_lifetime)+D72*hv_dc_sea_invest*(hv_dc_sea_opex+M72+1/hv_dc_lifetime))/1000000+HV_DC_Grid!$E$10*1000*hv_dc_station_invest*hv_dc_station_number*(hv_dc_station_opex+M72+1/hv_dc_lifetime)/1000000</f>
        <v>1081.9412301293125</v>
      </c>
      <c r="AZ72" s="24">
        <f>(AW72+AY72)/(HV_DC_Grid!$E$3*1000)*100</f>
        <v>4.0975020516708716</v>
      </c>
      <c r="BA72" s="28">
        <f>MIN(((Carriers!$F$26+Carriers!$F$27)*(alk_el_opex+wacc_nl+1/alk_el_lifetime)+IF(hv_dc_flh="electricity FLH",$AV72,hv_dc_custom)*AZ72/100)/(IF(hv_dc_flh="electricity FLH",$AV72,hv_dc_custom)/alk_el_e_demand)*1000,((Carriers!$H$26+Carriers!$H$27)*(pem_el_opex+wacc_nl+1/pem_el_lifetime)+IF(hv_dc_flh="electricity FLH",$AV72,hv_dc_custom)*AZ72/100)/(IF(hv_dc_flh="electricity FLH",$AV72,hv_dc_custom)/pem_el_e_demand)*1000)</f>
        <v>2428.933213810471</v>
      </c>
      <c r="BB72" s="12"/>
      <c r="BC72" s="12"/>
      <c r="BD72" s="149">
        <f>MIN(((Carriers!$F$26+Carriers!$F$27)*(alk_el_opex+M72+1/alk_el_lifetime)+$AV72*$AU72/100)/($AV72/alk_el_e_demand)*1000,((Carriers!$H$26+Carriers!$H$27)*(pem_el_opex+M72+1/pem_el_lifetime)+$AV72*$AU72/100)/($AV72/pem_el_e_demand)*1000)</f>
        <v>2016.5547273108805</v>
      </c>
      <c r="BE72" s="28">
        <f>Storage!$AC$50</f>
        <v>8.1664117557772418</v>
      </c>
      <c r="BF72" s="28">
        <f>((Pipeline!$D$22*Pipeline!$D$24*B72*(pipeline_opex+M72+1/pipeline_lifetime))*(Pipeline!$D$39/Pipeline!$D$3)+(Pipeline!$D$57*(pipeline_comp_opex+M72+1/pipeline_comp_lifetime)+Pipeline!$D$47*1000*Pipeline!$D$45*$AU72/100/1000000))*(Pipeline!$D$75/Pipeline!$D$45)</f>
        <v>2265.1304702176794</v>
      </c>
      <c r="BG72" s="28">
        <f>BD72+(BE72+BF72)/Storage!$AC$12*1000000</f>
        <v>2183.7089098089286</v>
      </c>
      <c r="BH72" s="28"/>
      <c r="BI72" s="28"/>
      <c r="BJ72" s="28">
        <f>IF($E72="","No Port",BK72*HV_DC_Grid!$E$3*$AU72/100*1000)</f>
        <v>61.144390809171753</v>
      </c>
      <c r="BK72" s="31">
        <f>IFERROR((1-(1-HV_DC_Grid!$E$25)^(K72*HV_DC_Grid!$E$8/1000))+HV_DC_Grid!$E$35*HV_DC_Grid!$E$28,"")</f>
        <v>2.1081740167888427E-2</v>
      </c>
      <c r="BL72" s="28">
        <f>IFERROR(K72*nl_e_demand/IF(hv_dc_flh="electricity FLH",$AV72,hv_dc_custom)*1000*hv_dc_capacity_multiplier*hv_dc_length_multiplier*1000*(hv_dc_overhead_invest*(hv_dc_overhead_opex+M72+1/hv_dc_lifetime))/1000000+HV_DC_Grid!$E$10*1000*hv_dc_station_invest*hv_dc_station_number*(hv_dc_station_opex+M72+1/hv_dc_lifetime)/1000000,"")</f>
        <v>531.28072621917897</v>
      </c>
      <c r="BM72" s="29">
        <f>IFERROR((BJ72+BL72)/(HV_DC_Grid!$E$3*1000)*100,"")</f>
        <v>0.59242511702835077</v>
      </c>
      <c r="BN72" s="28">
        <f>IFERROR(((Pipeline!$D$22*Pipeline!$D$24*K72*(pipeline_opex+M72+1/pipeline_lifetime))*(Pipeline!$D$39/Pipeline!$D$3)+(Pipeline!$D$57*(pipeline_comp_opex+M72+1/pipeline_comp_lifetime)+Pipeline!$D$47*1000*Pipeline!$D$45*S72/100/1000000))*(Pipeline!$D$75/Pipeline!$D$45),"")</f>
        <v>695.80729068449932</v>
      </c>
      <c r="BO72" s="28"/>
      <c r="BP72" s="150">
        <f t="shared" si="77"/>
        <v>92.968085864383397</v>
      </c>
      <c r="BQ72" s="34">
        <f t="shared" si="78"/>
        <v>27.238352487227882</v>
      </c>
      <c r="BR72" s="151">
        <f>(nh3_invest*(M72+1/nh3_lifetime)/nh3_prod+nh3_opex+nh3_e_demand*1000*$AU72/100+Carriers!$N$18/Carriers!$N$23*BD72+Carriers!$N$19/Carriers!$N$23*BQ72)*(BT72+nh3_st_ab_losses)/1000000</f>
        <v>37208.157806171519</v>
      </c>
      <c r="BS72" s="63">
        <f>nh3_st_nl_cost*nh3_st_nl_demand/1000000+(nh3_st_invest*(M72+1/nh3_st_lifetime+nh3_st_opex)/(Storage!$G$63/1000000)+nh3_st_e_demand*1000*$AU72/100)*(BT72+nh3_st_ab_losses)/1000000+Carriers!$N$18/Carriers!$N$23*((BT72+nh3_st_ab_losses)/365.25*short_st_duration_hrs/24)*(h2_short_st_invest*(1/gh2_short_st_lifetime+$M72+h2_short_st_opex)+h2_short_st_e_demand*1000*$AU72/100)/1000000+Carriers!$N$19/Carriers!$N$23*((BT72+nh3_st_ab_losses)/365.25*short_st_duration_hrs/24)*(n2_short_st_invest*(1/n2_short_st_lifetime+$M72+n2_short_st_opex)+n2_short_st_e_demand*1000*$AU72/100)/1000000</f>
        <v>2889.2062810548287</v>
      </c>
      <c r="BT72" s="63">
        <f>Storage!$G$57/((1-Shipping!$H$37)^(F72/24/Shipping!$H$44+0.5*Shipping!$H$59))</f>
        <v>77937143.315332323</v>
      </c>
      <c r="BU72" s="63">
        <f>IF($E72="","No Port",((F72/24/Shipping!$H$44+F72/24/Shipping!$H$50+Shipping!$H$59+Shipping!$H$64)*(Shipping!$H$22+wacc_nl*Shipping!$H$19/365.25*1000000+Shipping!$H$35)+(F72/24/Shipping!$H$44*Shipping!$H$45+Shipping!$H$64*Shipping!$H$65)*IF(bunker_choice="HFO",H72,IF(bunker_choice="hydrogen",BD72*hfo_e_density_lhv/h2_e_density_lhv,(BR72+BS72)*1000000/BT72*hfo_e_density_lhv/nh3_e_density_lhv))+(F72/24/Shipping!$H$50*Shipping!$H$51+Shipping!$H$59*Shipping!$H$60)*IF(bunker_choice="HFO",bunker_price_ROT,IF(bunker_choice="hydrogen",BD72*hfo_e_density_lhv/h2_e_density_lhv,(BR72+BS72)*1000000/BT72*hfo_e_density_lhv/nh3_e_density_lhv))+Shipping!$H$73+IF(G72="Panama",Shipping!$H$55,0)+IF(G72="Suez",Shipping!$H$56,0))/Shipping!$H$31*BT72/1000000+IF(inland_transport_to_port="hv dc grid",$BM72/100*1000*BW72,IF(inland_transport_to_port="pipeline",$BN72,0)))</f>
        <v>2217.6757422626329</v>
      </c>
      <c r="BV72" s="63">
        <f t="shared" si="91"/>
        <v>42315.039829488982</v>
      </c>
      <c r="BW72" s="33">
        <f>((Carriers!$N$18/Carriers!$N$23*alk_el_e_demand)+(Carriers!$N$19/Carriers!$N$23*n2_e_demand)+nh3_e_demand)*(BT72+nh3_st_ab_losses)/1000000+nh3_st_e_demand*BT72/1000000</f>
        <v>769.65772632989592</v>
      </c>
      <c r="BX72" s="33">
        <f t="shared" ref="BX72:BX103" si="102">nh3_st_e_demand*nh3_st_nl_demand/1000000</f>
        <v>0.76626754477640768</v>
      </c>
      <c r="BY72" s="63">
        <f>IFERROR(BV72*1000000/Storage!$G$12,"")</f>
        <v>552.68289250977284</v>
      </c>
      <c r="BZ72" s="63">
        <f>H2_retrieval!$F$25*h2_demand_kt/1000</f>
        <v>80</v>
      </c>
      <c r="CA72" s="63">
        <f>IFERROR(BY72*(1+H2_retrieval!$F$34)/Carrier_properties!$E$7+H2_retrieval!$F$38,"")</f>
        <v>3520.6259671061607</v>
      </c>
      <c r="CB72" s="149">
        <f>(FA_invest*(M72+1/FA_lifetime)/FA_prod+FA_opex+FA_e_demand*1000*$AU72/100+Carriers!$P$18/Carriers!$P$23*BD72+Carriers!$P$20/Carriers!$P$23*co2_liq_cost)*(CF72+FA_st_ab_losses)/1000000</f>
        <v>85698.825619270458</v>
      </c>
      <c r="CC72" s="86">
        <f>(FA_invest*(M72+1/FA_lifetime)/FA_prod+FA_opex+FA_e_demand*1000*$AU72/100+Carriers!$P$18/Carriers!$P$23*BD72+Carriers!$P$20/Carriers!$P$23*BP72)*(CF72+FA_st_ab_losses)/1000000</f>
        <v>107786.02325883645</v>
      </c>
      <c r="CD72" s="63">
        <f>FA_st_nl_cost*FA_st_nl_demand/1000000+(FA_st_invest*(M72+1/FA_st_lifetime+FA_st_opex)/(Storage!$I$63/1000000)+FA_st_e_demand*1000*$AU72/100)*(CF72+FA_st_ab_losses)/1000000+co2_st_nl_cost*Storage!$I$12*co2_density/FA_density/1000000+(co2_st_opex_lev+co2_st_invest_lev+co2_st_e_demand*1000*$AU72/100)*Storage!$I$12/1000000+co2_st_invest_lev*Storage!$I$12*co2_st_lifetime*M72/1000000+Carriers!$P$18/Carriers!$P$23*((CF72+FA_st_ab_losses)/365.25*short_st_duration_hrs/24)*(h2_short_st_invest*(1/gh2_short_st_lifetime+$M72+h2_short_st_opex)+h2_short_st_e_demand*1000*$AU72/100)/1000000+Carriers!$P$20/Carriers!$P$23*((CF72+FA_st_ab_losses)/365.25*short_st_duration_hrs/24)*(co2_short_st_invest*(1/co2_short_st_lifetime+$M72+co2_short_st_opex)+co2_short_st_e_demand*1000*$AU72/100)/1000000</f>
        <v>10432.001717777839</v>
      </c>
      <c r="CE72" s="63">
        <f>FA_st_nl_cost*FA_st_nl_demand/1000000+(FA_st_invest*(M72+1/FA_st_lifetime+FA_st_opex)/(Storage!$I$63/1000000)+FA_st_e_demand*1000*$AU72/100)*(CF72+FA_st_ab_losses)/1000000+Carriers!$P$18/Carriers!$P$23*((CF72+FA_st_ab_losses)/365.25*short_st_duration_hrs/24)*(h2_short_st_invest*(1/gh2_short_st_lifetime+$M72+h2_short_st_opex)+h2_short_st_e_demand*1000*$AU72/100)/1000000+Carriers!$P$20/Carriers!$P$23*((CF72+FA_st_ab_losses)/365.25*short_st_duration_hrs/24)*(co2_short_st_invest*(1/co2_short_st_lifetime+$M72+co2_short_st_opex)+co2_short_st_e_demand*1000*$AU72/100)/1000000</f>
        <v>4318.2560385176639</v>
      </c>
      <c r="CF72" s="63">
        <f>Storage!$I$57/((1-Shipping!$J$37)^($F72/24/Shipping!$J$44+0.5*Shipping!$J$59))</f>
        <v>310425396.82539684</v>
      </c>
      <c r="CG72" s="28">
        <f>IF($E72="","No Port",((F72/24/Shipping!$J$44+F72/24/Shipping!$J$50+Shipping!$J$59+Shipping!$J$64)*(Shipping!$J$22+wacc_nl*Shipping!$J$19/365.25*1000000+Shipping!$J$35)+(F72/24/Shipping!$J$44*Shipping!$J$45+Shipping!$J$64*Shipping!$J$65)*IF(bunker_choice="HFO",$H72,IF(bunker_choice="hydrogen",$BD72*hfo_e_density_lhv/h2_e_density_lhv,(CB72+CD72)*1000000/CF72*hfo_e_density_lhv/FA_e_density_lhv))+(F72/24/Shipping!$J$50*Shipping!$J$51+Shipping!$J$59*Shipping!$J$60)*IF(bunker_choice="HFO",bunker_price_ROT,IF(bunker_choice="hydrogen",$BD72*hfo_e_density_lhv/h2_e_density_lhv,(CB72+CD72)*1000000/CF72*hfo_e_density_lhv/FA_e_density_lhv))+Shipping!$J$73+IF(G72="Panama",Shipping!$J$55,0)+IF(G72="Suez",Shipping!$J$56,0))/Shipping!$J$31*CF72/1000000+IF(inland_transport_to_port="hv dc grid",$BM72/100*1000*CI72,IF(inland_transport_to_port="pipeline",$BN72,0)))</f>
        <v>6988.4011195350422</v>
      </c>
      <c r="CH72" s="28">
        <f t="shared" si="36"/>
        <v>119092.68041688915</v>
      </c>
      <c r="CI72" s="29">
        <f>((Carriers!$P$18/Carriers!$P$23*alk_el_e_demand)+FA_e_demand)*(CF72+FA_st_ab_losses)/1000000+FA_st_e_demand*CF72/1000000</f>
        <v>1897.8881241622576</v>
      </c>
      <c r="CJ72" s="29">
        <f t="shared" ref="CJ72:CJ103" si="103">FA_st_e_demand*FA_st_nl_demand/1000000</f>
        <v>0.46563809523809524</v>
      </c>
      <c r="CK72" s="28">
        <f>IFERROR(CH72*1000000/Storage!$I$12,"")</f>
        <v>383.64348289413488</v>
      </c>
      <c r="CL72" s="28">
        <f>IF($E72="","No Port",((F72/24/Shipping!$J$44+F72/24/Shipping!$J$50+Shipping!$J$59+Shipping!$J$64)*Carriers!$P$39*wacc_nl))</f>
        <v>136.26323683332635</v>
      </c>
      <c r="CM72" s="29">
        <f>H2_retrieval!$H$25*h2_demand_kt/1000+(co2_liq_e_demand+co2_st_e_demand*2)*Storage!$I$12*co2_density/FA_density/1000000</f>
        <v>94.204253879484654</v>
      </c>
      <c r="CN72" s="28">
        <f>IFERROR((((CB72+CD72+CG72)*(1+H2_retrieval!$H$34)+CL72)*1000000/H2_retrieval!$H$8)+h2_regen_fa,"")</f>
        <v>7682.0029334593582</v>
      </c>
      <c r="CO72" s="149">
        <f>(meoh_invest*(M72+1/meoh_lifetime)/meoh_prod+meoh_opex+meoh_e_demand*1000*$AU72/100+Carriers!$R$18/Carriers!$R$23*BD72+Carriers!$R$20/Carriers!$R$23*co2_liq_cost)*(CS72+meoh_st_ab_losses)/1000000</f>
        <v>45131.263994768822</v>
      </c>
      <c r="CP72" s="86">
        <f>(meoh_invest*(M72+1/meoh_lifetime)/meoh_prod+meoh_opex+meoh_e_demand*1000*$AU72/100+Carriers!$R$18/Carriers!$R$23*BD72+Carriers!$R$20/Carriers!$R$23*BP72)*(CS72+meoh_st_ab_losses)/1000000</f>
        <v>58097.130881546793</v>
      </c>
      <c r="CQ72" s="63">
        <f>meoh_st_nl_cost*meoh_st_nl_demand/1000000+(meoh_st_invest*(M72+1/meoh_st_lifetime+meoh_st_opex)/(Storage!$K$63/1000000)+meoh_st_e_demand*1000*$AU72/100)*(CS72+meoh_st_ab_losses)/1000000+co2_st_nl_cost*Storage!$K$12*co2_density/meoh_density/1000000+(co2_st_opex_lev+co2_st_invest_lev+co2_st_e_demand*1000*IFERROR(MIN(S72,AA72,AI72),S72)/100)*Storage!$K$12/1000000+co2_st_invest_lev*Storage!$K$12*co2_st_lifetime*M72/1000000+Carriers!$R$18/Carriers!$R$23*((CS72+meoh_st_ab_losses)/365.25*short_st_duration_hrs/24)*(h2_short_st_invest*(1/gh2_short_st_lifetime+$M72+h2_short_st_opex)+h2_short_st_e_demand*1000*$AU72/100)/1000000+Carriers!$R$20/Carriers!$R$23*((CF72+meoh_st_ab_losses)/365.25*short_st_duration_hrs/24)*(co2_short_st_invest*(1/co2_short_st_lifetime+$M72+co2_short_st_opex)+co2_short_st_e_demand*1000*$AU72/100)/1000000</f>
        <v>4278.4913277800561</v>
      </c>
      <c r="CR72" s="63">
        <f>meoh_st_nl_cost*meoh_st_nl_demand/1000000+(meoh_st_invest*(M72+1/meoh_st_lifetime+meoh_st_opex)/(Storage!$K$63/1000000)+meoh_st_e_demand*1000*$AU72/100)*(CS72+meoh_st_ab_losses)/1000000+Carriers!$R$18/Carriers!$R$23*((CS72+meoh_st_ab_losses)/365.25*short_st_duration_hrs/24)*(h2_short_st_invest*(1/gh2_short_st_lifetime+$M72+h2_short_st_opex)+h2_short_st_e_demand*1000*$AU72/100)/1000000+Carriers!$R$20/Carriers!$R$23*((CF72+meoh_st_ab_losses)/365.25*short_st_duration_hrs/24)*(co2_short_st_invest*(1/co2_short_st_lifetime+$M72+co2_short_st_opex)+co2_short_st_e_demand*1000*$AU72/100)/1000000</f>
        <v>1651.7918544677232</v>
      </c>
      <c r="CS72" s="63">
        <f>Storage!$K$57/((1-Shipping!$L$37)^($F72/24/Shipping!$L$44+0.5*Shipping!$L$59))</f>
        <v>108044444.44444443</v>
      </c>
      <c r="CT72" s="28">
        <f>IF($E72="","No Port",IF(AND(ship_choice="VLCC",G72="Panama"),"Ship cannot pass through Panama",IF(ship_choice="VLCC",((F72/24/Shipping!$AD$44+F72/24/Shipping!$AD$50+Shipping!$AD$59+Shipping!$AD$64)*(Shipping!$AD$22+wacc_nl*Shipping!$AD$19/365.25*1000000+Shipping!$AD$35)+(F72/24/Shipping!$AD$44*Shipping!$AD$45+Shipping!$AD$64*Shipping!$AD$65)*IF(bunker_choice="HFO",$H72,IF(bunker_choice="hydrogen",$BD72*hfo_e_density_lhv/h2_e_density_lhv,(CO72+CQ72)*1000000/CS72*hfo_e_density_lhv/meoh_e_density_lhv))+(F72/24/Shipping!$AD$50*Shipping!$AD$51+Shipping!$AD$59*Shipping!$AD$60)*IF(bunker_choice="HFO",bunker_price_ROT,IF(bunker_choice="hydrogen",$BD72*hfo_e_density_lhv/h2_e_density_lhv,(CO72+CQ72)*1000000/CS72*hfo_e_density_lhv/meoh_e_density_lhv))+Shipping!$AD$73+IF(G72="Panama",Shipping!$AD$55,0)+IF(G72="Suez",Shipping!$AD$56,0))/Shipping!$AD$31*CS72/1000000+IF(inland_transport_to_port="hv dc grid",$BM72/100*1000*CV72,IF(inland_transport_to_port="pipeline",$BN72,0)),((F72/24/Shipping!$L$44+F72/24/Shipping!$L$50+Shipping!$L$59+Shipping!$L$64)*(Shipping!$L$22+wacc_nl*Shipping!$L$19/365.25*1000000+Shipping!$L$35)+(F72/24/Shipping!$L$44*Shipping!$L$45+Shipping!$L$64*Shipping!$L$65)*IF(bunker_choice="HFO",$H72,IF(bunker_choice="hydrogen",$BD72*hfo_e_density_lhv/h2_e_density_lhv,(CO72+CQ72)*1000000/CS72*hfo_e_density_lhv/meoh_e_density_lhv))+(F72/24/Shipping!$L$50*Shipping!$L$51+Shipping!$L$59*Shipping!$L$60)*IF(bunker_choice="HFO",bunker_price_ROT,IF(bunker_choice="hydrogen",$BD72*hfo_e_density_lhv/h2_e_density_lhv,(CO72+CQ72)*1000000/CS72*hfo_e_density_lhv/meoh_e_density_lhv))+Shipping!$L$73+IF(G72="Panama",Shipping!$L$55,0)+IF(G72="Suez",Shipping!$L$56,0))/Shipping!$L$31*CS72/1000000+IF(inland_transport_to_port="hv dc grid",$BM72/100*1000*CV72,IF(inland_transport_to_port="pipeline",$BN72,0)))))</f>
        <v>2746.4996801163215</v>
      </c>
      <c r="CU72" s="28">
        <f t="shared" si="37"/>
        <v>62495.422416130838</v>
      </c>
      <c r="CV72" s="29">
        <f>((Carriers!$R$18/Carriers!$R$23*alk_el_e_demand)+meoh_e_demand)*(CS72+meoh_st_ab_losses)/1000000+meoh_st_e_demand*CS72/1000000</f>
        <v>1119.9789871111109</v>
      </c>
      <c r="CW72" s="29">
        <f t="shared" ref="CW72:CW103" si="104">meoh_st_e_demand*meoh_st_nl_demand/1000000</f>
        <v>0.16206666666666666</v>
      </c>
      <c r="CX72" s="28">
        <f>IFERROR(CU72*1000000/Storage!$K$12,"")</f>
        <v>578.42328439446487</v>
      </c>
      <c r="CY72" s="28">
        <f>IF($E72="","No Port",((F72/24/Shipping!$L$44+F72/24/Shipping!$L$50+Shipping!$L$59+Shipping!$L$64)*Carriers!$R$39*wacc_nl))</f>
        <v>48.525037727294766</v>
      </c>
      <c r="CZ72" s="29">
        <f>H2_retrieval!$J$25*h2_demand_kt/1000+(co2_liq_e_demand+co2_st_e_demand*2)*Storage!$K$12*co2_density/meoh_density/1000000</f>
        <v>251.05079059698966</v>
      </c>
      <c r="DA72" s="28">
        <f>IFERROR((((CO72+CQ72+CT72)*(1+H2_retrieval!$J$34)+CY72)*1000000/H2_retrieval!$J$8)+h2_regen_meoh,"")</f>
        <v>5008.7153108720349</v>
      </c>
      <c r="DB72" s="149">
        <f>(DBT_invest*(M72+1/DBT_lifetime)/DBT_prod+DBT_opex+DBT_e_demand*1000*$AU72/100+Carriers!$T$18/Carriers!$T$23*BD72)*(DD72+DBT_st_ab_losses)/1000000</f>
        <v>30217.208480981975</v>
      </c>
      <c r="DC72" s="28">
        <f>2*(DBT_st_nl_cost*DBT_st_nl_demand/1000000+(DBT_st_invest*(M72+1/DBT_st_lifetime+DBT_st_opex)/(Storage!$M$63/1000000)+DBT_st_e_demand*1000*$AU72/100)*(DD72+DBT_st_ab_losses)/1000000)+Carriers!$T$18/Carriers!$T$23*((DD72+DBT_st_ab_losses)/365.25*short_st_duration_hrs/24)*(h2_short_st_invest*(1/gh2_short_st_lifetime+$M72+h2_short_st_opex)+h2_short_st_e_demand*1000*$AU72/100)/1000000</f>
        <v>3516.6533982426258</v>
      </c>
      <c r="DD72" s="63">
        <f>Storage!$M$57/((1-Shipping!$N$37)^($F72/24/Shipping!$N$44+0.5*Shipping!$N$59))</f>
        <v>219354838.70967743</v>
      </c>
      <c r="DE72" s="28">
        <f>IF($E72="","No Port",IF(AND(ship_choice="VLCC",G72="Panama"),"Ship cannot pass through Panama",IF(ship_choice="VLCC",((F72/24/Shipping!$AD$44+F72/24/Shipping!$AD$50+Shipping!$AD$59+Shipping!$AD$64)*(Shipping!$AD$22+wacc_nl*Shipping!$AD$19/365.25*1000000+Shipping!$AD$35)+(F72/24/Shipping!$AD$44*Shipping!$AD$45+Shipping!$AD$64*Shipping!$AD$65)*IF(bunker_choice="HFO",$H72,IF(bunker_choice="hydrogen",$BD72*hfo_e_density_lhv/h2_e_density_lhv,(DB72+DC72)*1000000/DD72*hfo_e_density_lhv/DBT_e_density_lhv))+(F72/24/Shipping!$AD$50*Shipping!$AD$51+Shipping!$AD$59*Shipping!$AD$60)*IF(bunker_choice="HFO",bunker_price_ROT,IF(bunker_choice="hydrogen",$BD72*hfo_e_density_lhv/h2_e_density_lhv,(DB72+DC72)*1000000/DD72*hfo_e_density_lhv/DBT_e_density_lhv))+Shipping!$AD$73+IF(G72="Panama",Shipping!$AD$55,0)+IF(G72="Suez",Shipping!$AD$56,0))/Shipping!$AD$31*DD72/1000000+IF(inland_transport_to_port="hv dc grid",$BM72/100*1000*DG72,IF(inland_transport_to_port="pipeline",$BN72,0)),((F72/24/Shipping!$N$44+F72/24/Shipping!$N$50+Shipping!$N$59+Shipping!$N$64)*(Shipping!$N$22+wacc_nl*Shipping!$N$19/365.25*1000000+Shipping!$N$35)+(F72/24/Shipping!$N$44*Shipping!$N$45+Shipping!$N$64*Shipping!$N$65)*IF(bunker_choice="HFO",$H72,IF(bunker_choice="hydrogen",$BD72*hfo_e_density_lhv/h2_e_density_lhv,(DB72+DC72)*1000000/DD72*hfo_e_density_lhv/DBT_e_density_lhv))+(F72/24/Shipping!$N$50*Shipping!$N$51+Shipping!$N$59*Shipping!$N$60)*IF(bunker_choice="HFO",bunker_price_ROT,IF(bunker_choice="hydrogen",$BD72*hfo_e_density_lhv/h2_e_density_lhv,(DB72+DC72)*1000000/DD72*hfo_e_density_lhv/DBT_e_density_lhv))+Shipping!$N$73+IF(G72="Panama",Shipping!$N$55,0)+IF(G72="Suez",Shipping!$N$56,0))/Shipping!$N$31*Shipping!$N$86/1000000+IF(inland_transport_to_port="hv dc grid",$BM72/100*1000*DG72,IF(inland_transport_to_port="pipeline",$BN72,0)))))</f>
        <v>4517.1925910894779</v>
      </c>
      <c r="DF72" s="28">
        <f t="shared" si="82"/>
        <v>38251.054470314077</v>
      </c>
      <c r="DG72" s="29">
        <f>((Carriers!$T$18/Carriers!$T$23*alk_el_e_demand)+DBT_e_demand)*(DD72+DBT_st_ab_losses)/1000000+DBT_st_e_demand*DD72/1000000</f>
        <v>703.88335483870969</v>
      </c>
      <c r="DH72" s="29">
        <f t="shared" ref="DH72:DH103" si="105">DBT_st_e_demand*DBT_st_nl_demand/1000000</f>
        <v>0.21935483870967742</v>
      </c>
      <c r="DI72" s="28">
        <f>IFERROR(DF72*1000000/Storage!$M$12,"")</f>
        <v>174.37980714407888</v>
      </c>
      <c r="DJ72" s="28">
        <f>IF($E72="","No Port",((F72/24/Shipping!$N$44+F72/24/Shipping!$N$50+Shipping!$N$59+Shipping!$N$64)*Carriers!$T$39*wacc_nl))</f>
        <v>3534.2379325515462</v>
      </c>
      <c r="DK72" s="100">
        <f>H2_retrieval!$L$25*h2_demand_kt/1000+(co2_liq_e_demand+co2_st_e_demand*2)*Storage!$M$12*co2_density/DBT_density/1000000</f>
        <v>206.61934861671787</v>
      </c>
      <c r="DL72" s="28">
        <f>IFERROR(((DF72*(1+H2_retrieval!$L$34)+DJ72)*1000000/H2_retrieval!$L$8)+h2_regen_lohc,"")</f>
        <v>3543.0977514377378</v>
      </c>
      <c r="DM72" s="149">
        <f t="shared" si="84"/>
        <v>50086.002802974501</v>
      </c>
      <c r="DN72" s="16">
        <f>2*(nabh4_st_nl_cost*nabh4_st_nl_demand/1000000+(nabh4_st_invest*(M72+1/nabh4_st_lifetime+nabh4_st_opex)/(Storage!$O$63/1000000)+nabh4_st_e_demand*1000*$AU72/100)*(DO72+nabh4_st_ab_losses)/1000000)+(h2_demand_kt*1000/365.25*short_st_duration_hrs/24)*(h2_short_st_invest*(1/gh2_short_st_lifetime+$M72+h2_short_st_opex)+h2_short_st_e_demand*1000*$AU72/100)/1000000</f>
        <v>1240.6693831648224</v>
      </c>
      <c r="DO72" s="63">
        <f>Storage!$O$57/((1-Shipping!$P$37)^($F72/24/Shipping!$P$44+0.5*Shipping!$P$59))</f>
        <v>63920000</v>
      </c>
      <c r="DP72" s="16">
        <f>IF($E72="","No Port",((F72/24/Shipping!$P$44+F72/24/Shipping!$P$50+Shipping!$P$59+Shipping!$P$64)*(Shipping!$P$22+wacc_nl*Shipping!$P$19/365.25*1000000+Shipping!$P$35)+(F72/24/Shipping!$P$44*Shipping!$P$45+Shipping!$P$64*Shipping!$P$65)*IF(bunker_choice="HFO",$H72,IF(bunker_choice="hydrogen",$BD72*hfo_e_density_lhv/h2_e_density_lhv,(DM72+DN72)*1000000/DO72*hfo_e_density_lhv/nabh4_e_density_lhv))+(F72/24/Shipping!$P$50*Shipping!$P$51+Shipping!$P$59*Shipping!$P$60)*IF(bunker_choice="HFO",bunker_price_ROT,IF(bunker_choice="hydrogen",$BD72*hfo_e_density_lhv/h2_e_density_lhv,(DM72+DN72)*1000000/DO72*hfo_e_density_lhv/nabh4_e_density_lhv))+Shipping!$P$73+IF(G72="Panama",Shipping!$P$55,0)+IF(G72="Suez",Shipping!$P$56,0))/Shipping!$P$31*(DO72+nabh4_st_ab_losses)/1000000+IF(inland_transport_to_port="hv dc grid",$BM72/100*1000*DR72,IF(inland_transport_to_port="pipeline",$BN72,0)))</f>
        <v>1637.7020158914818</v>
      </c>
      <c r="DQ72" s="28">
        <f t="shared" si="60"/>
        <v>52964.374202030805</v>
      </c>
      <c r="DR72" s="29">
        <f>((Carriers!$V$18/Carriers!$V$23*alk_el_e_demand)+nabh4_e_demand)*(DO72+nabh4_st_ab_losses)/1000000+nabh4_st_e_demand*DO72/1000000</f>
        <v>980.02139682539689</v>
      </c>
      <c r="DS72" s="28">
        <f t="shared" ref="DS72:DS103" si="106">nabh4_st_e_demand*nabh4_st_nl_demand/1000000</f>
        <v>3.1960000000000002</v>
      </c>
      <c r="DT72" s="28">
        <f>IFERROR(DQ72*1000000/Storage!$O$12,"")</f>
        <v>828.60410203427421</v>
      </c>
      <c r="DU72" s="28">
        <f>IF($E72="","No Port",((F72/24/Shipping!$P$44+F72/24/Shipping!$P$50+Shipping!$P$59+Shipping!$P$64)*Carriers!$V$39*wacc_nl))</f>
        <v>338.79691887127041</v>
      </c>
      <c r="DV72" s="100">
        <f>H2_retrieval!$N$25*h2_demand_kt/1000+(co2_liq_e_demand+co2_st_e_demand*2)*Storage!$O$12*co2_density/nabh4_density/1000000</f>
        <v>18.783638728971958</v>
      </c>
      <c r="DW72" s="28">
        <f>IFERROR(((DQ72*(1+H2_retrieval!$N$34)+DU72)*1000000/H2_retrieval!$N$8)+h2_regen_nabh4,"")</f>
        <v>4004.1138137552484</v>
      </c>
      <c r="DX72" s="149">
        <f>(Dme_invest*(M72+1/Dme_lifetime)/Dme_prod+Dme_opex+Dme_e_demand*1000*$AU72/100+Carriers!$X$21/Carriers!$X$23*(CO72*1000000/CS72))*(EB72+Dme_st_ab_losses)/1000000</f>
        <v>63962.738970276856</v>
      </c>
      <c r="DY72" s="86">
        <f>(Dme_invest*(M72+1/Dme_lifetime)/Dme_prod+Dme_opex+Dme_e_demand*1000*$AU72/100+Carriers!$X$21/Carriers!$X$23*(CP72*1000000/CS72))*(EB72+Dme_st_ab_losses)/1000000</f>
        <v>81553.063959468782</v>
      </c>
      <c r="DZ72" s="63">
        <f>Dme_st_nl_cost*Dme_st_nl_demand/1000000+(Dme_st_invest*(M72+1/Dme_st_lifetime+Dme_st_opex)/(Storage!$Q$63/1000000)+Dme_st_e_demand*1000*$AU72/100)*(EB72+Dme_st_ab_losses)/1000000+co2_st_nl_cost*Storage!$Q$12*co2_density/Dme_density/1000000+(co2_st_opex_lev+co2_st_invest_lev+co2_st_e_demand*1000*$AU72/100)*Storage!$Q$12/1000000+co2_st_invest_lev*Storage!$Q$12*co2_st_lifetime*M72/1000000+(h2_demand_kt*1000/365.25*short_st_duration_hrs/24)*(h2_short_st_invest*(1/gh2_short_st_lifetime+$M72+h2_short_st_opex)+h2_short_st_e_demand*1000*$AU72/100)/1000000</f>
        <v>5295.2946533094719</v>
      </c>
      <c r="EA72" s="63">
        <f>Dme_st_nl_cost*Dme_st_nl_demand/1000000+(Dme_st_invest*(M72+1/Dme_st_lifetime+Dme_st_opex)/(Storage!$Q$63/1000000)+Dme_st_e_demand*1000*$AU72/100)*(EB72+Dme_st_ab_losses)/1000000+(h2_demand_kt*1000/365.25*short_st_duration_hrs/24)*(h2_short_st_invest*(1/gh2_short_st_lifetime+$M72+h2_short_st_opex)+h2_short_st_e_demand*1000*$AU72/100)/1000000</f>
        <v>2554.9973999594222</v>
      </c>
      <c r="EB72" s="63">
        <f>Storage!$Q$57/((1-Shipping!$R$37)^($F72/24/Shipping!$R$44+0.5*Shipping!$R$59))</f>
        <v>103547089.94708996</v>
      </c>
      <c r="EC72" s="153">
        <f>IF($E72="","No Port",IF(AND(ship_choice="VLCC",G72="Panama"),"Ship cannot pass through Panama",IF(ship_choice="VLCC",((F72/24/Shipping!$AD$44+F72/24/Shipping!$AD$50+Shipping!$AD$59+Shipping!$AD$64)*(Shipping!$AD$22+wacc_nl*Shipping!$AD$19/365.25*1000000+Shipping!$AD$35)+(F72/24/Shipping!$AD$44*Shipping!$AD$45+Shipping!$AD$64*Shipping!$AD$65)*IF(bunker_choice="HFO",$H72,IF(bunker_choice="hydrogen",$BD72*hfo_e_density_lhv/h2_e_density_lhv,(DX72+DZ72)*1000000/EB72*hfo_e_density_lhv/Dme_e_density_lhv))+(F72/24/Shipping!$AD$50*Shipping!$AD$51+Shipping!$AD$59*Shipping!$AD$60)*IF(bunker_choice="HFO",bunker_price_ROT,IF(bunker_choice="hydrogen",$BD72*hfo_e_density_lhv/h2_e_density_lhv,(DX72+DZ72)*1000000/EB72*hfo_e_density_lhv/Dme_e_density_lhv))+Shipping!$AD$73+IF(G72="Panama",Shipping!$AD$55,0)+IF(G72="Suez",Shipping!$AD$56,0))/Shipping!$AD$31*(EB72+Dme_st_ab_losses)/1000000+IF(inland_transport_to_port="hv dc grid",$BM72/100*1000*EE72,IF(inland_transport_to_port="pipeline",$BN72,0)),((F72/24/Shipping!$R$44+F72/24/Shipping!$R$50+Shipping!$R$59+Shipping!$R$64)*(Shipping!$R$22+wacc_nl*Shipping!$R$19/365.25*1000000+Shipping!$R$35)+(F72/24/Shipping!$R$44*Shipping!$R$45+Shipping!$R$64*Shipping!$R$65)*IF(bunker_choice="HFO",$H72,IF(bunker_choice="hydrogen",$BD72*hfo_e_density_lhv/h2_e_density_lhv,(DX72+DZ72)*1000000/EB72*hfo_e_density_lhv/Dme_e_density_lhv))+(F72/24/Shipping!$R$50*Shipping!$R$51+Shipping!$R$59*Shipping!$R$60)*IF(bunker_choice="HFO",bunker_price_ROT,IF(bunker_choice="hydrogen",$BD72*hfo_e_density_lhv/h2_e_density_lhv,(DX72+DZ72)*1000000/EB72*hfo_e_density_lhv/Dme_e_density_lhv))+Shipping!$R$73+IF(G72="Panama",Shipping!$R$55,0)+IF(G72="Suez",Shipping!$R$56,0))/Shipping!$R$31*(EB72+Dme_st_ab_losses)/1000000+IF(inland_transport_to_port="hv dc grid",$BM72/100*1000*EE72,IF(inland_transport_to_port="pipeline",$BN72,0)))))</f>
        <v>2855.5759333711758</v>
      </c>
      <c r="ED72" s="28">
        <f t="shared" si="39"/>
        <v>86963.63729279938</v>
      </c>
      <c r="EE72" s="29">
        <f>(Dme_e_demand)*(EB72+Dme_st_ab_losses)/1000000+Dme_st_e_demand*DZ72/1000000+$CV72*(Carriers!$X$21/Carriers!$X$23*EB72)/$CS72</f>
        <v>1550.2168131200024</v>
      </c>
      <c r="EF72" s="29">
        <f t="shared" ref="EF72:EF103" si="107">Dme_st_e_demand*Dme_st_nl_demand/1000000</f>
        <v>1.0354708994708997</v>
      </c>
      <c r="EG72" s="28">
        <f>IFERROR(ED72*1000000/Storage!$Q$12,"")</f>
        <v>839.84627030306387</v>
      </c>
      <c r="EH72" s="28">
        <f>IF($E72="","No Port",((F72/24/Shipping!$R$44+F72/24/Shipping!$R$50+Shipping!$R$59+Shipping!$R$64)*Carriers!$X$39*wacc_nl))</f>
        <v>49.654819505096988</v>
      </c>
      <c r="EI72" s="100">
        <f>H2_retrieval!$P$25*h2_demand_kt/1000+(co2_liq_e_demand+co2_st_e_demand*2)*Storage!$Q$12*co2_density/Dme_density/1000000</f>
        <v>252.45335899349112</v>
      </c>
      <c r="EJ72" s="28">
        <f>IFERROR((((DX72+DZ72+EC72)*(1+H2_retrieval!$P$34)+EH72)*1000000/H2_retrieval!$P$8)+h2_regen_dme,"")</f>
        <v>6476.2509238183657</v>
      </c>
      <c r="EK72" s="149">
        <f>(ome_invest*(M72+1/ome_lifetime)/ome_prod+ome_opex+ome_e_demand*1000*$AU72/100+Carriers!$Z$21/Carriers!$Z$23*(CO72*1000000/CS72))*(EO72+ome_st_ab_losses)/1000000</f>
        <v>140409.68813211759</v>
      </c>
      <c r="EL72" s="86">
        <f>(ome_invest*(M72+1/ome_lifetime)/ome_prod+ome_opex+ome_e_demand*1000*$AU72/100+Carriers!$Z$21/Carriers!$Z$23*(CP72*1000000/CS72))*(EO72+ome_st_ab_losses)/1000000</f>
        <v>177335.20447045183</v>
      </c>
      <c r="EM72" s="63">
        <f>ome_st_nl_cost*ome_st_nl_demand/1000000+(ome_st_invest*(M72+1/ome_st_lifetime+ome_st_opex)/(Storage!$S$63/1000000)+ome_st_e_demand*1000*$AU72/100)*(EO72+ome_st_ab_losses)/1000000+co2_st_nl_cost*Storage!$S$12*co2_density/ome_density/1000000+(co2_st_opex_lev+co2_st_invest_lev+co2_st_e_demand*1000*$AU72/100)*Storage!$S$12/1000000+co2_st_invest_lev*Storage!$S$12*co2_st_lifetime*M72/1000000+(h2_demand_kt*1000/365.25*short_st_duration_hrs/24)*(h2_short_st_invest*(1/gh2_short_st_lifetime+$M72+h2_short_st_opex)+h2_short_st_e_demand*1000*$AU72/100)/1000000</f>
        <v>4564.5501810671831</v>
      </c>
      <c r="EN72" s="63">
        <f>ome_st_nl_cost*ome_st_nl_demand/1000000+(ome_st_invest*(M72+1/ome_st_lifetime+ome_st_opex)/(Storage!$S$63/1000000)+ome_st_e_demand*1000*$AU72/100)*(EO72+ome_st_ab_losses)/1000000+(h2_demand_kt*1000/365.25*short_st_duration_hrs/24)*(h2_short_st_invest*(1/gh2_short_st_lifetime+$M72+h2_short_st_opex)+h2_short_st_e_demand*1000*$AU72/100)/1000000</f>
        <v>1508.6153587093581</v>
      </c>
      <c r="EO72" s="63">
        <f>Storage!$S$57/((1-Shipping!$T$37)^($F72/24/Shipping!$T$44+0.5*Shipping!$T$59))</f>
        <v>128282539.68253967</v>
      </c>
      <c r="EP72" s="28">
        <f>IF($E72="","No Port",IF(AND(ship_choice="VLCC",G72="Panama"),"Ship cannot pass through Panama",IF(ship_choice="VLCC",((F72/24/Shipping!$AD$44+F72/24/Shipping!$AD$50+Shipping!$AD$59+Shipping!$AD$64)*(Shipping!$AD$22+wacc_nl*Shipping!$AD$19/365.25*1000000+Shipping!$AD$35)+(F72/24/Shipping!$AD$44*Shipping!$AD$45+Shipping!$AD$64*Shipping!$AD$65)*IF(bunker_choice="HFO",$H72,IF(bunker_choice="hydrogen",$BD72*hfo_e_density_lhv/h2_e_density_lhv,(EK72+EM72)*1000000/EO72*hfo_e_density_lhv/Dme_e_density_lhv))+(F72/24/Shipping!$AD$50*Shipping!$AD$51+Shipping!$AD$59*Shipping!$AD$60)*IF(bunker_choice="HFO",bunker_price_ROT,IF(bunker_choice="hydrogen",$BD72*hfo_e_density_lhv/h2_e_density_lhv,(EK72+EM72)*1000000/EO72*hfo_e_density_lhv/ome_e_density_lhv))+Shipping!$AD$73+IF(G72="Panama",Shipping!$AD$55,0)+IF(G72="Suez",Shipping!$AD$56,0))/Shipping!$AD$31*(EO72+ome_st_ab_losses)/1000000+IF(inland_transport_to_port="hv dc grid",$BM72/100*1000*ER72,IF(inland_transport_to_port="pipeline",$BN72,0)),((F72/24/Shipping!$T$44+F72/24/Shipping!$T$50+Shipping!$T$59+Shipping!$T$64)*(Shipping!$T$22+wacc_nl*Shipping!$T$19/365.25*1000000+Shipping!$T$35)+(F72/24/Shipping!$T$44*Shipping!$T$45+Shipping!$T$64*Shipping!$T$65)*IF(bunker_choice="HFO",$H72,IF(bunker_choice="hydrogen",$BD72*hfo_e_density_lhv/h2_e_density_lhv,(EK72+EM72)*1000000/EO72*hfo_e_density_lhv/Dme_e_density_lhv))+(F72/24/Shipping!$T$50*Shipping!$T$51+Shipping!$T$59*Shipping!$T$60)*IF(bunker_choice="HFO",bunker_price_ROT,IF(bunker_choice="hydrogen",$BD72*hfo_e_density_lhv/h2_e_density_lhv,(EK72+EM72)*1000000/EO72*hfo_e_density_lhv/ome_e_density_lhv))+Shipping!$T$73+IF(G72="Panama",Shipping!$T$55,0)+IF(G72="Suez",Shipping!$T$56,0))/Shipping!$T$31*(EO72+ome_st_ab_losses)/1000000+IF(inland_transport_to_port="hv dc grid",$BM72/100*1000*ER72,IF(inland_transport_to_port="pipeline",$BN72,0)))))</f>
        <v>2983.4857969701598</v>
      </c>
      <c r="EQ72" s="28">
        <f t="shared" si="40"/>
        <v>181827.30562613136</v>
      </c>
      <c r="ER72" s="29">
        <f>(ome_e_demand)*(EO72+ome_st_ab_losses)/1000000+ome_st_e_demand*EM72/1000000+$CV72*(Carriers!$Z$21/Carriers!$Z$23*EO72)/$CS72</f>
        <v>3352.0814569876088</v>
      </c>
      <c r="ES72" s="29">
        <f t="shared" ref="ES72:ES103" si="108">ome_st_e_demand*ome_st_nl_demand/1000000</f>
        <v>0.1924238095238095</v>
      </c>
      <c r="ET72" s="28">
        <f>IFERROR(EQ72*1000000/Storage!$S$12,"")</f>
        <v>1417.3971459880565</v>
      </c>
      <c r="EU72" s="28">
        <f>IF($E72="","No Port",((F72/24/Shipping!$T$44+F72/24/Shipping!$T$50+Shipping!$T$59+Shipping!$T$64)*Carriers!$Z$39*wacc_nl))</f>
        <v>57.614392945943884</v>
      </c>
      <c r="EV72" s="100">
        <f>H2_retrieval!$R$25*h2_demand_kt/1000+(co2_liq_e_demand+co2_st_e_demand*2)*Storage!$S$12*co2_density/ome_density/1000000</f>
        <v>254.51942895252085</v>
      </c>
      <c r="EW72" s="28">
        <f>IFERROR((((EK72+EM72+EP72)*(1+H2_retrieval!$R$34)+EU72)*1000000/H2_retrieval!$R$8)+h2_regen_ome,"")</f>
        <v>12053.609315482945</v>
      </c>
      <c r="EX72" s="149">
        <f>(sng_invest*(M72+1/sng_lifetime)/sng_prod+lng_invest*(M72+1/lng_lifetime)/lng_prod+sng_opex+lng_opex+(sng_e_demand+lng_e_demand)*1000*$AU72/100+Carriers!$AB$18/Carriers!$AB$23*BD72+Carriers!$AB$20/Carriers!$AB$23*co2_liq_cost)*(FB72+lng_st_ab_losses)/1000000</f>
        <v>49046.911063429579</v>
      </c>
      <c r="EY72" s="86">
        <f>(sng_invest*(M72+1/sng_lifetime)/sng_prod+lng_invest*(M72+1/lng_lifetime)/lng_prod+sng_opex+lng_opex+(sng_e_demand+lng_e_demand)*1000*$AU72/100+Carriers!$AB$18/Carriers!$AB$23*BD72+Carriers!$AB$20/Carriers!$AB$23*BP72)*(FB72+lng_st_ab_losses)/1000000</f>
        <v>58702.705447290842</v>
      </c>
      <c r="EZ72" s="63">
        <f>lng_st_nl_cost*lng_st_nl_demand/1000000+(lng_st_invest*(M72+1/lng_st_lifetime+lng_st_opex)/(Storage!$U$63/1000000)+lng_st_e_demand*1000*$AU72/100)*(FB72+lng_st_ab_losses)/1000000+co2_st_nl_cost*Storage!$U$12*co2_density/lng_density/1000000+(co2_st_opex_lev+co2_st_invest_lev+co2_st_e_demand*1000*$AU72/100)*Storage!$U$12/1000000+co2_st_invest_lev*Storage!$U$12*co2_st_lifetime*M72/1000000+Carriers!$AB$18/Carriers!$AB$23*((FB72+lng_st_ab_losses)/365.25*short_st_duration_hrs/24)*(h2_short_st_invest*(1/gh2_short_st_lifetime+$M72+h2_short_st_opex)+h2_short_st_e_demand*1000*$AU72/100)/1000000+Carriers!$AB$20/Carriers!$AB$23*((FB72+lng_st_ab_losses)/365.25*short_st_duration_hrs/24)*(co2_short_st_invest*(1/co2_short_st_lifetime+$M72+co2_short_st_opex)+co2_short_st_e_demand*1000*$AU72/100)/1000000</f>
        <v>5490.4232366570213</v>
      </c>
      <c r="FA72" s="63">
        <f>lng_st_nl_cost*lng_st_nl_demand/1000000+(lng_st_invest*(M72+1/lng_st_lifetime+lng_st_opex)/(Storage!$U$63/1000000)+lng_st_e_demand*1000*$AU72/100)*(FB72+lng_st_ab_losses)/1000000+Carriers!$AB$18/Carriers!$AB$23*((FB72+lng_st_ab_losses)/365.25*short_st_duration_hrs/24)*(h2_short_st_invest*(1/gh2_short_st_lifetime+$M72+h2_short_st_opex)+h2_short_st_e_demand*1000*$AU72/100)/1000000+Carriers!$AB$20/Carriers!$AB$23*((FB72+lng_st_ab_losses)/365.25*short_st_duration_hrs/24)*(co2_short_st_invest*(1/co2_short_st_lifetime+$M72+co2_short_st_opex)+co2_short_st_e_demand*1000*$AU72/100)/1000000</f>
        <v>3978.7059467458985</v>
      </c>
      <c r="FB72" s="63">
        <f>Storage!$U$57/((1-Shipping!$V$37)^($F72/24/Shipping!$V$44+0.5*Shipping!$V$59))</f>
        <v>40997412.741073214</v>
      </c>
      <c r="FC72" s="28">
        <f>IF($E72="","No Port",IF(G72="Panama","Ship cannot pass through Panama",((F72/24/Shipping!$V$44+F72/24/Shipping!$V$50+Shipping!$V$59+Shipping!$V$64)*(Shipping!$V$22+wacc_nl*Shipping!$V$19/365.25*1000000+Shipping!$V$35)+(F72/24/Shipping!$V$44*Shipping!$V$45+Shipping!$V$64*Shipping!$V$65)*IF(bunker_choice="HFO",$H72,IF(bunker_choice="hydrogen",$BD72*hfo_e_density_lhv/h2_e_density_lhv,(EX72+EZ72)*1000000/FB72*hfo_e_density_lhv/lng_e_density_lhv))+(F72/24/Shipping!$V$50*Shipping!$V$51+Shipping!$V$59*Shipping!$V$60)*IF(bunker_choice="HFO",bunker_price_ROT,IF(bunker_choice="hydrogen",$BD72*hfo_e_density_lhv/h2_e_density_lhv,(EX72+EZ72)*1000000/FB72*hfo_e_density_lhv/lng_e_density_lhv))+Shipping!$V$73+IF(G72="Panama",Shipping!$V$55,0)+IF(G72="Suez",Shipping!$V$56,0))/Shipping!$V$31*(FB72+lng_st_ab_losses)/1000000)+IF(inland_transport_to_port="hv dc grid",$BM72/100*1000*FE72,IF(inland_transport_to_port="pipeline",$BN72,0)))</f>
        <v>1479.2657553258368</v>
      </c>
      <c r="FD72" s="28">
        <f t="shared" si="41"/>
        <v>64160.677149362578</v>
      </c>
      <c r="FE72" s="29">
        <f>((Carriers!$AB$18/Carriers!$AB$23*alk_el_e_demand)+sng_e_demand+lng_e_demand)*(FB72+lng_st_ab_losses)/1000000+lng_st_e_demand*EZ72/1000000</f>
        <v>1099.5254765696357</v>
      </c>
      <c r="FF72" s="29">
        <f t="shared" ref="FF72:FF103" si="109">lng_st_e_demand*lng_st_nl_demand/1000000</f>
        <v>0.8126185861001558</v>
      </c>
      <c r="FG72" s="28">
        <f>IFERROR(FD72*1000000/Storage!$U$12,"")</f>
        <v>1580.9303271315091</v>
      </c>
      <c r="FH72" s="28">
        <f>IF($E72="","No Port",((F72/24/Shipping!$V$44+F72/24/Shipping!$V$50+Shipping!$V$59+Shipping!$V$64)*Carriers!$AB$39*wacc_nl))</f>
        <v>17.274711093788142</v>
      </c>
      <c r="FI72" s="100">
        <f>H2_retrieval!$T$25*h2_demand_kt/1000+(co2_liq_e_demand+co2_st_e_demand*2)*Storage!$U$12*co2_density/lng_density/1000000</f>
        <v>236.51371749646054</v>
      </c>
      <c r="FJ72" s="28">
        <f>IFERROR((((EX72+EZ72+FC72)*(1+H2_retrieval!$T$34)+FH72)*1000000/H2_retrieval!$T$8)+h2_regen_lng,"")</f>
        <v>5290.2663936745148</v>
      </c>
      <c r="FK72" s="149">
        <f>(lh2_invest*(M72+1/lh2_lifetime)/lh2_prod+lh2_opex+lh2_e_demand*1000*$AU72/100+Carriers!$AD$18/Carriers!$AD$23*BD72)*(FM72+lh2_st_ab_losses)/1000000</f>
        <v>38918.949012247896</v>
      </c>
      <c r="FL72" s="28">
        <f>lh2_st_nl_cost*lh2_st_nl_demand/1000000+(lh2_st_invest*(M72+1/lh2_st_lifetime+lh2_st_opex)/(Storage!$Y$63/1000000)+lh2_st_e_demand*1000*$AU72/100)*(FM72+lh2_st_ab_losses)/1000000+((FM72+lh2_st_ab_losses)/365.25*short_st_duration_hrs/24)*(h2_short_st_invest*(1/gh2_short_st_lifetime+$M72+h2_short_st_opex)+h2_short_st_e_demand*1000*$AU72/100)/1000000</f>
        <v>46902.093146789783</v>
      </c>
      <c r="FM72" s="63">
        <f>Storage!$Y$57/((1-Shipping!$Z$37)^($F72/24/Shipping!$Z$44+0.5*Shipping!$Z$59))</f>
        <v>13816176.10651611</v>
      </c>
      <c r="FN72" s="28">
        <f>IF($E72="","No Port",IF(G72="Panama","Ship cannot pass through Panama",((F72/24/Shipping!$Z$44+F72/24/Shipping!$Z$50+Shipping!$Z$59+Shipping!$Z$64)*(Shipping!$Z$22+wacc_nl*Shipping!$Z$19/365.25*1000000+Shipping!$Z$35)+(F72/24/Shipping!$Z$44*Shipping!$Z$45+Shipping!$Z$64*Shipping!$Z$65)*IF(bunker_choice="HFO",$H72,IF(bunker_choice="hydrogen",$BD72*hfo_e_density_lhv/h2_e_density_lhv,(FK72+FL72)*1000000/FM72*hfo_e_density_lhv/lh2_e_density_lhv))+(F72/24/Shipping!$Z$50*Shipping!$Z$51+Shipping!$Z$59*Shipping!$Z$60)*IF(bunker_choice="HFO",bunker_price_ROT,IF(bunker_choice="hydrogen",$BD72*hfo_e_density_lhv/h2_e_density_lhv,(FK72+FL72)*1000000/FM72*hfo_e_density_lhv/lh2_e_density_lhv))+Shipping!$Z$73+IF(G72="Panama",Shipping!$Z$55,0)+IF(G72="Suez",Shipping!$Z$56,0))/Shipping!$Z$31*(FM72+lh2_st_ab_losses)/1000000)+IF(inland_transport_to_port="hv dc grid",$BM72/100*1000*FP72,IF(inland_transport_to_port="pipeline",$BN72,0)))</f>
        <v>2206.5919502647694</v>
      </c>
      <c r="FO72" s="28">
        <f t="shared" si="42"/>
        <v>88027.634109302453</v>
      </c>
      <c r="FP72" s="29">
        <f>((Carriers!$AD$18/Carriers!$AD$23*alk_el_e_demand)+lh2_e_demand)*(FM72+lh2_st_ab_losses)/1000000+lh2_st_e_demand*FM72/1000000</f>
        <v>800.64116443409091</v>
      </c>
      <c r="FQ72" s="100">
        <f t="shared" ref="FQ72:FQ103" si="110">lh2_st_e_demand*lh2_st_nl_demand/1000000</f>
        <v>1.361902463475859</v>
      </c>
      <c r="FR72" s="28">
        <f>IFERROR(FO72*1000000/Storage!$Y$12,"")</f>
        <v>6472.6201550957694</v>
      </c>
      <c r="FS72" s="100">
        <f>H2_retrieval!$V$25*h2_demand_kt/1000</f>
        <v>8.16</v>
      </c>
      <c r="FT72" s="28">
        <f>IFERROR(FR72*(1+H2_retrieval!$V$34)/Carrier_properties!$U$7+H2_retrieval!$V$38,"")</f>
        <v>6504.5888809642365</v>
      </c>
      <c r="FU72" s="12"/>
      <c r="FV72" s="24">
        <f t="shared" si="90"/>
        <v>1.9729098524063626</v>
      </c>
      <c r="FW72" s="24">
        <f t="shared" si="92"/>
        <v>3.3785949571201588</v>
      </c>
      <c r="FX72" s="24">
        <f t="shared" si="93"/>
        <v>6.3875336147736368</v>
      </c>
      <c r="FY72" s="24">
        <f t="shared" si="45"/>
        <v>1.9729098524063626</v>
      </c>
      <c r="FZ72" s="28">
        <f t="shared" si="94"/>
        <v>2016.5547273108805</v>
      </c>
      <c r="GA72" s="28">
        <f t="shared" si="47"/>
        <v>477.41238931003613</v>
      </c>
      <c r="GB72" s="28">
        <f t="shared" si="48"/>
        <v>347.22037681556776</v>
      </c>
      <c r="GC72" s="28">
        <f t="shared" si="49"/>
        <v>537.71511511098436</v>
      </c>
      <c r="GD72" s="28">
        <f t="shared" si="50"/>
        <v>787.59397295607641</v>
      </c>
      <c r="GE72" s="28">
        <f t="shared" si="51"/>
        <v>1382.3799007199468</v>
      </c>
      <c r="GF72" s="28">
        <f t="shared" si="52"/>
        <v>1431.8636597396694</v>
      </c>
      <c r="GG72" s="12"/>
      <c r="GH72" s="12"/>
      <c r="GI72" s="12"/>
      <c r="GJ72" s="12"/>
      <c r="GK72" s="12"/>
      <c r="GL72" s="12"/>
      <c r="GM72" s="12"/>
      <c r="GN72" s="12"/>
      <c r="GO72" s="12"/>
      <c r="GP72" s="12"/>
      <c r="GQ72" s="12"/>
      <c r="GR72" s="12"/>
      <c r="GS72" s="12"/>
      <c r="GT72" s="12"/>
      <c r="GU72" s="12"/>
      <c r="GV72" s="12"/>
      <c r="GW72" s="12"/>
      <c r="GX72" s="12"/>
      <c r="GY72" s="12"/>
      <c r="GZ72" s="12"/>
      <c r="HA72" s="12"/>
      <c r="HB72" s="12"/>
      <c r="HC72" s="12"/>
      <c r="HD72" s="12"/>
      <c r="HE72" s="12"/>
      <c r="HF72" s="12"/>
    </row>
    <row r="73" spans="1:214" x14ac:dyDescent="0.2">
      <c r="A73" s="40" t="s">
        <v>77</v>
      </c>
      <c r="B73" s="12">
        <v>7928</v>
      </c>
      <c r="C73" s="12">
        <v>0</v>
      </c>
      <c r="D73" s="12">
        <f t="shared" ref="D73:D135" si="111">1-C73</f>
        <v>1</v>
      </c>
      <c r="E73" s="12" t="s">
        <v>740</v>
      </c>
      <c r="F73" s="12">
        <v>4312</v>
      </c>
      <c r="G73" s="12"/>
      <c r="H73" s="16">
        <f t="shared" ref="H73:H104" si="112">bunker_price_gen</f>
        <v>382.75862068965517</v>
      </c>
      <c r="I73" s="16">
        <v>10830</v>
      </c>
      <c r="J73" s="16">
        <f t="shared" ref="J73:J135" si="113">SQRT(I73/PI())</f>
        <v>58.713678707524821</v>
      </c>
      <c r="K73" s="27">
        <f t="shared" ref="K73:K135" si="114">IF(E73="","",1.2*J73)</f>
        <v>70.456414449029779</v>
      </c>
      <c r="L73" s="103">
        <v>0.16800000000000001</v>
      </c>
      <c r="M73" s="103">
        <f t="shared" ref="M73:M104" si="115">IF(wacc="dataset",L73,IF(wacc="dataset rv",wacc_average+SQRT(wacc_rv_factor)*(L73-wacc_average),uniform_wacc))</f>
        <v>0.16022829911175812</v>
      </c>
      <c r="N73" s="122">
        <f t="shared" ref="N73:N135" si="116">IF(Q73&gt;2500,0.75,IF(Q73&gt;2300,0.8,IF(Q73&gt;2100,0.85,0.9)))</f>
        <v>0.9</v>
      </c>
      <c r="O73" s="46">
        <f t="shared" ref="O73:O104" si="117">solar_lifetime</f>
        <v>40</v>
      </c>
      <c r="P73" s="70">
        <f t="array" ref="P73">SUMPRODUCT(IF(Solar_data!A$4:A$777=A73,Solar_data!C$4:C$777),IF(Solar_data!A$4:A$777=A73,Solar_data!I$4:I$777))/SUMIF(Solar_data!A$4:A$777,A73,Solar_data!I$4:I$777)</f>
        <v>2072.0046272966692</v>
      </c>
      <c r="Q73" s="16">
        <f t="array" ref="Q73">MAX(IF(Solar_data!$A$777:'Solar_data'!$A$4=Country_details!$A73,Solar_data!$C$4:'Solar_data'!$C$777))</f>
        <v>2098.75</v>
      </c>
      <c r="R73" s="16">
        <f t="array" ref="R73">MIN(IF(Solar_data!$A$777:'Solar_data'!$A$4=Country_details!A73,Solar_data!$C$4:'Solar_data'!$C$777))</f>
        <v>1916.25</v>
      </c>
      <c r="S73" s="24">
        <f t="shared" si="95"/>
        <v>2.6413584073547751</v>
      </c>
      <c r="T73" s="24">
        <f t="shared" si="96"/>
        <v>2.6076983168019319</v>
      </c>
      <c r="U73" s="24">
        <f t="shared" si="97"/>
        <v>2.8560505374497351</v>
      </c>
      <c r="V73" s="16">
        <f t="array" ref="V73">SUM(IF(Solar_data!$A$777:'Solar_data'!$A$4=Country_details!$A73,Solar_data!$I$4:'Solar_data'!$I$777))</f>
        <v>91.683531729741603</v>
      </c>
      <c r="W73" s="148"/>
      <c r="X73" s="16" t="str">
        <f>IFERROR(INDEX(Onshore_wind_data!$J$5:'Onshore_wind_data'!$J$221,MATCH(A73,Onshore_wind_data!$B$5:'Onshore_wind_data'!$B$221,0)),"")</f>
        <v/>
      </c>
      <c r="Y73" s="16" t="str">
        <f>IFERROR(INDEX(Onshore_wind_data!$K$5:'Onshore_wind_data'!$K$221,MATCH(A73,Onshore_wind_data!$B$5:'Onshore_wind_data'!$B$221,0)),"")</f>
        <v/>
      </c>
      <c r="Z73" s="16" t="str">
        <f>IFERROR(INDEX(Onshore_wind_data!$L$5:'Onshore_wind_data'!$L$221,MATCH(A73,Onshore_wind_data!$B$5:'Onshore_wind_data'!$B$221,0)),"")</f>
        <v/>
      </c>
      <c r="AA73" s="24" t="str">
        <f t="shared" ref="AA73:AA104" si="118">IFERROR(IF(X73="","",(onshore_invest*($M73+1/onshore_lifetime)+onshore_opex)/X73*100),"")</f>
        <v/>
      </c>
      <c r="AB73" s="24" t="str">
        <f t="shared" ref="AB73:AB104" si="119">IFERROR(IF(Y73="","",(onshore_invest*($M73+1/onshore_lifetime)+onshore_opex)/Y73*100),"")</f>
        <v/>
      </c>
      <c r="AC73" s="24" t="str">
        <f t="shared" ref="AC73:AC104" si="120">IFERROR(IF(Z73="","",(onshore_invest*($M73+1/onshore_lifetime)+onshore_opex)/Z73*100),"")</f>
        <v/>
      </c>
      <c r="AD73" s="16">
        <f>IFERROR(INDEX(Onshore_wind_data!$I$5:'Onshore_wind_data'!$I$221,MATCH(A73,Onshore_wind_data!$B$5:'Onshore_wind_data'!$B$221,0)),"")</f>
        <v>0</v>
      </c>
      <c r="AE73" s="148"/>
      <c r="AF73" s="16">
        <f>INDEX(Offshore_wind_data!$AA$7:$AA$192,MATCH(Country_details!A73,Offshore_wind_data!$A$7:$A$192,0))</f>
        <v>3780.7496798064608</v>
      </c>
      <c r="AG73" s="16">
        <f>INDEX(Offshore_wind_data!$Y$7:$Y$192,MATCH(Country_details!A73,Offshore_wind_data!$A$7:$A$192,0))</f>
        <v>4204.8</v>
      </c>
      <c r="AH73" s="16">
        <f>INDEX(Offshore_wind_data!$Z$7:$Z$192,MATCH(Country_details!A73,Offshore_wind_data!$A$7:$A$192,0))</f>
        <v>3153.6</v>
      </c>
      <c r="AI73" s="24">
        <f t="shared" si="98"/>
        <v>8.5252832388776696</v>
      </c>
      <c r="AJ73" s="24">
        <f t="shared" si="99"/>
        <v>7.6655160472902715</v>
      </c>
      <c r="AK73" s="24">
        <f t="shared" si="100"/>
        <v>10.220688063053696</v>
      </c>
      <c r="AL73" s="16">
        <f>INDEX(Offshore_wind_data!$W$7:$W$191,MATCH(A73,Offshore_wind_data!$A$7:$A$191,0))</f>
        <v>531.34656000000007</v>
      </c>
      <c r="AM73" s="148"/>
      <c r="AN73" s="12">
        <v>2.9</v>
      </c>
      <c r="AO73" s="12">
        <v>2.7</v>
      </c>
      <c r="AP73" s="34">
        <f>1.083*11.63</f>
        <v>12.59529</v>
      </c>
      <c r="AQ73" s="15">
        <f t="shared" si="101"/>
        <v>50</v>
      </c>
      <c r="AR73" s="12">
        <f t="shared" si="34"/>
        <v>135</v>
      </c>
      <c r="AS73" s="16">
        <f t="shared" ref="AS73:AS135" si="121">IFERROR(V73+AD73+AL73-AR73,V73-AR73)</f>
        <v>488.03009172974168</v>
      </c>
      <c r="AT73" s="12"/>
      <c r="AU73" s="24">
        <f t="shared" ref="AU73:AU101" si="122">IF($X73="",IF(OR(electricity_choice="min solar", electricity_choice="min hybrid"),$T73,IF(OR(electricity_choice="weighted solar",electricity_choice="weighted hybrid"),$S73,IF(OR(electricity_choice="max solar",electricity_choice="max hybrid"),$U73))),IF(electricity_choice="min solar",$T73,IF(electricity_choice="weighted solar",$S73,IF(electricity_choice="max solar",$U73,IF(electricity_choice="min hybrid",($T73*$Q73+$Y73*$AB73)/($Q73+$Y73),IF(electricity_choice="weighted hybrid",($S73*$P73+$X73*$AA73)/($P73+$X73),IF(electricity_choice="max hybrid",($U73*$R73+$Z73*$AC73)/($R73+$Z73))))))))</f>
        <v>2.6413584073547751</v>
      </c>
      <c r="AV73" s="16">
        <f t="shared" ref="AV73:AV101" si="123">IF($X73="",IF(OR(electricity_choice="min solar", electricity_choice="min hybrid"),$Q73,IF(OR(electricity_choice="weighted solar",electricity_choice="weighted hybrid"),$P73,IF(OR(electricity_choice="max solar",electricity_choice="max hybrid"),$R73))),IF(electricity_choice="min solar",$Q73,IF(electricity_choice="weighted solar",$P73,IF(electricity_choice="max solar",$R73,IF(electricity_choice="min hybrid",($Q73+$Y73),IF(electricity_choice="weighted hybrid",($P73+$X73),IF(electricity_choice="max hybrid",($R73+$Z73))))))))</f>
        <v>2072.0046272966692</v>
      </c>
      <c r="AW73" s="149">
        <f>HV_DC_Grid!$E$3/(1-AX73)*AU73/100*1000</f>
        <v>3130.517599979903</v>
      </c>
      <c r="AX73" s="31">
        <f>(1-(1-HV_DC_Grid!$E$25)^(B73*C73*HV_DC_Grid!$E$8/1000))+(1-(1-HV_DC_Grid!$E$26)^(B73*D73*HV_DC_Grid!$E$8/1000))+HV_DC_Grid!$E$35*HV_DC_Grid!$E$28</f>
        <v>0.156255052719802</v>
      </c>
      <c r="AY73" s="28">
        <f>B73*nl_e_demand/IF(hv_dc_flh="electricity FLH",$AV73,hv_dc_custom)*1000*hv_dc_capacity_multiplier*hv_dc_length_multiplier*1000*(C73*hv_dc_overhead_invest*(hv_dc_overhead_opex+M73+1/hv_dc_lifetime)+D73*hv_dc_sea_invest*(hv_dc_sea_opex+M73+1/hv_dc_lifetime))/1000000+HV_DC_Grid!$E$10*1000*hv_dc_station_invest*hv_dc_station_number*(hv_dc_station_opex+M73+1/hv_dc_lifetime)/1000000</f>
        <v>26500.358723956164</v>
      </c>
      <c r="AZ73" s="24">
        <f>(AW73+AY73)/(HV_DC_Grid!$E$3*1000)*100</f>
        <v>29.630876323936068</v>
      </c>
      <c r="BA73" s="28">
        <f>MIN(((Carriers!$F$26+Carriers!$F$27)*(alk_el_opex+wacc_nl+1/alk_el_lifetime)+IF(hv_dc_flh="electricity FLH",$AV73,hv_dc_custom)*AZ73/100)/(IF(hv_dc_flh="electricity FLH",$AV73,hv_dc_custom)/alk_el_e_demand)*1000,((Carriers!$H$26+Carriers!$H$27)*(pem_el_opex+wacc_nl+1/pem_el_lifetime)+IF(hv_dc_flh="electricity FLH",$AV73,hv_dc_custom)*AZ73/100)/(IF(hv_dc_flh="electricity FLH",$AV73,hv_dc_custom)/pem_el_e_demand)*1000)</f>
        <v>15306.99168099143</v>
      </c>
      <c r="BB73" s="12"/>
      <c r="BC73" s="12"/>
      <c r="BD73" s="149">
        <f>MIN(((Carriers!$F$26+Carriers!$F$27)*(alk_el_opex+M73+1/alk_el_lifetime)+$AV73*$AU73/100)/($AV73/alk_el_e_demand)*1000,((Carriers!$H$26+Carriers!$H$27)*(pem_el_opex+M73+1/pem_el_lifetime)+$AV73*$AU73/100)/($AV73/pem_el_e_demand)*1000)</f>
        <v>3296.7873360367785</v>
      </c>
      <c r="BE73" s="28">
        <f>Storage!$AC$50</f>
        <v>8.1664117557772418</v>
      </c>
      <c r="BF73" s="28">
        <f>((Pipeline!$D$22*Pipeline!$D$24*B73*(pipeline_opex+M73+1/pipeline_lifetime))*(Pipeline!$D$39/Pipeline!$D$3)+(Pipeline!$D$57*(pipeline_comp_opex+M73+1/pipeline_comp_lifetime)+Pipeline!$D$47*1000*Pipeline!$D$45*$AU73/100/1000000))*(Pipeline!$D$75/Pipeline!$D$45)</f>
        <v>21089.588338429057</v>
      </c>
      <c r="BG73" s="28">
        <f>BD73+(BE73+BF73)/Storage!$AC$12*1000000</f>
        <v>4848.092832373899</v>
      </c>
      <c r="BH73" s="28"/>
      <c r="BI73" s="28"/>
      <c r="BJ73" s="28">
        <f>IF($E73="","No Port",BK73*HV_DC_Grid!$E$3*$AU73/100*1000)</f>
        <v>40.578588785177487</v>
      </c>
      <c r="BK73" s="31">
        <f>IFERROR((1-(1-HV_DC_Grid!$E$25)^(K73*HV_DC_Grid!$E$8/1000))+HV_DC_Grid!$E$35*HV_DC_Grid!$E$28,"")</f>
        <v>1.5362772682490854E-2</v>
      </c>
      <c r="BL73" s="28">
        <f>IFERROR(K73*nl_e_demand/IF(hv_dc_flh="electricity FLH",$AV73,hv_dc_custom)*1000*hv_dc_capacity_multiplier*hv_dc_length_multiplier*1000*(hv_dc_overhead_invest*(hv_dc_overhead_opex+M73+1/hv_dc_lifetime))/1000000+HV_DC_Grid!$E$10*1000*hv_dc_station_invest*hv_dc_station_number*(hv_dc_station_opex+M73+1/hv_dc_lifetime)/1000000,"")</f>
        <v>588.02956349425858</v>
      </c>
      <c r="BM73" s="29">
        <f>IFERROR((BJ73+BL73)/(HV_DC_Grid!$E$3*1000)*100,"")</f>
        <v>0.62860815227943612</v>
      </c>
      <c r="BN73" s="28">
        <f>IFERROR(((Pipeline!$D$22*Pipeline!$D$24*K73*(pipeline_opex+M73+1/pipeline_lifetime))*(Pipeline!$D$39/Pipeline!$D$3)+(Pipeline!$D$57*(pipeline_comp_opex+M73+1/pipeline_comp_lifetime)+Pipeline!$D$47*1000*Pipeline!$D$45*S73/100/1000000))*(Pipeline!$D$75/Pipeline!$D$45),"")</f>
        <v>275.52078146910765</v>
      </c>
      <c r="BO73" s="28"/>
      <c r="BP73" s="150">
        <f t="shared" ref="BP73:BP104" si="124">DAC_invest*(M73+1/DAC_lifetime)/DAC_prod+DAC_opex+DAC_e_demand*1000*$AU73/100</f>
        <v>131.14162079633033</v>
      </c>
      <c r="BQ73" s="34">
        <f t="shared" ref="BQ73:BQ104" si="125">n2_invest*(M73+1/n2_lifetime)/n2_prod+n2_opex+n2_e_demand*1000*$AU73/100</f>
        <v>39.38997187523298</v>
      </c>
      <c r="BR73" s="151">
        <f>(nh3_invest*(M73+1/nh3_lifetime)/nh3_prod+nh3_opex+nh3_e_demand*1000*$AU73/100+Carriers!$N$18/Carriers!$N$23*BD73+Carriers!$N$19/Carriers!$N$23*BQ73)*(BT73+nh3_st_ab_losses)/1000000</f>
        <v>59365.304739180945</v>
      </c>
      <c r="BS73" s="63">
        <f>nh3_st_nl_cost*nh3_st_nl_demand/1000000+(nh3_st_invest*(M73+1/nh3_st_lifetime+nh3_st_opex)/(Storage!$G$63/1000000)+nh3_st_e_demand*1000*$AU73/100)*(BT73+nh3_st_ab_losses)/1000000+Carriers!$N$18/Carriers!$N$23*((BT73+nh3_st_ab_losses)/365.25*short_st_duration_hrs/24)*(h2_short_st_invest*(1/gh2_short_st_lifetime+$M73+h2_short_st_opex)+h2_short_st_e_demand*1000*$AU73/100)/1000000+Carriers!$N$19/Carriers!$N$23*((BT73+nh3_st_ab_losses)/365.25*short_st_duration_hrs/24)*(n2_short_st_invest*(1/n2_short_st_lifetime+$M73+n2_short_st_opex)+n2_short_st_e_demand*1000*$AU73/100)/1000000</f>
        <v>3853.3644048665565</v>
      </c>
      <c r="BT73" s="63">
        <f>Storage!$G$57/((1-Shipping!$H$37)^(F73/24/Shipping!$H$44+0.5*Shipping!$H$59))</f>
        <v>78980325.388158962</v>
      </c>
      <c r="BU73" s="63">
        <f>IF($E73="","No Port",((F73/24/Shipping!$H$44+F73/24/Shipping!$H$50+Shipping!$H$59+Shipping!$H$64)*(Shipping!$H$22+wacc_nl*Shipping!$H$19/365.25*1000000+Shipping!$H$35)+(F73/24/Shipping!$H$44*Shipping!$H$45+Shipping!$H$64*Shipping!$H$65)*IF(bunker_choice="HFO",H73,IF(bunker_choice="hydrogen",BD73*hfo_e_density_lhv/h2_e_density_lhv,(BR73+BS73)*1000000/BT73*hfo_e_density_lhv/nh3_e_density_lhv))+(F73/24/Shipping!$H$50*Shipping!$H$51+Shipping!$H$59*Shipping!$H$60)*IF(bunker_choice="HFO",bunker_price_ROT,IF(bunker_choice="hydrogen",BD73*hfo_e_density_lhv/h2_e_density_lhv,(BR73+BS73)*1000000/BT73*hfo_e_density_lhv/nh3_e_density_lhv))+Shipping!$H$73+IF(G73="Panama",Shipping!$H$55,0)+IF(G73="Suez",Shipping!$H$56,0))/Shipping!$H$31*BT73/1000000+IF(inland_transport_to_port="hv dc grid",$BM73/100*1000*BW73,IF(inland_transport_to_port="pipeline",$BN73,0)))</f>
        <v>3342.3894342004014</v>
      </c>
      <c r="BV73" s="63">
        <f t="shared" ref="BV73:BV104" si="126">IFERROR(BR73+BS73+BU73,"")</f>
        <v>66561.058578247903</v>
      </c>
      <c r="BW73" s="33">
        <f>((Carriers!$N$18/Carriers!$N$23*alk_el_e_demand)+(Carriers!$N$19/Carriers!$N$23*n2_e_demand)+nh3_e_demand)*(BT73+nh3_st_ab_losses)/1000000+nh3_st_e_demand*BT73/1000000</f>
        <v>779.95111331982469</v>
      </c>
      <c r="BX73" s="33">
        <f t="shared" si="102"/>
        <v>0.76626754477640768</v>
      </c>
      <c r="BY73" s="63">
        <f>IFERROR(BV73*1000000/Storage!$G$12,"")</f>
        <v>869.36367144576877</v>
      </c>
      <c r="BZ73" s="63">
        <f>H2_retrieval!$F$25*h2_demand_kt/1000</f>
        <v>80</v>
      </c>
      <c r="CA73" s="63">
        <f>IFERROR(BY73*(1+H2_retrieval!$F$34)/Carrier_properties!$E$7+H2_retrieval!$F$38,"")</f>
        <v>5303.4214633384336</v>
      </c>
      <c r="CB73" s="149">
        <f>(FA_invest*(M73+1/FA_lifetime)/FA_prod+FA_opex+FA_e_demand*1000*$AU73/100+Carriers!$P$18/Carriers!$P$23*BD73+Carriers!$P$20/Carriers!$P$23*co2_liq_cost)*(CF73+FA_st_ab_losses)/1000000</f>
        <v>115988.45278908749</v>
      </c>
      <c r="CC73" s="86">
        <f>(FA_invest*(M73+1/FA_lifetime)/FA_prod+FA_opex+FA_e_demand*1000*$AU73/100+Carriers!$P$18/Carriers!$P$23*BD73+Carriers!$P$20/Carriers!$P$23*BP73)*(CF73+FA_st_ab_losses)/1000000</f>
        <v>147911.95376619385</v>
      </c>
      <c r="CD73" s="63">
        <f>FA_st_nl_cost*FA_st_nl_demand/1000000+(FA_st_invest*(M73+1/FA_st_lifetime+FA_st_opex)/(Storage!$I$63/1000000)+FA_st_e_demand*1000*$AU73/100)*(CF73+FA_st_ab_losses)/1000000+co2_st_nl_cost*Storage!$I$12*co2_density/FA_density/1000000+(co2_st_opex_lev+co2_st_invest_lev+co2_st_e_demand*1000*$AU73/100)*Storage!$I$12/1000000+co2_st_invest_lev*Storage!$I$12*co2_st_lifetime*M73/1000000+Carriers!$P$18/Carriers!$P$23*((CF73+FA_st_ab_losses)/365.25*short_st_duration_hrs/24)*(h2_short_st_invest*(1/gh2_short_st_lifetime+$M73+h2_short_st_opex)+h2_short_st_e_demand*1000*$AU73/100)/1000000+Carriers!$P$20/Carriers!$P$23*((CF73+FA_st_ab_losses)/365.25*short_st_duration_hrs/24)*(co2_short_st_invest*(1/co2_short_st_lifetime+$M73+co2_short_st_opex)+co2_short_st_e_demand*1000*$AU73/100)/1000000</f>
        <v>12901.535244524743</v>
      </c>
      <c r="CE73" s="63">
        <f>FA_st_nl_cost*FA_st_nl_demand/1000000+(FA_st_invest*(M73+1/FA_st_lifetime+FA_st_opex)/(Storage!$I$63/1000000)+FA_st_e_demand*1000*$AU73/100)*(CF73+FA_st_ab_losses)/1000000+Carriers!$P$18/Carriers!$P$23*((CF73+FA_st_ab_losses)/365.25*short_st_duration_hrs/24)*(h2_short_st_invest*(1/gh2_short_st_lifetime+$M73+h2_short_st_opex)+h2_short_st_e_demand*1000*$AU73/100)/1000000+Carriers!$P$20/Carriers!$P$23*((CF73+FA_st_ab_losses)/365.25*short_st_duration_hrs/24)*(co2_short_st_invest*(1/co2_short_st_lifetime+$M73+co2_short_st_opex)+co2_short_st_e_demand*1000*$AU73/100)/1000000</f>
        <v>5715.3244241107022</v>
      </c>
      <c r="CF73" s="63">
        <f>Storage!$I$57/((1-Shipping!$J$37)^($F73/24/Shipping!$J$44+0.5*Shipping!$J$59))</f>
        <v>310425396.82539684</v>
      </c>
      <c r="CG73" s="28">
        <f>IF($E73="","No Port",((F73/24/Shipping!$J$44+F73/24/Shipping!$J$50+Shipping!$J$59+Shipping!$J$64)*(Shipping!$J$22+wacc_nl*Shipping!$J$19/365.25*1000000+Shipping!$J$35)+(F73/24/Shipping!$J$44*Shipping!$J$45+Shipping!$J$64*Shipping!$J$65)*IF(bunker_choice="HFO",$H73,IF(bunker_choice="hydrogen",$BD73*hfo_e_density_lhv/h2_e_density_lhv,(CB73+CD73)*1000000/CF73*hfo_e_density_lhv/FA_e_density_lhv))+(F73/24/Shipping!$J$50*Shipping!$J$51+Shipping!$J$59*Shipping!$J$60)*IF(bunker_choice="HFO",bunker_price_ROT,IF(bunker_choice="hydrogen",$BD73*hfo_e_density_lhv/h2_e_density_lhv,(CB73+CD73)*1000000/CF73*hfo_e_density_lhv/FA_e_density_lhv))+Shipping!$J$73+IF(G73="Panama",Shipping!$J$55,0)+IF(G73="Suez",Shipping!$J$56,0))/Shipping!$J$31*CF73/1000000+IF(inland_transport_to_port="hv dc grid",$BM73/100*1000*CI73,IF(inland_transport_to_port="pipeline",$BN73,0)))</f>
        <v>13860.01514825374</v>
      </c>
      <c r="CH73" s="28">
        <f t="shared" si="36"/>
        <v>167487.29333855829</v>
      </c>
      <c r="CI73" s="29">
        <f>((Carriers!$P$18/Carriers!$P$23*alk_el_e_demand)+FA_e_demand)*(CF73+FA_st_ab_losses)/1000000+FA_st_e_demand*CF73/1000000</f>
        <v>1897.8881241622576</v>
      </c>
      <c r="CJ73" s="29">
        <f t="shared" si="103"/>
        <v>0.46563809523809524</v>
      </c>
      <c r="CK73" s="28">
        <f>IFERROR(CH73*1000000/Storage!$I$12,"")</f>
        <v>539.54120716728562</v>
      </c>
      <c r="CL73" s="28">
        <f>IF($E73="","No Port",((F73/24/Shipping!$J$44+F73/24/Shipping!$J$50+Shipping!$J$59+Shipping!$J$64)*Carriers!$P$39*wacc_nl))</f>
        <v>223.45844677776631</v>
      </c>
      <c r="CM73" s="29">
        <f>H2_retrieval!$H$25*h2_demand_kt/1000+(co2_liq_e_demand+co2_st_e_demand*2)*Storage!$I$12*co2_density/FA_density/1000000</f>
        <v>94.204253879484654</v>
      </c>
      <c r="CN73" s="28">
        <f>IFERROR((((CB73+CD73+CG73)*(1+H2_retrieval!$H$34)+CL73)*1000000/H2_retrieval!$H$8)+h2_regen_fa,"")</f>
        <v>10602.441899284877</v>
      </c>
      <c r="CO73" s="149">
        <f>(meoh_invest*(M73+1/meoh_lifetime)/meoh_prod+meoh_opex+meoh_e_demand*1000*$AU73/100+Carriers!$R$18/Carriers!$R$23*BD73+Carriers!$R$20/Carriers!$R$23*co2_liq_cost)*(CS73+meoh_st_ab_losses)/1000000</f>
        <v>72002.5085837019</v>
      </c>
      <c r="CP73" s="86">
        <f>(meoh_invest*(M73+1/meoh_lifetime)/meoh_prod+meoh_opex+meoh_e_demand*1000*$AU73/100+Carriers!$R$18/Carriers!$R$23*BD73+Carriers!$R$20/Carriers!$R$23*BP73)*(CS73+meoh_st_ab_losses)/1000000</f>
        <v>90742.589194363798</v>
      </c>
      <c r="CQ73" s="63">
        <f>meoh_st_nl_cost*meoh_st_nl_demand/1000000+(meoh_st_invest*(M73+1/meoh_st_lifetime+meoh_st_opex)/(Storage!$K$63/1000000)+meoh_st_e_demand*1000*$AU73/100)*(CS73+meoh_st_ab_losses)/1000000+co2_st_nl_cost*Storage!$K$12*co2_density/meoh_density/1000000+(co2_st_opex_lev+co2_st_invest_lev+co2_st_e_demand*1000*IFERROR(MIN(S73,AA73,AI73),S73)/100)*Storage!$K$12/1000000+co2_st_invest_lev*Storage!$K$12*co2_st_lifetime*M73/1000000+Carriers!$R$18/Carriers!$R$23*((CS73+meoh_st_ab_losses)/365.25*short_st_duration_hrs/24)*(h2_short_st_invest*(1/gh2_short_st_lifetime+$M73+h2_short_st_opex)+h2_short_st_e_demand*1000*$AU73/100)/1000000+Carriers!$R$20/Carriers!$R$23*((CF73+meoh_st_ab_losses)/365.25*short_st_duration_hrs/24)*(co2_short_st_invest*(1/co2_short_st_lifetime+$M73+co2_short_st_opex)+co2_short_st_e_demand*1000*$AU73/100)/1000000</f>
        <v>5392.2197035554254</v>
      </c>
      <c r="CR73" s="63">
        <f>meoh_st_nl_cost*meoh_st_nl_demand/1000000+(meoh_st_invest*(M73+1/meoh_st_lifetime+meoh_st_opex)/(Storage!$K$63/1000000)+meoh_st_e_demand*1000*$AU73/100)*(CS73+meoh_st_ab_losses)/1000000+Carriers!$R$18/Carriers!$R$23*((CS73+meoh_st_ab_losses)/365.25*short_st_duration_hrs/24)*(h2_short_st_invest*(1/gh2_short_st_lifetime+$M73+h2_short_st_opex)+h2_short_st_e_demand*1000*$AU73/100)/1000000+Carriers!$R$20/Carriers!$R$23*((CF73+meoh_st_ab_losses)/365.25*short_st_duration_hrs/24)*(co2_short_st_invest*(1/co2_short_st_lifetime+$M73+co2_short_st_opex)+co2_short_st_e_demand*1000*$AU73/100)/1000000</f>
        <v>2292.0411002892611</v>
      </c>
      <c r="CS73" s="63">
        <f>Storage!$K$57/((1-Shipping!$L$37)^($F73/24/Shipping!$L$44+0.5*Shipping!$L$59))</f>
        <v>108044444.44444443</v>
      </c>
      <c r="CT73" s="28">
        <f>IF($E73="","No Port",IF(AND(ship_choice="VLCC",G73="Panama"),"Ship cannot pass through Panama",IF(ship_choice="VLCC",((F73/24/Shipping!$AD$44+F73/24/Shipping!$AD$50+Shipping!$AD$59+Shipping!$AD$64)*(Shipping!$AD$22+wacc_nl*Shipping!$AD$19/365.25*1000000+Shipping!$AD$35)+(F73/24/Shipping!$AD$44*Shipping!$AD$45+Shipping!$AD$64*Shipping!$AD$65)*IF(bunker_choice="HFO",$H73,IF(bunker_choice="hydrogen",$BD73*hfo_e_density_lhv/h2_e_density_lhv,(CO73+CQ73)*1000000/CS73*hfo_e_density_lhv/meoh_e_density_lhv))+(F73/24/Shipping!$AD$50*Shipping!$AD$51+Shipping!$AD$59*Shipping!$AD$60)*IF(bunker_choice="HFO",bunker_price_ROT,IF(bunker_choice="hydrogen",$BD73*hfo_e_density_lhv/h2_e_density_lhv,(CO73+CQ73)*1000000/CS73*hfo_e_density_lhv/meoh_e_density_lhv))+Shipping!$AD$73+IF(G73="Panama",Shipping!$AD$55,0)+IF(G73="Suez",Shipping!$AD$56,0))/Shipping!$AD$31*CS73/1000000+IF(inland_transport_to_port="hv dc grid",$BM73/100*1000*CV73,IF(inland_transport_to_port="pipeline",$BN73,0)),((F73/24/Shipping!$L$44+F73/24/Shipping!$L$50+Shipping!$L$59+Shipping!$L$64)*(Shipping!$L$22+wacc_nl*Shipping!$L$19/365.25*1000000+Shipping!$L$35)+(F73/24/Shipping!$L$44*Shipping!$L$45+Shipping!$L$64*Shipping!$L$65)*IF(bunker_choice="HFO",$H73,IF(bunker_choice="hydrogen",$BD73*hfo_e_density_lhv/h2_e_density_lhv,(CO73+CQ73)*1000000/CS73*hfo_e_density_lhv/meoh_e_density_lhv))+(F73/24/Shipping!$L$50*Shipping!$L$51+Shipping!$L$59*Shipping!$L$60)*IF(bunker_choice="HFO",bunker_price_ROT,IF(bunker_choice="hydrogen",$BD73*hfo_e_density_lhv/h2_e_density_lhv,(CO73+CQ73)*1000000/CS73*hfo_e_density_lhv/meoh_e_density_lhv))+Shipping!$L$73+IF(G73="Panama",Shipping!$L$55,0)+IF(G73="Suez",Shipping!$L$56,0))/Shipping!$L$31*CS73/1000000+IF(inland_transport_to_port="hv dc grid",$BM73/100*1000*CV73,IF(inland_transport_to_port="pipeline",$BN73,0)))))</f>
        <v>4730.4440254679566</v>
      </c>
      <c r="CU73" s="28">
        <f t="shared" si="37"/>
        <v>97765.074320121013</v>
      </c>
      <c r="CV73" s="29">
        <f>((Carriers!$R$18/Carriers!$R$23*alk_el_e_demand)+meoh_e_demand)*(CS73+meoh_st_ab_losses)/1000000+meoh_st_e_demand*CS73/1000000</f>
        <v>1119.9789871111109</v>
      </c>
      <c r="CW73" s="29">
        <f t="shared" si="104"/>
        <v>0.16206666666666666</v>
      </c>
      <c r="CX73" s="28">
        <f>IFERROR(CU73*1000000/Storage!$K$12,"")</f>
        <v>904.85979934295483</v>
      </c>
      <c r="CY73" s="28">
        <f>IF($E73="","No Port",((F73/24/Shipping!$L$44+F73/24/Shipping!$L$50+Shipping!$L$59+Shipping!$L$64)*Carriers!$R$39*wacc_nl))</f>
        <v>79.920080586528528</v>
      </c>
      <c r="CZ73" s="29">
        <f>H2_retrieval!$J$25*h2_demand_kt/1000+(co2_liq_e_demand+co2_st_e_demand*2)*Storage!$K$12*co2_density/meoh_density/1000000</f>
        <v>251.05079059698966</v>
      </c>
      <c r="DA73" s="28">
        <f>IFERROR((((CO73+CQ73+CT73)*(1+H2_retrieval!$J$34)+CY73)*1000000/H2_retrieval!$J$8)+h2_regen_meoh,"")</f>
        <v>7214.6206309396302</v>
      </c>
      <c r="DB73" s="149">
        <f>(DBT_invest*(M73+1/DBT_lifetime)/DBT_prod+DBT_opex+DBT_e_demand*1000*$AU73/100+Carriers!$T$18/Carriers!$T$23*BD73)*(DD73+DBT_st_ab_losses)/1000000</f>
        <v>48485.188701878491</v>
      </c>
      <c r="DC73" s="28">
        <f>2*(DBT_st_nl_cost*DBT_st_nl_demand/1000000+(DBT_st_invest*(M73+1/DBT_st_lifetime+DBT_st_opex)/(Storage!$M$63/1000000)+DBT_st_e_demand*1000*$AU73/100)*(DD73+DBT_st_ab_losses)/1000000)+Carriers!$T$18/Carriers!$T$23*((DD73+DBT_st_ab_losses)/365.25*short_st_duration_hrs/24)*(h2_short_st_invest*(1/gh2_short_st_lifetime+$M73+h2_short_st_opex)+h2_short_st_e_demand*1000*$AU73/100)/1000000</f>
        <v>4642.4810912247594</v>
      </c>
      <c r="DD73" s="63">
        <f>Storage!$M$57/((1-Shipping!$N$37)^($F73/24/Shipping!$N$44+0.5*Shipping!$N$59))</f>
        <v>219354838.70967743</v>
      </c>
      <c r="DE73" s="28">
        <f>IF($E73="","No Port",IF(AND(ship_choice="VLCC",G73="Panama"),"Ship cannot pass through Panama",IF(ship_choice="VLCC",((F73/24/Shipping!$AD$44+F73/24/Shipping!$AD$50+Shipping!$AD$59+Shipping!$AD$64)*(Shipping!$AD$22+wacc_nl*Shipping!$AD$19/365.25*1000000+Shipping!$AD$35)+(F73/24/Shipping!$AD$44*Shipping!$AD$45+Shipping!$AD$64*Shipping!$AD$65)*IF(bunker_choice="HFO",$H73,IF(bunker_choice="hydrogen",$BD73*hfo_e_density_lhv/h2_e_density_lhv,(DB73+DC73)*1000000/DD73*hfo_e_density_lhv/DBT_e_density_lhv))+(F73/24/Shipping!$AD$50*Shipping!$AD$51+Shipping!$AD$59*Shipping!$AD$60)*IF(bunker_choice="HFO",bunker_price_ROT,IF(bunker_choice="hydrogen",$BD73*hfo_e_density_lhv/h2_e_density_lhv,(DB73+DC73)*1000000/DD73*hfo_e_density_lhv/DBT_e_density_lhv))+Shipping!$AD$73+IF(G73="Panama",Shipping!$AD$55,0)+IF(G73="Suez",Shipping!$AD$56,0))/Shipping!$AD$31*DD73/1000000+IF(inland_transport_to_port="hv dc grid",$BM73/100*1000*DG73,IF(inland_transport_to_port="pipeline",$BN73,0)),((F73/24/Shipping!$N$44+F73/24/Shipping!$N$50+Shipping!$N$59+Shipping!$N$64)*(Shipping!$N$22+wacc_nl*Shipping!$N$19/365.25*1000000+Shipping!$N$35)+(F73/24/Shipping!$N$44*Shipping!$N$45+Shipping!$N$64*Shipping!$N$65)*IF(bunker_choice="HFO",$H73,IF(bunker_choice="hydrogen",$BD73*hfo_e_density_lhv/h2_e_density_lhv,(DB73+DC73)*1000000/DD73*hfo_e_density_lhv/DBT_e_density_lhv))+(F73/24/Shipping!$N$50*Shipping!$N$51+Shipping!$N$59*Shipping!$N$60)*IF(bunker_choice="HFO",bunker_price_ROT,IF(bunker_choice="hydrogen",$BD73*hfo_e_density_lhv/h2_e_density_lhv,(DB73+DC73)*1000000/DD73*hfo_e_density_lhv/DBT_e_density_lhv))+Shipping!$N$73+IF(G73="Panama",Shipping!$N$55,0)+IF(G73="Suez",Shipping!$N$56,0))/Shipping!$N$31*Shipping!$N$86/1000000+IF(inland_transport_to_port="hv dc grid",$BM73/100*1000*DG73,IF(inland_transport_to_port="pipeline",$BN73,0)))))</f>
        <v>8681.9990309052355</v>
      </c>
      <c r="DF73" s="28">
        <f t="shared" si="82"/>
        <v>61809.668824008491</v>
      </c>
      <c r="DG73" s="29">
        <f>((Carriers!$T$18/Carriers!$T$23*alk_el_e_demand)+DBT_e_demand)*(DD73+DBT_st_ab_losses)/1000000+DBT_st_e_demand*DD73/1000000</f>
        <v>703.88335483870969</v>
      </c>
      <c r="DH73" s="29">
        <f t="shared" si="105"/>
        <v>0.21935483870967742</v>
      </c>
      <c r="DI73" s="28">
        <f>IFERROR(DF73*1000000/Storage!$M$12,"")</f>
        <v>281.77937258003868</v>
      </c>
      <c r="DJ73" s="28">
        <f>IF($E73="","No Port",((F73/24/Shipping!$N$44+F73/24/Shipping!$N$50+Shipping!$N$59+Shipping!$N$64)*Carriers!$T$39*wacc_nl))</f>
        <v>5820.8420561949815</v>
      </c>
      <c r="DK73" s="100">
        <f>H2_retrieval!$L$25*h2_demand_kt/1000+(co2_liq_e_demand+co2_st_e_demand*2)*Storage!$M$12*co2_density/DBT_density/1000000</f>
        <v>206.61934861671787</v>
      </c>
      <c r="DL73" s="28">
        <f>IFERROR(((DF73*(1+H2_retrieval!$L$34)+DJ73)*1000000/H2_retrieval!$L$8)+h2_regen_lohc,"")</f>
        <v>5443.4814630066976</v>
      </c>
      <c r="DM73" s="149">
        <f t="shared" ref="DM73:DM104" si="127">(nabh4_invest*(M73+1/nabh4_lifetime)/nabh4_prod+nabh4_opex+nabh4_e_demand*1000*$AU73/100)*(DO73+nabh4_st_ab_losses)/1000000</f>
        <v>54136.99048721492</v>
      </c>
      <c r="DN73" s="16">
        <f>2*(nabh4_st_nl_cost*nabh4_st_nl_demand/1000000+(nabh4_st_invest*(M73+1/nabh4_st_lifetime+nabh4_st_opex)/(Storage!$O$63/1000000)+nabh4_st_e_demand*1000*$AU73/100)*(DO73+nabh4_st_ab_losses)/1000000)+(h2_demand_kt*1000/365.25*short_st_duration_hrs/24)*(h2_short_st_invest*(1/gh2_short_st_lifetime+$M73+h2_short_st_opex)+h2_short_st_e_demand*1000*$AU73/100)/1000000</f>
        <v>1556.9376648337009</v>
      </c>
      <c r="DO73" s="63">
        <f>Storage!$O$57/((1-Shipping!$P$37)^($F73/24/Shipping!$P$44+0.5*Shipping!$P$59))</f>
        <v>63920000</v>
      </c>
      <c r="DP73" s="16">
        <f>IF($E73="","No Port",((F73/24/Shipping!$P$44+F73/24/Shipping!$P$50+Shipping!$P$59+Shipping!$P$64)*(Shipping!$P$22+wacc_nl*Shipping!$P$19/365.25*1000000+Shipping!$P$35)+(F73/24/Shipping!$P$44*Shipping!$P$45+Shipping!$P$64*Shipping!$P$65)*IF(bunker_choice="HFO",$H73,IF(bunker_choice="hydrogen",$BD73*hfo_e_density_lhv/h2_e_density_lhv,(DM73+DN73)*1000000/DO73*hfo_e_density_lhv/nabh4_e_density_lhv))+(F73/24/Shipping!$P$50*Shipping!$P$51+Shipping!$P$59*Shipping!$P$60)*IF(bunker_choice="HFO",bunker_price_ROT,IF(bunker_choice="hydrogen",$BD73*hfo_e_density_lhv/h2_e_density_lhv,(DM73+DN73)*1000000/DO73*hfo_e_density_lhv/nabh4_e_density_lhv))+Shipping!$P$73+IF(G73="Panama",Shipping!$P$55,0)+IF(G73="Suez",Shipping!$P$56,0))/Shipping!$P$31*(DO73+nabh4_st_ab_losses)/1000000+IF(inland_transport_to_port="hv dc grid",$BM73/100*1000*DR73,IF(inland_transport_to_port="pipeline",$BN73,0)))</f>
        <v>2444.056907833633</v>
      </c>
      <c r="DQ73" s="28">
        <f t="shared" si="60"/>
        <v>58137.985059882252</v>
      </c>
      <c r="DR73" s="29">
        <f>((Carriers!$V$18/Carriers!$V$23*alk_el_e_demand)+nabh4_e_demand)*(DO73+nabh4_st_ab_losses)/1000000+nabh4_st_e_demand*DO73/1000000</f>
        <v>980.02139682539689</v>
      </c>
      <c r="DS73" s="28">
        <f t="shared" si="106"/>
        <v>3.1960000000000002</v>
      </c>
      <c r="DT73" s="28">
        <f>IFERROR(DQ73*1000000/Storage!$O$12,"")</f>
        <v>909.54294524221302</v>
      </c>
      <c r="DU73" s="28">
        <f>IF($E73="","No Port",((F73/24/Shipping!$P$44+F73/24/Shipping!$P$50+Shipping!$P$59+Shipping!$P$64)*Carriers!$V$39*wacc_nl))</f>
        <v>543.49158843971543</v>
      </c>
      <c r="DV73" s="100">
        <f>H2_retrieval!$N$25*h2_demand_kt/1000+(co2_liq_e_demand+co2_st_e_demand*2)*Storage!$O$12*co2_density/nabh4_density/1000000</f>
        <v>18.783638728971958</v>
      </c>
      <c r="DW73" s="28">
        <f>IFERROR(((DQ73*(1+H2_retrieval!$N$34)+DU73)*1000000/H2_retrieval!$N$8)+h2_regen_nabh4,"")</f>
        <v>4407.1857067388464</v>
      </c>
      <c r="DX73" s="149">
        <f>(Dme_invest*(M73+1/Dme_lifetime)/Dme_prod+Dme_opex+Dme_e_demand*1000*$AU73/100+Carriers!$X$21/Carriers!$X$23*(CO73*1000000/CS73))*(EB73+Dme_st_ab_losses)/1000000</f>
        <v>101223.57453319996</v>
      </c>
      <c r="DY73" s="86">
        <f>(Dme_invest*(M73+1/Dme_lifetime)/Dme_prod+Dme_opex+Dme_e_demand*1000*$AU73/100+Carriers!$X$21/Carriers!$X$23*(CP73*1000000/CS73))*(EB73+Dme_st_ab_losses)/1000000</f>
        <v>126647.567478967</v>
      </c>
      <c r="DZ73" s="63">
        <f>Dme_st_nl_cost*Dme_st_nl_demand/1000000+(Dme_st_invest*(M73+1/Dme_st_lifetime+Dme_st_opex)/(Storage!$Q$63/1000000)+Dme_st_e_demand*1000*$AU73/100)*(EB73+Dme_st_ab_losses)/1000000+co2_st_nl_cost*Storage!$Q$12*co2_density/Dme_density/1000000+(co2_st_opex_lev+co2_st_invest_lev+co2_st_e_demand*1000*$AU73/100)*Storage!$Q$12/1000000+co2_st_invest_lev*Storage!$Q$12*co2_st_lifetime*M73/1000000+(h2_demand_kt*1000/365.25*short_st_duration_hrs/24)*(h2_short_st_invest*(1/gh2_short_st_lifetime+$M73+h2_short_st_opex)+h2_short_st_e_demand*1000*$AU73/100)/1000000</f>
        <v>6481.6196522780629</v>
      </c>
      <c r="EA73" s="63">
        <f>Dme_st_nl_cost*Dme_st_nl_demand/1000000+(Dme_st_invest*(M73+1/Dme_st_lifetime+Dme_st_opex)/(Storage!$Q$63/1000000)+Dme_st_e_demand*1000*$AU73/100)*(EB73+Dme_st_ab_losses)/1000000+(h2_demand_kt*1000/365.25*short_st_duration_hrs/24)*(h2_short_st_invest*(1/gh2_short_st_lifetime+$M73+h2_short_st_opex)+h2_short_st_e_demand*1000*$AU73/100)/1000000</f>
        <v>3383.5854174443757</v>
      </c>
      <c r="EB73" s="63">
        <f>Storage!$Q$57/((1-Shipping!$R$37)^($F73/24/Shipping!$R$44+0.5*Shipping!$R$59))</f>
        <v>103547089.94708996</v>
      </c>
      <c r="EC73" s="153">
        <f>IF($E73="","No Port",IF(AND(ship_choice="VLCC",G73="Panama"),"Ship cannot pass through Panama",IF(ship_choice="VLCC",((F73/24/Shipping!$AD$44+F73/24/Shipping!$AD$50+Shipping!$AD$59+Shipping!$AD$64)*(Shipping!$AD$22+wacc_nl*Shipping!$AD$19/365.25*1000000+Shipping!$AD$35)+(F73/24/Shipping!$AD$44*Shipping!$AD$45+Shipping!$AD$64*Shipping!$AD$65)*IF(bunker_choice="HFO",$H73,IF(bunker_choice="hydrogen",$BD73*hfo_e_density_lhv/h2_e_density_lhv,(DX73+DZ73)*1000000/EB73*hfo_e_density_lhv/Dme_e_density_lhv))+(F73/24/Shipping!$AD$50*Shipping!$AD$51+Shipping!$AD$59*Shipping!$AD$60)*IF(bunker_choice="HFO",bunker_price_ROT,IF(bunker_choice="hydrogen",$BD73*hfo_e_density_lhv/h2_e_density_lhv,(DX73+DZ73)*1000000/EB73*hfo_e_density_lhv/Dme_e_density_lhv))+Shipping!$AD$73+IF(G73="Panama",Shipping!$AD$55,0)+IF(G73="Suez",Shipping!$AD$56,0))/Shipping!$AD$31*(EB73+Dme_st_ab_losses)/1000000+IF(inland_transport_to_port="hv dc grid",$BM73/100*1000*EE73,IF(inland_transport_to_port="pipeline",$BN73,0)),((F73/24/Shipping!$R$44+F73/24/Shipping!$R$50+Shipping!$R$59+Shipping!$R$64)*(Shipping!$R$22+wacc_nl*Shipping!$R$19/365.25*1000000+Shipping!$R$35)+(F73/24/Shipping!$R$44*Shipping!$R$45+Shipping!$R$64*Shipping!$R$65)*IF(bunker_choice="HFO",$H73,IF(bunker_choice="hydrogen",$BD73*hfo_e_density_lhv/h2_e_density_lhv,(DX73+DZ73)*1000000/EB73*hfo_e_density_lhv/Dme_e_density_lhv))+(F73/24/Shipping!$R$50*Shipping!$R$51+Shipping!$R$59*Shipping!$R$60)*IF(bunker_choice="HFO",bunker_price_ROT,IF(bunker_choice="hydrogen",$BD73*hfo_e_density_lhv/h2_e_density_lhv,(DX73+DZ73)*1000000/EB73*hfo_e_density_lhv/Dme_e_density_lhv))+Shipping!$R$73+IF(G73="Panama",Shipping!$R$55,0)+IF(G73="Suez",Shipping!$R$56,0))/Shipping!$R$31*(EB73+Dme_st_ab_losses)/1000000+IF(inland_transport_to_port="hv dc grid",$BM73/100*1000*EE73,IF(inland_transport_to_port="pipeline",$BN73,0)))))</f>
        <v>4725.6356782664643</v>
      </c>
      <c r="ED73" s="28">
        <f t="shared" si="39"/>
        <v>134756.78857467783</v>
      </c>
      <c r="EE73" s="29">
        <f>(Dme_e_demand)*(EB73+Dme_st_ab_losses)/1000000+Dme_st_e_demand*DZ73/1000000+$CV73*(Carriers!$X$21/Carriers!$X$23*EB73)/$CS73</f>
        <v>1550.2168249832523</v>
      </c>
      <c r="EF73" s="29">
        <f t="shared" si="107"/>
        <v>1.0354708994708997</v>
      </c>
      <c r="EG73" s="28">
        <f>IFERROR(ED73*1000000/Storage!$Q$12,"")</f>
        <v>1301.405849681872</v>
      </c>
      <c r="EH73" s="28">
        <f>IF($E73="","No Port",((F73/24/Shipping!$R$44+F73/24/Shipping!$R$50+Shipping!$R$59+Shipping!$R$64)*Carriers!$X$39*wacc_nl))</f>
        <v>82.732878091319151</v>
      </c>
      <c r="EI73" s="100">
        <f>H2_retrieval!$P$25*h2_demand_kt/1000+(co2_liq_e_demand+co2_st_e_demand*2)*Storage!$Q$12*co2_density/Dme_density/1000000</f>
        <v>252.45335899349112</v>
      </c>
      <c r="EJ73" s="28">
        <f>IFERROR((((DX73+DZ73+EC73)*(1+H2_retrieval!$P$34)+EH73)*1000000/H2_retrieval!$P$8)+h2_regen_dme,"")</f>
        <v>9443.184627154631</v>
      </c>
      <c r="EK73" s="149">
        <f>(ome_invest*(M73+1/ome_lifetime)/ome_prod+ome_opex+ome_e_demand*1000*$AU73/100+Carriers!$Z$21/Carriers!$Z$23*(CO73*1000000/CS73))*(EO73+ome_st_ab_losses)/1000000</f>
        <v>220040.49076584339</v>
      </c>
      <c r="EL73" s="86">
        <f>(ome_invest*(M73+1/ome_lifetime)/ome_prod+ome_opex+ome_e_demand*1000*$AU73/100+Carriers!$Z$21/Carriers!$Z$23*(CP73*1000000/CS73))*(EO73+ome_st_ab_losses)/1000000</f>
        <v>273410.40107059554</v>
      </c>
      <c r="EM73" s="63">
        <f>ome_st_nl_cost*ome_st_nl_demand/1000000+(ome_st_invest*(M73+1/ome_st_lifetime+ome_st_opex)/(Storage!$S$63/1000000)+ome_st_e_demand*1000*$AU73/100)*(EO73+ome_st_ab_losses)/1000000+co2_st_nl_cost*Storage!$S$12*co2_density/ome_density/1000000+(co2_st_opex_lev+co2_st_invest_lev+co2_st_e_demand*1000*$AU73/100)*Storage!$S$12/1000000+co2_st_invest_lev*Storage!$S$12*co2_st_lifetime*M73/1000000+(h2_demand_kt*1000/365.25*short_st_duration_hrs/24)*(h2_short_st_invest*(1/gh2_short_st_lifetime+$M73+h2_short_st_opex)+h2_short_st_e_demand*1000*$AU73/100)/1000000</f>
        <v>5549.7236823726953</v>
      </c>
      <c r="EN73" s="63">
        <f>ome_st_nl_cost*ome_st_nl_demand/1000000+(ome_st_invest*(M73+1/ome_st_lifetime+ome_st_opex)/(Storage!$S$63/1000000)+ome_st_e_demand*1000*$AU73/100)*(EO73+ome_st_ab_losses)/1000000+(h2_demand_kt*1000/365.25*short_st_duration_hrs/24)*(h2_short_st_invest*(1/gh2_short_st_lifetime+$M73+h2_short_st_opex)+h2_short_st_e_demand*1000*$AU73/100)/1000000</f>
        <v>2050.5952507445763</v>
      </c>
      <c r="EO73" s="63">
        <f>Storage!$S$57/((1-Shipping!$T$37)^($F73/24/Shipping!$T$44+0.5*Shipping!$T$59))</f>
        <v>128282539.68253967</v>
      </c>
      <c r="EP73" s="28">
        <f>IF($E73="","No Port",IF(AND(ship_choice="VLCC",G73="Panama"),"Ship cannot pass through Panama",IF(ship_choice="VLCC",((F73/24/Shipping!$AD$44+F73/24/Shipping!$AD$50+Shipping!$AD$59+Shipping!$AD$64)*(Shipping!$AD$22+wacc_nl*Shipping!$AD$19/365.25*1000000+Shipping!$AD$35)+(F73/24/Shipping!$AD$44*Shipping!$AD$45+Shipping!$AD$64*Shipping!$AD$65)*IF(bunker_choice="HFO",$H73,IF(bunker_choice="hydrogen",$BD73*hfo_e_density_lhv/h2_e_density_lhv,(EK73+EM73)*1000000/EO73*hfo_e_density_lhv/Dme_e_density_lhv))+(F73/24/Shipping!$AD$50*Shipping!$AD$51+Shipping!$AD$59*Shipping!$AD$60)*IF(bunker_choice="HFO",bunker_price_ROT,IF(bunker_choice="hydrogen",$BD73*hfo_e_density_lhv/h2_e_density_lhv,(EK73+EM73)*1000000/EO73*hfo_e_density_lhv/ome_e_density_lhv))+Shipping!$AD$73+IF(G73="Panama",Shipping!$AD$55,0)+IF(G73="Suez",Shipping!$AD$56,0))/Shipping!$AD$31*(EO73+ome_st_ab_losses)/1000000+IF(inland_transport_to_port="hv dc grid",$BM73/100*1000*ER73,IF(inland_transport_to_port="pipeline",$BN73,0)),((F73/24/Shipping!$T$44+F73/24/Shipping!$T$50+Shipping!$T$59+Shipping!$T$64)*(Shipping!$T$22+wacc_nl*Shipping!$T$19/365.25*1000000+Shipping!$T$35)+(F73/24/Shipping!$T$44*Shipping!$T$45+Shipping!$T$64*Shipping!$T$65)*IF(bunker_choice="HFO",$H73,IF(bunker_choice="hydrogen",$BD73*hfo_e_density_lhv/h2_e_density_lhv,(EK73+EM73)*1000000/EO73*hfo_e_density_lhv/Dme_e_density_lhv))+(F73/24/Shipping!$T$50*Shipping!$T$51+Shipping!$T$59*Shipping!$T$60)*IF(bunker_choice="HFO",bunker_price_ROT,IF(bunker_choice="hydrogen",$BD73*hfo_e_density_lhv/h2_e_density_lhv,(EK73+EM73)*1000000/EO73*hfo_e_density_lhv/ome_e_density_lhv))+Shipping!$T$73+IF(G73="Panama",Shipping!$T$55,0)+IF(G73="Suez",Shipping!$T$56,0))/Shipping!$T$31*(EO73+ome_st_ab_losses)/1000000+IF(inland_transport_to_port="hv dc grid",$BM73/100*1000*ER73,IF(inland_transport_to_port="pipeline",$BN73,0)))))</f>
        <v>5278.845068272527</v>
      </c>
      <c r="EQ73" s="28">
        <f t="shared" si="40"/>
        <v>280739.84138961264</v>
      </c>
      <c r="ER73" s="29">
        <f>(ome_e_demand)*(EO73+ome_st_ab_losses)/1000000+ome_st_e_demand*EM73/1000000+$CV73*(Carriers!$Z$21/Carriers!$Z$23*EO73)/$CS73</f>
        <v>3352.081458465369</v>
      </c>
      <c r="ES73" s="29">
        <f t="shared" si="108"/>
        <v>0.1924238095238095</v>
      </c>
      <c r="ET73" s="28">
        <f>IFERROR(EQ73*1000000/Storage!$S$12,"")</f>
        <v>2188.449356275285</v>
      </c>
      <c r="EU73" s="28">
        <f>IF($E73="","No Port",((F73/24/Shipping!$T$44+F73/24/Shipping!$T$50+Shipping!$T$59+Shipping!$T$64)*Carriers!$Z$39*wacc_nl))</f>
        <v>94.8901256514377</v>
      </c>
      <c r="EV73" s="100">
        <f>H2_retrieval!$R$25*h2_demand_kt/1000+(co2_liq_e_demand+co2_st_e_demand*2)*Storage!$S$12*co2_density/ome_density/1000000</f>
        <v>254.51942895252085</v>
      </c>
      <c r="EW73" s="28">
        <f>IFERROR((((EK73+EM73+EP73)*(1+H2_retrieval!$R$34)+EU73)*1000000/H2_retrieval!$R$8)+h2_regen_ome,"")</f>
        <v>18152.771899235824</v>
      </c>
      <c r="EX73" s="149">
        <f>(sng_invest*(M73+1/sng_lifetime)/sng_prod+lng_invest*(M73+1/lng_lifetime)/lng_prod+sng_opex+lng_opex+(sng_e_demand+lng_e_demand)*1000*$AU73/100+Carriers!$AB$18/Carriers!$AB$23*BD73+Carriers!$AB$20/Carriers!$AB$23*co2_liq_cost)*(FB73+lng_st_ab_losses)/1000000</f>
        <v>78449.843694771655</v>
      </c>
      <c r="EY73" s="86">
        <f>(sng_invest*(M73+1/sng_lifetime)/sng_prod+lng_invest*(M73+1/lng_lifetime)/lng_prod+sng_opex+lng_opex+(sng_e_demand+lng_e_demand)*1000*$AU73/100+Carriers!$AB$18/Carriers!$AB$23*BD73+Carriers!$AB$20/Carriers!$AB$23*BP73)*(FB73+lng_st_ab_losses)/1000000</f>
        <v>92500.420234452205</v>
      </c>
      <c r="EZ73" s="63">
        <f>lng_st_nl_cost*lng_st_nl_demand/1000000+(lng_st_invest*(M73+1/lng_st_lifetime+lng_st_opex)/(Storage!$U$63/1000000)+lng_st_e_demand*1000*$AU73/100)*(FB73+lng_st_ab_losses)/1000000+co2_st_nl_cost*Storage!$U$12*co2_density/lng_density/1000000+(co2_st_opex_lev+co2_st_invest_lev+co2_st_e_demand*1000*$AU73/100)*Storage!$U$12/1000000+co2_st_invest_lev*Storage!$U$12*co2_st_lifetime*M73/1000000+Carriers!$AB$18/Carriers!$AB$23*((FB73+lng_st_ab_losses)/365.25*short_st_duration_hrs/24)*(h2_short_st_invest*(1/gh2_short_st_lifetime+$M73+h2_short_st_opex)+h2_short_st_e_demand*1000*$AU73/100)/1000000+Carriers!$AB$20/Carriers!$AB$23*((FB73+lng_st_ab_losses)/365.25*short_st_duration_hrs/24)*(co2_short_st_invest*(1/co2_short_st_lifetime+$M73+co2_short_st_opex)+co2_short_st_e_demand*1000*$AU73/100)/1000000</f>
        <v>6957.0410148667161</v>
      </c>
      <c r="FA73" s="63">
        <f>lng_st_nl_cost*lng_st_nl_demand/1000000+(lng_st_invest*(M73+1/lng_st_lifetime+lng_st_opex)/(Storage!$U$63/1000000)+lng_st_e_demand*1000*$AU73/100)*(FB73+lng_st_ab_losses)/1000000+Carriers!$AB$18/Carriers!$AB$23*((FB73+lng_st_ab_losses)/365.25*short_st_duration_hrs/24)*(h2_short_st_invest*(1/gh2_short_st_lifetime+$M73+h2_short_st_opex)+h2_short_st_e_demand*1000*$AU73/100)/1000000+Carriers!$AB$20/Carriers!$AB$23*((FB73+lng_st_ab_losses)/365.25*short_st_duration_hrs/24)*(co2_short_st_invest*(1/co2_short_st_lifetime+$M73+co2_short_st_opex)+co2_short_st_e_demand*1000*$AU73/100)/1000000</f>
        <v>5305.1127051107205</v>
      </c>
      <c r="FB73" s="63">
        <f>Storage!$U$57/((1-Shipping!$V$37)^($F73/24/Shipping!$V$44+0.5*Shipping!$V$59))</f>
        <v>41275850.504959971</v>
      </c>
      <c r="FC73" s="28">
        <f>IF($E73="","No Port",IF(G73="Panama","Ship cannot pass through Panama",((F73/24/Shipping!$V$44+F73/24/Shipping!$V$50+Shipping!$V$59+Shipping!$V$64)*(Shipping!$V$22+wacc_nl*Shipping!$V$19/365.25*1000000+Shipping!$V$35)+(F73/24/Shipping!$V$44*Shipping!$V$45+Shipping!$V$64*Shipping!$V$65)*IF(bunker_choice="HFO",$H73,IF(bunker_choice="hydrogen",$BD73*hfo_e_density_lhv/h2_e_density_lhv,(EX73+EZ73)*1000000/FB73*hfo_e_density_lhv/lng_e_density_lhv))+(F73/24/Shipping!$V$50*Shipping!$V$51+Shipping!$V$59*Shipping!$V$60)*IF(bunker_choice="HFO",bunker_price_ROT,IF(bunker_choice="hydrogen",$BD73*hfo_e_density_lhv/h2_e_density_lhv,(EX73+EZ73)*1000000/FB73*hfo_e_density_lhv/lng_e_density_lhv))+Shipping!$V$73+IF(G73="Panama",Shipping!$V$55,0)+IF(G73="Suez",Shipping!$V$56,0))/Shipping!$V$31*(FB73+lng_st_ab_losses)/1000000)+IF(inland_transport_to_port="hv dc grid",$BM73/100*1000*FE73,IF(inland_transport_to_port="pipeline",$BN73,0)))</f>
        <v>1941.3641562182265</v>
      </c>
      <c r="FD73" s="28">
        <f t="shared" si="41"/>
        <v>99746.897095781154</v>
      </c>
      <c r="FE73" s="29">
        <f>((Carriers!$AB$18/Carriers!$AB$23*alk_el_e_demand)+sng_e_demand+lng_e_demand)*(FB73+lng_st_ab_losses)/1000000+lng_st_e_demand*EZ73/1000000</f>
        <v>1106.9845201381174</v>
      </c>
      <c r="FF73" s="29">
        <f t="shared" si="109"/>
        <v>0.8126185861001558</v>
      </c>
      <c r="FG73" s="28">
        <f>IFERROR(FD73*1000000/Storage!$U$12,"")</f>
        <v>2457.781021993982</v>
      </c>
      <c r="FH73" s="28">
        <f>IF($E73="","No Port",((F73/24/Shipping!$V$44+F73/24/Shipping!$V$50+Shipping!$V$59+Shipping!$V$64)*Carriers!$AB$39*wacc_nl))</f>
        <v>28.04580881229521</v>
      </c>
      <c r="FI73" s="100">
        <f>H2_retrieval!$T$25*h2_demand_kt/1000+(co2_liq_e_demand+co2_st_e_demand*2)*Storage!$U$12*co2_density/lng_density/1000000</f>
        <v>236.51371749646054</v>
      </c>
      <c r="FJ73" s="28">
        <f>IFERROR((((EX73+EZ73+FC73)*(1+H2_retrieval!$T$34)+FH73)*1000000/H2_retrieval!$T$8)+h2_regen_lng,"")</f>
        <v>7594.8560928041234</v>
      </c>
      <c r="FK73" s="149">
        <f>(lh2_invest*(M73+1/lh2_lifetime)/lh2_prod+lh2_opex+lh2_e_demand*1000*$AU73/100+Carriers!$AD$18/Carriers!$AD$23*BD73)*(FM73+lh2_st_ab_losses)/1000000</f>
        <v>61702.114659141778</v>
      </c>
      <c r="FL73" s="28">
        <f>lh2_st_nl_cost*lh2_st_nl_demand/1000000+(lh2_st_invest*(M73+1/lh2_st_lifetime+lh2_st_opex)/(Storage!$Y$63/1000000)+lh2_st_e_demand*1000*$AU73/100)*(FM73+lh2_st_ab_losses)/1000000+((FM73+lh2_st_ab_losses)/365.25*short_st_duration_hrs/24)*(h2_short_st_invest*(1/gh2_short_st_lifetime+$M73+h2_short_st_opex)+h2_short_st_e_demand*1000*$AU73/100)/1000000</f>
        <v>61072.851271902262</v>
      </c>
      <c r="FM73" s="63">
        <f>Storage!$Y$57/((1-Shipping!$Z$37)^($F73/24/Shipping!$Z$44+0.5*Shipping!$Z$59))</f>
        <v>13966672.697913839</v>
      </c>
      <c r="FN73" s="28">
        <f>IF($E73="","No Port",IF(G73="Panama","Ship cannot pass through Panama",((F73/24/Shipping!$Z$44+F73/24/Shipping!$Z$50+Shipping!$Z$59+Shipping!$Z$64)*(Shipping!$Z$22+wacc_nl*Shipping!$Z$19/365.25*1000000+Shipping!$Z$35)+(F73/24/Shipping!$Z$44*Shipping!$Z$45+Shipping!$Z$64*Shipping!$Z$65)*IF(bunker_choice="HFO",$H73,IF(bunker_choice="hydrogen",$BD73*hfo_e_density_lhv/h2_e_density_lhv,(FK73+FL73)*1000000/FM73*hfo_e_density_lhv/lh2_e_density_lhv))+(F73/24/Shipping!$Z$50*Shipping!$Z$51+Shipping!$Z$59*Shipping!$Z$60)*IF(bunker_choice="HFO",bunker_price_ROT,IF(bunker_choice="hydrogen",$BD73*hfo_e_density_lhv/h2_e_density_lhv,(FK73+FL73)*1000000/FM73*hfo_e_density_lhv/lh2_e_density_lhv))+Shipping!$Z$73+IF(G73="Panama",Shipping!$Z$55,0)+IF(G73="Suez",Shipping!$Z$56,0))/Shipping!$Z$31*(FM73+lh2_st_ab_losses)/1000000)+IF(inland_transport_to_port="hv dc grid",$BM73/100*1000*FP73,IF(inland_transport_to_port="pipeline",$BN73,0)))</f>
        <v>3218.3331232883679</v>
      </c>
      <c r="FO73" s="28">
        <f t="shared" ref="FO73:FO135" si="128">IFERROR(FK73+FL73+FN73,"")</f>
        <v>125993.29905433241</v>
      </c>
      <c r="FP73" s="29">
        <f>((Carriers!$AD$18/Carriers!$AD$23*alk_el_e_demand)+lh2_e_demand)*(FM73+lh2_st_ab_losses)/1000000+lh2_st_e_demand*FM73/1000000</f>
        <v>809.35040217827748</v>
      </c>
      <c r="FQ73" s="100">
        <f t="shared" si="110"/>
        <v>1.361902463475859</v>
      </c>
      <c r="FR73" s="28">
        <f>IFERROR(FO73*1000000/Storage!$Y$12,"")</f>
        <v>9264.2131657597365</v>
      </c>
      <c r="FS73" s="100">
        <f>H2_retrieval!$V$25*h2_demand_kt/1000</f>
        <v>8.16</v>
      </c>
      <c r="FT73" s="28">
        <f>IFERROR(FR73*(1+H2_retrieval!$V$34)/Carrier_properties!$U$7+H2_retrieval!$V$38,"")</f>
        <v>9296.1818916282045</v>
      </c>
      <c r="FU73" s="12"/>
      <c r="FV73" s="24">
        <f t="shared" ref="FV73:FV135" si="129">S73</f>
        <v>2.6413584073547751</v>
      </c>
      <c r="FW73" s="24" t="str">
        <f t="shared" si="92"/>
        <v/>
      </c>
      <c r="FX73" s="24">
        <f t="shared" si="93"/>
        <v>8.5252832388776696</v>
      </c>
      <c r="FY73" s="24">
        <f t="shared" ref="FY73:FY135" si="130">MIN(FV73:FX73)</f>
        <v>2.6413584073547751</v>
      </c>
      <c r="FZ73" s="28">
        <f t="shared" si="94"/>
        <v>3296.7873360367785</v>
      </c>
      <c r="GA73" s="28">
        <f t="shared" si="47"/>
        <v>751.64674806570531</v>
      </c>
      <c r="GB73" s="28">
        <f t="shared" si="48"/>
        <v>476.48148405005992</v>
      </c>
      <c r="GC73" s="28">
        <f t="shared" si="49"/>
        <v>839.86353635260627</v>
      </c>
      <c r="GD73" s="28">
        <f t="shared" si="50"/>
        <v>1223.0915184934779</v>
      </c>
      <c r="GE73" s="28">
        <f t="shared" si="51"/>
        <v>2131.314220526061</v>
      </c>
      <c r="GF73" s="28">
        <f t="shared" si="52"/>
        <v>2241.0300236778103</v>
      </c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</row>
    <row r="74" spans="1:214" x14ac:dyDescent="0.2">
      <c r="A74" s="40" t="s">
        <v>78</v>
      </c>
      <c r="B74" s="12">
        <v>9185</v>
      </c>
      <c r="C74" s="12">
        <v>0.9</v>
      </c>
      <c r="D74" s="12">
        <f t="shared" si="111"/>
        <v>9.9999999999999978E-2</v>
      </c>
      <c r="E74" s="12" t="s">
        <v>742</v>
      </c>
      <c r="F74" s="12">
        <v>11078</v>
      </c>
      <c r="G74" s="12" t="s">
        <v>692</v>
      </c>
      <c r="H74" s="16">
        <f t="shared" si="112"/>
        <v>382.75862068965517</v>
      </c>
      <c r="I74" s="16">
        <v>364560</v>
      </c>
      <c r="J74" s="16">
        <f t="shared" si="113"/>
        <v>340.65092412492106</v>
      </c>
      <c r="K74" s="27">
        <f t="shared" si="114"/>
        <v>408.78110894990527</v>
      </c>
      <c r="L74" s="103">
        <v>3.6999999999999998E-2</v>
      </c>
      <c r="M74" s="103">
        <f t="shared" si="115"/>
        <v>6.7597310776320391E-2</v>
      </c>
      <c r="N74" s="122">
        <f t="shared" si="116"/>
        <v>0.9</v>
      </c>
      <c r="O74" s="46">
        <f t="shared" si="117"/>
        <v>40</v>
      </c>
      <c r="P74" s="70">
        <f t="array" ref="P74">SUMPRODUCT(IF(Solar_data!A$4:A$777=A74,Solar_data!C$4:C$777),IF(Solar_data!A$4:A$777=A74,Solar_data!I$4:I$777))/SUMIF(Solar_data!A$4:A$777,A74,Solar_data!I$4:I$777)</f>
        <v>1468.4042987583202</v>
      </c>
      <c r="Q74" s="16">
        <f t="array" ref="Q74">MAX(IF(Solar_data!$A$777:'Solar_data'!$A$4=Country_details!$A74,Solar_data!$C$4:'Solar_data'!$C$777))</f>
        <v>1733.75</v>
      </c>
      <c r="R74" s="16">
        <f t="array" ref="R74">MIN(IF(Solar_data!$A$777:'Solar_data'!$A$4=Country_details!A74,Solar_data!$C$4:'Solar_data'!$C$777))</f>
        <v>1368.75</v>
      </c>
      <c r="S74" s="24">
        <f t="shared" si="95"/>
        <v>2.0028497353939385</v>
      </c>
      <c r="T74" s="24">
        <f t="shared" si="96"/>
        <v>1.6963190547768847</v>
      </c>
      <c r="U74" s="24">
        <f t="shared" si="97"/>
        <v>2.1486708027173873</v>
      </c>
      <c r="V74" s="16">
        <f t="array" ref="V74">SUM(IF(Solar_data!$A$777:'Solar_data'!$A$4=Country_details!$A74,Solar_data!$I$4:'Solar_data'!$I$777))</f>
        <v>2184.7121104856647</v>
      </c>
      <c r="W74" s="148"/>
      <c r="X74" s="16">
        <f>IFERROR(INDEX(Onshore_wind_data!$J$5:'Onshore_wind_data'!$J$221,MATCH(A74,Onshore_wind_data!$B$5:'Onshore_wind_data'!$B$221,0)),"")</f>
        <v>3057.0207785774237</v>
      </c>
      <c r="Y74" s="16">
        <f>IFERROR(INDEX(Onshore_wind_data!$K$5:'Onshore_wind_data'!$K$221,MATCH(A74,Onshore_wind_data!$B$5:'Onshore_wind_data'!$B$221,0)),"")</f>
        <v>3285.5</v>
      </c>
      <c r="Z74" s="16">
        <f>IFERROR(INDEX(Onshore_wind_data!$L$5:'Onshore_wind_data'!$L$221,MATCH(A74,Onshore_wind_data!$B$5:'Onshore_wind_data'!$B$221,0)),"")</f>
        <v>2847.5</v>
      </c>
      <c r="AA74" s="24">
        <f t="shared" si="118"/>
        <v>3.2514762670670598</v>
      </c>
      <c r="AB74" s="24">
        <f t="shared" si="119"/>
        <v>3.0253631135216432</v>
      </c>
      <c r="AC74" s="24">
        <f t="shared" si="120"/>
        <v>3.4907218646094322</v>
      </c>
      <c r="AD74" s="16">
        <f>IFERROR(INDEX(Onshore_wind_data!$I$5:'Onshore_wind_data'!$I$221,MATCH(A74,Onshore_wind_data!$B$5:'Onshore_wind_data'!$B$221,0)),"")</f>
        <v>88.862702800000008</v>
      </c>
      <c r="AE74" s="148"/>
      <c r="AF74" s="16">
        <f>INDEX(Offshore_wind_data!$AA$7:$AA$192,MATCH(Country_details!A74,Offshore_wind_data!$A$7:$A$192,0))</f>
        <v>3997.4594847775179</v>
      </c>
      <c r="AG74" s="16">
        <f>INDEX(Offshore_wind_data!$Y$7:$Y$192,MATCH(Country_details!A74,Offshore_wind_data!$A$7:$A$192,0))</f>
        <v>4204.8</v>
      </c>
      <c r="AH74" s="16">
        <f>INDEX(Offshore_wind_data!$Z$7:$Z$192,MATCH(Country_details!A74,Offshore_wind_data!$A$7:$A$192,0))</f>
        <v>3153.6</v>
      </c>
      <c r="AI74" s="24">
        <f t="shared" si="98"/>
        <v>4.8189665416351275</v>
      </c>
      <c r="AJ74" s="24">
        <f t="shared" si="99"/>
        <v>4.5813412073546553</v>
      </c>
      <c r="AK74" s="24">
        <f t="shared" si="100"/>
        <v>6.1084549431395407</v>
      </c>
      <c r="AL74" s="16">
        <f>INDEX(Offshore_wind_data!$W$7:$W$191,MATCH(A74,Offshore_wind_data!$A$7:$A$191,0))</f>
        <v>9831.8315520000015</v>
      </c>
      <c r="AM74" s="148"/>
      <c r="AN74" s="12">
        <v>127.5</v>
      </c>
      <c r="AO74" s="12">
        <v>108.8</v>
      </c>
      <c r="AP74" s="34">
        <f>3.57*11.63</f>
        <v>41.519100000000002</v>
      </c>
      <c r="AQ74" s="15">
        <f t="shared" si="101"/>
        <v>50</v>
      </c>
      <c r="AR74" s="12">
        <f t="shared" ref="AR74:AR137" si="131">AQ74*AO74</f>
        <v>5440</v>
      </c>
      <c r="AS74" s="16">
        <f t="shared" si="121"/>
        <v>6665.4063652856657</v>
      </c>
      <c r="AT74" s="12"/>
      <c r="AU74" s="24">
        <f t="shared" si="122"/>
        <v>2.8463234835561826</v>
      </c>
      <c r="AV74" s="16">
        <f t="shared" si="123"/>
        <v>4525.4250773357435</v>
      </c>
      <c r="AW74" s="149">
        <f>HV_DC_Grid!$E$3/(1-AX74)*AU74/100*1000</f>
        <v>3468.9142584819851</v>
      </c>
      <c r="AX74" s="31">
        <f>(1-(1-HV_DC_Grid!$E$25)^(B74*C74*HV_DC_Grid!$E$8/1000))+(1-(1-HV_DC_Grid!$E$26)^(B74*D74*HV_DC_Grid!$E$8/1000))+HV_DC_Grid!$E$35*HV_DC_Grid!$E$28</f>
        <v>0.17947712988393405</v>
      </c>
      <c r="AY74" s="28">
        <f>B74*nl_e_demand/IF(hv_dc_flh="electricity FLH",$AV74,hv_dc_custom)*1000*hv_dc_capacity_multiplier*hv_dc_length_multiplier*1000*(C74*hv_dc_overhead_invest*(hv_dc_overhead_opex+M74+1/hv_dc_lifetime)+D74*hv_dc_sea_invest*(hv_dc_sea_opex+M74+1/hv_dc_lifetime))/1000000+HV_DC_Grid!$E$10*1000*hv_dc_station_invest*hv_dc_station_number*(hv_dc_station_opex+M74+1/hv_dc_lifetime)/1000000</f>
        <v>6261.9907226665191</v>
      </c>
      <c r="AZ74" s="24">
        <f>(AW74+AY74)/(HV_DC_Grid!$E$3*1000)*100</f>
        <v>9.7309049811485036</v>
      </c>
      <c r="BA74" s="28">
        <f>MIN(((Carriers!$F$26+Carriers!$F$27)*(alk_el_opex+wacc_nl+1/alk_el_lifetime)+IF(hv_dc_flh="electricity FLH",$AV74,hv_dc_custom)*AZ74/100)/(IF(hv_dc_flh="electricity FLH",$AV74,hv_dc_custom)/alk_el_e_demand)*1000,((Carriers!$H$26+Carriers!$H$27)*(pem_el_opex+wacc_nl+1/pem_el_lifetime)+IF(hv_dc_flh="electricity FLH",$AV74,hv_dc_custom)*AZ74/100)/(IF(hv_dc_flh="electricity FLH",$AV74,hv_dc_custom)/pem_el_e_demand)*1000)</f>
        <v>5322.8122986831286</v>
      </c>
      <c r="BB74" s="12"/>
      <c r="BC74" s="12"/>
      <c r="BD74" s="149">
        <f>MIN(((Carriers!$F$26+Carriers!$F$27)*(alk_el_opex+M74+1/alk_el_lifetime)+$AV74*$AU74/100)/($AV74/alk_el_e_demand)*1000,((Carriers!$H$26+Carriers!$H$27)*(pem_el_opex+M74+1/pem_el_lifetime)+$AV74*$AU74/100)/($AV74/pem_el_e_demand)*1000)</f>
        <v>1982.3434223524698</v>
      </c>
      <c r="BE74" s="28">
        <f>Storage!$AC$50</f>
        <v>8.1664117557772418</v>
      </c>
      <c r="BF74" s="28">
        <f>((Pipeline!$D$22*Pipeline!$D$24*B74*(pipeline_opex+M74+1/pipeline_lifetime))*(Pipeline!$D$39/Pipeline!$D$3)+(Pipeline!$D$57*(pipeline_comp_opex+M74+1/pipeline_comp_lifetime)+Pipeline!$D$47*1000*Pipeline!$D$45*$AU74/100/1000000))*(Pipeline!$D$75/Pipeline!$D$45)</f>
        <v>14412.287370820517</v>
      </c>
      <c r="BG74" s="28">
        <f>BD74+(BE74+BF74)/Storage!$AC$12*1000000</f>
        <v>3042.6709063654325</v>
      </c>
      <c r="BH74" s="28"/>
      <c r="BI74" s="28"/>
      <c r="BJ74" s="28">
        <f>IF($E74="","No Port",BK74*HV_DC_Grid!$E$3*$AU74/100*1000)</f>
        <v>62.27996571736719</v>
      </c>
      <c r="BK74" s="31">
        <f>IFERROR((1-(1-HV_DC_Grid!$E$25)^(K74*HV_DC_Grid!$E$8/1000))+HV_DC_Grid!$E$35*HV_DC_Grid!$E$28,"")</f>
        <v>2.1880845967498716E-2</v>
      </c>
      <c r="BL74" s="28">
        <f>IFERROR(K74*nl_e_demand/IF(hv_dc_flh="electricity FLH",$AV74,hv_dc_custom)*1000*hv_dc_capacity_multiplier*hv_dc_length_multiplier*1000*(hv_dc_overhead_invest*(hv_dc_overhead_opex+M74+1/hv_dc_lifetime))/1000000+HV_DC_Grid!$E$10*1000*hv_dc_station_invest*hv_dc_station_number*(hv_dc_station_opex+M74+1/hv_dc_lifetime)/1000000,"")</f>
        <v>492.29926871443575</v>
      </c>
      <c r="BM74" s="29">
        <f>IFERROR((BJ74+BL74)/(HV_DC_Grid!$E$3*1000)*100,"")</f>
        <v>0.5545792344318029</v>
      </c>
      <c r="BN74" s="28">
        <f>IFERROR(((Pipeline!$D$22*Pipeline!$D$24*K74*(pipeline_opex+M74+1/pipeline_lifetime))*(Pipeline!$D$39/Pipeline!$D$3)+(Pipeline!$D$57*(pipeline_comp_opex+M74+1/pipeline_comp_lifetime)+Pipeline!$D$47*1000*Pipeline!$D$45*S74/100/1000000))*(Pipeline!$D$75/Pipeline!$D$45),"")</f>
        <v>702.59350422382829</v>
      </c>
      <c r="BO74" s="28"/>
      <c r="BP74" s="150">
        <f t="shared" si="124"/>
        <v>85.953434547719212</v>
      </c>
      <c r="BQ74" s="34">
        <f t="shared" si="125"/>
        <v>25.07094320696617</v>
      </c>
      <c r="BR74" s="151">
        <f>(nh3_invest*(M74+1/nh3_lifetime)/nh3_prod+nh3_opex+nh3_e_demand*1000*$AU74/100+Carriers!$N$18/Carriers!$N$23*BD74+Carriers!$N$19/Carriers!$N$23*BQ74)*(BT74+nh3_st_ab_losses)/1000000</f>
        <v>38139.52145301288</v>
      </c>
      <c r="BS74" s="63">
        <f>nh3_st_nl_cost*nh3_st_nl_demand/1000000+(nh3_st_invest*(M74+1/nh3_st_lifetime+nh3_st_opex)/(Storage!$G$63/1000000)+nh3_st_e_demand*1000*$AU74/100)*(BT74+nh3_st_ab_losses)/1000000+Carriers!$N$18/Carriers!$N$23*((BT74+nh3_st_ab_losses)/365.25*short_st_duration_hrs/24)*(h2_short_st_invest*(1/gh2_short_st_lifetime+$M74+h2_short_st_opex)+h2_short_st_e_demand*1000*$AU74/100)/1000000+Carriers!$N$19/Carriers!$N$23*((BT74+nh3_st_ab_losses)/365.25*short_st_duration_hrs/24)*(n2_short_st_invest*(1/n2_short_st_lifetime+$M74+n2_short_st_opex)+n2_short_st_e_demand*1000*$AU74/100)/1000000</f>
        <v>2818.5124348086756</v>
      </c>
      <c r="BT74" s="63">
        <f>Storage!$G$57/((1-Shipping!$H$37)^(F74/24/Shipping!$H$44+0.5*Shipping!$H$59))</f>
        <v>82430556.037964389</v>
      </c>
      <c r="BU74" s="63">
        <f>IF($E74="","No Port",((F74/24/Shipping!$H$44+F74/24/Shipping!$H$50+Shipping!$H$59+Shipping!$H$64)*(Shipping!$H$22+wacc_nl*Shipping!$H$19/365.25*1000000+Shipping!$H$35)+(F74/24/Shipping!$H$44*Shipping!$H$45+Shipping!$H$64*Shipping!$H$65)*IF(bunker_choice="HFO",H74,IF(bunker_choice="hydrogen",BD74*hfo_e_density_lhv/h2_e_density_lhv,(BR74+BS74)*1000000/BT74*hfo_e_density_lhv/nh3_e_density_lhv))+(F74/24/Shipping!$H$50*Shipping!$H$51+Shipping!$H$59*Shipping!$H$60)*IF(bunker_choice="HFO",bunker_price_ROT,IF(bunker_choice="hydrogen",BD74*hfo_e_density_lhv/h2_e_density_lhv,(BR74+BS74)*1000000/BT74*hfo_e_density_lhv/nh3_e_density_lhv))+Shipping!$H$73+IF(G74="Panama",Shipping!$H$55,0)+IF(G74="Suez",Shipping!$H$56,0))/Shipping!$H$31*BT74/1000000+IF(inland_transport_to_port="hv dc grid",$BM74/100*1000*BW74,IF(inland_transport_to_port="pipeline",$BN74,0)))</f>
        <v>7407.5716082027684</v>
      </c>
      <c r="BV74" s="63">
        <f t="shared" si="126"/>
        <v>48365.60549602432</v>
      </c>
      <c r="BW74" s="33">
        <f>((Carriers!$N$18/Carriers!$N$23*alk_el_e_demand)+(Carriers!$N$19/Carriers!$N$23*n2_e_demand)+nh3_e_demand)*(BT74+nh3_st_ab_losses)/1000000+nh3_st_e_demand*BT74/1000000</f>
        <v>813.99556270988091</v>
      </c>
      <c r="BX74" s="33">
        <f t="shared" si="102"/>
        <v>0.76626754477640768</v>
      </c>
      <c r="BY74" s="63">
        <f>IFERROR(BV74*1000000/Storage!$G$12,"")</f>
        <v>631.71021110325876</v>
      </c>
      <c r="BZ74" s="63">
        <f>H2_retrieval!$F$25*h2_demand_kt/1000</f>
        <v>80</v>
      </c>
      <c r="CA74" s="63">
        <f>IFERROR(BY74*(1+H2_retrieval!$F$34)/Carrier_properties!$E$7+H2_retrieval!$F$38,"")</f>
        <v>3965.5205014102294</v>
      </c>
      <c r="CB74" s="149">
        <f>(FA_invest*(M74+1/FA_lifetime)/FA_prod+FA_opex+FA_e_demand*1000*$AU74/100+Carriers!$P$18/Carriers!$P$23*BD74+Carriers!$P$20/Carriers!$P$23*co2_liq_cost)*(CF74+FA_st_ab_losses)/1000000</f>
        <v>82985.357210589122</v>
      </c>
      <c r="CC74" s="86">
        <f>(FA_invest*(M74+1/FA_lifetime)/FA_prod+FA_opex+FA_e_demand*1000*$AU74/100+Carriers!$P$18/Carriers!$P$23*BD74+Carriers!$P$20/Carriers!$P$23*BP74)*(CF74+FA_st_ab_losses)/1000000</f>
        <v>103265.06601578881</v>
      </c>
      <c r="CD74" s="63">
        <f>FA_st_nl_cost*FA_st_nl_demand/1000000+(FA_st_invest*(M74+1/FA_st_lifetime+FA_st_opex)/(Storage!$I$63/1000000)+FA_st_e_demand*1000*$AU74/100)*(CF74+FA_st_ab_losses)/1000000+co2_st_nl_cost*Storage!$I$12*co2_density/FA_density/1000000+(co2_st_opex_lev+co2_st_invest_lev+co2_st_e_demand*1000*$AU74/100)*Storage!$I$12/1000000+co2_st_invest_lev*Storage!$I$12*co2_st_lifetime*M74/1000000+Carriers!$P$18/Carriers!$P$23*((CF74+FA_st_ab_losses)/365.25*short_st_duration_hrs/24)*(h2_short_st_invest*(1/gh2_short_st_lifetime+$M74+h2_short_st_opex)+h2_short_st_e_demand*1000*$AU74/100)/1000000+Carriers!$P$20/Carriers!$P$23*((CF74+FA_st_ab_losses)/365.25*short_st_duration_hrs/24)*(co2_short_st_invest*(1/co2_short_st_lifetime+$M74+co2_short_st_opex)+co2_short_st_e_demand*1000*$AU74/100)/1000000</f>
        <v>9982.1726890863774</v>
      </c>
      <c r="CE74" s="63">
        <f>FA_st_nl_cost*FA_st_nl_demand/1000000+(FA_st_invest*(M74+1/FA_st_lifetime+FA_st_opex)/(Storage!$I$63/1000000)+FA_st_e_demand*1000*$AU74/100)*(CF74+FA_st_ab_losses)/1000000+Carriers!$P$18/Carriers!$P$23*((CF74+FA_st_ab_losses)/365.25*short_st_duration_hrs/24)*(h2_short_st_invest*(1/gh2_short_st_lifetime+$M74+h2_short_st_opex)+h2_short_st_e_demand*1000*$AU74/100)/1000000+Carriers!$P$20/Carriers!$P$23*((CF74+FA_st_ab_losses)/365.25*short_st_duration_hrs/24)*(co2_short_st_invest*(1/co2_short_st_lifetime+$M74+co2_short_st_opex)+co2_short_st_e_demand*1000*$AU74/100)/1000000</f>
        <v>4080.7725459788576</v>
      </c>
      <c r="CF74" s="63">
        <f>Storage!$I$57/((1-Shipping!$J$37)^($F74/24/Shipping!$J$44+0.5*Shipping!$J$59))</f>
        <v>310425396.82539684</v>
      </c>
      <c r="CG74" s="28">
        <f>IF($E74="","No Port",((F74/24/Shipping!$J$44+F74/24/Shipping!$J$50+Shipping!$J$59+Shipping!$J$64)*(Shipping!$J$22+wacc_nl*Shipping!$J$19/365.25*1000000+Shipping!$J$35)+(F74/24/Shipping!$J$44*Shipping!$J$45+Shipping!$J$64*Shipping!$J$65)*IF(bunker_choice="HFO",$H74,IF(bunker_choice="hydrogen",$BD74*hfo_e_density_lhv/h2_e_density_lhv,(CB74+CD74)*1000000/CF74*hfo_e_density_lhv/FA_e_density_lhv))+(F74/24/Shipping!$J$50*Shipping!$J$51+Shipping!$J$59*Shipping!$J$60)*IF(bunker_choice="HFO",bunker_price_ROT,IF(bunker_choice="hydrogen",$BD74*hfo_e_density_lhv/h2_e_density_lhv,(CB74+CD74)*1000000/CF74*hfo_e_density_lhv/FA_e_density_lhv))+Shipping!$J$73+IF(G74="Panama",Shipping!$J$55,0)+IF(G74="Suez",Shipping!$J$56,0))/Shipping!$J$31*CF74/1000000+IF(inland_transport_to_port="hv dc grid",$BM74/100*1000*CI74,IF(inland_transport_to_port="pipeline",$BN74,0)))</f>
        <v>27722.152660000182</v>
      </c>
      <c r="CH74" s="28">
        <f t="shared" ref="CH74:CH137" si="132">IFERROR(CC74+CE74+CG74,"")</f>
        <v>135067.99122176785</v>
      </c>
      <c r="CI74" s="29">
        <f>((Carriers!$P$18/Carriers!$P$23*alk_el_e_demand)+FA_e_demand)*(CF74+FA_st_ab_losses)/1000000+FA_st_e_demand*CF74/1000000</f>
        <v>1897.8881241622576</v>
      </c>
      <c r="CJ74" s="29">
        <f t="shared" si="103"/>
        <v>0.46563809523809524</v>
      </c>
      <c r="CK74" s="28">
        <f>IFERROR(CH74*1000000/Storage!$I$12,"")</f>
        <v>435.10612405768705</v>
      </c>
      <c r="CL74" s="28">
        <f>IF($E74="","No Port",((F74/24/Shipping!$J$44+F74/24/Shipping!$J$50+Shipping!$J$59+Shipping!$J$64)*Carriers!$P$39*wacc_nl))</f>
        <v>503.85901259719645</v>
      </c>
      <c r="CM74" s="29">
        <f>H2_retrieval!$H$25*h2_demand_kt/1000+(co2_liq_e_demand+co2_st_e_demand*2)*Storage!$I$12*co2_density/FA_density/1000000</f>
        <v>94.204253879484654</v>
      </c>
      <c r="CN74" s="28">
        <f>IFERROR((((CB74+CD74+CG74)*(1+H2_retrieval!$H$34)+CL74)*1000000/H2_retrieval!$H$8)+h2_regen_fa,"")</f>
        <v>9000.9771892576082</v>
      </c>
      <c r="CO74" s="149">
        <f>(meoh_invest*(M74+1/meoh_lifetime)/meoh_prod+meoh_opex+meoh_e_demand*1000*$AU74/100+Carriers!$R$18/Carriers!$R$23*BD74+Carriers!$R$20/Carriers!$R$23*co2_liq_cost)*(CS74+meoh_st_ab_losses)/1000000</f>
        <v>44340.538072431067</v>
      </c>
      <c r="CP74" s="86">
        <f>(meoh_invest*(M74+1/meoh_lifetime)/meoh_prod+meoh_opex+meoh_e_demand*1000*$AU74/100+Carriers!$R$18/Carriers!$R$23*BD74+Carriers!$R$20/Carriers!$R$23*BP74)*(CS74+meoh_st_ab_losses)/1000000</f>
        <v>56245.353212936381</v>
      </c>
      <c r="CQ74" s="63">
        <f>meoh_st_nl_cost*meoh_st_nl_demand/1000000+(meoh_st_invest*(M74+1/meoh_st_lifetime+meoh_st_opex)/(Storage!$K$63/1000000)+meoh_st_e_demand*1000*$AU74/100)*(CS74+meoh_st_ab_losses)/1000000+co2_st_nl_cost*Storage!$K$12*co2_density/meoh_density/1000000+(co2_st_opex_lev+co2_st_invest_lev+co2_st_e_demand*1000*IFERROR(MIN(S74,AA74,AI74),S74)/100)*Storage!$K$12/1000000+co2_st_invest_lev*Storage!$K$12*co2_st_lifetime*M74/1000000+Carriers!$R$18/Carriers!$R$23*((CS74+meoh_st_ab_losses)/365.25*short_st_duration_hrs/24)*(h2_short_st_invest*(1/gh2_short_st_lifetime+$M74+h2_short_st_opex)+h2_short_st_e_demand*1000*$AU74/100)/1000000+Carriers!$R$20/Carriers!$R$23*((CF74+meoh_st_ab_losses)/365.25*short_st_duration_hrs/24)*(co2_short_st_invest*(1/co2_short_st_lifetime+$M74+co2_short_st_opex)+co2_short_st_e_demand*1000*$AU74/100)/1000000</f>
        <v>4104.8425954498034</v>
      </c>
      <c r="CR74" s="63">
        <f>meoh_st_nl_cost*meoh_st_nl_demand/1000000+(meoh_st_invest*(M74+1/meoh_st_lifetime+meoh_st_opex)/(Storage!$K$63/1000000)+meoh_st_e_demand*1000*$AU74/100)*(CS74+meoh_st_ab_losses)/1000000+Carriers!$R$18/Carriers!$R$23*((CS74+meoh_st_ab_losses)/365.25*short_st_duration_hrs/24)*(h2_short_st_invest*(1/gh2_short_st_lifetime+$M74+h2_short_st_opex)+h2_short_st_e_demand*1000*$AU74/100)/1000000+Carriers!$R$20/Carriers!$R$23*((CF74+meoh_st_ab_losses)/365.25*short_st_duration_hrs/24)*(co2_short_st_invest*(1/co2_short_st_lifetime+$M74+co2_short_st_opex)+co2_short_st_e_demand*1000*$AU74/100)/1000000</f>
        <v>1542.9786641731685</v>
      </c>
      <c r="CS74" s="63">
        <f>Storage!$K$57/((1-Shipping!$L$37)^($F74/24/Shipping!$L$44+0.5*Shipping!$L$59))</f>
        <v>108044444.44444443</v>
      </c>
      <c r="CT74" s="28">
        <f>IF($E74="","No Port",IF(AND(ship_choice="VLCC",G74="Panama"),"Ship cannot pass through Panama",IF(ship_choice="VLCC",((F74/24/Shipping!$AD$44+F74/24/Shipping!$AD$50+Shipping!$AD$59+Shipping!$AD$64)*(Shipping!$AD$22+wacc_nl*Shipping!$AD$19/365.25*1000000+Shipping!$AD$35)+(F74/24/Shipping!$AD$44*Shipping!$AD$45+Shipping!$AD$64*Shipping!$AD$65)*IF(bunker_choice="HFO",$H74,IF(bunker_choice="hydrogen",$BD74*hfo_e_density_lhv/h2_e_density_lhv,(CO74+CQ74)*1000000/CS74*hfo_e_density_lhv/meoh_e_density_lhv))+(F74/24/Shipping!$AD$50*Shipping!$AD$51+Shipping!$AD$59*Shipping!$AD$60)*IF(bunker_choice="HFO",bunker_price_ROT,IF(bunker_choice="hydrogen",$BD74*hfo_e_density_lhv/h2_e_density_lhv,(CO74+CQ74)*1000000/CS74*hfo_e_density_lhv/meoh_e_density_lhv))+Shipping!$AD$73+IF(G74="Panama",Shipping!$AD$55,0)+IF(G74="Suez",Shipping!$AD$56,0))/Shipping!$AD$31*CS74/1000000+IF(inland_transport_to_port="hv dc grid",$BM74/100*1000*CV74,IF(inland_transport_to_port="pipeline",$BN74,0)),((F74/24/Shipping!$L$44+F74/24/Shipping!$L$50+Shipping!$L$59+Shipping!$L$64)*(Shipping!$L$22+wacc_nl*Shipping!$L$19/365.25*1000000+Shipping!$L$35)+(F74/24/Shipping!$L$44*Shipping!$L$45+Shipping!$L$64*Shipping!$L$65)*IF(bunker_choice="HFO",$H74,IF(bunker_choice="hydrogen",$BD74*hfo_e_density_lhv/h2_e_density_lhv,(CO74+CQ74)*1000000/CS74*hfo_e_density_lhv/meoh_e_density_lhv))+(F74/24/Shipping!$L$50*Shipping!$L$51+Shipping!$L$59*Shipping!$L$60)*IF(bunker_choice="HFO",bunker_price_ROT,IF(bunker_choice="hydrogen",$BD74*hfo_e_density_lhv/h2_e_density_lhv,(CO74+CQ74)*1000000/CS74*hfo_e_density_lhv/meoh_e_density_lhv))+Shipping!$L$73+IF(G74="Panama",Shipping!$L$55,0)+IF(G74="Suez",Shipping!$L$56,0))/Shipping!$L$31*CS74/1000000+IF(inland_transport_to_port="hv dc grid",$BM74/100*1000*CV74,IF(inland_transport_to_port="pipeline",$BN74,0)))))</f>
        <v>9619.8678806591615</v>
      </c>
      <c r="CU74" s="28">
        <f t="shared" ref="CU74:CU137" si="133">IFERROR(CP74+CR74+CT74,"")</f>
        <v>67408.199757768714</v>
      </c>
      <c r="CV74" s="29">
        <f>((Carriers!$R$18/Carriers!$R$23*alk_el_e_demand)+meoh_e_demand)*(CS74+meoh_st_ab_losses)/1000000+meoh_st_e_demand*CS74/1000000</f>
        <v>1119.9789871111109</v>
      </c>
      <c r="CW74" s="29">
        <f t="shared" si="104"/>
        <v>0.16206666666666666</v>
      </c>
      <c r="CX74" s="28">
        <f>IFERROR(CU74*1000000/Storage!$K$12,"")</f>
        <v>623.89325156305893</v>
      </c>
      <c r="CY74" s="28">
        <f>IF($E74="","No Port",((F74/24/Shipping!$L$44+F74/24/Shipping!$L$50+Shipping!$L$59+Shipping!$L$64)*Carriers!$R$39*wacc_nl))</f>
        <v>180.87961480020513</v>
      </c>
      <c r="CZ74" s="29">
        <f>H2_retrieval!$J$25*h2_demand_kt/1000+(co2_liq_e_demand+co2_st_e_demand*2)*Storage!$K$12*co2_density/meoh_density/1000000</f>
        <v>251.05079059698966</v>
      </c>
      <c r="DA74" s="28">
        <f>IFERROR((((CO74+CQ74+CT74)*(1+H2_retrieval!$J$34)+CY74)*1000000/H2_retrieval!$J$8)+h2_regen_meoh,"")</f>
        <v>5452.9320846181927</v>
      </c>
      <c r="DB74" s="149">
        <f>(DBT_invest*(M74+1/DBT_lifetime)/DBT_prod+DBT_opex+DBT_e_demand*1000*$AU74/100+Carriers!$T$18/Carriers!$T$23*BD74)*(DD74+DBT_st_ab_losses)/1000000</f>
        <v>29601.652511532629</v>
      </c>
      <c r="DC74" s="28">
        <f>2*(DBT_st_nl_cost*DBT_st_nl_demand/1000000+(DBT_st_invest*(M74+1/DBT_st_lifetime+DBT_st_opex)/(Storage!$M$63/1000000)+DBT_st_e_demand*1000*$AU74/100)*(DD74+DBT_st_ab_losses)/1000000)+Carriers!$T$18/Carriers!$T$23*((DD74+DBT_st_ab_losses)/365.25*short_st_duration_hrs/24)*(h2_short_st_invest*(1/gh2_short_st_lifetime+$M74+h2_short_st_opex)+h2_short_st_e_demand*1000*$AU74/100)/1000000</f>
        <v>3325.2337928886909</v>
      </c>
      <c r="DD74" s="63">
        <f>Storage!$M$57/((1-Shipping!$N$37)^($F74/24/Shipping!$N$44+0.5*Shipping!$N$59))</f>
        <v>219354838.70967743</v>
      </c>
      <c r="DE74" s="28">
        <f>IF($E74="","No Port",IF(AND(ship_choice="VLCC",G74="Panama"),"Ship cannot pass through Panama",IF(ship_choice="VLCC",((F74/24/Shipping!$AD$44+F74/24/Shipping!$AD$50+Shipping!$AD$59+Shipping!$AD$64)*(Shipping!$AD$22+wacc_nl*Shipping!$AD$19/365.25*1000000+Shipping!$AD$35)+(F74/24/Shipping!$AD$44*Shipping!$AD$45+Shipping!$AD$64*Shipping!$AD$65)*IF(bunker_choice="HFO",$H74,IF(bunker_choice="hydrogen",$BD74*hfo_e_density_lhv/h2_e_density_lhv,(DB74+DC74)*1000000/DD74*hfo_e_density_lhv/DBT_e_density_lhv))+(F74/24/Shipping!$AD$50*Shipping!$AD$51+Shipping!$AD$59*Shipping!$AD$60)*IF(bunker_choice="HFO",bunker_price_ROT,IF(bunker_choice="hydrogen",$BD74*hfo_e_density_lhv/h2_e_density_lhv,(DB74+DC74)*1000000/DD74*hfo_e_density_lhv/DBT_e_density_lhv))+Shipping!$AD$73+IF(G74="Panama",Shipping!$AD$55,0)+IF(G74="Suez",Shipping!$AD$56,0))/Shipping!$AD$31*DD74/1000000+IF(inland_transport_to_port="hv dc grid",$BM74/100*1000*DG74,IF(inland_transport_to_port="pipeline",$BN74,0)),((F74/24/Shipping!$N$44+F74/24/Shipping!$N$50+Shipping!$N$59+Shipping!$N$64)*(Shipping!$N$22+wacc_nl*Shipping!$N$19/365.25*1000000+Shipping!$N$35)+(F74/24/Shipping!$N$44*Shipping!$N$45+Shipping!$N$64*Shipping!$N$65)*IF(bunker_choice="HFO",$H74,IF(bunker_choice="hydrogen",$BD74*hfo_e_density_lhv/h2_e_density_lhv,(DB74+DC74)*1000000/DD74*hfo_e_density_lhv/DBT_e_density_lhv))+(F74/24/Shipping!$N$50*Shipping!$N$51+Shipping!$N$59*Shipping!$N$60)*IF(bunker_choice="HFO",bunker_price_ROT,IF(bunker_choice="hydrogen",$BD74*hfo_e_density_lhv/h2_e_density_lhv,(DB74+DC74)*1000000/DD74*hfo_e_density_lhv/DBT_e_density_lhv))+Shipping!$N$73+IF(G74="Panama",Shipping!$N$55,0)+IF(G74="Suez",Shipping!$N$56,0))/Shipping!$N$31*Shipping!$N$86/1000000+IF(inland_transport_to_port="hv dc grid",$BM74/100*1000*DG74,IF(inland_transport_to_port="pipeline",$BN74,0)))))</f>
        <v>17400.207912197173</v>
      </c>
      <c r="DF74" s="28">
        <f t="shared" si="82"/>
        <v>50327.094216618498</v>
      </c>
      <c r="DG74" s="29">
        <f>((Carriers!$T$18/Carriers!$T$23*alk_el_e_demand)+DBT_e_demand)*(DD74+DBT_st_ab_losses)/1000000+DBT_st_e_demand*DD74/1000000</f>
        <v>703.88335483870969</v>
      </c>
      <c r="DH74" s="29">
        <f t="shared" si="105"/>
        <v>0.21935483870967742</v>
      </c>
      <c r="DI74" s="28">
        <f>IFERROR(DF74*1000000/Storage!$M$12,"")</f>
        <v>229.43234128164315</v>
      </c>
      <c r="DJ74" s="28">
        <f>IF($E74="","No Port",((F74/24/Shipping!$N$44+F74/24/Shipping!$N$50+Shipping!$N$59+Shipping!$N$64)*Carriers!$T$39*wacc_nl))</f>
        <v>13174.056647721351</v>
      </c>
      <c r="DK74" s="100">
        <f>H2_retrieval!$L$25*h2_demand_kt/1000+(co2_liq_e_demand+co2_st_e_demand*2)*Storage!$M$12*co2_density/DBT_density/1000000</f>
        <v>206.61934861671787</v>
      </c>
      <c r="DL74" s="28">
        <f>IFERROR(((DF74*(1+H2_retrieval!$L$34)+DJ74)*1000000/H2_retrieval!$L$8)+h2_regen_lohc,"")</f>
        <v>5139.8520500755485</v>
      </c>
      <c r="DM74" s="149">
        <f t="shared" si="127"/>
        <v>48441.87679945126</v>
      </c>
      <c r="DN74" s="16">
        <f>2*(nabh4_st_nl_cost*nabh4_st_nl_demand/1000000+(nabh4_st_invest*(M74+1/nabh4_st_lifetime+nabh4_st_opex)/(Storage!$O$63/1000000)+nabh4_st_e_demand*1000*$AU74/100)*(DO74+nabh4_st_ab_losses)/1000000)+(h2_demand_kt*1000/365.25*short_st_duration_hrs/24)*(h2_short_st_invest*(1/gh2_short_st_lifetime+$M74+h2_short_st_opex)+h2_short_st_e_demand*1000*$AU74/100)/1000000</f>
        <v>1180.7538652190178</v>
      </c>
      <c r="DO74" s="63">
        <f>Storage!$O$57/((1-Shipping!$P$37)^($F74/24/Shipping!$P$44+0.5*Shipping!$P$59))</f>
        <v>63920000</v>
      </c>
      <c r="DP74" s="16">
        <f>IF($E74="","No Port",((F74/24/Shipping!$P$44+F74/24/Shipping!$P$50+Shipping!$P$59+Shipping!$P$64)*(Shipping!$P$22+wacc_nl*Shipping!$P$19/365.25*1000000+Shipping!$P$35)+(F74/24/Shipping!$P$44*Shipping!$P$45+Shipping!$P$64*Shipping!$P$65)*IF(bunker_choice="HFO",$H74,IF(bunker_choice="hydrogen",$BD74*hfo_e_density_lhv/h2_e_density_lhv,(DM74+DN74)*1000000/DO74*hfo_e_density_lhv/nabh4_e_density_lhv))+(F74/24/Shipping!$P$50*Shipping!$P$51+Shipping!$P$59*Shipping!$P$60)*IF(bunker_choice="HFO",bunker_price_ROT,IF(bunker_choice="hydrogen",$BD74*hfo_e_density_lhv/h2_e_density_lhv,(DM74+DN74)*1000000/DO74*hfo_e_density_lhv/nabh4_e_density_lhv))+Shipping!$P$73+IF(G74="Panama",Shipping!$P$55,0)+IF(G74="Suez",Shipping!$P$56,0))/Shipping!$P$31*(DO74+nabh4_st_ab_losses)/1000000+IF(inland_transport_to_port="hv dc grid",$BM74/100*1000*DR74,IF(inland_transport_to_port="pipeline",$BN74,0)))</f>
        <v>4636.1030287208159</v>
      </c>
      <c r="DQ74" s="28">
        <f t="shared" si="60"/>
        <v>54258.733693391099</v>
      </c>
      <c r="DR74" s="29">
        <f>((Carriers!$V$18/Carriers!$V$23*alk_el_e_demand)+nabh4_e_demand)*(DO74+nabh4_st_ab_losses)/1000000+nabh4_st_e_demand*DO74/1000000</f>
        <v>980.02139682539689</v>
      </c>
      <c r="DS74" s="28">
        <f t="shared" si="106"/>
        <v>3.1960000000000002</v>
      </c>
      <c r="DT74" s="28">
        <f>IFERROR(DQ74*1000000/Storage!$O$12,"")</f>
        <v>848.85378118571805</v>
      </c>
      <c r="DU74" s="28">
        <f>IF($E74="","No Port",((F74/24/Shipping!$P$44+F74/24/Shipping!$P$50+Shipping!$P$59+Shipping!$P$64)*Carriers!$V$39*wacc_nl))</f>
        <v>1201.7445039815877</v>
      </c>
      <c r="DV74" s="100">
        <f>H2_retrieval!$N$25*h2_demand_kt/1000+(co2_liq_e_demand+co2_st_e_demand*2)*Storage!$O$12*co2_density/nabh4_density/1000000</f>
        <v>18.783638728971958</v>
      </c>
      <c r="DW74" s="28">
        <f>IFERROR(((DQ74*(1+H2_retrieval!$N$34)+DU74)*1000000/H2_retrieval!$N$8)+h2_regen_nabh4,"")</f>
        <v>4164.6428039242055</v>
      </c>
      <c r="DX74" s="149">
        <f>(Dme_invest*(M74+1/Dme_lifetime)/Dme_prod+Dme_opex+Dme_e_demand*1000*$AU74/100+Carriers!$X$21/Carriers!$X$23*(CO74*1000000/CS74))*(EB74+Dme_st_ab_losses)/1000000</f>
        <v>62721.976951060096</v>
      </c>
      <c r="DY74" s="86">
        <f>(Dme_invest*(M74+1/Dme_lifetime)/Dme_prod+Dme_opex+Dme_e_demand*1000*$AU74/100+Carriers!$X$21/Carriers!$X$23*(CP74*1000000/CS74))*(EB74+Dme_st_ab_losses)/1000000</f>
        <v>78872.811221253622</v>
      </c>
      <c r="DZ74" s="63">
        <f>Dme_st_nl_cost*Dme_st_nl_demand/1000000+(Dme_st_invest*(M74+1/Dme_st_lifetime+Dme_st_opex)/(Storage!$Q$63/1000000)+Dme_st_e_demand*1000*$AU74/100)*(EB74+Dme_st_ab_losses)/1000000+co2_st_nl_cost*Storage!$Q$12*co2_density/Dme_density/1000000+(co2_st_opex_lev+co2_st_invest_lev+co2_st_e_demand*1000*$AU74/100)*Storage!$Q$12/1000000+co2_st_invest_lev*Storage!$Q$12*co2_st_lifetime*M74/1000000+(h2_demand_kt*1000/365.25*short_st_duration_hrs/24)*(h2_short_st_invest*(1/gh2_short_st_lifetime+$M74+h2_short_st_opex)+h2_short_st_e_demand*1000*$AU74/100)/1000000</f>
        <v>5082.8831601488309</v>
      </c>
      <c r="EA74" s="63">
        <f>Dme_st_nl_cost*Dme_st_nl_demand/1000000+(Dme_st_invest*(M74+1/Dme_st_lifetime+Dme_st_opex)/(Storage!$Q$63/1000000)+Dme_st_e_demand*1000*$AU74/100)*(EB74+Dme_st_ab_losses)/1000000+(h2_demand_kt*1000/365.25*short_st_duration_hrs/24)*(h2_short_st_invest*(1/gh2_short_st_lifetime+$M74+h2_short_st_opex)+h2_short_st_e_demand*1000*$AU74/100)/1000000</f>
        <v>2413.4169746067719</v>
      </c>
      <c r="EB74" s="63">
        <f>Storage!$Q$57/((1-Shipping!$R$37)^($F74/24/Shipping!$R$44+0.5*Shipping!$R$59))</f>
        <v>103547089.94708996</v>
      </c>
      <c r="EC74" s="153">
        <f>IF($E74="","No Port",IF(AND(ship_choice="VLCC",G74="Panama"),"Ship cannot pass through Panama",IF(ship_choice="VLCC",((F74/24/Shipping!$AD$44+F74/24/Shipping!$AD$50+Shipping!$AD$59+Shipping!$AD$64)*(Shipping!$AD$22+wacc_nl*Shipping!$AD$19/365.25*1000000+Shipping!$AD$35)+(F74/24/Shipping!$AD$44*Shipping!$AD$45+Shipping!$AD$64*Shipping!$AD$65)*IF(bunker_choice="HFO",$H74,IF(bunker_choice="hydrogen",$BD74*hfo_e_density_lhv/h2_e_density_lhv,(DX74+DZ74)*1000000/EB74*hfo_e_density_lhv/Dme_e_density_lhv))+(F74/24/Shipping!$AD$50*Shipping!$AD$51+Shipping!$AD$59*Shipping!$AD$60)*IF(bunker_choice="HFO",bunker_price_ROT,IF(bunker_choice="hydrogen",$BD74*hfo_e_density_lhv/h2_e_density_lhv,(DX74+DZ74)*1000000/EB74*hfo_e_density_lhv/Dme_e_density_lhv))+Shipping!$AD$73+IF(G74="Panama",Shipping!$AD$55,0)+IF(G74="Suez",Shipping!$AD$56,0))/Shipping!$AD$31*(EB74+Dme_st_ab_losses)/1000000+IF(inland_transport_to_port="hv dc grid",$BM74/100*1000*EE74,IF(inland_transport_to_port="pipeline",$BN74,0)),((F74/24/Shipping!$R$44+F74/24/Shipping!$R$50+Shipping!$R$59+Shipping!$R$64)*(Shipping!$R$22+wacc_nl*Shipping!$R$19/365.25*1000000+Shipping!$R$35)+(F74/24/Shipping!$R$44*Shipping!$R$45+Shipping!$R$64*Shipping!$R$65)*IF(bunker_choice="HFO",$H74,IF(bunker_choice="hydrogen",$BD74*hfo_e_density_lhv/h2_e_density_lhv,(DX74+DZ74)*1000000/EB74*hfo_e_density_lhv/Dme_e_density_lhv))+(F74/24/Shipping!$R$50*Shipping!$R$51+Shipping!$R$59*Shipping!$R$60)*IF(bunker_choice="HFO",bunker_price_ROT,IF(bunker_choice="hydrogen",$BD74*hfo_e_density_lhv/h2_e_density_lhv,(DX74+DZ74)*1000000/EB74*hfo_e_density_lhv/Dme_e_density_lhv))+Shipping!$R$73+IF(G74="Panama",Shipping!$R$55,0)+IF(G74="Suez",Shipping!$R$56,0))/Shipping!$R$31*(EB74+Dme_st_ab_losses)/1000000+IF(inland_transport_to_port="hv dc grid",$BM74/100*1000*EE74,IF(inland_transport_to_port="pipeline",$BN74,0)))))</f>
        <v>9859.874468279193</v>
      </c>
      <c r="ED74" s="28">
        <f t="shared" ref="ED74:ED137" si="134">IFERROR(DY74+EA74+EC74,"")</f>
        <v>91146.102664139587</v>
      </c>
      <c r="EE74" s="29">
        <f>(Dme_e_demand)*(EB74+Dme_st_ab_losses)/1000000+Dme_st_e_demand*DZ74/1000000+$CV74*(Carriers!$X$21/Carriers!$X$23*EB74)/$CS74</f>
        <v>1550.2168109958875</v>
      </c>
      <c r="EF74" s="29">
        <f t="shared" si="107"/>
        <v>1.0354708994708997</v>
      </c>
      <c r="EG74" s="28">
        <f>IFERROR(ED74*1000000/Storage!$Q$12,"")</f>
        <v>880.23818642042988</v>
      </c>
      <c r="EH74" s="28">
        <f>IF($E74="","No Port",((F74/24/Shipping!$R$44+F74/24/Shipping!$R$50+Shipping!$R$59+Shipping!$R$64)*Carriers!$X$39*wacc_nl))</f>
        <v>189.10461972362864</v>
      </c>
      <c r="EI74" s="100">
        <f>H2_retrieval!$P$25*h2_demand_kt/1000+(co2_liq_e_demand+co2_st_e_demand*2)*Storage!$Q$12*co2_density/Dme_density/1000000</f>
        <v>252.45335899349112</v>
      </c>
      <c r="EJ74" s="28">
        <f>IFERROR((((DX74+DZ74+EC74)*(1+H2_retrieval!$P$34)+EH74)*1000000/H2_retrieval!$P$8)+h2_regen_dme,"")</f>
        <v>6894.6755431381562</v>
      </c>
      <c r="EK74" s="149">
        <f>(ome_invest*(M74+1/ome_lifetime)/ome_prod+ome_opex+ome_e_demand*1000*$AU74/100+Carriers!$Z$21/Carriers!$Z$23*(CO74*1000000/CS74))*(EO74+ome_st_ab_losses)/1000000</f>
        <v>137472.00640619863</v>
      </c>
      <c r="EL74" s="86">
        <f>(ome_invest*(M74+1/ome_lifetime)/ome_prod+ome_opex+ome_e_demand*1000*$AU74/100+Carriers!$Z$21/Carriers!$Z$23*(CP74*1000000/CS74))*(EO74+ome_st_ab_losses)/1000000</f>
        <v>171375.75150972532</v>
      </c>
      <c r="EM74" s="63">
        <f>ome_st_nl_cost*ome_st_nl_demand/1000000+(ome_st_invest*(M74+1/ome_st_lifetime+ome_st_opex)/(Storage!$S$63/1000000)+ome_st_e_demand*1000*$AU74/100)*(EO74+ome_st_ab_losses)/1000000+co2_st_nl_cost*Storage!$S$12*co2_density/ome_density/1000000+(co2_st_opex_lev+co2_st_invest_lev+co2_st_e_demand*1000*$AU74/100)*Storage!$S$12/1000000+co2_st_invest_lev*Storage!$S$12*co2_st_lifetime*M74/1000000+(h2_demand_kt*1000/365.25*short_st_duration_hrs/24)*(h2_short_st_invest*(1/gh2_short_st_lifetime+$M74+h2_short_st_opex)+h2_short_st_e_demand*1000*$AU74/100)/1000000</f>
        <v>4384.6661721532646</v>
      </c>
      <c r="EN74" s="63">
        <f>ome_st_nl_cost*ome_st_nl_demand/1000000+(ome_st_invest*(M74+1/ome_st_lifetime+ome_st_opex)/(Storage!$S$63/1000000)+ome_st_e_demand*1000*$AU74/100)*(EO74+ome_st_ab_losses)/1000000+(h2_demand_kt*1000/365.25*short_st_duration_hrs/24)*(h2_short_st_invest*(1/gh2_short_st_lifetime+$M74+h2_short_st_opex)+h2_short_st_e_demand*1000*$AU74/100)/1000000</f>
        <v>1416.4826257750751</v>
      </c>
      <c r="EO74" s="63">
        <f>Storage!$S$57/((1-Shipping!$T$37)^($F74/24/Shipping!$T$44+0.5*Shipping!$T$59))</f>
        <v>128282539.68253967</v>
      </c>
      <c r="EP74" s="28">
        <f>IF($E74="","No Port",IF(AND(ship_choice="VLCC",G74="Panama"),"Ship cannot pass through Panama",IF(ship_choice="VLCC",((F74/24/Shipping!$AD$44+F74/24/Shipping!$AD$50+Shipping!$AD$59+Shipping!$AD$64)*(Shipping!$AD$22+wacc_nl*Shipping!$AD$19/365.25*1000000+Shipping!$AD$35)+(F74/24/Shipping!$AD$44*Shipping!$AD$45+Shipping!$AD$64*Shipping!$AD$65)*IF(bunker_choice="HFO",$H74,IF(bunker_choice="hydrogen",$BD74*hfo_e_density_lhv/h2_e_density_lhv,(EK74+EM74)*1000000/EO74*hfo_e_density_lhv/Dme_e_density_lhv))+(F74/24/Shipping!$AD$50*Shipping!$AD$51+Shipping!$AD$59*Shipping!$AD$60)*IF(bunker_choice="HFO",bunker_price_ROT,IF(bunker_choice="hydrogen",$BD74*hfo_e_density_lhv/h2_e_density_lhv,(EK74+EM74)*1000000/EO74*hfo_e_density_lhv/ome_e_density_lhv))+Shipping!$AD$73+IF(G74="Panama",Shipping!$AD$55,0)+IF(G74="Suez",Shipping!$AD$56,0))/Shipping!$AD$31*(EO74+ome_st_ab_losses)/1000000+IF(inland_transport_to_port="hv dc grid",$BM74/100*1000*ER74,IF(inland_transport_to_port="pipeline",$BN74,0)),((F74/24/Shipping!$T$44+F74/24/Shipping!$T$50+Shipping!$T$59+Shipping!$T$64)*(Shipping!$T$22+wacc_nl*Shipping!$T$19/365.25*1000000+Shipping!$T$35)+(F74/24/Shipping!$T$44*Shipping!$T$45+Shipping!$T$64*Shipping!$T$65)*IF(bunker_choice="HFO",$H74,IF(bunker_choice="hydrogen",$BD74*hfo_e_density_lhv/h2_e_density_lhv,(EK74+EM74)*1000000/EO74*hfo_e_density_lhv/Dme_e_density_lhv))+(F74/24/Shipping!$T$50*Shipping!$T$51+Shipping!$T$59*Shipping!$T$60)*IF(bunker_choice="HFO",bunker_price_ROT,IF(bunker_choice="hydrogen",$BD74*hfo_e_density_lhv/h2_e_density_lhv,(EK74+EM74)*1000000/EO74*hfo_e_density_lhv/ome_e_density_lhv))+Shipping!$T$73+IF(G74="Panama",Shipping!$T$55,0)+IF(G74="Suez",Shipping!$T$56,0))/Shipping!$T$31*(EO74+ome_st_ab_losses)/1000000+IF(inland_transport_to_port="hv dc grid",$BM74/100*1000*ER74,IF(inland_transport_to_port="pipeline",$BN74,0)))))</f>
        <v>10664.709466916158</v>
      </c>
      <c r="EQ74" s="28">
        <f t="shared" ref="EQ74:EQ137" si="135">IFERROR(EL74+EN74+EP74,"")</f>
        <v>183456.94360241655</v>
      </c>
      <c r="ER74" s="29">
        <f>(ome_e_demand)*(EO74+ome_st_ab_losses)/1000000+ome_st_e_demand*EM74/1000000+$CV74*(Carriers!$Z$21/Carriers!$Z$23*EO74)/$CS74</f>
        <v>3352.0814567177827</v>
      </c>
      <c r="ES74" s="29">
        <f t="shared" si="108"/>
        <v>0.1924238095238095</v>
      </c>
      <c r="ET74" s="28">
        <f>IFERROR(EQ74*1000000/Storage!$S$12,"")</f>
        <v>1430.1006517053431</v>
      </c>
      <c r="EU74" s="28">
        <f>IF($E74="","No Port",((F74/24/Shipping!$T$44+F74/24/Shipping!$T$50+Shipping!$T$59+Shipping!$T$64)*Carriers!$Z$39*wacc_nl))</f>
        <v>214.76066152851527</v>
      </c>
      <c r="EV74" s="100">
        <f>H2_retrieval!$R$25*h2_demand_kt/1000+(co2_liq_e_demand+co2_st_e_demand*2)*Storage!$S$12*co2_density/ome_density/1000000</f>
        <v>254.51942895252085</v>
      </c>
      <c r="EW74" s="28">
        <f>IFERROR((((EK74+EM74+EP74)*(1+H2_retrieval!$R$34)+EU74)*1000000/H2_retrieval!$R$8)+h2_regen_ome,"")</f>
        <v>12400.727271637039</v>
      </c>
      <c r="EX74" s="149">
        <f>(sng_invest*(M74+1/sng_lifetime)/sng_prod+lng_invest*(M74+1/lng_lifetime)/lng_prod+sng_opex+lng_opex+(sng_e_demand+lng_e_demand)*1000*$AU74/100+Carriers!$AB$18/Carriers!$AB$23*BD74+Carriers!$AB$20/Carriers!$AB$23*co2_liq_cost)*(FB74+lng_st_ab_losses)/1000000</f>
        <v>49272.411469337232</v>
      </c>
      <c r="EY74" s="86">
        <f>(sng_invest*(M74+1/sng_lifetime)/sng_prod+lng_invest*(M74+1/lng_lifetime)/lng_prod+sng_opex+lng_opex+(sng_e_demand+lng_e_demand)*1000*$AU74/100+Carriers!$AB$18/Carriers!$AB$23*BD74+Carriers!$AB$20/Carriers!$AB$23*BP74)*(FB74+lng_st_ab_losses)/1000000</f>
        <v>58394.363801827676</v>
      </c>
      <c r="EZ74" s="63">
        <f>lng_st_nl_cost*lng_st_nl_demand/1000000+(lng_st_invest*(M74+1/lng_st_lifetime+lng_st_opex)/(Storage!$U$63/1000000)+lng_st_e_demand*1000*$AU74/100)*(FB74+lng_st_ab_losses)/1000000+co2_st_nl_cost*Storage!$U$12*co2_density/lng_density/1000000+(co2_st_opex_lev+co2_st_invest_lev+co2_st_e_demand*1000*$AU74/100)*Storage!$U$12/1000000+co2_st_invest_lev*Storage!$U$12*co2_st_lifetime*M74/1000000+Carriers!$AB$18/Carriers!$AB$23*((FB74+lng_st_ab_losses)/365.25*short_st_duration_hrs/24)*(h2_short_st_invest*(1/gh2_short_st_lifetime+$M74+h2_short_st_opex)+h2_short_st_e_demand*1000*$AU74/100)/1000000+Carriers!$AB$20/Carriers!$AB$23*((FB74+lng_st_ab_losses)/365.25*short_st_duration_hrs/24)*(co2_short_st_invest*(1/co2_short_st_lifetime+$M74+co2_short_st_opex)+co2_short_st_e_demand*1000*$AU74/100)/1000000</f>
        <v>5302.4939588323177</v>
      </c>
      <c r="FA74" s="63">
        <f>lng_st_nl_cost*lng_st_nl_demand/1000000+(lng_st_invest*(M74+1/lng_st_lifetime+lng_st_opex)/(Storage!$U$63/1000000)+lng_st_e_demand*1000*$AU74/100)*(FB74+lng_st_ab_losses)/1000000+Carriers!$AB$18/Carriers!$AB$23*((FB74+lng_st_ab_losses)/365.25*short_st_duration_hrs/24)*(h2_short_st_invest*(1/gh2_short_st_lifetime+$M74+h2_short_st_opex)+h2_short_st_e_demand*1000*$AU74/100)/1000000+Carriers!$AB$20/Carriers!$AB$23*((FB74+lng_st_ab_losses)/365.25*short_st_duration_hrs/24)*(co2_short_st_invest*(1/co2_short_st_lifetime+$M74+co2_short_st_opex)+co2_short_st_e_demand*1000*$AU74/100)/1000000</f>
        <v>3818.5381159286353</v>
      </c>
      <c r="FB74" s="63">
        <f>Storage!$U$57/((1-Shipping!$V$37)^($F74/24/Shipping!$V$44+0.5*Shipping!$V$59))</f>
        <v>42184127.786329187</v>
      </c>
      <c r="FC74" s="28">
        <f>IF($E74="","No Port",IF(G74="Panama","Ship cannot pass through Panama",((F74/24/Shipping!$V$44+F74/24/Shipping!$V$50+Shipping!$V$59+Shipping!$V$64)*(Shipping!$V$22+wacc_nl*Shipping!$V$19/365.25*1000000+Shipping!$V$35)+(F74/24/Shipping!$V$44*Shipping!$V$45+Shipping!$V$64*Shipping!$V$65)*IF(bunker_choice="HFO",$H74,IF(bunker_choice="hydrogen",$BD74*hfo_e_density_lhv/h2_e_density_lhv,(EX74+EZ74)*1000000/FB74*hfo_e_density_lhv/lng_e_density_lhv))+(F74/24/Shipping!$V$50*Shipping!$V$51+Shipping!$V$59*Shipping!$V$60)*IF(bunker_choice="HFO",bunker_price_ROT,IF(bunker_choice="hydrogen",$BD74*hfo_e_density_lhv/h2_e_density_lhv,(EX74+EZ74)*1000000/FB74*hfo_e_density_lhv/lng_e_density_lhv))+Shipping!$V$73+IF(G74="Panama",Shipping!$V$55,0)+IF(G74="Suez",Shipping!$V$56,0))/Shipping!$V$31*(FB74+lng_st_ab_losses)/1000000)+IF(inland_transport_to_port="hv dc grid",$BM74/100*1000*FE74,IF(inland_transport_to_port="pipeline",$BN74,0)))</f>
        <v>4011.2189494119393</v>
      </c>
      <c r="FD74" s="28">
        <f t="shared" ref="FD74:FD137" si="136">IFERROR(EY74+FA74+FC74,"")</f>
        <v>66224.120867168254</v>
      </c>
      <c r="FE74" s="29">
        <f>((Carriers!$AB$18/Carriers!$AB$23*alk_el_e_demand)+sng_e_demand+lng_e_demand)*(FB74+lng_st_ab_losses)/1000000+lng_st_e_demand*EZ74/1000000</f>
        <v>1131.3161476578343</v>
      </c>
      <c r="FF74" s="29">
        <f t="shared" si="109"/>
        <v>0.8126185861001558</v>
      </c>
      <c r="FG74" s="28">
        <f>IFERROR(FD74*1000000/Storage!$U$12,"")</f>
        <v>1631.7739418928347</v>
      </c>
      <c r="FH74" s="28">
        <f>IF($E74="","No Port",((F74/24/Shipping!$V$44+F74/24/Shipping!$V$50+Shipping!$V$59+Shipping!$V$64)*Carriers!$AB$39*wacc_nl))</f>
        <v>62.683283699851678</v>
      </c>
      <c r="FI74" s="100">
        <f>H2_retrieval!$T$25*h2_demand_kt/1000+(co2_liq_e_demand+co2_st_e_demand*2)*Storage!$U$12*co2_density/lng_density/1000000</f>
        <v>236.51371749646054</v>
      </c>
      <c r="FJ74" s="28">
        <f>IFERROR((((EX74+EZ74+FC74)*(1+H2_retrieval!$T$34)+FH74)*1000000/H2_retrieval!$T$8)+h2_regen_lng,"")</f>
        <v>5482.5408712315084</v>
      </c>
      <c r="FK74" s="149">
        <f>(lh2_invest*(M74+1/lh2_lifetime)/lh2_prod+lh2_opex+lh2_e_demand*1000*$AU74/100+Carriers!$AD$18/Carriers!$AD$23*BD74)*(FM74+lh2_st_ab_losses)/1000000</f>
        <v>39366.531715246092</v>
      </c>
      <c r="FL74" s="28">
        <f>lh2_st_nl_cost*lh2_st_nl_demand/1000000+(lh2_st_invest*(M74+1/lh2_st_lifetime+lh2_st_opex)/(Storage!$Y$63/1000000)+lh2_st_e_demand*1000*$AU74/100)*(FM74+lh2_st_ab_losses)/1000000+((FM74+lh2_st_ab_losses)/365.25*short_st_duration_hrs/24)*(h2_short_st_invest*(1/gh2_short_st_lifetime+$M74+h2_short_st_opex)+h2_short_st_e_demand*1000*$AU74/100)/1000000</f>
        <v>45590.837244849543</v>
      </c>
      <c r="FM74" s="63">
        <f>Storage!$Y$57/((1-Shipping!$Z$37)^($F74/24/Shipping!$Z$44+0.5*Shipping!$Z$59))</f>
        <v>14461838.432742188</v>
      </c>
      <c r="FN74" s="28">
        <f>IF($E74="","No Port",IF(G74="Panama","Ship cannot pass through Panama",((F74/24/Shipping!$Z$44+F74/24/Shipping!$Z$50+Shipping!$Z$59+Shipping!$Z$64)*(Shipping!$Z$22+wacc_nl*Shipping!$Z$19/365.25*1000000+Shipping!$Z$35)+(F74/24/Shipping!$Z$44*Shipping!$Z$45+Shipping!$Z$64*Shipping!$Z$65)*IF(bunker_choice="HFO",$H74,IF(bunker_choice="hydrogen",$BD74*hfo_e_density_lhv/h2_e_density_lhv,(FK74+FL74)*1000000/FM74*hfo_e_density_lhv/lh2_e_density_lhv))+(F74/24/Shipping!$Z$50*Shipping!$Z$51+Shipping!$Z$59*Shipping!$Z$60)*IF(bunker_choice="HFO",bunker_price_ROT,IF(bunker_choice="hydrogen",$BD74*hfo_e_density_lhv/h2_e_density_lhv,(FK74+FL74)*1000000/FM74*hfo_e_density_lhv/lh2_e_density_lhv))+Shipping!$Z$73+IF(G74="Panama",Shipping!$Z$55,0)+IF(G74="Suez",Shipping!$Z$56,0))/Shipping!$Z$31*(FM74+lh2_st_ab_losses)/1000000)+IF(inland_transport_to_port="hv dc grid",$BM74/100*1000*FP74,IF(inland_transport_to_port="pipeline",$BN74,0)))</f>
        <v>7153.8634241414074</v>
      </c>
      <c r="FO74" s="28">
        <f t="shared" si="128"/>
        <v>92111.232384237039</v>
      </c>
      <c r="FP74" s="29">
        <f>((Carriers!$AD$18/Carriers!$AD$23*alk_el_e_demand)+lh2_e_demand)*(FM74+lh2_st_ab_losses)/1000000+lh2_st_e_demand*FM74/1000000</f>
        <v>838.00564325279413</v>
      </c>
      <c r="FQ74" s="100">
        <f t="shared" si="110"/>
        <v>1.361902463475859</v>
      </c>
      <c r="FR74" s="28">
        <f>IFERROR(FO74*1000000/Storage!$Y$12,"")</f>
        <v>6772.8847341350765</v>
      </c>
      <c r="FS74" s="100">
        <f>H2_retrieval!$V$25*h2_demand_kt/1000</f>
        <v>8.16</v>
      </c>
      <c r="FT74" s="28">
        <f>IFERROR(FR74*(1+H2_retrieval!$V$34)/Carrier_properties!$U$7+H2_retrieval!$V$38,"")</f>
        <v>6804.8534600035437</v>
      </c>
      <c r="FU74" s="12"/>
      <c r="FV74" s="24">
        <f t="shared" si="129"/>
        <v>2.0028497353939385</v>
      </c>
      <c r="FW74" s="24">
        <f t="shared" si="92"/>
        <v>3.2514762670670598</v>
      </c>
      <c r="FX74" s="24">
        <f t="shared" si="93"/>
        <v>4.8189665416351275</v>
      </c>
      <c r="FY74" s="24">
        <f t="shared" si="130"/>
        <v>2.0028497353939385</v>
      </c>
      <c r="FZ74" s="28">
        <f t="shared" si="94"/>
        <v>1982.3434223524698</v>
      </c>
      <c r="GA74" s="28">
        <f t="shared" ref="GA74:GA137" si="137">BR74*1000000/BT74</f>
        <v>462.68669394207728</v>
      </c>
      <c r="GB74" s="28">
        <f t="shared" ref="GB74:GB137" si="138">CC74*1000000/CF74</f>
        <v>332.65662884493855</v>
      </c>
      <c r="GC74" s="28">
        <f t="shared" ref="GC74:GC137" si="139">CP74*1000000/CS74</f>
        <v>520.57607868822242</v>
      </c>
      <c r="GD74" s="28">
        <f t="shared" ref="GD74:GD137" si="140">DY74*1000000/EB74</f>
        <v>761.70958799089101</v>
      </c>
      <c r="GE74" s="28">
        <f t="shared" ref="GE74:GE137" si="141">EL74*1000000/EO74</f>
        <v>1335.9242180099354</v>
      </c>
      <c r="GF74" s="28">
        <f t="shared" ref="GF74:GF137" si="142">EY74*1000000/FB74</f>
        <v>1384.2733479664789</v>
      </c>
      <c r="GG74" s="12"/>
      <c r="GH74" s="12"/>
      <c r="GI74" s="12"/>
      <c r="GJ74" s="12"/>
      <c r="GK74" s="12"/>
      <c r="GL74" s="12"/>
      <c r="GM74" s="12"/>
      <c r="GN74" s="12"/>
      <c r="GO74" s="12"/>
      <c r="GP74" s="12"/>
      <c r="GQ74" s="12"/>
      <c r="GR74" s="12"/>
      <c r="GS74" s="12"/>
      <c r="GT74" s="12"/>
      <c r="GU74" s="12"/>
      <c r="GV74" s="12"/>
      <c r="GW74" s="12"/>
      <c r="GX74" s="12"/>
      <c r="GY74" s="12"/>
      <c r="GZ74" s="12"/>
      <c r="HA74" s="12"/>
      <c r="HB74" s="12"/>
      <c r="HC74" s="12"/>
      <c r="HD74" s="12"/>
      <c r="HE74" s="12"/>
      <c r="HF74" s="12"/>
    </row>
    <row r="75" spans="1:214" x14ac:dyDescent="0.2">
      <c r="A75" s="40" t="s">
        <v>79</v>
      </c>
      <c r="B75" s="12">
        <v>3475</v>
      </c>
      <c r="C75" s="12">
        <v>1</v>
      </c>
      <c r="D75" s="12">
        <f t="shared" si="111"/>
        <v>0</v>
      </c>
      <c r="E75" s="12" t="s">
        <v>743</v>
      </c>
      <c r="F75" s="12">
        <v>3661</v>
      </c>
      <c r="G75" s="12" t="s">
        <v>692</v>
      </c>
      <c r="H75" s="16">
        <f t="shared" si="112"/>
        <v>382.75862068965517</v>
      </c>
      <c r="I75" s="16">
        <v>88780</v>
      </c>
      <c r="J75" s="16">
        <f t="shared" si="113"/>
        <v>168.10577531838976</v>
      </c>
      <c r="K75" s="27">
        <f t="shared" si="114"/>
        <v>201.72693038206771</v>
      </c>
      <c r="L75" s="103">
        <v>0.107</v>
      </c>
      <c r="M75" s="103">
        <f t="shared" si="115"/>
        <v>0.11709478545937872</v>
      </c>
      <c r="N75" s="122">
        <f t="shared" si="116"/>
        <v>0.8</v>
      </c>
      <c r="O75" s="46">
        <f t="shared" si="117"/>
        <v>40</v>
      </c>
      <c r="P75" s="70">
        <f t="array" ref="P75">SUMPRODUCT(IF(Solar_data!A$4:A$777=A75,Solar_data!C$4:C$777),IF(Solar_data!A$4:A$777=A75,Solar_data!I$4:I$777))/SUMIF(Solar_data!A$4:A$777,A75,Solar_data!I$4:I$777)</f>
        <v>2339.8239967709105</v>
      </c>
      <c r="Q75" s="16">
        <f t="array" ref="Q75">MAX(IF(Solar_data!$A$777:'Solar_data'!$A$4=Country_details!$A75,Solar_data!$C$4:'Solar_data'!$C$777))</f>
        <v>2463.75</v>
      </c>
      <c r="R75" s="16">
        <f t="array" ref="R75">MIN(IF(Solar_data!$A$777:'Solar_data'!$A$4=Country_details!A75,Solar_data!$C$4:'Solar_data'!$C$777))</f>
        <v>1916.25</v>
      </c>
      <c r="S75" s="24">
        <f t="shared" si="95"/>
        <v>2.0645418884251492</v>
      </c>
      <c r="T75" s="24">
        <f t="shared" si="96"/>
        <v>1.9606959524610434</v>
      </c>
      <c r="U75" s="24">
        <f t="shared" si="97"/>
        <v>2.5208947960213419</v>
      </c>
      <c r="V75" s="16">
        <f t="array" ref="V75">SUM(IF(Solar_data!$A$777:'Solar_data'!$A$4=Country_details!$A75,Solar_data!$I$4:'Solar_data'!$I$777))</f>
        <v>732.54092212012733</v>
      </c>
      <c r="W75" s="148"/>
      <c r="X75" s="16" t="str">
        <f>IFERROR(INDEX(Onshore_wind_data!$J$5:'Onshore_wind_data'!$J$221,MATCH(A75,Onshore_wind_data!$B$5:'Onshore_wind_data'!$B$221,0)),"")</f>
        <v/>
      </c>
      <c r="Y75" s="16" t="str">
        <f>IFERROR(INDEX(Onshore_wind_data!$K$5:'Onshore_wind_data'!$K$221,MATCH(A75,Onshore_wind_data!$B$5:'Onshore_wind_data'!$B$221,0)),"")</f>
        <v/>
      </c>
      <c r="Z75" s="16" t="str">
        <f>IFERROR(INDEX(Onshore_wind_data!$L$5:'Onshore_wind_data'!$L$221,MATCH(A75,Onshore_wind_data!$B$5:'Onshore_wind_data'!$B$221,0)),"")</f>
        <v/>
      </c>
      <c r="AA75" s="24" t="str">
        <f t="shared" si="118"/>
        <v/>
      </c>
      <c r="AB75" s="24" t="str">
        <f t="shared" si="119"/>
        <v/>
      </c>
      <c r="AC75" s="24" t="str">
        <f t="shared" si="120"/>
        <v/>
      </c>
      <c r="AD75" s="16">
        <f>IFERROR(INDEX(Onshore_wind_data!$I$5:'Onshore_wind_data'!$I$221,MATCH(A75,Onshore_wind_data!$B$5:'Onshore_wind_data'!$B$221,0)),"")</f>
        <v>0</v>
      </c>
      <c r="AE75" s="148"/>
      <c r="AF75" s="16" t="str">
        <f>INDEX(Offshore_wind_data!$AA$7:$AA$192,MATCH(Country_details!A75,Offshore_wind_data!$A$7:$A$192,0))</f>
        <v/>
      </c>
      <c r="AG75" s="16" t="str">
        <f>INDEX(Offshore_wind_data!$Y$7:$Y$192,MATCH(Country_details!A75,Offshore_wind_data!$A$7:$A$192,0))</f>
        <v/>
      </c>
      <c r="AH75" s="16" t="str">
        <f>INDEX(Offshore_wind_data!$Z$7:$Z$192,MATCH(Country_details!A75,Offshore_wind_data!$A$7:$A$192,0))</f>
        <v/>
      </c>
      <c r="AI75" s="24" t="str">
        <f t="shared" si="98"/>
        <v/>
      </c>
      <c r="AJ75" s="24" t="str">
        <f t="shared" si="99"/>
        <v/>
      </c>
      <c r="AK75" s="24" t="str">
        <f t="shared" si="100"/>
        <v/>
      </c>
      <c r="AL75" s="16">
        <f>INDEX(Offshore_wind_data!$W$7:$W$191,MATCH(A75,Offshore_wind_data!$A$7:$A$191,0))</f>
        <v>0</v>
      </c>
      <c r="AM75" s="148"/>
      <c r="AN75" s="12">
        <v>9.6999999999999993</v>
      </c>
      <c r="AO75" s="12">
        <v>14.2</v>
      </c>
      <c r="AP75" s="34">
        <f>1.07*11.63</f>
        <v>12.444100000000002</v>
      </c>
      <c r="AQ75" s="15">
        <f t="shared" si="101"/>
        <v>50</v>
      </c>
      <c r="AR75" s="12">
        <f t="shared" si="131"/>
        <v>710</v>
      </c>
      <c r="AS75" s="16">
        <f t="shared" si="121"/>
        <v>22.540922120127334</v>
      </c>
      <c r="AT75" s="12"/>
      <c r="AU75" s="24">
        <f t="shared" si="122"/>
        <v>2.0645418884251492</v>
      </c>
      <c r="AV75" s="16">
        <f t="shared" si="123"/>
        <v>2339.8239967709105</v>
      </c>
      <c r="AW75" s="149">
        <f>HV_DC_Grid!$E$3/(1-AX75)*AU75/100*1000</f>
        <v>2241.7462622133844</v>
      </c>
      <c r="AX75" s="31">
        <f>(1-(1-HV_DC_Grid!$E$25)^(B75*C75*HV_DC_Grid!$E$8/1000))+(1-(1-HV_DC_Grid!$E$26)^(B75*D75*HV_DC_Grid!$E$8/1000))+HV_DC_Grid!$E$35*HV_DC_Grid!$E$28</f>
        <v>7.904747150699952E-2</v>
      </c>
      <c r="AY75" s="28">
        <f>B75*nl_e_demand/IF(hv_dc_flh="electricity FLH",$AV75,hv_dc_custom)*1000*hv_dc_capacity_multiplier*hv_dc_length_multiplier*1000*(C75*hv_dc_overhead_invest*(hv_dc_overhead_opex+M75+1/hv_dc_lifetime)+D75*hv_dc_sea_invest*(hv_dc_sea_opex+M75+1/hv_dc_lifetime))/1000000+HV_DC_Grid!$E$10*1000*hv_dc_station_invest*hv_dc_station_number*(hv_dc_station_opex+M75+1/hv_dc_lifetime)/1000000</f>
        <v>3192.1653572214404</v>
      </c>
      <c r="AZ75" s="24">
        <f>(AW75+AY75)/(HV_DC_Grid!$E$3*1000)*100</f>
        <v>5.4339116194348245</v>
      </c>
      <c r="BA75" s="28">
        <f>MIN(((Carriers!$F$26+Carriers!$F$27)*(alk_el_opex+wacc_nl+1/alk_el_lifetime)+IF(hv_dc_flh="electricity FLH",$AV75,hv_dc_custom)*AZ75/100)/(IF(hv_dc_flh="electricity FLH",$AV75,hv_dc_custom)/alk_el_e_demand)*1000,((Carriers!$H$26+Carriers!$H$27)*(pem_el_opex+wacc_nl+1/pem_el_lifetime)+IF(hv_dc_flh="electricity FLH",$AV75,hv_dc_custom)*AZ75/100)/(IF(hv_dc_flh="electricity FLH",$AV75,hv_dc_custom)/pem_el_e_demand)*1000)</f>
        <v>3115.4468087708133</v>
      </c>
      <c r="BB75" s="12"/>
      <c r="BC75" s="12"/>
      <c r="BD75" s="149">
        <f>MIN(((Carriers!$F$26+Carriers!$F$27)*(alk_el_opex+M75+1/alk_el_lifetime)+$AV75*$AU75/100)/($AV75/alk_el_e_demand)*1000,((Carriers!$H$26+Carriers!$H$27)*(pem_el_opex+M75+1/pem_el_lifetime)+$AV75*$AU75/100)/($AV75/pem_el_e_demand)*1000)</f>
        <v>2446.9873810668896</v>
      </c>
      <c r="BE75" s="28">
        <f>Storage!$AC$50</f>
        <v>8.1664117557772418</v>
      </c>
      <c r="BF75" s="28">
        <f>((Pipeline!$D$22*Pipeline!$D$24*B75*(pipeline_opex+M75+1/pipeline_lifetime))*(Pipeline!$D$39/Pipeline!$D$3)+(Pipeline!$D$57*(pipeline_comp_opex+M75+1/pipeline_comp_lifetime)+Pipeline!$D$47*1000*Pipeline!$D$45*$AU75/100/1000000))*(Pipeline!$D$75/Pipeline!$D$45)</f>
        <v>7512.2642060229882</v>
      </c>
      <c r="BG75" s="28">
        <f>BD75+(BE75+BF75)/Storage!$AC$12*1000000</f>
        <v>2999.960220609446</v>
      </c>
      <c r="BH75" s="28"/>
      <c r="BI75" s="28"/>
      <c r="BJ75" s="28">
        <f>IF($E75="","No Port",BK75*HV_DC_Grid!$E$3*$AU75/100*1000)</f>
        <v>36.948825994028482</v>
      </c>
      <c r="BK75" s="31">
        <f>IFERROR((1-(1-HV_DC_Grid!$E$25)^(K75*HV_DC_Grid!$E$8/1000))+HV_DC_Grid!$E$35*HV_DC_Grid!$E$28,"")</f>
        <v>1.7896864287996292E-2</v>
      </c>
      <c r="BL75" s="28">
        <f>IFERROR(K75*nl_e_demand/IF(hv_dc_flh="electricity FLH",$AV75,hv_dc_custom)*1000*hv_dc_capacity_multiplier*hv_dc_length_multiplier*1000*(hv_dc_overhead_invest*(hv_dc_overhead_opex+M75+1/hv_dc_lifetime))/1000000+HV_DC_Grid!$E$10*1000*hv_dc_station_invest*hv_dc_station_number*(hv_dc_station_opex+M75+1/hv_dc_lifetime)/1000000,"")</f>
        <v>563.52915657735298</v>
      </c>
      <c r="BM75" s="29">
        <f>IFERROR((BJ75+BL75)/(HV_DC_Grid!$E$3*1000)*100,"")</f>
        <v>0.60047798257138152</v>
      </c>
      <c r="BN75" s="28">
        <f>IFERROR(((Pipeline!$D$22*Pipeline!$D$24*K75*(pipeline_opex+M75+1/pipeline_lifetime))*(Pipeline!$D$39/Pipeline!$D$3)+(Pipeline!$D$57*(pipeline_comp_opex+M75+1/pipeline_comp_lifetime)+Pipeline!$D$47*1000*Pipeline!$D$45*S75/100/1000000))*(Pipeline!$D$75/Pipeline!$D$45),"")</f>
        <v>502.12001938771914</v>
      </c>
      <c r="BO75" s="28"/>
      <c r="BP75" s="150">
        <f t="shared" si="124"/>
        <v>106.40237311602769</v>
      </c>
      <c r="BQ75" s="34">
        <f t="shared" si="125"/>
        <v>31.995083736571964</v>
      </c>
      <c r="BR75" s="151">
        <f>(nh3_invest*(M75+1/nh3_lifetime)/nh3_prod+nh3_opex+nh3_e_demand*1000*$AU75/100+Carriers!$N$18/Carriers!$N$23*BD75+Carriers!$N$19/Carriers!$N$23*BQ75)*(BT75+nh3_st_ab_losses)/1000000</f>
        <v>44827.342169518874</v>
      </c>
      <c r="BS75" s="63">
        <f>nh3_st_nl_cost*nh3_st_nl_demand/1000000+(nh3_st_invest*(M75+1/nh3_st_lifetime+nh3_st_opex)/(Storage!$G$63/1000000)+nh3_st_e_demand*1000*$AU75/100)*(BT75+nh3_st_ab_losses)/1000000+Carriers!$N$18/Carriers!$N$23*((BT75+nh3_st_ab_losses)/365.25*short_st_duration_hrs/24)*(h2_short_st_invest*(1/gh2_short_st_lifetime+$M75+h2_short_st_opex)+h2_short_st_e_demand*1000*$AU75/100)/1000000+Carriers!$N$19/Carriers!$N$23*((BT75+nh3_st_ab_losses)/365.25*short_st_duration_hrs/24)*(n2_short_st_invest*(1/n2_short_st_lifetime+$M75+n2_short_st_opex)+n2_short_st_e_demand*1000*$AU75/100)/1000000</f>
        <v>3326.0376260067724</v>
      </c>
      <c r="BT75" s="63">
        <f>Storage!$G$57/((1-Shipping!$H$37)^(F75/24/Shipping!$H$44+0.5*Shipping!$H$59))</f>
        <v>78656070.630409673</v>
      </c>
      <c r="BU75" s="63">
        <f>IF($E75="","No Port",((F75/24/Shipping!$H$44+F75/24/Shipping!$H$50+Shipping!$H$59+Shipping!$H$64)*(Shipping!$H$22+wacc_nl*Shipping!$H$19/365.25*1000000+Shipping!$H$35)+(F75/24/Shipping!$H$44*Shipping!$H$45+Shipping!$H$64*Shipping!$H$65)*IF(bunker_choice="HFO",H75,IF(bunker_choice="hydrogen",BD75*hfo_e_density_lhv/h2_e_density_lhv,(BR75+BS75)*1000000/BT75*hfo_e_density_lhv/nh3_e_density_lhv))+(F75/24/Shipping!$H$50*Shipping!$H$51+Shipping!$H$59*Shipping!$H$60)*IF(bunker_choice="HFO",bunker_price_ROT,IF(bunker_choice="hydrogen",BD75*hfo_e_density_lhv/h2_e_density_lhv,(BR75+BS75)*1000000/BT75*hfo_e_density_lhv/nh3_e_density_lhv))+Shipping!$H$73+IF(G75="Panama",Shipping!$H$55,0)+IF(G75="Suez",Shipping!$H$56,0))/Shipping!$H$31*BT75/1000000+IF(inland_transport_to_port="hv dc grid",$BM75/100*1000*BW75,IF(inland_transport_to_port="pipeline",$BN75,0)))</f>
        <v>3416.0468360437671</v>
      </c>
      <c r="BV75" s="63">
        <f t="shared" si="126"/>
        <v>51569.426631569411</v>
      </c>
      <c r="BW75" s="33">
        <f>((Carriers!$N$18/Carriers!$N$23*alk_el_e_demand)+(Carriers!$N$19/Carriers!$N$23*n2_e_demand)+nh3_e_demand)*(BT75+nh3_st_ab_losses)/1000000+nh3_st_e_demand*BT75/1000000</f>
        <v>776.75159542953429</v>
      </c>
      <c r="BX75" s="33">
        <f t="shared" si="102"/>
        <v>0.76626754477640768</v>
      </c>
      <c r="BY75" s="63">
        <f>IFERROR(BV75*1000000/Storage!$G$12,"")</f>
        <v>673.55578514530475</v>
      </c>
      <c r="BZ75" s="63">
        <f>H2_retrieval!$F$25*h2_demand_kt/1000</f>
        <v>80</v>
      </c>
      <c r="CA75" s="63">
        <f>IFERROR(BY75*(1+H2_retrieval!$F$34)/Carrier_properties!$E$7+H2_retrieval!$F$38,"")</f>
        <v>4201.095584906192</v>
      </c>
      <c r="CB75" s="149">
        <f>(FA_invest*(M75+1/FA_lifetime)/FA_prod+FA_opex+FA_e_demand*1000*$AU75/100+Carriers!$P$18/Carriers!$P$23*BD75+Carriers!$P$20/Carriers!$P$23*co2_liq_cost)*(CF75+FA_st_ab_losses)/1000000</f>
        <v>89840.899931570559</v>
      </c>
      <c r="CC75" s="86">
        <f>(FA_invest*(M75+1/FA_lifetime)/FA_prod+FA_opex+FA_e_demand*1000*$AU75/100+Carriers!$P$18/Carriers!$P$23*BD75+Carriers!$P$20/Carriers!$P$23*BP75)*(CF75+FA_st_ab_losses)/1000000</f>
        <v>115389.7556220978</v>
      </c>
      <c r="CD75" s="63">
        <f>FA_st_nl_cost*FA_st_nl_demand/1000000+(FA_st_invest*(M75+1/FA_st_lifetime+FA_st_opex)/(Storage!$I$63/1000000)+FA_st_e_demand*1000*$AU75/100)*(CF75+FA_st_ab_losses)/1000000+co2_st_nl_cost*Storage!$I$12*co2_density/FA_density/1000000+(co2_st_opex_lev+co2_st_invest_lev+co2_st_e_demand*1000*$AU75/100)*Storage!$I$12/1000000+co2_st_invest_lev*Storage!$I$12*co2_st_lifetime*M75/1000000+Carriers!$P$18/Carriers!$P$23*((CF75+FA_st_ab_losses)/365.25*short_st_duration_hrs/24)*(h2_short_st_invest*(1/gh2_short_st_lifetime+$M75+h2_short_st_opex)+h2_short_st_e_demand*1000*$AU75/100)/1000000+Carriers!$P$20/Carriers!$P$23*((CF75+FA_st_ab_losses)/365.25*short_st_duration_hrs/24)*(co2_short_st_invest*(1/co2_short_st_lifetime+$M75+co2_short_st_opex)+co2_short_st_e_demand*1000*$AU75/100)/1000000</f>
        <v>11330.151730412957</v>
      </c>
      <c r="CE75" s="63">
        <f>FA_st_nl_cost*FA_st_nl_demand/1000000+(FA_st_invest*(M75+1/FA_st_lifetime+FA_st_opex)/(Storage!$I$63/1000000)+FA_st_e_demand*1000*$AU75/100)*(CF75+FA_st_ab_losses)/1000000+Carriers!$P$18/Carriers!$P$23*((CF75+FA_st_ab_losses)/365.25*short_st_duration_hrs/24)*(h2_short_st_invest*(1/gh2_short_st_lifetime+$M75+h2_short_st_opex)+h2_short_st_e_demand*1000*$AU75/100)/1000000+Carriers!$P$20/Carriers!$P$23*((CF75+FA_st_ab_losses)/365.25*short_st_duration_hrs/24)*(co2_short_st_invest*(1/co2_short_st_lifetime+$M75+co2_short_st_opex)+co2_short_st_e_demand*1000*$AU75/100)/1000000</f>
        <v>4950.8975715748693</v>
      </c>
      <c r="CF75" s="63">
        <f>Storage!$I$57/((1-Shipping!$J$37)^($F75/24/Shipping!$J$44+0.5*Shipping!$J$59))</f>
        <v>310425396.82539684</v>
      </c>
      <c r="CG75" s="28">
        <f>IF($E75="","No Port",((F75/24/Shipping!$J$44+F75/24/Shipping!$J$50+Shipping!$J$59+Shipping!$J$64)*(Shipping!$J$22+wacc_nl*Shipping!$J$19/365.25*1000000+Shipping!$J$35)+(F75/24/Shipping!$J$44*Shipping!$J$45+Shipping!$J$64*Shipping!$J$65)*IF(bunker_choice="HFO",$H75,IF(bunker_choice="hydrogen",$BD75*hfo_e_density_lhv/h2_e_density_lhv,(CB75+CD75)*1000000/CF75*hfo_e_density_lhv/FA_e_density_lhv))+(F75/24/Shipping!$J$50*Shipping!$J$51+Shipping!$J$59*Shipping!$J$60)*IF(bunker_choice="HFO",bunker_price_ROT,IF(bunker_choice="hydrogen",$BD75*hfo_e_density_lhv/h2_e_density_lhv,(CB75+CD75)*1000000/CF75*hfo_e_density_lhv/FA_e_density_lhv))+Shipping!$J$73+IF(G75="Panama",Shipping!$J$55,0)+IF(G75="Suez",Shipping!$J$56,0))/Shipping!$J$31*CF75/1000000+IF(inland_transport_to_port="hv dc grid",$BM75/100*1000*CI75,IF(inland_transport_to_port="pipeline",$BN75,0)))</f>
        <v>13037.31109223376</v>
      </c>
      <c r="CH75" s="28">
        <f t="shared" si="132"/>
        <v>133377.96428590643</v>
      </c>
      <c r="CI75" s="29">
        <f>((Carriers!$P$18/Carriers!$P$23*alk_el_e_demand)+FA_e_demand)*(CF75+FA_st_ab_losses)/1000000+FA_st_e_demand*CF75/1000000</f>
        <v>1897.8881241622576</v>
      </c>
      <c r="CJ75" s="29">
        <f t="shared" si="103"/>
        <v>0.46563809523809524</v>
      </c>
      <c r="CK75" s="28">
        <f>IFERROR(CH75*1000000/Storage!$I$12,"")</f>
        <v>429.66189509593107</v>
      </c>
      <c r="CL75" s="28">
        <f>IF($E75="","No Port",((F75/24/Shipping!$J$44+F75/24/Shipping!$J$50+Shipping!$J$59+Shipping!$J$64)*Carriers!$P$39*wacc_nl))</f>
        <v>196.47932050693436</v>
      </c>
      <c r="CM75" s="29">
        <f>H2_retrieval!$H$25*h2_demand_kt/1000+(co2_liq_e_demand+co2_st_e_demand*2)*Storage!$I$12*co2_density/FA_density/1000000</f>
        <v>94.204253879484654</v>
      </c>
      <c r="CN75" s="28">
        <f>IFERROR((((CB75+CD75+CG75)*(1+H2_retrieval!$H$34)+CL75)*1000000/H2_retrieval!$H$8)+h2_regen_fa,"")</f>
        <v>8501.8081085555004</v>
      </c>
      <c r="CO75" s="149">
        <f>(meoh_invest*(M75+1/meoh_lifetime)/meoh_prod+meoh_opex+meoh_e_demand*1000*$AU75/100+Carriers!$R$18/Carriers!$R$23*BD75+Carriers!$R$20/Carriers!$R$23*co2_liq_cost)*(CS75+meoh_st_ab_losses)/1000000</f>
        <v>53837.594813589567</v>
      </c>
      <c r="CP75" s="86">
        <f>(meoh_invest*(M75+1/meoh_lifetime)/meoh_prod+meoh_opex+meoh_e_demand*1000*$AU75/100+Carriers!$R$18/Carriers!$R$23*BD75+Carriers!$R$20/Carriers!$R$23*BP75)*(CS75+meoh_st_ab_losses)/1000000</f>
        <v>68835.56184402293</v>
      </c>
      <c r="CQ75" s="63">
        <f>meoh_st_nl_cost*meoh_st_nl_demand/1000000+(meoh_st_invest*(M75+1/meoh_st_lifetime+meoh_st_opex)/(Storage!$K$63/1000000)+meoh_st_e_demand*1000*$AU75/100)*(CS75+meoh_st_ab_losses)/1000000+co2_st_nl_cost*Storage!$K$12*co2_density/meoh_density/1000000+(co2_st_opex_lev+co2_st_invest_lev+co2_st_e_demand*1000*IFERROR(MIN(S75,AA75,AI75),S75)/100)*Storage!$K$12/1000000+co2_st_invest_lev*Storage!$K$12*co2_st_lifetime*M75/1000000+Carriers!$R$18/Carriers!$R$23*((CS75+meoh_st_ab_losses)/365.25*short_st_duration_hrs/24)*(h2_short_st_invest*(1/gh2_short_st_lifetime+$M75+h2_short_st_opex)+h2_short_st_e_demand*1000*$AU75/100)/1000000+Carriers!$R$20/Carriers!$R$23*((CF75+meoh_st_ab_losses)/365.25*short_st_duration_hrs/24)*(co2_short_st_invest*(1/co2_short_st_lifetime+$M75+co2_short_st_opex)+co2_short_st_e_demand*1000*$AU75/100)/1000000</f>
        <v>4761.1871405348375</v>
      </c>
      <c r="CR75" s="63">
        <f>meoh_st_nl_cost*meoh_st_nl_demand/1000000+(meoh_st_invest*(M75+1/meoh_st_lifetime+meoh_st_opex)/(Storage!$K$63/1000000)+meoh_st_e_demand*1000*$AU75/100)*(CS75+meoh_st_ab_losses)/1000000+Carriers!$R$18/Carriers!$R$23*((CS75+meoh_st_ab_losses)/365.25*short_st_duration_hrs/24)*(h2_short_st_invest*(1/gh2_short_st_lifetime+$M75+h2_short_st_opex)+h2_short_st_e_demand*1000*$AU75/100)/1000000+Carriers!$R$20/Carriers!$R$23*((CF75+meoh_st_ab_losses)/365.25*short_st_duration_hrs/24)*(co2_short_st_invest*(1/co2_short_st_lifetime+$M75+co2_short_st_opex)+co2_short_st_e_demand*1000*$AU75/100)/1000000</f>
        <v>1941.8721041106517</v>
      </c>
      <c r="CS75" s="63">
        <f>Storage!$K$57/((1-Shipping!$L$37)^($F75/24/Shipping!$L$44+0.5*Shipping!$L$59))</f>
        <v>108044444.44444443</v>
      </c>
      <c r="CT75" s="28">
        <f>IF($E75="","No Port",IF(AND(ship_choice="VLCC",G75="Panama"),"Ship cannot pass through Panama",IF(ship_choice="VLCC",((F75/24/Shipping!$AD$44+F75/24/Shipping!$AD$50+Shipping!$AD$59+Shipping!$AD$64)*(Shipping!$AD$22+wacc_nl*Shipping!$AD$19/365.25*1000000+Shipping!$AD$35)+(F75/24/Shipping!$AD$44*Shipping!$AD$45+Shipping!$AD$64*Shipping!$AD$65)*IF(bunker_choice="HFO",$H75,IF(bunker_choice="hydrogen",$BD75*hfo_e_density_lhv/h2_e_density_lhv,(CO75+CQ75)*1000000/CS75*hfo_e_density_lhv/meoh_e_density_lhv))+(F75/24/Shipping!$AD$50*Shipping!$AD$51+Shipping!$AD$59*Shipping!$AD$60)*IF(bunker_choice="HFO",bunker_price_ROT,IF(bunker_choice="hydrogen",$BD75*hfo_e_density_lhv/h2_e_density_lhv,(CO75+CQ75)*1000000/CS75*hfo_e_density_lhv/meoh_e_density_lhv))+Shipping!$AD$73+IF(G75="Panama",Shipping!$AD$55,0)+IF(G75="Suez",Shipping!$AD$56,0))/Shipping!$AD$31*CS75/1000000+IF(inland_transport_to_port="hv dc grid",$BM75/100*1000*CV75,IF(inland_transport_to_port="pipeline",$BN75,0)),((F75/24/Shipping!$L$44+F75/24/Shipping!$L$50+Shipping!$L$59+Shipping!$L$64)*(Shipping!$L$22+wacc_nl*Shipping!$L$19/365.25*1000000+Shipping!$L$35)+(F75/24/Shipping!$L$44*Shipping!$L$45+Shipping!$L$64*Shipping!$L$65)*IF(bunker_choice="HFO",$H75,IF(bunker_choice="hydrogen",$BD75*hfo_e_density_lhv/h2_e_density_lhv,(CO75+CQ75)*1000000/CS75*hfo_e_density_lhv/meoh_e_density_lhv))+(F75/24/Shipping!$L$50*Shipping!$L$51+Shipping!$L$59*Shipping!$L$60)*IF(bunker_choice="HFO",bunker_price_ROT,IF(bunker_choice="hydrogen",$BD75*hfo_e_density_lhv/h2_e_density_lhv,(CO75+CQ75)*1000000/CS75*hfo_e_density_lhv/meoh_e_density_lhv))+Shipping!$L$73+IF(G75="Panama",Shipping!$L$55,0)+IF(G75="Suez",Shipping!$L$56,0))/Shipping!$L$31*CS75/1000000+IF(inland_transport_to_port="hv dc grid",$BM75/100*1000*CV75,IF(inland_transport_to_port="pipeline",$BN75,0)))))</f>
        <v>4698.0393962944854</v>
      </c>
      <c r="CU75" s="28">
        <f t="shared" si="133"/>
        <v>75475.473344428057</v>
      </c>
      <c r="CV75" s="29">
        <f>((Carriers!$R$18/Carriers!$R$23*alk_el_e_demand)+meoh_e_demand)*(CS75+meoh_st_ab_losses)/1000000+meoh_st_e_demand*CS75/1000000</f>
        <v>1119.9789871111109</v>
      </c>
      <c r="CW75" s="29">
        <f t="shared" si="104"/>
        <v>0.16206666666666666</v>
      </c>
      <c r="CX75" s="28">
        <f>IFERROR(CU75*1000000/Storage!$K$12,"")</f>
        <v>698.55950236513013</v>
      </c>
      <c r="CY75" s="28">
        <f>IF($E75="","No Port",((F75/24/Shipping!$L$44+F75/24/Shipping!$L$50+Shipping!$L$59+Shipping!$L$64)*Carriers!$R$39*wacc_nl))</f>
        <v>70.206120082079295</v>
      </c>
      <c r="CZ75" s="29">
        <f>H2_retrieval!$J$25*h2_demand_kt/1000+(co2_liq_e_demand+co2_st_e_demand*2)*Storage!$K$12*co2_density/meoh_density/1000000</f>
        <v>251.05079059698966</v>
      </c>
      <c r="DA75" s="28">
        <f>IFERROR((((CO75+CQ75+CT75)*(1+H2_retrieval!$J$34)+CY75)*1000000/H2_retrieval!$J$8)+h2_regen_meoh,"")</f>
        <v>5829.4687983800104</v>
      </c>
      <c r="DB75" s="149">
        <f>(DBT_invest*(M75+1/DBT_lifetime)/DBT_prod+DBT_opex+DBT_e_demand*1000*$AU75/100+Carriers!$T$18/Carriers!$T$23*BD75)*(DD75+DBT_st_ab_losses)/1000000</f>
        <v>36425.126798511214</v>
      </c>
      <c r="DC75" s="28">
        <f>2*(DBT_st_nl_cost*DBT_st_nl_demand/1000000+(DBT_st_invest*(M75+1/DBT_st_lifetime+DBT_st_opex)/(Storage!$M$63/1000000)+DBT_st_e_demand*1000*$AU75/100)*(DD75+DBT_st_ab_losses)/1000000)+Carriers!$T$18/Carriers!$T$23*((DD75+DBT_st_ab_losses)/365.25*short_st_duration_hrs/24)*(h2_short_st_invest*(1/gh2_short_st_lifetime+$M75+h2_short_st_opex)+h2_short_st_e_demand*1000*$AU75/100)/1000000</f>
        <v>4026.1487891624147</v>
      </c>
      <c r="DD75" s="63">
        <f>Storage!$M$57/((1-Shipping!$N$37)^($F75/24/Shipping!$N$44+0.5*Shipping!$N$59))</f>
        <v>219354838.70967743</v>
      </c>
      <c r="DE75" s="28">
        <f>IF($E75="","No Port",IF(AND(ship_choice="VLCC",G75="Panama"),"Ship cannot pass through Panama",IF(ship_choice="VLCC",((F75/24/Shipping!$AD$44+F75/24/Shipping!$AD$50+Shipping!$AD$59+Shipping!$AD$64)*(Shipping!$AD$22+wacc_nl*Shipping!$AD$19/365.25*1000000+Shipping!$AD$35)+(F75/24/Shipping!$AD$44*Shipping!$AD$45+Shipping!$AD$64*Shipping!$AD$65)*IF(bunker_choice="HFO",$H75,IF(bunker_choice="hydrogen",$BD75*hfo_e_density_lhv/h2_e_density_lhv,(DB75+DC75)*1000000/DD75*hfo_e_density_lhv/DBT_e_density_lhv))+(F75/24/Shipping!$AD$50*Shipping!$AD$51+Shipping!$AD$59*Shipping!$AD$60)*IF(bunker_choice="HFO",bunker_price_ROT,IF(bunker_choice="hydrogen",$BD75*hfo_e_density_lhv/h2_e_density_lhv,(DB75+DC75)*1000000/DD75*hfo_e_density_lhv/DBT_e_density_lhv))+Shipping!$AD$73+IF(G75="Panama",Shipping!$AD$55,0)+IF(G75="Suez",Shipping!$AD$56,0))/Shipping!$AD$31*DD75/1000000+IF(inland_transport_to_port="hv dc grid",$BM75/100*1000*DG75,IF(inland_transport_to_port="pipeline",$BN75,0)),((F75/24/Shipping!$N$44+F75/24/Shipping!$N$50+Shipping!$N$59+Shipping!$N$64)*(Shipping!$N$22+wacc_nl*Shipping!$N$19/365.25*1000000+Shipping!$N$35)+(F75/24/Shipping!$N$44*Shipping!$N$45+Shipping!$N$64*Shipping!$N$65)*IF(bunker_choice="HFO",$H75,IF(bunker_choice="hydrogen",$BD75*hfo_e_density_lhv/h2_e_density_lhv,(DB75+DC75)*1000000/DD75*hfo_e_density_lhv/DBT_e_density_lhv))+(F75/24/Shipping!$N$50*Shipping!$N$51+Shipping!$N$59*Shipping!$N$60)*IF(bunker_choice="HFO",bunker_price_ROT,IF(bunker_choice="hydrogen",$BD75*hfo_e_density_lhv/h2_e_density_lhv,(DB75+DC75)*1000000/DD75*hfo_e_density_lhv/DBT_e_density_lhv))+Shipping!$N$73+IF(G75="Panama",Shipping!$N$55,0)+IF(G75="Suez",Shipping!$N$56,0))/Shipping!$N$31*Shipping!$N$86/1000000+IF(inland_transport_to_port="hv dc grid",$BM75/100*1000*DG75,IF(inland_transport_to_port="pipeline",$BN75,0)))))</f>
        <v>8370.98600300412</v>
      </c>
      <c r="DF75" s="28">
        <f t="shared" si="82"/>
        <v>48822.26159067775</v>
      </c>
      <c r="DG75" s="29">
        <f>((Carriers!$T$18/Carriers!$T$23*alk_el_e_demand)+DBT_e_demand)*(DD75+DBT_st_ab_losses)/1000000+DBT_st_e_demand*DD75/1000000</f>
        <v>703.88335483870969</v>
      </c>
      <c r="DH75" s="29">
        <f t="shared" si="105"/>
        <v>0.21935483870967742</v>
      </c>
      <c r="DI75" s="28">
        <f>IFERROR(DF75*1000000/Storage!$M$12,"")</f>
        <v>222.57207489867795</v>
      </c>
      <c r="DJ75" s="28">
        <f>IF($E75="","No Port",((F75/24/Shipping!$N$44+F75/24/Shipping!$N$50+Shipping!$N$59+Shipping!$N$64)*Carriers!$T$39*wacc_nl))</f>
        <v>5113.3423962653824</v>
      </c>
      <c r="DK75" s="100">
        <f>H2_retrieval!$L$25*h2_demand_kt/1000+(co2_liq_e_demand+co2_st_e_demand*2)*Storage!$M$12*co2_density/DBT_density/1000000</f>
        <v>206.61934861671787</v>
      </c>
      <c r="DL75" s="28">
        <f>IFERROR(((DF75*(1+H2_retrieval!$L$34)+DJ75)*1000000/H2_retrieval!$L$8)+h2_regen_lohc,"")</f>
        <v>4436.5030149728491</v>
      </c>
      <c r="DM75" s="149">
        <f t="shared" si="127"/>
        <v>44918.277786768042</v>
      </c>
      <c r="DN75" s="16">
        <f>2*(nabh4_st_nl_cost*nabh4_st_nl_demand/1000000+(nabh4_st_invest*(M75+1/nabh4_st_lifetime+nabh4_st_opex)/(Storage!$O$63/1000000)+nabh4_st_e_demand*1000*$AU75/100)*(DO75+nabh4_st_ab_losses)/1000000)+(h2_demand_kt*1000/365.25*short_st_duration_hrs/24)*(h2_short_st_invest*(1/gh2_short_st_lifetime+$M75+h2_short_st_opex)+h2_short_st_e_demand*1000*$AU75/100)/1000000</f>
        <v>1338.7890167494079</v>
      </c>
      <c r="DO75" s="63">
        <f>Storage!$O$57/((1-Shipping!$P$37)^($F75/24/Shipping!$P$44+0.5*Shipping!$P$59))</f>
        <v>63920000</v>
      </c>
      <c r="DP75" s="16">
        <f>IF($E75="","No Port",((F75/24/Shipping!$P$44+F75/24/Shipping!$P$50+Shipping!$P$59+Shipping!$P$64)*(Shipping!$P$22+wacc_nl*Shipping!$P$19/365.25*1000000+Shipping!$P$35)+(F75/24/Shipping!$P$44*Shipping!$P$45+Shipping!$P$64*Shipping!$P$65)*IF(bunker_choice="HFO",$H75,IF(bunker_choice="hydrogen",$BD75*hfo_e_density_lhv/h2_e_density_lhv,(DM75+DN75)*1000000/DO75*hfo_e_density_lhv/nabh4_e_density_lhv))+(F75/24/Shipping!$P$50*Shipping!$P$51+Shipping!$P$59*Shipping!$P$60)*IF(bunker_choice="HFO",bunker_price_ROT,IF(bunker_choice="hydrogen",$BD75*hfo_e_density_lhv/h2_e_density_lhv,(DM75+DN75)*1000000/DO75*hfo_e_density_lhv/nabh4_e_density_lhv))+Shipping!$P$73+IF(G75="Panama",Shipping!$P$55,0)+IF(G75="Suez",Shipping!$P$56,0))/Shipping!$P$31*(DO75+nabh4_st_ab_losses)/1000000+IF(inland_transport_to_port="hv dc grid",$BM75/100*1000*DR75,IF(inland_transport_to_port="pipeline",$BN75,0)))</f>
        <v>2340.4393955190026</v>
      </c>
      <c r="DQ75" s="28">
        <f t="shared" si="60"/>
        <v>48597.506199036448</v>
      </c>
      <c r="DR75" s="29">
        <f>((Carriers!$V$18/Carriers!$V$23*alk_el_e_demand)+nabh4_e_demand)*(DO75+nabh4_st_ab_losses)/1000000+nabh4_st_e_demand*DO75/1000000</f>
        <v>980.02139682539689</v>
      </c>
      <c r="DS75" s="28">
        <f t="shared" si="106"/>
        <v>3.1960000000000002</v>
      </c>
      <c r="DT75" s="28">
        <f>IFERROR(DQ75*1000000/Storage!$O$12,"")</f>
        <v>760.28639235038247</v>
      </c>
      <c r="DU75" s="28">
        <f>IF($E75="","No Port",((F75/24/Shipping!$P$44+F75/24/Shipping!$P$50+Shipping!$P$59+Shipping!$P$64)*Carriers!$V$39*wacc_nl))</f>
        <v>480.15687841639908</v>
      </c>
      <c r="DV75" s="100">
        <f>H2_retrieval!$N$25*h2_demand_kt/1000+(co2_liq_e_demand+co2_st_e_demand*2)*Storage!$O$12*co2_density/nabh4_density/1000000</f>
        <v>18.783638728971958</v>
      </c>
      <c r="DW75" s="28">
        <f>IFERROR(((DQ75*(1+H2_retrieval!$N$34)+DU75)*1000000/H2_retrieval!$N$8)+h2_regen_nabh4,"")</f>
        <v>3686.9928282031074</v>
      </c>
      <c r="DX75" s="149">
        <f>(Dme_invest*(M75+1/Dme_lifetime)/Dme_prod+Dme_opex+Dme_e_demand*1000*$AU75/100+Carriers!$X$21/Carriers!$X$23*(CO75*1000000/CS75))*(EB75+Dme_st_ab_losses)/1000000</f>
        <v>75911.38881302558</v>
      </c>
      <c r="DY75" s="86">
        <f>(Dme_invest*(M75+1/Dme_lifetime)/Dme_prod+Dme_opex+Dme_e_demand*1000*$AU75/100+Carriers!$X$21/Carriers!$X$23*(CP75*1000000/CS75))*(EB75+Dme_st_ab_losses)/1000000</f>
        <v>96258.590935819229</v>
      </c>
      <c r="DZ75" s="63">
        <f>Dme_st_nl_cost*Dme_st_nl_demand/1000000+(Dme_st_invest*(M75+1/Dme_st_lifetime+Dme_st_opex)/(Storage!$Q$63/1000000)+Dme_st_e_demand*1000*$AU75/100)*(EB75+Dme_st_ab_losses)/1000000+co2_st_nl_cost*Storage!$Q$12*co2_density/Dme_density/1000000+(co2_st_opex_lev+co2_st_invest_lev+co2_st_e_demand*1000*$AU75/100)*Storage!$Q$12/1000000+co2_st_invest_lev*Storage!$Q$12*co2_st_lifetime*M75/1000000+(h2_demand_kt*1000/365.25*short_st_duration_hrs/24)*(h2_short_st_invest*(1/gh2_short_st_lifetime+$M75+h2_short_st_opex)+h2_short_st_e_demand*1000*$AU75/100)/1000000</f>
        <v>5753.7142333749971</v>
      </c>
      <c r="EA75" s="63">
        <f>Dme_st_nl_cost*Dme_st_nl_demand/1000000+(Dme_st_invest*(M75+1/Dme_st_lifetime+Dme_st_opex)/(Storage!$Q$63/1000000)+Dme_st_e_demand*1000*$AU75/100)*(EB75+Dme_st_ab_losses)/1000000+(h2_demand_kt*1000/365.25*short_st_duration_hrs/24)*(h2_short_st_invest*(1/gh2_short_st_lifetime+$M75+h2_short_st_opex)+h2_short_st_e_demand*1000*$AU75/100)/1000000</f>
        <v>2924.8526077225315</v>
      </c>
      <c r="EB75" s="63">
        <f>Storage!$Q$57/((1-Shipping!$R$37)^($F75/24/Shipping!$R$44+0.5*Shipping!$R$59))</f>
        <v>103547089.94708996</v>
      </c>
      <c r="EC75" s="153">
        <f>IF($E75="","No Port",IF(AND(ship_choice="VLCC",G75="Panama"),"Ship cannot pass through Panama",IF(ship_choice="VLCC",((F75/24/Shipping!$AD$44+F75/24/Shipping!$AD$50+Shipping!$AD$59+Shipping!$AD$64)*(Shipping!$AD$22+wacc_nl*Shipping!$AD$19/365.25*1000000+Shipping!$AD$35)+(F75/24/Shipping!$AD$44*Shipping!$AD$45+Shipping!$AD$64*Shipping!$AD$65)*IF(bunker_choice="HFO",$H75,IF(bunker_choice="hydrogen",$BD75*hfo_e_density_lhv/h2_e_density_lhv,(DX75+DZ75)*1000000/EB75*hfo_e_density_lhv/Dme_e_density_lhv))+(F75/24/Shipping!$AD$50*Shipping!$AD$51+Shipping!$AD$59*Shipping!$AD$60)*IF(bunker_choice="HFO",bunker_price_ROT,IF(bunker_choice="hydrogen",$BD75*hfo_e_density_lhv/h2_e_density_lhv,(DX75+DZ75)*1000000/EB75*hfo_e_density_lhv/Dme_e_density_lhv))+Shipping!$AD$73+IF(G75="Panama",Shipping!$AD$55,0)+IF(G75="Suez",Shipping!$AD$56,0))/Shipping!$AD$31*(EB75+Dme_st_ab_losses)/1000000+IF(inland_transport_to_port="hv dc grid",$BM75/100*1000*EE75,IF(inland_transport_to_port="pipeline",$BN75,0)),((F75/24/Shipping!$R$44+F75/24/Shipping!$R$50+Shipping!$R$59+Shipping!$R$64)*(Shipping!$R$22+wacc_nl*Shipping!$R$19/365.25*1000000+Shipping!$R$35)+(F75/24/Shipping!$R$44*Shipping!$R$45+Shipping!$R$64*Shipping!$R$65)*IF(bunker_choice="HFO",$H75,IF(bunker_choice="hydrogen",$BD75*hfo_e_density_lhv/h2_e_density_lhv,(DX75+DZ75)*1000000/EB75*hfo_e_density_lhv/Dme_e_density_lhv))+(F75/24/Shipping!$R$50*Shipping!$R$51+Shipping!$R$59*Shipping!$R$60)*IF(bunker_choice="HFO",bunker_price_ROT,IF(bunker_choice="hydrogen",$BD75*hfo_e_density_lhv/h2_e_density_lhv,(DX75+DZ75)*1000000/EB75*hfo_e_density_lhv/Dme_e_density_lhv))+Shipping!$R$73+IF(G75="Panama",Shipping!$R$55,0)+IF(G75="Suez",Shipping!$R$56,0))/Shipping!$R$31*(EB75+Dme_st_ab_losses)/1000000+IF(inland_transport_to_port="hv dc grid",$BM75/100*1000*EE75,IF(inland_transport_to_port="pipeline",$BN75,0)))))</f>
        <v>4689.1568138327821</v>
      </c>
      <c r="ED75" s="28">
        <f t="shared" si="134"/>
        <v>103872.60035737454</v>
      </c>
      <c r="EE75" s="29">
        <f>(Dme_e_demand)*(EB75+Dme_st_ab_losses)/1000000+Dme_st_e_demand*DZ75/1000000+$CV75*(Carriers!$X$21/Carriers!$X$23*EB75)/$CS75</f>
        <v>1550.2168177041981</v>
      </c>
      <c r="EF75" s="29">
        <f t="shared" si="107"/>
        <v>1.0354708994708997</v>
      </c>
      <c r="EG75" s="28">
        <f>IFERROR(ED75*1000000/Storage!$Q$12,"")</f>
        <v>1003.1435978592051</v>
      </c>
      <c r="EH75" s="28">
        <f>IF($E75="","No Port",((F75/24/Shipping!$R$44+F75/24/Shipping!$R$50+Shipping!$R$59+Shipping!$R$64)*Carriers!$X$39*wacc_nl))</f>
        <v>72.498174602901557</v>
      </c>
      <c r="EI75" s="100">
        <f>H2_retrieval!$P$25*h2_demand_kt/1000+(co2_liq_e_demand+co2_st_e_demand*2)*Storage!$Q$12*co2_density/Dme_density/1000000</f>
        <v>252.45335899349112</v>
      </c>
      <c r="EJ75" s="28">
        <f>IFERROR((((DX75+DZ75+EC75)*(1+H2_retrieval!$P$34)+EH75)*1000000/H2_retrieval!$P$8)+h2_regen_dme,"")</f>
        <v>7525.0372222281949</v>
      </c>
      <c r="EK75" s="149">
        <f>(ome_invest*(M75+1/ome_lifetime)/ome_prod+ome_opex+ome_e_demand*1000*$AU75/100+Carriers!$Z$21/Carriers!$Z$23*(CO75*1000000/CS75))*(EO75+ome_st_ab_losses)/1000000</f>
        <v>165451.47254425182</v>
      </c>
      <c r="EL75" s="86">
        <f>(ome_invest*(M75+1/ome_lifetime)/ome_prod+ome_opex+ome_e_demand*1000*$AU75/100+Carriers!$Z$21/Carriers!$Z$23*(CP75*1000000/CS75))*(EO75+ome_st_ab_losses)/1000000</f>
        <v>208164.21064808156</v>
      </c>
      <c r="EM75" s="63">
        <f>ome_st_nl_cost*ome_st_nl_demand/1000000+(ome_st_invest*(M75+1/ome_st_lifetime+ome_st_opex)/(Storage!$S$63/1000000)+ome_st_e_demand*1000*$AU75/100)*(EO75+ome_st_ab_losses)/1000000+co2_st_nl_cost*Storage!$S$12*co2_density/ome_density/1000000+(co2_st_opex_lev+co2_st_invest_lev+co2_st_e_demand*1000*$AU75/100)*Storage!$S$12/1000000+co2_st_invest_lev*Storage!$S$12*co2_st_lifetime*M75/1000000+(h2_demand_kt*1000/365.25*short_st_duration_hrs/24)*(h2_short_st_invest*(1/gh2_short_st_lifetime+$M75+h2_short_st_opex)+h2_short_st_e_demand*1000*$AU75/100)/1000000</f>
        <v>4919.6750595524636</v>
      </c>
      <c r="EN75" s="63">
        <f>ome_st_nl_cost*ome_st_nl_demand/1000000+(ome_st_invest*(M75+1/ome_st_lifetime+ome_st_opex)/(Storage!$S$63/1000000)+ome_st_e_demand*1000*$AU75/100)*(EO75+ome_st_ab_losses)/1000000+(h2_demand_kt*1000/365.25*short_st_duration_hrs/24)*(h2_short_st_invest*(1/gh2_short_st_lifetime+$M75+h2_short_st_opex)+h2_short_st_e_demand*1000*$AU75/100)/1000000</f>
        <v>1754.019504239719</v>
      </c>
      <c r="EO75" s="63">
        <f>Storage!$S$57/((1-Shipping!$T$37)^($F75/24/Shipping!$T$44+0.5*Shipping!$T$59))</f>
        <v>128282539.68253967</v>
      </c>
      <c r="EP75" s="28">
        <f>IF($E75="","No Port",IF(AND(ship_choice="VLCC",G75="Panama"),"Ship cannot pass through Panama",IF(ship_choice="VLCC",((F75/24/Shipping!$AD$44+F75/24/Shipping!$AD$50+Shipping!$AD$59+Shipping!$AD$64)*(Shipping!$AD$22+wacc_nl*Shipping!$AD$19/365.25*1000000+Shipping!$AD$35)+(F75/24/Shipping!$AD$44*Shipping!$AD$45+Shipping!$AD$64*Shipping!$AD$65)*IF(bunker_choice="HFO",$H75,IF(bunker_choice="hydrogen",$BD75*hfo_e_density_lhv/h2_e_density_lhv,(EK75+EM75)*1000000/EO75*hfo_e_density_lhv/Dme_e_density_lhv))+(F75/24/Shipping!$AD$50*Shipping!$AD$51+Shipping!$AD$59*Shipping!$AD$60)*IF(bunker_choice="HFO",bunker_price_ROT,IF(bunker_choice="hydrogen",$BD75*hfo_e_density_lhv/h2_e_density_lhv,(EK75+EM75)*1000000/EO75*hfo_e_density_lhv/ome_e_density_lhv))+Shipping!$AD$73+IF(G75="Panama",Shipping!$AD$55,0)+IF(G75="Suez",Shipping!$AD$56,0))/Shipping!$AD$31*(EO75+ome_st_ab_losses)/1000000+IF(inland_transport_to_port="hv dc grid",$BM75/100*1000*ER75,IF(inland_transport_to_port="pipeline",$BN75,0)),((F75/24/Shipping!$T$44+F75/24/Shipping!$T$50+Shipping!$T$59+Shipping!$T$64)*(Shipping!$T$22+wacc_nl*Shipping!$T$19/365.25*1000000+Shipping!$T$35)+(F75/24/Shipping!$T$44*Shipping!$T$45+Shipping!$T$64*Shipping!$T$65)*IF(bunker_choice="HFO",$H75,IF(bunker_choice="hydrogen",$BD75*hfo_e_density_lhv/h2_e_density_lhv,(EK75+EM75)*1000000/EO75*hfo_e_density_lhv/Dme_e_density_lhv))+(F75/24/Shipping!$T$50*Shipping!$T$51+Shipping!$T$59*Shipping!$T$60)*IF(bunker_choice="HFO",bunker_price_ROT,IF(bunker_choice="hydrogen",$BD75*hfo_e_density_lhv/h2_e_density_lhv,(EK75+EM75)*1000000/EO75*hfo_e_density_lhv/ome_e_density_lhv))+Shipping!$T$73+IF(G75="Panama",Shipping!$T$55,0)+IF(G75="Suez",Shipping!$T$56,0))/Shipping!$T$31*(EO75+ome_st_ab_losses)/1000000+IF(inland_transport_to_port="hv dc grid",$BM75/100*1000*ER75,IF(inland_transport_to_port="pipeline",$BN75,0)))))</f>
        <v>5180.4563804454519</v>
      </c>
      <c r="EQ75" s="28">
        <f t="shared" si="135"/>
        <v>215098.68653276673</v>
      </c>
      <c r="ER75" s="29">
        <f>(ome_e_demand)*(EO75+ome_st_ab_losses)/1000000+ome_st_e_demand*EM75/1000000+$CV75*(Carriers!$Z$21/Carriers!$Z$23*EO75)/$CS75</f>
        <v>3352.0814575202962</v>
      </c>
      <c r="ES75" s="29">
        <f t="shared" si="108"/>
        <v>0.1924238095238095</v>
      </c>
      <c r="ET75" s="28">
        <f>IFERROR(EQ75*1000000/Storage!$S$12,"")</f>
        <v>1676.7573129209218</v>
      </c>
      <c r="EU75" s="28">
        <f>IF($E75="","No Port",((F75/24/Shipping!$T$44+F75/24/Shipping!$T$50+Shipping!$T$59+Shipping!$T$64)*Carriers!$Z$39*wacc_nl))</f>
        <v>83.356617100450791</v>
      </c>
      <c r="EV75" s="100">
        <f>H2_retrieval!$R$25*h2_demand_kt/1000+(co2_liq_e_demand+co2_st_e_demand*2)*Storage!$S$12*co2_density/ome_density/1000000</f>
        <v>254.51942895252085</v>
      </c>
      <c r="EW75" s="28">
        <f>IFERROR((((EK75+EM75+EP75)*(1+H2_retrieval!$R$34)+EU75)*1000000/H2_retrieval!$R$8)+h2_regen_ome,"")</f>
        <v>14084.463881530688</v>
      </c>
      <c r="EX75" s="149">
        <f>(sng_invest*(M75+1/sng_lifetime)/sng_prod+lng_invest*(M75+1/lng_lifetime)/lng_prod+sng_opex+lng_opex+(sng_e_demand+lng_e_demand)*1000*$AU75/100+Carriers!$AB$18/Carriers!$AB$23*BD75+Carriers!$AB$20/Carriers!$AB$23*co2_liq_cost)*(FB75+lng_st_ab_losses)/1000000</f>
        <v>59041.161614077995</v>
      </c>
      <c r="EY75" s="86">
        <f>(sng_invest*(M75+1/sng_lifetime)/sng_prod+lng_invest*(M75+1/lng_lifetime)/lng_prod+sng_opex+lng_opex+(sng_e_demand+lng_e_demand)*1000*$AU75/100+Carriers!$AB$18/Carriers!$AB$23*BD75+Carriers!$AB$20/Carriers!$AB$23*BP75)*(FB75+lng_st_ab_losses)/1000000</f>
        <v>70262.549601218197</v>
      </c>
      <c r="EZ75" s="63">
        <f>lng_st_nl_cost*lng_st_nl_demand/1000000+(lng_st_invest*(M75+1/lng_st_lifetime+lng_st_opex)/(Storage!$U$63/1000000)+lng_st_e_demand*1000*$AU75/100)*(FB75+lng_st_ab_losses)/1000000+co2_st_nl_cost*Storage!$U$12*co2_density/lng_density/1000000+(co2_st_opex_lev+co2_st_invest_lev+co2_st_e_demand*1000*$AU75/100)*Storage!$U$12/1000000+co2_st_invest_lev*Storage!$U$12*co2_st_lifetime*M75/1000000+Carriers!$AB$18/Carriers!$AB$23*((FB75+lng_st_ab_losses)/365.25*short_st_duration_hrs/24)*(h2_short_st_invest*(1/gh2_short_st_lifetime+$M75+h2_short_st_opex)+h2_short_st_e_demand*1000*$AU75/100)/1000000+Carriers!$AB$20/Carriers!$AB$23*((FB75+lng_st_ab_losses)/365.25*short_st_duration_hrs/24)*(co2_short_st_invest*(1/co2_short_st_lifetime+$M75+co2_short_st_opex)+co2_short_st_e_demand*1000*$AU75/100)/1000000</f>
        <v>6125.6031078556089</v>
      </c>
      <c r="FA75" s="63">
        <f>lng_st_nl_cost*lng_st_nl_demand/1000000+(lng_st_invest*(M75+1/lng_st_lifetime+lng_st_opex)/(Storage!$U$63/1000000)+lng_st_e_demand*1000*$AU75/100)*(FB75+lng_st_ab_losses)/1000000+Carriers!$AB$18/Carriers!$AB$23*((FB75+lng_st_ab_losses)/365.25*short_st_duration_hrs/24)*(h2_short_st_invest*(1/gh2_short_st_lifetime+$M75+h2_short_st_opex)+h2_short_st_e_demand*1000*$AU75/100)/1000000+Carriers!$AB$20/Carriers!$AB$23*((FB75+lng_st_ab_losses)/365.25*short_st_duration_hrs/24)*(co2_short_st_invest*(1/co2_short_st_lifetime+$M75+co2_short_st_opex)+co2_short_st_e_demand*1000*$AU75/100)/1000000</f>
        <v>4579.1740000302671</v>
      </c>
      <c r="FB75" s="63">
        <f>Storage!$U$57/((1-Shipping!$V$37)^($F75/24/Shipping!$V$44+0.5*Shipping!$V$59))</f>
        <v>41189497.458783112</v>
      </c>
      <c r="FC75" s="28">
        <f>IF($E75="","No Port",IF(G75="Panama","Ship cannot pass through Panama",((F75/24/Shipping!$V$44+F75/24/Shipping!$V$50+Shipping!$V$59+Shipping!$V$64)*(Shipping!$V$22+wacc_nl*Shipping!$V$19/365.25*1000000+Shipping!$V$35)+(F75/24/Shipping!$V$44*Shipping!$V$45+Shipping!$V$64*Shipping!$V$65)*IF(bunker_choice="HFO",$H75,IF(bunker_choice="hydrogen",$BD75*hfo_e_density_lhv/h2_e_density_lhv,(EX75+EZ75)*1000000/FB75*hfo_e_density_lhv/lng_e_density_lhv))+(F75/24/Shipping!$V$50*Shipping!$V$51+Shipping!$V$59*Shipping!$V$60)*IF(bunker_choice="HFO",bunker_price_ROT,IF(bunker_choice="hydrogen",$BD75*hfo_e_density_lhv/h2_e_density_lhv,(EX75+EZ75)*1000000/FB75*hfo_e_density_lhv/lng_e_density_lhv))+Shipping!$V$73+IF(G75="Panama",Shipping!$V$55,0)+IF(G75="Suez",Shipping!$V$56,0))/Shipping!$V$31*(FB75+lng_st_ab_losses)/1000000)+IF(inland_transport_to_port="hv dc grid",$BM75/100*1000*FE75,IF(inland_transport_to_port="pipeline",$BN75,0)))</f>
        <v>2011.3764165353764</v>
      </c>
      <c r="FD75" s="28">
        <f t="shared" si="136"/>
        <v>76853.100017783843</v>
      </c>
      <c r="FE75" s="29">
        <f>((Carriers!$AB$18/Carriers!$AB$23*alk_el_e_demand)+sng_e_demand+lng_e_demand)*(FB75+lng_st_ab_losses)/1000000+lng_st_e_demand*EZ75/1000000</f>
        <v>1104.6712088191032</v>
      </c>
      <c r="FF75" s="29">
        <f t="shared" si="109"/>
        <v>0.8126185861001558</v>
      </c>
      <c r="FG75" s="28">
        <f>IFERROR(FD75*1000000/Storage!$U$12,"")</f>
        <v>1893.6738505633534</v>
      </c>
      <c r="FH75" s="28">
        <f>IF($E75="","No Port",((F75/24/Shipping!$V$44+F75/24/Shipping!$V$50+Shipping!$V$59+Shipping!$V$64)*Carriers!$AB$39*wacc_nl))</f>
        <v>24.713116504905429</v>
      </c>
      <c r="FI75" s="100">
        <f>H2_retrieval!$T$25*h2_demand_kt/1000+(co2_liq_e_demand+co2_st_e_demand*2)*Storage!$U$12*co2_density/lng_density/1000000</f>
        <v>236.51371749646054</v>
      </c>
      <c r="FJ75" s="28">
        <f>IFERROR((((EX75+EZ75+FC75)*(1+H2_retrieval!$T$34)+FH75)*1000000/H2_retrieval!$T$8)+h2_regen_lng,"")</f>
        <v>6111.514885473608</v>
      </c>
      <c r="FK75" s="149">
        <f>(lh2_invest*(M75+1/lh2_lifetime)/lh2_prod+lh2_opex+lh2_e_demand*1000*$AU75/100+Carriers!$AD$18/Carriers!$AD$23*BD75)*(FM75+lh2_st_ab_losses)/1000000</f>
        <v>46591.970160767698</v>
      </c>
      <c r="FL75" s="28">
        <f>lh2_st_nl_cost*lh2_st_nl_demand/1000000+(lh2_st_invest*(M75+1/lh2_st_lifetime+lh2_st_opex)/(Storage!$Y$63/1000000)+lh2_st_e_demand*1000*$AU75/100)*(FM75+lh2_st_ab_losses)/1000000+((FM75+lh2_st_ab_losses)/365.25*short_st_duration_hrs/24)*(h2_short_st_invest*(1/gh2_short_st_lifetime+$M75+h2_short_st_opex)+h2_short_st_e_demand*1000*$AU75/100)/1000000</f>
        <v>53385.479567781338</v>
      </c>
      <c r="FM75" s="63">
        <f>Storage!$Y$57/((1-Shipping!$Z$37)^($F75/24/Shipping!$Z$44+0.5*Shipping!$Z$59))</f>
        <v>13919933.135661857</v>
      </c>
      <c r="FN75" s="28">
        <f>IF($E75="","No Port",IF(G75="Panama","Ship cannot pass through Panama",((F75/24/Shipping!$Z$44+F75/24/Shipping!$Z$50+Shipping!$Z$59+Shipping!$Z$64)*(Shipping!$Z$22+wacc_nl*Shipping!$Z$19/365.25*1000000+Shipping!$Z$35)+(F75/24/Shipping!$Z$44*Shipping!$Z$45+Shipping!$Z$64*Shipping!$Z$65)*IF(bunker_choice="HFO",$H75,IF(bunker_choice="hydrogen",$BD75*hfo_e_density_lhv/h2_e_density_lhv,(FK75+FL75)*1000000/FM75*hfo_e_density_lhv/lh2_e_density_lhv))+(F75/24/Shipping!$Z$50*Shipping!$Z$51+Shipping!$Z$59*Shipping!$Z$60)*IF(bunker_choice="HFO",bunker_price_ROT,IF(bunker_choice="hydrogen",$BD75*hfo_e_density_lhv/h2_e_density_lhv,(FK75+FL75)*1000000/FM75*hfo_e_density_lhv/lh2_e_density_lhv))+Shipping!$Z$73+IF(G75="Panama",Shipping!$Z$55,0)+IF(G75="Suez",Shipping!$Z$56,0))/Shipping!$Z$31*(FM75+lh2_st_ab_losses)/1000000)+IF(inland_transport_to_port="hv dc grid",$BM75/100*1000*FP75,IF(inland_transport_to_port="pipeline",$BN75,0)))</f>
        <v>3368.169327796254</v>
      </c>
      <c r="FO75" s="28">
        <f t="shared" si="128"/>
        <v>103345.61905634528</v>
      </c>
      <c r="FP75" s="29">
        <f>((Carriers!$AD$18/Carriers!$AD$23*alk_el_e_demand)+lh2_e_demand)*(FM75+lh2_st_ab_losses)/1000000+lh2_st_e_demand*FM75/1000000</f>
        <v>806.64558371075532</v>
      </c>
      <c r="FQ75" s="100">
        <f t="shared" si="110"/>
        <v>1.361902463475859</v>
      </c>
      <c r="FR75" s="28">
        <f>IFERROR(FO75*1000000/Storage!$Y$12,"")</f>
        <v>7598.9425776724474</v>
      </c>
      <c r="FS75" s="100">
        <f>H2_retrieval!$V$25*h2_demand_kt/1000</f>
        <v>8.16</v>
      </c>
      <c r="FT75" s="28">
        <f>IFERROR(FR75*(1+H2_retrieval!$V$34)/Carrier_properties!$U$7+H2_retrieval!$V$38,"")</f>
        <v>7630.9113035409146</v>
      </c>
      <c r="FU75" s="12"/>
      <c r="FV75" s="24">
        <f t="shared" si="129"/>
        <v>2.0645418884251492</v>
      </c>
      <c r="FW75" s="24" t="str">
        <f t="shared" si="92"/>
        <v/>
      </c>
      <c r="FX75" s="24" t="str">
        <f t="shared" si="93"/>
        <v/>
      </c>
      <c r="FY75" s="24">
        <f t="shared" si="130"/>
        <v>2.0645418884251492</v>
      </c>
      <c r="FZ75" s="28">
        <f t="shared" si="94"/>
        <v>2446.9873810668896</v>
      </c>
      <c r="GA75" s="28">
        <f t="shared" si="137"/>
        <v>569.91586040643017</v>
      </c>
      <c r="GB75" s="28">
        <f t="shared" si="138"/>
        <v>371.71493312771827</v>
      </c>
      <c r="GC75" s="28">
        <f t="shared" si="139"/>
        <v>637.10413060078827</v>
      </c>
      <c r="GD75" s="28">
        <f t="shared" si="140"/>
        <v>929.6117446178838</v>
      </c>
      <c r="GE75" s="28">
        <f t="shared" si="141"/>
        <v>1622.7010407123585</v>
      </c>
      <c r="GF75" s="28">
        <f t="shared" si="142"/>
        <v>1705.8365344594813</v>
      </c>
      <c r="GG75" s="12"/>
      <c r="GH75" s="12"/>
      <c r="GI75" s="12"/>
      <c r="GJ75" s="12"/>
      <c r="GK75" s="12"/>
      <c r="GL75" s="12"/>
      <c r="GM75" s="12"/>
      <c r="GN75" s="12"/>
      <c r="GO75" s="12"/>
      <c r="GP75" s="12"/>
      <c r="GQ75" s="12"/>
      <c r="GR75" s="12"/>
      <c r="GS75" s="12"/>
      <c r="GT75" s="12"/>
      <c r="GU75" s="12"/>
      <c r="GV75" s="12"/>
      <c r="GW75" s="12"/>
      <c r="GX75" s="12"/>
      <c r="GY75" s="12"/>
      <c r="GZ75" s="12"/>
      <c r="HA75" s="12"/>
      <c r="HB75" s="12"/>
      <c r="HC75" s="12"/>
      <c r="HD75" s="12"/>
      <c r="HE75" s="12"/>
      <c r="HF75" s="12"/>
    </row>
    <row r="76" spans="1:214" x14ac:dyDescent="0.2">
      <c r="A76" s="40" t="s">
        <v>80</v>
      </c>
      <c r="B76" s="12">
        <v>4288</v>
      </c>
      <c r="C76" s="12">
        <v>1</v>
      </c>
      <c r="D76" s="12">
        <f t="shared" si="111"/>
        <v>0</v>
      </c>
      <c r="E76" s="12"/>
      <c r="F76" s="12"/>
      <c r="G76" s="12"/>
      <c r="H76" s="16">
        <f t="shared" si="112"/>
        <v>382.75862068965517</v>
      </c>
      <c r="I76" s="16">
        <v>2699700</v>
      </c>
      <c r="J76" s="16">
        <f t="shared" si="113"/>
        <v>927.00658019799391</v>
      </c>
      <c r="K76" s="16" t="str">
        <f t="shared" si="114"/>
        <v/>
      </c>
      <c r="L76" s="103">
        <v>0.114</v>
      </c>
      <c r="M76" s="103">
        <f t="shared" si="115"/>
        <v>0.12204453292768455</v>
      </c>
      <c r="N76" s="122">
        <f t="shared" si="116"/>
        <v>0.9</v>
      </c>
      <c r="O76" s="46">
        <f t="shared" si="117"/>
        <v>40</v>
      </c>
      <c r="P76" s="70">
        <f t="array" ref="P76">SUMPRODUCT(IF(Solar_data!A$4:A$777=A76,Solar_data!C$4:C$777),IF(Solar_data!A$4:A$777=A76,Solar_data!I$4:I$777))/SUMIF(Solar_data!A$4:A$777,A76,Solar_data!I$4:I$777)</f>
        <v>1580.6744980643491</v>
      </c>
      <c r="Q76" s="16">
        <f t="array" ref="Q76">MAX(IF(Solar_data!$A$777:'Solar_data'!$A$4=Country_details!$A76,Solar_data!$C$4:'Solar_data'!$C$777))</f>
        <v>2098.75</v>
      </c>
      <c r="R76" s="16">
        <f t="array" ref="R76">MIN(IF(Solar_data!$A$777:'Solar_data'!$A$4=Country_details!A76,Solar_data!$C$4:'Solar_data'!$C$777))</f>
        <v>1368.75</v>
      </c>
      <c r="S76" s="24">
        <f t="shared" si="95"/>
        <v>2.8021058344273979</v>
      </c>
      <c r="T76" s="24">
        <f t="shared" si="96"/>
        <v>2.1104072582998028</v>
      </c>
      <c r="U76" s="24">
        <f t="shared" si="97"/>
        <v>3.2359577960596977</v>
      </c>
      <c r="V76" s="16">
        <f t="array" ref="V76">SUM(IF(Solar_data!$A$777:'Solar_data'!$A$4=Country_details!$A76,Solar_data!$I$4:'Solar_data'!$I$777))</f>
        <v>18047.721584147956</v>
      </c>
      <c r="W76" s="148"/>
      <c r="X76" s="16" t="str">
        <f>IFERROR(INDEX(Onshore_wind_data!$J$5:'Onshore_wind_data'!$J$221,MATCH(A76,Onshore_wind_data!$B$5:'Onshore_wind_data'!$B$221,0)),"")</f>
        <v/>
      </c>
      <c r="Y76" s="16" t="str">
        <f>IFERROR(INDEX(Onshore_wind_data!$K$5:'Onshore_wind_data'!$K$221,MATCH(A76,Onshore_wind_data!$B$5:'Onshore_wind_data'!$B$221,0)),"")</f>
        <v/>
      </c>
      <c r="Z76" s="16" t="str">
        <f>IFERROR(INDEX(Onshore_wind_data!$L$5:'Onshore_wind_data'!$L$221,MATCH(A76,Onshore_wind_data!$B$5:'Onshore_wind_data'!$B$221,0)),"")</f>
        <v/>
      </c>
      <c r="AA76" s="24" t="str">
        <f t="shared" si="118"/>
        <v/>
      </c>
      <c r="AB76" s="24" t="str">
        <f t="shared" si="119"/>
        <v/>
      </c>
      <c r="AC76" s="24" t="str">
        <f t="shared" si="120"/>
        <v/>
      </c>
      <c r="AD76" s="16">
        <f>IFERROR(INDEX(Onshore_wind_data!$I$5:'Onshore_wind_data'!$I$221,MATCH(A76,Onshore_wind_data!$B$5:'Onshore_wind_data'!$B$221,0)),"")</f>
        <v>0</v>
      </c>
      <c r="AE76" s="148"/>
      <c r="AF76" s="16" t="str">
        <f>INDEX(Offshore_wind_data!$AA$7:$AA$192,MATCH(Country_details!A76,Offshore_wind_data!$A$7:$A$192,0))</f>
        <v/>
      </c>
      <c r="AG76" s="16" t="str">
        <f>INDEX(Offshore_wind_data!$Y$7:$Y$192,MATCH(Country_details!A76,Offshore_wind_data!$A$7:$A$192,0))</f>
        <v/>
      </c>
      <c r="AH76" s="16" t="str">
        <f>INDEX(Offshore_wind_data!$Z$7:$Z$192,MATCH(Country_details!A76,Offshore_wind_data!$A$7:$A$192,0))</f>
        <v/>
      </c>
      <c r="AI76" s="24" t="str">
        <f t="shared" si="98"/>
        <v/>
      </c>
      <c r="AJ76" s="24" t="str">
        <f t="shared" si="99"/>
        <v/>
      </c>
      <c r="AK76" s="24" t="str">
        <f t="shared" si="100"/>
        <v/>
      </c>
      <c r="AL76" s="16">
        <f>INDEX(Offshore_wind_data!$W$7:$W$191,MATCH(A76,Offshore_wind_data!$A$7:$A$191,0))</f>
        <v>0</v>
      </c>
      <c r="AM76" s="148"/>
      <c r="AN76" s="12">
        <v>18.2</v>
      </c>
      <c r="AO76" s="12">
        <v>23</v>
      </c>
      <c r="AP76" s="34">
        <f>4.787*11.63</f>
        <v>55.672810000000005</v>
      </c>
      <c r="AQ76" s="15">
        <f t="shared" si="101"/>
        <v>50</v>
      </c>
      <c r="AR76" s="12">
        <f t="shared" si="131"/>
        <v>1150</v>
      </c>
      <c r="AS76" s="16">
        <f t="shared" si="121"/>
        <v>16897.721584147956</v>
      </c>
      <c r="AT76" s="12"/>
      <c r="AU76" s="24">
        <f t="shared" si="122"/>
        <v>2.8021058344273979</v>
      </c>
      <c r="AV76" s="16">
        <f t="shared" si="123"/>
        <v>1580.6744980643491</v>
      </c>
      <c r="AW76" s="149">
        <f>HV_DC_Grid!$E$3/(1-AX76)*AU76/100*1000</f>
        <v>3091.6191868165361</v>
      </c>
      <c r="AX76" s="31">
        <f>(1-(1-HV_DC_Grid!$E$25)^(B76*C76*HV_DC_Grid!$E$8/1000))+(1-(1-HV_DC_Grid!$E$26)^(B76*D76*HV_DC_Grid!$E$8/1000))+HV_DC_Grid!$E$35*HV_DC_Grid!$E$28</f>
        <v>9.3644570981994843E-2</v>
      </c>
      <c r="AY76" s="28">
        <f>B76*nl_e_demand/IF(hv_dc_flh="electricity FLH",$AV76,hv_dc_custom)*1000*hv_dc_capacity_multiplier*hv_dc_length_multiplier*1000*(C76*hv_dc_overhead_invest*(hv_dc_overhead_opex+M76+1/hv_dc_lifetime)+D76*hv_dc_sea_invest*(hv_dc_sea_opex+M76+1/hv_dc_lifetime))/1000000+HV_DC_Grid!$E$10*1000*hv_dc_station_invest*hv_dc_station_number*(hv_dc_station_opex+M76+1/hv_dc_lifetime)/1000000</f>
        <v>3970.1863009129388</v>
      </c>
      <c r="AZ76" s="24">
        <f>(AW76+AY76)/(HV_DC_Grid!$E$3*1000)*100</f>
        <v>7.0618054877294751</v>
      </c>
      <c r="BA76" s="28">
        <f>MIN(((Carriers!$F$26+Carriers!$F$27)*(alk_el_opex+wacc_nl+1/alk_el_lifetime)+IF(hv_dc_flh="electricity FLH",$AV76,hv_dc_custom)*AZ76/100)/(IF(hv_dc_flh="electricity FLH",$AV76,hv_dc_custom)/alk_el_e_demand)*1000,((Carriers!$H$26+Carriers!$H$27)*(pem_el_opex+wacc_nl+1/pem_el_lifetime)+IF(hv_dc_flh="electricity FLH",$AV76,hv_dc_custom)*AZ76/100)/(IF(hv_dc_flh="electricity FLH",$AV76,hv_dc_custom)/pem_el_e_demand)*1000)</f>
        <v>3951.695888913775</v>
      </c>
      <c r="BB76" s="12"/>
      <c r="BC76" s="12"/>
      <c r="BD76" s="149">
        <f>MIN(((Carriers!$F$26+Carriers!$F$27)*(alk_el_opex+M76+1/alk_el_lifetime)+$AV76*$AU76/100)/($AV76/alk_el_e_demand)*1000,((Carriers!$H$26+Carriers!$H$27)*(pem_el_opex+M76+1/pem_el_lifetime)+$AV76*$AU76/100)/($AV76/pem_el_e_demand)*1000)</f>
        <v>3548.0361365246754</v>
      </c>
      <c r="BE76" s="28">
        <f>Storage!$AC$50</f>
        <v>8.1664117557772418</v>
      </c>
      <c r="BF76" s="28">
        <f>((Pipeline!$D$22*Pipeline!$D$24*B76*(pipeline_opex+M76+1/pipeline_lifetime))*(Pipeline!$D$39/Pipeline!$D$3)+(Pipeline!$D$57*(pipeline_comp_opex+M76+1/pipeline_comp_lifetime)+Pipeline!$D$47*1000*Pipeline!$D$45*$AU76/100/1000000))*(Pipeline!$D$75/Pipeline!$D$45)</f>
        <v>9523.7276646928276</v>
      </c>
      <c r="BG76" s="28">
        <f>BD76+(BE76+BF76)/Storage!$AC$12*1000000</f>
        <v>4248.9107009694253</v>
      </c>
      <c r="BH76" s="28"/>
      <c r="BI76" s="28"/>
      <c r="BJ76" s="28" t="str">
        <f>IF($E76="","No Port",BK76*HV_DC_Grid!$E$3*$AU76/100*1000)</f>
        <v>No Port</v>
      </c>
      <c r="BK76" s="31" t="str">
        <f>IFERROR((1-(1-HV_DC_Grid!$E$25)^(K76*HV_DC_Grid!$E$8/1000))+HV_DC_Grid!$E$35*HV_DC_Grid!$E$28,"")</f>
        <v/>
      </c>
      <c r="BL76" s="28" t="str">
        <f>IFERROR(K76*nl_e_demand/IF(hv_dc_flh="electricity FLH",$AV76,hv_dc_custom)*1000*hv_dc_capacity_multiplier*hv_dc_length_multiplier*1000*(hv_dc_overhead_invest*(hv_dc_overhead_opex+M76+1/hv_dc_lifetime))/1000000+HV_DC_Grid!$E$10*1000*hv_dc_station_invest*hv_dc_station_number*(hv_dc_station_opex+M76+1/hv_dc_lifetime)/1000000,"")</f>
        <v/>
      </c>
      <c r="BM76" s="29" t="str">
        <f>IFERROR((BJ76+BL76)/(HV_DC_Grid!$E$3*1000)*100,"")</f>
        <v/>
      </c>
      <c r="BN76" s="28" t="str">
        <f>IFERROR(((Pipeline!$D$22*Pipeline!$D$24*K76*(pipeline_opex+M76+1/pipeline_lifetime))*(Pipeline!$D$39/Pipeline!$D$3)+(Pipeline!$D$57*(pipeline_comp_opex+M76+1/pipeline_comp_lifetime)+Pipeline!$D$47*1000*Pipeline!$D$45*S76/100/1000000))*(Pipeline!$D$75/Pipeline!$D$45),"")</f>
        <v/>
      </c>
      <c r="BO76" s="28"/>
      <c r="BP76" s="150">
        <f t="shared" si="124"/>
        <v>112.93384855319297</v>
      </c>
      <c r="BQ76" s="34">
        <f t="shared" si="125"/>
        <v>33.569967400882106</v>
      </c>
      <c r="BR76" s="151">
        <f>(nh3_invest*(M76+1/nh3_lifetime)/nh3_prod+nh3_opex+nh3_e_demand*1000*$AU76/100+Carriers!$N$18/Carriers!$N$23*BD76+Carriers!$N$19/Carriers!$N$23*BQ76)*(BT76+nh3_st_ab_losses)/1000000</f>
        <v>59497.665133639552</v>
      </c>
      <c r="BS76" s="63">
        <f>nh3_st_nl_cost*nh3_st_nl_demand/1000000+(nh3_st_invest*(M76+1/nh3_st_lifetime+nh3_st_opex)/(Storage!$G$63/1000000)+nh3_st_e_demand*1000*$AU76/100)*(BT76+nh3_st_ab_losses)/1000000+Carriers!$N$18/Carriers!$N$23*((BT76+nh3_st_ab_losses)/365.25*short_st_duration_hrs/24)*(h2_short_st_invest*(1/gh2_short_st_lifetime+$M76+h2_short_st_opex)+h2_short_st_e_demand*1000*$AU76/100)/1000000+Carriers!$N$19/Carriers!$N$23*((BT76+nh3_st_ab_losses)/365.25*short_st_duration_hrs/24)*(n2_short_st_invest*(1/n2_short_st_lifetime+$M76+n2_short_st_opex)+n2_short_st_e_demand*1000*$AU76/100)/1000000</f>
        <v>3340.7647591986556</v>
      </c>
      <c r="BT76" s="63">
        <f>Storage!$G$57/((1-Shipping!$H$37)^(F76/24/Shipping!$H$44+0.5*Shipping!$H$59))</f>
        <v>76857210.785724297</v>
      </c>
      <c r="BU76" s="63" t="str">
        <f>IF($E76="","No Port",((F76/24/Shipping!$H$44+F76/24/Shipping!$H$50+Shipping!$H$59+Shipping!$H$64)*(Shipping!$H$22+wacc_nl*Shipping!$H$19/365.25*1000000+Shipping!$H$35)+(F76/24/Shipping!$H$44*Shipping!$H$45+Shipping!$H$64*Shipping!$H$65)*IF(bunker_choice="HFO",H76,IF(bunker_choice="hydrogen",BD76*hfo_e_density_lhv/h2_e_density_lhv,(BR76+BS76)*1000000/BT76*hfo_e_density_lhv/nh3_e_density_lhv))+(F76/24/Shipping!$H$50*Shipping!$H$51+Shipping!$H$59*Shipping!$H$60)*IF(bunker_choice="HFO",bunker_price_ROT,IF(bunker_choice="hydrogen",BD76*hfo_e_density_lhv/h2_e_density_lhv,(BR76+BS76)*1000000/BT76*hfo_e_density_lhv/nh3_e_density_lhv))+Shipping!$H$73+IF(G76="Panama",Shipping!$H$55,0)+IF(G76="Suez",Shipping!$H$56,0))/Shipping!$H$31*BT76/1000000+IF(inland_transport_to_port="hv dc grid",$BM76/100*1000*BW76,IF(inland_transport_to_port="pipeline",$BN76,0)))</f>
        <v>No Port</v>
      </c>
      <c r="BV76" s="63" t="str">
        <f t="shared" si="126"/>
        <v/>
      </c>
      <c r="BW76" s="33">
        <f>((Carriers!$N$18/Carriers!$N$23*alk_el_e_demand)+(Carriers!$N$19/Carriers!$N$23*n2_e_demand)+nh3_e_demand)*(BT76+nh3_st_ab_losses)/1000000+nh3_st_e_demand*BT76/1000000</f>
        <v>759.00171168026975</v>
      </c>
      <c r="BX76" s="33">
        <f t="shared" si="102"/>
        <v>0.76626754477640768</v>
      </c>
      <c r="BY76" s="63" t="str">
        <f>IFERROR(BV76*1000000/Storage!$G$12,"")</f>
        <v/>
      </c>
      <c r="BZ76" s="63">
        <f>H2_retrieval!$F$25*h2_demand_kt/1000</f>
        <v>80</v>
      </c>
      <c r="CA76" s="63" t="str">
        <f>IFERROR(BY76*(1+H2_retrieval!$F$34)/Carrier_properties!$E$7+H2_retrieval!$F$38,"")</f>
        <v/>
      </c>
      <c r="CB76" s="149">
        <f>(FA_invest*(M76+1/FA_lifetime)/FA_prod+FA_opex+FA_e_demand*1000*$AU76/100+Carriers!$P$18/Carriers!$P$23*BD76+Carriers!$P$20/Carriers!$P$23*co2_liq_cost)*(CF76+FA_st_ab_losses)/1000000</f>
        <v>117674.12028979532</v>
      </c>
      <c r="CC76" s="86">
        <f>(FA_invest*(M76+1/FA_lifetime)/FA_prod+FA_opex+FA_e_demand*1000*$AU76/100+Carriers!$P$18/Carriers!$P$23*BD76+Carriers!$P$20/Carriers!$P$23*BP76)*(CF76+FA_st_ab_losses)/1000000</f>
        <v>144905.96325818889</v>
      </c>
      <c r="CD76" s="63">
        <f>FA_st_nl_cost*FA_st_nl_demand/1000000+(FA_st_invest*(M76+1/FA_st_lifetime+FA_st_opex)/(Storage!$I$63/1000000)+FA_st_e_demand*1000*$AU76/100)*(CF76+FA_st_ab_losses)/1000000+co2_st_nl_cost*Storage!$I$12*co2_density/FA_density/1000000+(co2_st_opex_lev+co2_st_invest_lev+co2_st_e_demand*1000*$AU76/100)*Storage!$I$12/1000000+co2_st_invest_lev*Storage!$I$12*co2_st_lifetime*M76/1000000+Carriers!$P$18/Carriers!$P$23*((CF76+FA_st_ab_losses)/365.25*short_st_duration_hrs/24)*(h2_short_st_invest*(1/gh2_short_st_lifetime+$M76+h2_short_st_opex)+h2_short_st_e_demand*1000*$AU76/100)/1000000+Carriers!$P$20/Carriers!$P$23*((CF76+FA_st_ab_losses)/365.25*short_st_duration_hrs/24)*(co2_short_st_invest*(1/co2_short_st_lifetime+$M76+co2_short_st_opex)+co2_short_st_e_demand*1000*$AU76/100)/1000000</f>
        <v>11722.180604489397</v>
      </c>
      <c r="CE76" s="63">
        <f>FA_st_nl_cost*FA_st_nl_demand/1000000+(FA_st_invest*(M76+1/FA_st_lifetime+FA_st_opex)/(Storage!$I$63/1000000)+FA_st_e_demand*1000*$AU76/100)*(CF76+FA_st_ab_losses)/1000000+Carriers!$P$18/Carriers!$P$23*((CF76+FA_st_ab_losses)/365.25*short_st_duration_hrs/24)*(h2_short_st_invest*(1/gh2_short_st_lifetime+$M76+h2_short_st_opex)+h2_short_st_e_demand*1000*$AU76/100)/1000000+Carriers!$P$20/Carriers!$P$23*((CF76+FA_st_ab_losses)/365.25*short_st_duration_hrs/24)*(co2_short_st_invest*(1/co2_short_st_lifetime+$M76+co2_short_st_opex)+co2_short_st_e_demand*1000*$AU76/100)/1000000</f>
        <v>5041.9139772664648</v>
      </c>
      <c r="CF76" s="63">
        <f>Storage!$I$57/((1-Shipping!$J$37)^($F76/24/Shipping!$J$44+0.5*Shipping!$J$59))</f>
        <v>310425396.82539684</v>
      </c>
      <c r="CG76" s="28" t="str">
        <f>IF($E76="","No Port",((F76/24/Shipping!$J$44+F76/24/Shipping!$J$50+Shipping!$J$59+Shipping!$J$64)*(Shipping!$J$22+wacc_nl*Shipping!$J$19/365.25*1000000+Shipping!$J$35)+(F76/24/Shipping!$J$44*Shipping!$J$45+Shipping!$J$64*Shipping!$J$65)*IF(bunker_choice="HFO",$H76,IF(bunker_choice="hydrogen",$BD76*hfo_e_density_lhv/h2_e_density_lhv,(CB76+CD76)*1000000/CF76*hfo_e_density_lhv/FA_e_density_lhv))+(F76/24/Shipping!$J$50*Shipping!$J$51+Shipping!$J$59*Shipping!$J$60)*IF(bunker_choice="HFO",bunker_price_ROT,IF(bunker_choice="hydrogen",$BD76*hfo_e_density_lhv/h2_e_density_lhv,(CB76+CD76)*1000000/CF76*hfo_e_density_lhv/FA_e_density_lhv))+Shipping!$J$73+IF(G76="Panama",Shipping!$J$55,0)+IF(G76="Suez",Shipping!$J$56,0))/Shipping!$J$31*CF76/1000000+IF(inland_transport_to_port="hv dc grid",$BM76/100*1000*CI76,IF(inland_transport_to_port="pipeline",$BN76,0)))</f>
        <v>No Port</v>
      </c>
      <c r="CH76" s="28" t="str">
        <f t="shared" si="132"/>
        <v/>
      </c>
      <c r="CI76" s="29">
        <f>((Carriers!$P$18/Carriers!$P$23*alk_el_e_demand)+FA_e_demand)*(CF76+FA_st_ab_losses)/1000000+FA_st_e_demand*CF76/1000000</f>
        <v>1897.8881241622576</v>
      </c>
      <c r="CJ76" s="29">
        <f t="shared" si="103"/>
        <v>0.46563809523809524</v>
      </c>
      <c r="CK76" s="28" t="str">
        <f>IFERROR(CH76*1000000/Storage!$I$12,"")</f>
        <v/>
      </c>
      <c r="CL76" s="28" t="str">
        <f>IF($E76="","No Port",((F76/24/Shipping!$J$44+F76/24/Shipping!$J$50+Shipping!$J$59+Shipping!$J$64)*Carriers!$P$39*wacc_nl))</f>
        <v>No Port</v>
      </c>
      <c r="CM76" s="29">
        <f>H2_retrieval!$H$25*h2_demand_kt/1000+(co2_liq_e_demand+co2_st_e_demand*2)*Storage!$I$12*co2_density/FA_density/1000000</f>
        <v>94.204253879484654</v>
      </c>
      <c r="CN76" s="28" t="str">
        <f>IFERROR((((CB76+CD76+CG76)*(1+H2_retrieval!$H$34)+CL76)*1000000/H2_retrieval!$H$8)+h2_regen_fa,"")</f>
        <v/>
      </c>
      <c r="CO76" s="149">
        <f>(meoh_invest*(M76+1/meoh_lifetime)/meoh_prod+meoh_opex+meoh_e_demand*1000*$AU76/100+Carriers!$R$18/Carriers!$R$23*BD76+Carriers!$R$20/Carriers!$R$23*co2_liq_cost)*(CS76+meoh_st_ab_losses)/1000000</f>
        <v>77174.716680909187</v>
      </c>
      <c r="CP76" s="86">
        <f>(meoh_invest*(M76+1/meoh_lifetime)/meoh_prod+meoh_opex+meoh_e_demand*1000*$AU76/100+Carriers!$R$18/Carriers!$R$23*BD76+Carriers!$R$20/Carriers!$R$23*BP76)*(CS76+meoh_st_ab_losses)/1000000</f>
        <v>93160.649200358035</v>
      </c>
      <c r="CQ76" s="63">
        <f>meoh_st_nl_cost*meoh_st_nl_demand/1000000+(meoh_st_invest*(M76+1/meoh_st_lifetime+meoh_st_opex)/(Storage!$K$63/1000000)+meoh_st_e_demand*1000*$AU76/100)*(CS76+meoh_st_ab_losses)/1000000+co2_st_nl_cost*Storage!$K$12*co2_density/meoh_density/1000000+(co2_st_opex_lev+co2_st_invest_lev+co2_st_e_demand*1000*IFERROR(MIN(S76,AA76,AI76),S76)/100)*Storage!$K$12/1000000+co2_st_invest_lev*Storage!$K$12*co2_st_lifetime*M76/1000000+Carriers!$R$18/Carriers!$R$23*((CS76+meoh_st_ab_losses)/365.25*short_st_duration_hrs/24)*(h2_short_st_invest*(1/gh2_short_st_lifetime+$M76+h2_short_st_opex)+h2_short_st_e_demand*1000*$AU76/100)/1000000+Carriers!$R$20/Carriers!$R$23*((CF76+meoh_st_ab_losses)/365.25*short_st_duration_hrs/24)*(co2_short_st_invest*(1/co2_short_st_lifetime+$M76+co2_short_st_opex)+co2_short_st_e_demand*1000*$AU76/100)/1000000</f>
        <v>4907.5058413728211</v>
      </c>
      <c r="CR76" s="63">
        <f>meoh_st_nl_cost*meoh_st_nl_demand/1000000+(meoh_st_invest*(M76+1/meoh_st_lifetime+meoh_st_opex)/(Storage!$K$63/1000000)+meoh_st_e_demand*1000*$AU76/100)*(CS76+meoh_st_ab_losses)/1000000+Carriers!$R$18/Carriers!$R$23*((CS76+meoh_st_ab_losses)/365.25*short_st_duration_hrs/24)*(h2_short_st_invest*(1/gh2_short_st_lifetime+$M76+h2_short_st_opex)+h2_short_st_e_demand*1000*$AU76/100)/1000000+Carriers!$R$20/Carriers!$R$23*((CF76+meoh_st_ab_losses)/365.25*short_st_duration_hrs/24)*(co2_short_st_invest*(1/co2_short_st_lifetime+$M76+co2_short_st_opex)+co2_short_st_e_demand*1000*$AU76/100)/1000000</f>
        <v>1983.4225570858991</v>
      </c>
      <c r="CS76" s="63">
        <f>Storage!$K$57/((1-Shipping!$L$37)^($F76/24/Shipping!$L$44+0.5*Shipping!$L$59))</f>
        <v>108044444.44444443</v>
      </c>
      <c r="CT76" s="28" t="str">
        <f>IF($E76="","No Port",IF(AND(ship_choice="VLCC",G76="Panama"),"Ship cannot pass through Panama",IF(ship_choice="VLCC",((F76/24/Shipping!$AD$44+F76/24/Shipping!$AD$50+Shipping!$AD$59+Shipping!$AD$64)*(Shipping!$AD$22+wacc_nl*Shipping!$AD$19/365.25*1000000+Shipping!$AD$35)+(F76/24/Shipping!$AD$44*Shipping!$AD$45+Shipping!$AD$64*Shipping!$AD$65)*IF(bunker_choice="HFO",$H76,IF(bunker_choice="hydrogen",$BD76*hfo_e_density_lhv/h2_e_density_lhv,(CO76+CQ76)*1000000/CS76*hfo_e_density_lhv/meoh_e_density_lhv))+(F76/24/Shipping!$AD$50*Shipping!$AD$51+Shipping!$AD$59*Shipping!$AD$60)*IF(bunker_choice="HFO",bunker_price_ROT,IF(bunker_choice="hydrogen",$BD76*hfo_e_density_lhv/h2_e_density_lhv,(CO76+CQ76)*1000000/CS76*hfo_e_density_lhv/meoh_e_density_lhv))+Shipping!$AD$73+IF(G76="Panama",Shipping!$AD$55,0)+IF(G76="Suez",Shipping!$AD$56,0))/Shipping!$AD$31*CS76/1000000+IF(inland_transport_to_port="hv dc grid",$BM76/100*1000*CV76,IF(inland_transport_to_port="pipeline",$BN76,0)),((F76/24/Shipping!$L$44+F76/24/Shipping!$L$50+Shipping!$L$59+Shipping!$L$64)*(Shipping!$L$22+wacc_nl*Shipping!$L$19/365.25*1000000+Shipping!$L$35)+(F76/24/Shipping!$L$44*Shipping!$L$45+Shipping!$L$64*Shipping!$L$65)*IF(bunker_choice="HFO",$H76,IF(bunker_choice="hydrogen",$BD76*hfo_e_density_lhv/h2_e_density_lhv,(CO76+CQ76)*1000000/CS76*hfo_e_density_lhv/meoh_e_density_lhv))+(F76/24/Shipping!$L$50*Shipping!$L$51+Shipping!$L$59*Shipping!$L$60)*IF(bunker_choice="HFO",bunker_price_ROT,IF(bunker_choice="hydrogen",$BD76*hfo_e_density_lhv/h2_e_density_lhv,(CO76+CQ76)*1000000/CS76*hfo_e_density_lhv/meoh_e_density_lhv))+Shipping!$L$73+IF(G76="Panama",Shipping!$L$55,0)+IF(G76="Suez",Shipping!$L$56,0))/Shipping!$L$31*CS76/1000000+IF(inland_transport_to_port="hv dc grid",$BM76/100*1000*CV76,IF(inland_transport_to_port="pipeline",$BN76,0)))))</f>
        <v>No Port</v>
      </c>
      <c r="CU76" s="28" t="str">
        <f t="shared" si="133"/>
        <v/>
      </c>
      <c r="CV76" s="29">
        <f>((Carriers!$R$18/Carriers!$R$23*alk_el_e_demand)+meoh_e_demand)*(CS76+meoh_st_ab_losses)/1000000+meoh_st_e_demand*CS76/1000000</f>
        <v>1119.9789871111109</v>
      </c>
      <c r="CW76" s="29">
        <f t="shared" si="104"/>
        <v>0.16206666666666666</v>
      </c>
      <c r="CX76" s="28" t="str">
        <f>IFERROR(CU76*1000000/Storage!$K$12,"")</f>
        <v/>
      </c>
      <c r="CY76" s="28" t="str">
        <f>IF($E76="","No Port",((F76/24/Shipping!$L$44+F76/24/Shipping!$L$50+Shipping!$L$59+Shipping!$L$64)*Carriers!$R$39*wacc_nl))</f>
        <v>No Port</v>
      </c>
      <c r="CZ76" s="29">
        <f>H2_retrieval!$J$25*h2_demand_kt/1000+(co2_liq_e_demand+co2_st_e_demand*2)*Storage!$K$12*co2_density/meoh_density/1000000</f>
        <v>251.05079059698966</v>
      </c>
      <c r="DA76" s="28" t="str">
        <f>IFERROR((((CO76+CQ76+CT76)*(1+H2_retrieval!$J$34)+CY76)*1000000/H2_retrieval!$J$8)+h2_regen_meoh,"")</f>
        <v/>
      </c>
      <c r="DB76" s="149">
        <f>(DBT_invest*(M76+1/DBT_lifetime)/DBT_prod+DBT_opex+DBT_e_demand*1000*$AU76/100+Carriers!$T$18/Carriers!$T$23*BD76)*(DD76+DBT_st_ab_losses)/1000000</f>
        <v>51490.869660332886</v>
      </c>
      <c r="DC76" s="28">
        <f>2*(DBT_st_nl_cost*DBT_st_nl_demand/1000000+(DBT_st_invest*(M76+1/DBT_st_lifetime+DBT_st_opex)/(Storage!$M$63/1000000)+DBT_st_e_demand*1000*$AU76/100)*(DD76+DBT_st_ab_losses)/1000000)+Carriers!$T$18/Carriers!$T$23*((DD76+DBT_st_ab_losses)/365.25*short_st_duration_hrs/24)*(h2_short_st_invest*(1/gh2_short_st_lifetime+$M76+h2_short_st_opex)+h2_short_st_e_demand*1000*$AU76/100)/1000000</f>
        <v>4099.8291530062179</v>
      </c>
      <c r="DD76" s="63">
        <f>Storage!$M$57/((1-Shipping!$N$37)^($F76/24/Shipping!$N$44+0.5*Shipping!$N$59))</f>
        <v>219354838.70967743</v>
      </c>
      <c r="DE76" s="28" t="str">
        <f>IF($E76="","No Port",IF(AND(ship_choice="VLCC",G76="Panama"),"Ship cannot pass through Panama",IF(ship_choice="VLCC",((F76/24/Shipping!$AD$44+F76/24/Shipping!$AD$50+Shipping!$AD$59+Shipping!$AD$64)*(Shipping!$AD$22+wacc_nl*Shipping!$AD$19/365.25*1000000+Shipping!$AD$35)+(F76/24/Shipping!$AD$44*Shipping!$AD$45+Shipping!$AD$64*Shipping!$AD$65)*IF(bunker_choice="HFO",$H76,IF(bunker_choice="hydrogen",$BD76*hfo_e_density_lhv/h2_e_density_lhv,(DB76+DC76)*1000000/DD76*hfo_e_density_lhv/DBT_e_density_lhv))+(F76/24/Shipping!$AD$50*Shipping!$AD$51+Shipping!$AD$59*Shipping!$AD$60)*IF(bunker_choice="HFO",bunker_price_ROT,IF(bunker_choice="hydrogen",$BD76*hfo_e_density_lhv/h2_e_density_lhv,(DB76+DC76)*1000000/DD76*hfo_e_density_lhv/DBT_e_density_lhv))+Shipping!$AD$73+IF(G76="Panama",Shipping!$AD$55,0)+IF(G76="Suez",Shipping!$AD$56,0))/Shipping!$AD$31*DD76/1000000+IF(inland_transport_to_port="hv dc grid",$BM76/100*1000*DG76,IF(inland_transport_to_port="pipeline",$BN76,0)),((F76/24/Shipping!$N$44+F76/24/Shipping!$N$50+Shipping!$N$59+Shipping!$N$64)*(Shipping!$N$22+wacc_nl*Shipping!$N$19/365.25*1000000+Shipping!$N$35)+(F76/24/Shipping!$N$44*Shipping!$N$45+Shipping!$N$64*Shipping!$N$65)*IF(bunker_choice="HFO",$H76,IF(bunker_choice="hydrogen",$BD76*hfo_e_density_lhv/h2_e_density_lhv,(DB76+DC76)*1000000/DD76*hfo_e_density_lhv/DBT_e_density_lhv))+(F76/24/Shipping!$N$50*Shipping!$N$51+Shipping!$N$59*Shipping!$N$60)*IF(bunker_choice="HFO",bunker_price_ROT,IF(bunker_choice="hydrogen",$BD76*hfo_e_density_lhv/h2_e_density_lhv,(DB76+DC76)*1000000/DD76*hfo_e_density_lhv/DBT_e_density_lhv))+Shipping!$N$73+IF(G76="Panama",Shipping!$N$55,0)+IF(G76="Suez",Shipping!$N$56,0))/Shipping!$N$31*Shipping!$N$86/1000000+IF(inland_transport_to_port="hv dc grid",$BM76/100*1000*DG76,IF(inland_transport_to_port="pipeline",$BN76,0)))))</f>
        <v>No Port</v>
      </c>
      <c r="DF76" s="28" t="str">
        <f t="shared" si="82"/>
        <v/>
      </c>
      <c r="DG76" s="29">
        <f>((Carriers!$T$18/Carriers!$T$23*alk_el_e_demand)+DBT_e_demand)*(DD76+DBT_st_ab_losses)/1000000+DBT_st_e_demand*DD76/1000000</f>
        <v>703.88335483870969</v>
      </c>
      <c r="DH76" s="29">
        <f t="shared" si="105"/>
        <v>0.21935483870967742</v>
      </c>
      <c r="DI76" s="28" t="str">
        <f>IFERROR(DF76*1000000/Storage!$M$12,"")</f>
        <v/>
      </c>
      <c r="DJ76" s="28" t="str">
        <f>IF($E76="","No Port",((F76/24/Shipping!$N$44+F76/24/Shipping!$N$50+Shipping!$N$59+Shipping!$N$64)*Carriers!$T$39*wacc_nl))</f>
        <v>No Port</v>
      </c>
      <c r="DK76" s="100">
        <f>H2_retrieval!$L$25*h2_demand_kt/1000+(co2_liq_e_demand+co2_st_e_demand*2)*Storage!$M$12*co2_density/DBT_density/1000000</f>
        <v>206.61934861671787</v>
      </c>
      <c r="DL76" s="28" t="str">
        <f>IFERROR(((DF76*(1+H2_retrieval!$L$34)+DJ76)*1000000/H2_retrieval!$L$8)+h2_regen_lohc,"")</f>
        <v/>
      </c>
      <c r="DM76" s="149">
        <f t="shared" si="127"/>
        <v>52534.293944771904</v>
      </c>
      <c r="DN76" s="16">
        <f>2*(nabh4_st_nl_cost*nabh4_st_nl_demand/1000000+(nabh4_st_invest*(M76+1/nabh4_st_lifetime+nabh4_st_opex)/(Storage!$O$63/1000000)+nabh4_st_e_demand*1000*$AU76/100)*(DO76+nabh4_st_ab_losses)/1000000)+(h2_demand_kt*1000/365.25*short_st_duration_hrs/24)*(h2_short_st_invest*(1/gh2_short_st_lifetime+$M76+h2_short_st_opex)+h2_short_st_e_demand*1000*$AU76/100)/1000000</f>
        <v>1406.744891943739</v>
      </c>
      <c r="DO76" s="63">
        <f>Storage!$O$57/((1-Shipping!$P$37)^($F76/24/Shipping!$P$44+0.5*Shipping!$P$59))</f>
        <v>63920000</v>
      </c>
      <c r="DP76" s="16" t="str">
        <f>IF($E76="","No Port",((F76/24/Shipping!$P$44+F76/24/Shipping!$P$50+Shipping!$P$59+Shipping!$P$64)*(Shipping!$P$22+wacc_nl*Shipping!$P$19/365.25*1000000+Shipping!$P$35)+(F76/24/Shipping!$P$44*Shipping!$P$45+Shipping!$P$64*Shipping!$P$65)*IF(bunker_choice="HFO",$H76,IF(bunker_choice="hydrogen",$BD76*hfo_e_density_lhv/h2_e_density_lhv,(DM76+DN76)*1000000/DO76*hfo_e_density_lhv/nabh4_e_density_lhv))+(F76/24/Shipping!$P$50*Shipping!$P$51+Shipping!$P$59*Shipping!$P$60)*IF(bunker_choice="HFO",bunker_price_ROT,IF(bunker_choice="hydrogen",$BD76*hfo_e_density_lhv/h2_e_density_lhv,(DM76+DN76)*1000000/DO76*hfo_e_density_lhv/nabh4_e_density_lhv))+Shipping!$P$73+IF(G76="Panama",Shipping!$P$55,0)+IF(G76="Suez",Shipping!$P$56,0))/Shipping!$P$31*(DO76+nabh4_st_ab_losses)/1000000+IF(inland_transport_to_port="hv dc grid",$BM76/100*1000*DR76,IF(inland_transport_to_port="pipeline",$BN76,0)))</f>
        <v>No Port</v>
      </c>
      <c r="DQ76" s="28" t="str">
        <f t="shared" si="60"/>
        <v/>
      </c>
      <c r="DR76" s="29">
        <f>((Carriers!$V$18/Carriers!$V$23*alk_el_e_demand)+nabh4_e_demand)*(DO76+nabh4_st_ab_losses)/1000000+nabh4_st_e_demand*DO76/1000000</f>
        <v>980.02139682539689</v>
      </c>
      <c r="DS76" s="28">
        <f t="shared" si="106"/>
        <v>3.1960000000000002</v>
      </c>
      <c r="DT76" s="28" t="str">
        <f>IFERROR(DQ76*1000000/Storage!$O$12,"")</f>
        <v/>
      </c>
      <c r="DU76" s="28" t="str">
        <f>IF($E76="","No Port",((F76/24/Shipping!$P$44+F76/24/Shipping!$P$50+Shipping!$P$59+Shipping!$P$64)*Carriers!$V$39*wacc_nl))</f>
        <v>No Port</v>
      </c>
      <c r="DV76" s="100">
        <f>H2_retrieval!$N$25*h2_demand_kt/1000+(co2_liq_e_demand+co2_st_e_demand*2)*Storage!$O$12*co2_density/nabh4_density/1000000</f>
        <v>18.783638728971958</v>
      </c>
      <c r="DW76" s="28" t="str">
        <f>IFERROR(((DQ76*(1+H2_retrieval!$N$34)+DU76)*1000000/H2_retrieval!$N$8)+h2_regen_nabh4,"")</f>
        <v/>
      </c>
      <c r="DX76" s="149">
        <f>(Dme_invest*(M76+1/Dme_lifetime)/Dme_prod+Dme_opex+Dme_e_demand*1000*$AU76/100+Carriers!$X$21/Carriers!$X$23*(CO76*1000000/CS76))*(EB76+Dme_st_ab_losses)/1000000</f>
        <v>107863.59801844945</v>
      </c>
      <c r="DY76" s="86">
        <f>(Dme_invest*(M76+1/Dme_lifetime)/Dme_prod+Dme_opex+Dme_e_demand*1000*$AU76/100+Carriers!$X$21/Carriers!$X$23*(CP76*1000000/CS76))*(EB76+Dme_st_ab_losses)/1000000</f>
        <v>129551.13736525165</v>
      </c>
      <c r="DZ76" s="63">
        <f>Dme_st_nl_cost*Dme_st_nl_demand/1000000+(Dme_st_invest*(M76+1/Dme_st_lifetime+Dme_st_opex)/(Storage!$Q$63/1000000)+Dme_st_e_demand*1000*$AU76/100)*(EB76+Dme_st_ab_losses)/1000000+co2_st_nl_cost*Storage!$Q$12*co2_density/Dme_density/1000000+(co2_st_opex_lev+co2_st_invest_lev+co2_st_e_demand*1000*$AU76/100)*Storage!$Q$12/1000000+co2_st_invest_lev*Storage!$Q$12*co2_st_lifetime*M76/1000000+(h2_demand_kt*1000/365.25*short_st_duration_hrs/24)*(h2_short_st_invest*(1/gh2_short_st_lifetime+$M76+h2_short_st_opex)+h2_short_st_e_demand*1000*$AU76/100)/1000000</f>
        <v>5913.7287570692461</v>
      </c>
      <c r="EA76" s="63">
        <f>Dme_st_nl_cost*Dme_st_nl_demand/1000000+(Dme_st_invest*(M76+1/Dme_st_lifetime+Dme_st_opex)/(Storage!$Q$63/1000000)+Dme_st_e_demand*1000*$AU76/100)*(EB76+Dme_st_ab_losses)/1000000+(h2_demand_kt*1000/365.25*short_st_duration_hrs/24)*(h2_short_st_invest*(1/gh2_short_st_lifetime+$M76+h2_short_st_opex)+h2_short_st_e_demand*1000*$AU76/100)/1000000</f>
        <v>2984.4598662323133</v>
      </c>
      <c r="EB76" s="63">
        <f>Storage!$Q$57/((1-Shipping!$R$37)^($F76/24/Shipping!$R$44+0.5*Shipping!$R$59))</f>
        <v>103547089.94708996</v>
      </c>
      <c r="EC76" s="153" t="str">
        <f>IF($E76="","No Port",IF(AND(ship_choice="VLCC",G76="Panama"),"Ship cannot pass through Panama",IF(ship_choice="VLCC",((F76/24/Shipping!$AD$44+F76/24/Shipping!$AD$50+Shipping!$AD$59+Shipping!$AD$64)*(Shipping!$AD$22+wacc_nl*Shipping!$AD$19/365.25*1000000+Shipping!$AD$35)+(F76/24/Shipping!$AD$44*Shipping!$AD$45+Shipping!$AD$64*Shipping!$AD$65)*IF(bunker_choice="HFO",$H76,IF(bunker_choice="hydrogen",$BD76*hfo_e_density_lhv/h2_e_density_lhv,(DX76+DZ76)*1000000/EB76*hfo_e_density_lhv/Dme_e_density_lhv))+(F76/24/Shipping!$AD$50*Shipping!$AD$51+Shipping!$AD$59*Shipping!$AD$60)*IF(bunker_choice="HFO",bunker_price_ROT,IF(bunker_choice="hydrogen",$BD76*hfo_e_density_lhv/h2_e_density_lhv,(DX76+DZ76)*1000000/EB76*hfo_e_density_lhv/Dme_e_density_lhv))+Shipping!$AD$73+IF(G76="Panama",Shipping!$AD$55,0)+IF(G76="Suez",Shipping!$AD$56,0))/Shipping!$AD$31*(EB76+Dme_st_ab_losses)/1000000+IF(inland_transport_to_port="hv dc grid",$BM76/100*1000*EE76,IF(inland_transport_to_port="pipeline",$BN76,0)),((F76/24/Shipping!$R$44+F76/24/Shipping!$R$50+Shipping!$R$59+Shipping!$R$64)*(Shipping!$R$22+wacc_nl*Shipping!$R$19/365.25*1000000+Shipping!$R$35)+(F76/24/Shipping!$R$44*Shipping!$R$45+Shipping!$R$64*Shipping!$R$65)*IF(bunker_choice="HFO",$H76,IF(bunker_choice="hydrogen",$BD76*hfo_e_density_lhv/h2_e_density_lhv,(DX76+DZ76)*1000000/EB76*hfo_e_density_lhv/Dme_e_density_lhv))+(F76/24/Shipping!$R$50*Shipping!$R$51+Shipping!$R$59*Shipping!$R$60)*IF(bunker_choice="HFO",bunker_price_ROT,IF(bunker_choice="hydrogen",$BD76*hfo_e_density_lhv/h2_e_density_lhv,(DX76+DZ76)*1000000/EB76*hfo_e_density_lhv/Dme_e_density_lhv))+Shipping!$R$73+IF(G76="Panama",Shipping!$R$55,0)+IF(G76="Suez",Shipping!$R$56,0))/Shipping!$R$31*(EB76+Dme_st_ab_losses)/1000000+IF(inland_transport_to_port="hv dc grid",$BM76/100*1000*EE76,IF(inland_transport_to_port="pipeline",$BN76,0)))))</f>
        <v>No Port</v>
      </c>
      <c r="ED76" s="28" t="str">
        <f t="shared" si="134"/>
        <v/>
      </c>
      <c r="EE76" s="29">
        <f>(Dme_e_demand)*(EB76+Dme_st_ab_losses)/1000000+Dme_st_e_demand*DZ76/1000000+$CV76*(Carriers!$X$21/Carriers!$X$23*EB76)/$CS76</f>
        <v>1550.2168193043433</v>
      </c>
      <c r="EF76" s="29">
        <f t="shared" si="107"/>
        <v>1.0354708994708997</v>
      </c>
      <c r="EG76" s="28" t="str">
        <f>IFERROR(ED76*1000000/Storage!$Q$12,"")</f>
        <v/>
      </c>
      <c r="EH76" s="28" t="str">
        <f>IF($E76="","No Port",((F76/24/Shipping!$R$44+F76/24/Shipping!$R$50+Shipping!$R$59+Shipping!$R$64)*Carriers!$X$39*wacc_nl))</f>
        <v>No Port</v>
      </c>
      <c r="EI76" s="100">
        <f>H2_retrieval!$P$25*h2_demand_kt/1000+(co2_liq_e_demand+co2_st_e_demand*2)*Storage!$Q$12*co2_density/Dme_density/1000000</f>
        <v>252.45335899349112</v>
      </c>
      <c r="EJ76" s="28" t="str">
        <f>IFERROR((((DX76+DZ76+EC76)*(1+H2_retrieval!$P$34)+EH76)*1000000/H2_retrieval!$P$8)+h2_regen_dme,"")</f>
        <v/>
      </c>
      <c r="EK76" s="149">
        <f>(ome_invest*(M76+1/ome_lifetime)/ome_prod+ome_opex+ome_e_demand*1000*$AU76/100+Carriers!$Z$21/Carriers!$Z$23*(CO76*1000000/CS76))*(EO76+ome_st_ab_losses)/1000000</f>
        <v>233332.09250272662</v>
      </c>
      <c r="EL76" s="86">
        <f>(ome_invest*(M76+1/ome_lifetime)/ome_prod+ome_opex+ome_e_demand*1000*$AU76/100+Carriers!$Z$21/Carriers!$Z$23*(CP76*1000000/CS76))*(EO76+ome_st_ab_losses)/1000000</f>
        <v>278858.45935386012</v>
      </c>
      <c r="EM76" s="63">
        <f>ome_st_nl_cost*ome_st_nl_demand/1000000+(ome_st_invest*(M76+1/ome_st_lifetime+ome_st_opex)/(Storage!$S$63/1000000)+ome_st_e_demand*1000*$AU76/100)*(EO76+ome_st_ab_losses)/1000000+co2_st_nl_cost*Storage!$S$12*co2_density/ome_density/1000000+(co2_st_opex_lev+co2_st_invest_lev+co2_st_e_demand*1000*$AU76/100)*Storage!$S$12/1000000+co2_st_invest_lev*Storage!$S$12*co2_st_lifetime*M76/1000000+(h2_demand_kt*1000/365.25*short_st_duration_hrs/24)*(h2_short_st_invest*(1/gh2_short_st_lifetime+$M76+h2_short_st_opex)+h2_short_st_e_demand*1000*$AU76/100)/1000000</f>
        <v>5079.4012240059492</v>
      </c>
      <c r="EN76" s="63">
        <f>ome_st_nl_cost*ome_st_nl_demand/1000000+(ome_st_invest*(M76+1/ome_st_lifetime+ome_st_opex)/(Storage!$S$63/1000000)+ome_st_e_demand*1000*$AU76/100)*(EO76+ome_st_ab_losses)/1000000+(h2_demand_kt*1000/365.25*short_st_duration_hrs/24)*(h2_short_st_invest*(1/gh2_short_st_lifetime+$M76+h2_short_st_opex)+h2_short_st_e_demand*1000*$AU76/100)/1000000</f>
        <v>1789.352998778257</v>
      </c>
      <c r="EO76" s="63">
        <f>Storage!$S$57/((1-Shipping!$T$37)^($F76/24/Shipping!$T$44+0.5*Shipping!$T$59))</f>
        <v>128282539.68253967</v>
      </c>
      <c r="EP76" s="28" t="str">
        <f>IF($E76="","No Port",IF(AND(ship_choice="VLCC",G76="Panama"),"Ship cannot pass through Panama",IF(ship_choice="VLCC",((F76/24/Shipping!$AD$44+F76/24/Shipping!$AD$50+Shipping!$AD$59+Shipping!$AD$64)*(Shipping!$AD$22+wacc_nl*Shipping!$AD$19/365.25*1000000+Shipping!$AD$35)+(F76/24/Shipping!$AD$44*Shipping!$AD$45+Shipping!$AD$64*Shipping!$AD$65)*IF(bunker_choice="HFO",$H76,IF(bunker_choice="hydrogen",$BD76*hfo_e_density_lhv/h2_e_density_lhv,(EK76+EM76)*1000000/EO76*hfo_e_density_lhv/Dme_e_density_lhv))+(F76/24/Shipping!$AD$50*Shipping!$AD$51+Shipping!$AD$59*Shipping!$AD$60)*IF(bunker_choice="HFO",bunker_price_ROT,IF(bunker_choice="hydrogen",$BD76*hfo_e_density_lhv/h2_e_density_lhv,(EK76+EM76)*1000000/EO76*hfo_e_density_lhv/ome_e_density_lhv))+Shipping!$AD$73+IF(G76="Panama",Shipping!$AD$55,0)+IF(G76="Suez",Shipping!$AD$56,0))/Shipping!$AD$31*(EO76+ome_st_ab_losses)/1000000+IF(inland_transport_to_port="hv dc grid",$BM76/100*1000*ER76,IF(inland_transport_to_port="pipeline",$BN76,0)),((F76/24/Shipping!$T$44+F76/24/Shipping!$T$50+Shipping!$T$59+Shipping!$T$64)*(Shipping!$T$22+wacc_nl*Shipping!$T$19/365.25*1000000+Shipping!$T$35)+(F76/24/Shipping!$T$44*Shipping!$T$45+Shipping!$T$64*Shipping!$T$65)*IF(bunker_choice="HFO",$H76,IF(bunker_choice="hydrogen",$BD76*hfo_e_density_lhv/h2_e_density_lhv,(EK76+EM76)*1000000/EO76*hfo_e_density_lhv/Dme_e_density_lhv))+(F76/24/Shipping!$T$50*Shipping!$T$51+Shipping!$T$59*Shipping!$T$60)*IF(bunker_choice="HFO",bunker_price_ROT,IF(bunker_choice="hydrogen",$BD76*hfo_e_density_lhv/h2_e_density_lhv,(EK76+EM76)*1000000/EO76*hfo_e_density_lhv/ome_e_density_lhv))+Shipping!$T$73+IF(G76="Panama",Shipping!$T$55,0)+IF(G76="Suez",Shipping!$T$56,0))/Shipping!$T$31*(EO76+ome_st_ab_losses)/1000000+IF(inland_transport_to_port="hv dc grid",$BM76/100*1000*ER76,IF(inland_transport_to_port="pipeline",$BN76,0)))))</f>
        <v>No Port</v>
      </c>
      <c r="EQ76" s="28" t="str">
        <f t="shared" si="135"/>
        <v/>
      </c>
      <c r="ER76" s="29">
        <f>(ome_e_demand)*(EO76+ome_st_ab_losses)/1000000+ome_st_e_demand*EM76/1000000+$CV76*(Carriers!$Z$21/Carriers!$Z$23*EO76)/$CS76</f>
        <v>3352.0814577598853</v>
      </c>
      <c r="ES76" s="29">
        <f t="shared" si="108"/>
        <v>0.1924238095238095</v>
      </c>
      <c r="ET76" s="28" t="str">
        <f>IFERROR(EQ76*1000000/Storage!$S$12,"")</f>
        <v/>
      </c>
      <c r="EU76" s="28" t="str">
        <f>IF($E76="","No Port",((F76/24/Shipping!$T$44+F76/24/Shipping!$T$50+Shipping!$T$59+Shipping!$T$64)*Carriers!$Z$39*wacc_nl))</f>
        <v>No Port</v>
      </c>
      <c r="EV76" s="100">
        <f>H2_retrieval!$R$25*h2_demand_kt/1000+(co2_liq_e_demand+co2_st_e_demand*2)*Storage!$S$12*co2_density/ome_density/1000000</f>
        <v>254.51942895252085</v>
      </c>
      <c r="EW76" s="28" t="str">
        <f>IFERROR((((EK76+EM76+EP76)*(1+H2_retrieval!$R$34)+EU76)*1000000/H2_retrieval!$R$8)+h2_regen_ome,"")</f>
        <v/>
      </c>
      <c r="EX76" s="149">
        <f>(sng_invest*(M76+1/sng_lifetime)/sng_prod+lng_invest*(M76+1/lng_lifetime)/lng_prod+sng_opex+lng_opex+(sng_e_demand+lng_e_demand)*1000*$AU76/100+Carriers!$AB$18/Carriers!$AB$23*BD76+Carriers!$AB$20/Carriers!$AB$23*co2_liq_cost)*(FB76+lng_st_ab_losses)/1000000</f>
        <v>81364.592041793672</v>
      </c>
      <c r="EY76" s="86">
        <f>(sng_invest*(M76+1/sng_lifetime)/sng_prod+lng_invest*(M76+1/lng_lifetime)/lng_prod+sng_opex+lng_opex+(sng_e_demand+lng_e_demand)*1000*$AU76/100+Carriers!$AB$18/Carriers!$AB$23*BD76+Carriers!$AB$20/Carriers!$AB$23*BP76)*(FB76+lng_st_ab_losses)/1000000</f>
        <v>93185.288706080726</v>
      </c>
      <c r="EZ76" s="63">
        <f>lng_st_nl_cost*lng_st_nl_demand/1000000+(lng_st_invest*(M76+1/lng_st_lifetime+lng_st_opex)/(Storage!$U$63/1000000)+lng_st_e_demand*1000*$AU76/100)*(FB76+lng_st_ab_losses)/1000000+co2_st_nl_cost*Storage!$U$12*co2_density/lng_density/1000000+(co2_st_opex_lev+co2_st_invest_lev+co2_st_e_demand*1000*$AU76/100)*Storage!$U$12/1000000+co2_st_invest_lev*Storage!$U$12*co2_st_lifetime*M76/1000000+Carriers!$AB$18/Carriers!$AB$23*((FB76+lng_st_ab_losses)/365.25*short_st_duration_hrs/24)*(h2_short_st_invest*(1/gh2_short_st_lifetime+$M76+h2_short_st_opex)+h2_short_st_e_demand*1000*$AU76/100)/1000000+Carriers!$AB$20/Carriers!$AB$23*((FB76+lng_st_ab_losses)/365.25*short_st_duration_hrs/24)*(co2_short_st_invest*(1/co2_short_st_lifetime+$M76+co2_short_st_opex)+co2_short_st_e_demand*1000*$AU76/100)/1000000</f>
        <v>6217.4928958419396</v>
      </c>
      <c r="FA76" s="63">
        <f>lng_st_nl_cost*lng_st_nl_demand/1000000+(lng_st_invest*(M76+1/lng_st_lifetime+lng_st_opex)/(Storage!$U$63/1000000)+lng_st_e_demand*1000*$AU76/100)*(FB76+lng_st_ab_losses)/1000000+Carriers!$AB$18/Carriers!$AB$23*((FB76+lng_st_ab_losses)/365.25*short_st_duration_hrs/24)*(h2_short_st_invest*(1/gh2_short_st_lifetime+$M76+h2_short_st_opex)+h2_short_st_e_demand*1000*$AU76/100)/1000000+Carriers!$AB$20/Carriers!$AB$23*((FB76+lng_st_ab_losses)/365.25*short_st_duration_hrs/24)*(co2_short_st_invest*(1/co2_short_st_lifetime+$M76+co2_short_st_opex)+co2_short_st_e_demand*1000*$AU76/100)/1000000</f>
        <v>4631.7102803278967</v>
      </c>
      <c r="FB76" s="63">
        <f>Storage!$U$57/((1-Shipping!$V$37)^($F76/24/Shipping!$V$44+0.5*Shipping!$V$59))</f>
        <v>40707231.50721889</v>
      </c>
      <c r="FC76" s="28" t="str">
        <f>IF($E76="","No Port",IF(G76="Panama","Ship cannot pass through Panama",((F76/24/Shipping!$V$44+F76/24/Shipping!$V$50+Shipping!$V$59+Shipping!$V$64)*(Shipping!$V$22+wacc_nl*Shipping!$V$19/365.25*1000000+Shipping!$V$35)+(F76/24/Shipping!$V$44*Shipping!$V$45+Shipping!$V$64*Shipping!$V$65)*IF(bunker_choice="HFO",$H76,IF(bunker_choice="hydrogen",$BD76*hfo_e_density_lhv/h2_e_density_lhv,(EX76+EZ76)*1000000/FB76*hfo_e_density_lhv/lng_e_density_lhv))+(F76/24/Shipping!$V$50*Shipping!$V$51+Shipping!$V$59*Shipping!$V$60)*IF(bunker_choice="HFO",bunker_price_ROT,IF(bunker_choice="hydrogen",$BD76*hfo_e_density_lhv/h2_e_density_lhv,(EX76+EZ76)*1000000/FB76*hfo_e_density_lhv/lng_e_density_lhv))+Shipping!$V$73+IF(G76="Panama",Shipping!$V$55,0)+IF(G76="Suez",Shipping!$V$56,0))/Shipping!$V$31*(FB76+lng_st_ab_losses)/1000000)+IF(inland_transport_to_port="hv dc grid",$BM76/100*1000*FE76,IF(inland_transport_to_port="pipeline",$BN76,0)))</f>
        <v>No Port</v>
      </c>
      <c r="FD76" s="28" t="str">
        <f t="shared" si="136"/>
        <v/>
      </c>
      <c r="FE76" s="29">
        <f>((Carriers!$AB$18/Carriers!$AB$23*alk_el_e_demand)+sng_e_demand+lng_e_demand)*(FB76+lng_st_ab_losses)/1000000+lng_st_e_demand*EZ76/1000000</f>
        <v>1091.7518833785073</v>
      </c>
      <c r="FF76" s="29">
        <f t="shared" si="109"/>
        <v>0.8126185861001558</v>
      </c>
      <c r="FG76" s="28" t="str">
        <f>IFERROR(FD76*1000000/Storage!$U$12,"")</f>
        <v/>
      </c>
      <c r="FH76" s="28" t="str">
        <f>IF($E76="","No Port",((F76/24/Shipping!$V$44+F76/24/Shipping!$V$50+Shipping!$V$59+Shipping!$V$64)*Carriers!$AB$39*wacc_nl))</f>
        <v>No Port</v>
      </c>
      <c r="FI76" s="100">
        <f>H2_retrieval!$T$25*h2_demand_kt/1000+(co2_liq_e_demand+co2_st_e_demand*2)*Storage!$U$12*co2_density/lng_density/1000000</f>
        <v>236.51371749646054</v>
      </c>
      <c r="FJ76" s="28" t="str">
        <f>IFERROR((((EX76+EZ76+FC76)*(1+H2_retrieval!$T$34)+FH76)*1000000/H2_retrieval!$T$8)+h2_regen_lng,"")</f>
        <v/>
      </c>
      <c r="FK76" s="149">
        <f>(lh2_invest*(M76+1/lh2_lifetime)/lh2_prod+lh2_opex+lh2_e_demand*1000*$AU76/100+Carriers!$AD$18/Carriers!$AD$23*BD76)*(FM76+lh2_st_ab_losses)/1000000</f>
        <v>61716.526986974866</v>
      </c>
      <c r="FL76" s="28">
        <f>lh2_st_nl_cost*lh2_st_nl_demand/1000000+(lh2_st_invest*(M76+1/lh2_st_lifetime+lh2_st_opex)/(Storage!$Y$63/1000000)+lh2_st_e_demand*1000*$AU76/100)*(FM76+lh2_st_ab_losses)/1000000+((FM76+lh2_st_ab_losses)/365.25*short_st_duration_hrs/24)*(h2_short_st_invest*(1/gh2_short_st_lifetime+$M76+h2_short_st_opex)+h2_short_st_e_demand*1000*$AU76/100)/1000000</f>
        <v>53672.294087758382</v>
      </c>
      <c r="FM76" s="63">
        <f>Storage!$Y$57/((1-Shipping!$Z$37)^($F76/24/Shipping!$Z$44+0.5*Shipping!$Z$59))</f>
        <v>13659984.090217989</v>
      </c>
      <c r="FN76" s="28" t="str">
        <f>IF($E76="","No Port",IF(G76="Panama","Ship cannot pass through Panama",((F76/24/Shipping!$Z$44+F76/24/Shipping!$Z$50+Shipping!$Z$59+Shipping!$Z$64)*(Shipping!$Z$22+wacc_nl*Shipping!$Z$19/365.25*1000000+Shipping!$Z$35)+(F76/24/Shipping!$Z$44*Shipping!$Z$45+Shipping!$Z$64*Shipping!$Z$65)*IF(bunker_choice="HFO",$H76,IF(bunker_choice="hydrogen",$BD76*hfo_e_density_lhv/h2_e_density_lhv,(FK76+FL76)*1000000/FM76*hfo_e_density_lhv/lh2_e_density_lhv))+(F76/24/Shipping!$Z$50*Shipping!$Z$51+Shipping!$Z$59*Shipping!$Z$60)*IF(bunker_choice="HFO",bunker_price_ROT,IF(bunker_choice="hydrogen",$BD76*hfo_e_density_lhv/h2_e_density_lhv,(FK76+FL76)*1000000/FM76*hfo_e_density_lhv/lh2_e_density_lhv))+Shipping!$Z$73+IF(G76="Panama",Shipping!$Z$55,0)+IF(G76="Suez",Shipping!$Z$56,0))/Shipping!$Z$31*(FM76+lh2_st_ab_losses)/1000000)+IF(inland_transport_to_port="hv dc grid",$BM76/100*1000*FP76,IF(inland_transport_to_port="pipeline",$BN76,0)))</f>
        <v>No Port</v>
      </c>
      <c r="FO76" s="28" t="str">
        <f t="shared" si="128"/>
        <v/>
      </c>
      <c r="FP76" s="29">
        <f>((Carriers!$AD$18/Carriers!$AD$23*alk_el_e_demand)+lh2_e_demand)*(FM76+lh2_st_ab_losses)/1000000+lh2_st_e_demand*FM76/1000000</f>
        <v>791.60233245091877</v>
      </c>
      <c r="FQ76" s="100">
        <f t="shared" si="110"/>
        <v>1.361902463475859</v>
      </c>
      <c r="FR76" s="28" t="str">
        <f>IFERROR(FO76*1000000/Storage!$Y$12,"")</f>
        <v/>
      </c>
      <c r="FS76" s="100">
        <f>H2_retrieval!$V$25*h2_demand_kt/1000</f>
        <v>8.16</v>
      </c>
      <c r="FT76" s="28" t="str">
        <f>IFERROR(FR76*(1+H2_retrieval!$V$34)/Carrier_properties!$U$7+H2_retrieval!$V$38,"")</f>
        <v/>
      </c>
      <c r="FU76" s="12"/>
      <c r="FV76" s="24">
        <f t="shared" si="129"/>
        <v>2.8021058344273979</v>
      </c>
      <c r="FW76" s="24" t="str">
        <f t="shared" si="92"/>
        <v/>
      </c>
      <c r="FX76" s="24" t="str">
        <f t="shared" si="93"/>
        <v/>
      </c>
      <c r="FY76" s="24">
        <f t="shared" si="130"/>
        <v>2.8021058344273979</v>
      </c>
      <c r="FZ76" s="28">
        <f t="shared" si="94"/>
        <v>3548.0361365246754</v>
      </c>
      <c r="GA76" s="28">
        <f t="shared" si="137"/>
        <v>774.13250527029061</v>
      </c>
      <c r="GB76" s="28">
        <f t="shared" si="138"/>
        <v>466.7980285765513</v>
      </c>
      <c r="GC76" s="28">
        <f t="shared" si="139"/>
        <v>862.24377087949654</v>
      </c>
      <c r="GD76" s="28">
        <f t="shared" si="140"/>
        <v>1251.1325758304663</v>
      </c>
      <c r="GE76" s="28">
        <f t="shared" si="141"/>
        <v>2173.7834318212758</v>
      </c>
      <c r="GF76" s="28">
        <f t="shared" si="142"/>
        <v>2289.158099330718</v>
      </c>
      <c r="GG76" s="12"/>
      <c r="GH76" s="12"/>
      <c r="GI76" s="12"/>
      <c r="GJ76" s="12"/>
      <c r="GK76" s="12"/>
      <c r="GL76" s="12"/>
      <c r="GM76" s="12"/>
      <c r="GN76" s="12"/>
      <c r="GO76" s="12"/>
      <c r="GP76" s="12"/>
      <c r="GQ76" s="12"/>
      <c r="GR76" s="12"/>
      <c r="GS76" s="12"/>
      <c r="GT76" s="12"/>
      <c r="GU76" s="12"/>
      <c r="GV76" s="12"/>
      <c r="GW76" s="12"/>
      <c r="GX76" s="12"/>
      <c r="GY76" s="12"/>
      <c r="GZ76" s="12"/>
      <c r="HA76" s="12"/>
      <c r="HB76" s="12"/>
      <c r="HC76" s="12"/>
      <c r="HD76" s="12"/>
      <c r="HE76" s="12"/>
      <c r="HF76" s="12"/>
    </row>
    <row r="77" spans="1:214" x14ac:dyDescent="0.2">
      <c r="A77" s="40" t="s">
        <v>81</v>
      </c>
      <c r="B77" s="12">
        <v>6548</v>
      </c>
      <c r="C77" s="12">
        <v>0.9</v>
      </c>
      <c r="D77" s="12">
        <f t="shared" si="111"/>
        <v>9.9999999999999978E-2</v>
      </c>
      <c r="E77" s="12" t="s">
        <v>744</v>
      </c>
      <c r="F77" s="12">
        <v>6263</v>
      </c>
      <c r="G77" s="12" t="s">
        <v>692</v>
      </c>
      <c r="H77" s="16">
        <f t="shared" si="112"/>
        <v>382.75862068965517</v>
      </c>
      <c r="I77" s="16">
        <v>569140</v>
      </c>
      <c r="J77" s="16">
        <f t="shared" si="113"/>
        <v>425.63233972836537</v>
      </c>
      <c r="K77" s="27">
        <f t="shared" si="114"/>
        <v>510.75880767403839</v>
      </c>
      <c r="L77" s="103">
        <v>0.13700000000000001</v>
      </c>
      <c r="M77" s="103">
        <f t="shared" si="115"/>
        <v>0.13830798889497517</v>
      </c>
      <c r="N77" s="122">
        <f t="shared" si="116"/>
        <v>0.8</v>
      </c>
      <c r="O77" s="46">
        <f t="shared" si="117"/>
        <v>40</v>
      </c>
      <c r="P77" s="70">
        <f t="array" ref="P77">SUMPRODUCT(IF(Solar_data!A$4:A$777=A77,Solar_data!C$4:C$777),IF(Solar_data!A$4:A$777=A77,Solar_data!I$4:I$777))/SUMIF(Solar_data!A$4:A$777,A77,Solar_data!I$4:I$777)</f>
        <v>2142.0929415956075</v>
      </c>
      <c r="Q77" s="16">
        <f t="array" ref="Q77">MAX(IF(Solar_data!$A$777:'Solar_data'!$A$4=Country_details!$A77,Solar_data!$C$4:'Solar_data'!$C$777))</f>
        <v>2463.75</v>
      </c>
      <c r="R77" s="16">
        <f t="array" ref="R77">MIN(IF(Solar_data!$A$777:'Solar_data'!$A$4=Country_details!A77,Solar_data!$C$4:'Solar_data'!$C$777))</f>
        <v>1551.25</v>
      </c>
      <c r="S77" s="24">
        <f t="shared" si="95"/>
        <v>2.559632475347366</v>
      </c>
      <c r="T77" s="24">
        <f t="shared" si="96"/>
        <v>2.2254573956450479</v>
      </c>
      <c r="U77" s="24">
        <f t="shared" si="97"/>
        <v>3.5345499813186048</v>
      </c>
      <c r="V77" s="16">
        <f t="array" ref="V77">SUM(IF(Solar_data!$A$777:'Solar_data'!$A$4=Country_details!$A77,Solar_data!$I$4:'Solar_data'!$I$777))</f>
        <v>4458.6961022789146</v>
      </c>
      <c r="W77" s="148"/>
      <c r="X77" s="16" t="str">
        <f>IFERROR(INDEX(Onshore_wind_data!$J$5:'Onshore_wind_data'!$J$221,MATCH(A77,Onshore_wind_data!$B$5:'Onshore_wind_data'!$B$221,0)),"")</f>
        <v/>
      </c>
      <c r="Y77" s="16" t="str">
        <f>IFERROR(INDEX(Onshore_wind_data!$K$5:'Onshore_wind_data'!$K$221,MATCH(A77,Onshore_wind_data!$B$5:'Onshore_wind_data'!$B$221,0)),"")</f>
        <v/>
      </c>
      <c r="Z77" s="16" t="str">
        <f>IFERROR(INDEX(Onshore_wind_data!$L$5:'Onshore_wind_data'!$L$221,MATCH(A77,Onshore_wind_data!$B$5:'Onshore_wind_data'!$B$221,0)),"")</f>
        <v/>
      </c>
      <c r="AA77" s="24" t="str">
        <f t="shared" si="118"/>
        <v/>
      </c>
      <c r="AB77" s="24" t="str">
        <f t="shared" si="119"/>
        <v/>
      </c>
      <c r="AC77" s="24" t="str">
        <f t="shared" si="120"/>
        <v/>
      </c>
      <c r="AD77" s="16">
        <f>IFERROR(INDEX(Onshore_wind_data!$I$5:'Onshore_wind_data'!$I$221,MATCH(A77,Onshore_wind_data!$B$5:'Onshore_wind_data'!$B$221,0)),"")</f>
        <v>0</v>
      </c>
      <c r="AE77" s="148"/>
      <c r="AF77" s="16">
        <f>INDEX(Offshore_wind_data!$AA$7:$AA$192,MATCH(Country_details!A77,Offshore_wind_data!$A$7:$A$192,0))</f>
        <v>3463.1180047830539</v>
      </c>
      <c r="AG77" s="16">
        <f>INDEX(Offshore_wind_data!$Y$7:$Y$192,MATCH(Country_details!A77,Offshore_wind_data!$A$7:$A$192,0))</f>
        <v>3504</v>
      </c>
      <c r="AH77" s="16">
        <f>INDEX(Offshore_wind_data!$Z$7:$Z$192,MATCH(Country_details!A77,Offshore_wind_data!$A$7:$A$192,0))</f>
        <v>3153.6</v>
      </c>
      <c r="AI77" s="24">
        <f t="shared" si="98"/>
        <v>8.4210582501139584</v>
      </c>
      <c r="AJ77" s="24">
        <f t="shared" si="99"/>
        <v>8.3228077754841685</v>
      </c>
      <c r="AK77" s="24">
        <f t="shared" si="100"/>
        <v>9.2475641949824112</v>
      </c>
      <c r="AL77" s="16">
        <f>INDEX(Offshore_wind_data!$W$7:$W$191,MATCH(A77,Offshore_wind_data!$A$7:$A$191,0))</f>
        <v>405.46185599999995</v>
      </c>
      <c r="AM77" s="148"/>
      <c r="AN77" s="12">
        <v>49.7</v>
      </c>
      <c r="AO77" s="12">
        <v>95.5</v>
      </c>
      <c r="AP77" s="34">
        <f>0.491*11.63</f>
        <v>5.7103299999999999</v>
      </c>
      <c r="AQ77" s="15">
        <f t="shared" si="101"/>
        <v>50</v>
      </c>
      <c r="AR77" s="12">
        <f t="shared" si="131"/>
        <v>4775</v>
      </c>
      <c r="AS77" s="16">
        <f t="shared" si="121"/>
        <v>89.157958278914521</v>
      </c>
      <c r="AT77" s="12"/>
      <c r="AU77" s="24">
        <f t="shared" si="122"/>
        <v>2.559632475347366</v>
      </c>
      <c r="AV77" s="16">
        <f t="shared" si="123"/>
        <v>2142.0929415956075</v>
      </c>
      <c r="AW77" s="149">
        <f>HV_DC_Grid!$E$3/(1-AX77)*AU77/100*1000</f>
        <v>2957.038862410619</v>
      </c>
      <c r="AX77" s="31">
        <f>(1-(1-HV_DC_Grid!$E$25)^(B77*C77*HV_DC_Grid!$E$8/1000))+(1-(1-HV_DC_Grid!$E$26)^(B77*D77*HV_DC_Grid!$E$8/1000))+HV_DC_Grid!$E$35*HV_DC_Grid!$E$28</f>
        <v>0.13439335955810938</v>
      </c>
      <c r="AY77" s="28">
        <f>B77*nl_e_demand/IF(hv_dc_flh="electricity FLH",$AV77,hv_dc_custom)*1000*hv_dc_capacity_multiplier*hv_dc_length_multiplier*1000*(C77*hv_dc_overhead_invest*(hv_dc_overhead_opex+M77+1/hv_dc_lifetime)+D77*hv_dc_sea_invest*(hv_dc_sea_opex+M77+1/hv_dc_lifetime))/1000000+HV_DC_Grid!$E$10*1000*hv_dc_station_invest*hv_dc_station_number*(hv_dc_station_opex+M77+1/hv_dc_lifetime)/1000000</f>
        <v>7743.7652425660781</v>
      </c>
      <c r="AZ77" s="24">
        <f>(AW77+AY77)/(HV_DC_Grid!$E$3*1000)*100</f>
        <v>10.700804104976697</v>
      </c>
      <c r="BA77" s="28">
        <f>MIN(((Carriers!$F$26+Carriers!$F$27)*(alk_el_opex+wacc_nl+1/alk_el_lifetime)+IF(hv_dc_flh="electricity FLH",$AV77,hv_dc_custom)*AZ77/100)/(IF(hv_dc_flh="electricity FLH",$AV77,hv_dc_custom)/alk_el_e_demand)*1000,((Carriers!$H$26+Carriers!$H$27)*(pem_el_opex+wacc_nl+1/pem_el_lifetime)+IF(hv_dc_flh="electricity FLH",$AV77,hv_dc_custom)*AZ77/100)/(IF(hv_dc_flh="electricity FLH",$AV77,hv_dc_custom)/pem_el_e_demand)*1000)</f>
        <v>5821.0494785936726</v>
      </c>
      <c r="BB77" s="12"/>
      <c r="BC77" s="12"/>
      <c r="BD77" s="149">
        <f>MIN(((Carriers!$F$26+Carriers!$F$27)*(alk_el_opex+M77+1/alk_el_lifetime)+$AV77*$AU77/100)/($AV77/alk_el_e_demand)*1000,((Carriers!$H$26+Carriers!$H$27)*(pem_el_opex+M77+1/pem_el_lifetime)+$AV77*$AU77/100)/($AV77/pem_el_e_demand)*1000)</f>
        <v>3007.3448519405997</v>
      </c>
      <c r="BE77" s="28">
        <f>Storage!$AC$50</f>
        <v>8.1664117557772418</v>
      </c>
      <c r="BF77" s="28">
        <f>((Pipeline!$D$22*Pipeline!$D$24*B77*(pipeline_opex+M77+1/pipeline_lifetime))*(Pipeline!$D$39/Pipeline!$D$3)+(Pipeline!$D$57*(pipeline_comp_opex+M77+1/pipeline_comp_lifetime)+Pipeline!$D$47*1000*Pipeline!$D$45*$AU77/100/1000000))*(Pipeline!$D$75/Pipeline!$D$45)</f>
        <v>15742.238090696659</v>
      </c>
      <c r="BG77" s="28">
        <f>BD77+(BE77+BF77)/Storage!$AC$12*1000000</f>
        <v>4165.4628300621025</v>
      </c>
      <c r="BH77" s="28"/>
      <c r="BI77" s="28"/>
      <c r="BJ77" s="28">
        <f>IF($E77="","No Port",BK77*HV_DC_Grid!$E$3*$AU77/100*1000)</f>
        <v>61.014379319453532</v>
      </c>
      <c r="BK77" s="31">
        <f>IFERROR((1-(1-HV_DC_Grid!$E$25)^(K77*HV_DC_Grid!$E$8/1000))+HV_DC_Grid!$E$35*HV_DC_Grid!$E$28,"")</f>
        <v>2.3837164087853399E-2</v>
      </c>
      <c r="BL77" s="28">
        <f>IFERROR(K77*nl_e_demand/IF(hv_dc_flh="electricity FLH",$AV77,hv_dc_custom)*1000*hv_dc_capacity_multiplier*hv_dc_length_multiplier*1000*(hv_dc_overhead_invest*(hv_dc_overhead_opex+M77+1/hv_dc_lifetime))/1000000+HV_DC_Grid!$E$10*1000*hv_dc_station_invest*hv_dc_station_number*(hv_dc_station_opex+M77+1/hv_dc_lifetime)/1000000,"")</f>
        <v>924.91120241979684</v>
      </c>
      <c r="BM77" s="29">
        <f>IFERROR((BJ77+BL77)/(HV_DC_Grid!$E$3*1000)*100,"")</f>
        <v>0.98592558173925038</v>
      </c>
      <c r="BN77" s="28">
        <f>IFERROR(((Pipeline!$D$22*Pipeline!$D$24*K77*(pipeline_opex+M77+1/pipeline_lifetime))*(Pipeline!$D$39/Pipeline!$D$3)+(Pipeline!$D$57*(pipeline_comp_opex+M77+1/pipeline_comp_lifetime)+Pipeline!$D$47*1000*Pipeline!$D$45*S77/100/1000000))*(Pipeline!$D$75/Pipeline!$D$45),"")</f>
        <v>1306.460745268356</v>
      </c>
      <c r="BO77" s="28"/>
      <c r="BP77" s="150">
        <f t="shared" si="124"/>
        <v>119.7319730618981</v>
      </c>
      <c r="BQ77" s="34">
        <f t="shared" si="125"/>
        <v>35.860617614128032</v>
      </c>
      <c r="BR77" s="151">
        <f>(nh3_invest*(M77+1/nh3_lifetime)/nh3_prod+nh3_opex+nh3_e_demand*1000*$AU77/100+Carriers!$N$18/Carriers!$N$23*BD77+Carriers!$N$19/Carriers!$N$23*BQ77)*(BT77+nh3_st_ab_losses)/1000000</f>
        <v>54864.953454781949</v>
      </c>
      <c r="BS77" s="63">
        <f>nh3_st_nl_cost*nh3_st_nl_demand/1000000+(nh3_st_invest*(M77+1/nh3_st_lifetime+nh3_st_opex)/(Storage!$G$63/1000000)+nh3_st_e_demand*1000*$AU77/100)*(BT77+nh3_st_ab_losses)/1000000+Carriers!$N$18/Carriers!$N$23*((BT77+nh3_st_ab_losses)/365.25*short_st_duration_hrs/24)*(h2_short_st_invest*(1/gh2_short_st_lifetime+$M77+h2_short_st_opex)+h2_short_st_e_demand*1000*$AU77/100)/1000000+Carriers!$N$19/Carriers!$N$23*((BT77+nh3_st_ab_losses)/365.25*short_st_duration_hrs/24)*(n2_short_st_invest*(1/n2_short_st_lifetime+$M77+n2_short_st_opex)+n2_short_st_e_demand*1000*$AU77/100)/1000000</f>
        <v>3621.0418712187097</v>
      </c>
      <c r="BT77" s="63">
        <f>Storage!$G$57/((1-Shipping!$H$37)^(F77/24/Shipping!$H$44+0.5*Shipping!$H$59))</f>
        <v>79960121.431875825</v>
      </c>
      <c r="BU77" s="63">
        <f>IF($E77="","No Port",((F77/24/Shipping!$H$44+F77/24/Shipping!$H$50+Shipping!$H$59+Shipping!$H$64)*(Shipping!$H$22+wacc_nl*Shipping!$H$19/365.25*1000000+Shipping!$H$35)+(F77/24/Shipping!$H$44*Shipping!$H$45+Shipping!$H$64*Shipping!$H$65)*IF(bunker_choice="HFO",H77,IF(bunker_choice="hydrogen",BD77*hfo_e_density_lhv/h2_e_density_lhv,(BR77+BS77)*1000000/BT77*hfo_e_density_lhv/nh3_e_density_lhv))+(F77/24/Shipping!$H$50*Shipping!$H$51+Shipping!$H$59*Shipping!$H$60)*IF(bunker_choice="HFO",bunker_price_ROT,IF(bunker_choice="hydrogen",BD77*hfo_e_density_lhv/h2_e_density_lhv,(BR77+BS77)*1000000/BT77*hfo_e_density_lhv/nh3_e_density_lhv))+Shipping!$H$73+IF(G77="Panama",Shipping!$H$55,0)+IF(G77="Suez",Shipping!$H$56,0))/Shipping!$H$31*BT77/1000000+IF(inland_transport_to_port="hv dc grid",$BM77/100*1000*BW77,IF(inland_transport_to_port="pipeline",$BN77,0)))</f>
        <v>5978.4489900075987</v>
      </c>
      <c r="BV77" s="63">
        <f t="shared" si="126"/>
        <v>64464.444316008259</v>
      </c>
      <c r="BW77" s="33">
        <f>((Carriers!$N$18/Carriers!$N$23*alk_el_e_demand)+(Carriers!$N$19/Carriers!$N$23*n2_e_demand)+nh3_e_demand)*(BT77+nh3_st_ab_losses)/1000000+nh3_st_e_demand*BT77/1000000</f>
        <v>789.61905155600516</v>
      </c>
      <c r="BX77" s="33">
        <f t="shared" si="102"/>
        <v>0.76626754477640768</v>
      </c>
      <c r="BY77" s="63">
        <f>IFERROR(BV77*1000000/Storage!$G$12,"")</f>
        <v>841.9794874865629</v>
      </c>
      <c r="BZ77" s="63">
        <f>H2_retrieval!$F$25*h2_demand_kt/1000</f>
        <v>80</v>
      </c>
      <c r="CA77" s="63">
        <f>IFERROR(BY77*(1+H2_retrieval!$F$34)/Carrier_properties!$E$7+H2_retrieval!$F$38,"")</f>
        <v>5149.2586499384606</v>
      </c>
      <c r="CB77" s="149">
        <f>(FA_invest*(M77+1/FA_lifetime)/FA_prod+FA_opex+FA_e_demand*1000*$AU77/100+Carriers!$P$18/Carriers!$P$23*BD77+Carriers!$P$20/Carriers!$P$23*co2_liq_cost)*(CF77+FA_st_ab_losses)/1000000</f>
        <v>107332.72317598779</v>
      </c>
      <c r="CC77" s="86">
        <f>(FA_invest*(M77+1/FA_lifetime)/FA_prod+FA_opex+FA_e_demand*1000*$AU77/100+Carriers!$P$18/Carriers!$P$23*BD77+Carriers!$P$20/Carriers!$P$23*BP77)*(CF77+FA_st_ab_losses)/1000000</f>
        <v>136316.26178674717</v>
      </c>
      <c r="CD77" s="63">
        <f>FA_st_nl_cost*FA_st_nl_demand/1000000+(FA_st_invest*(M77+1/FA_st_lifetime+FA_st_opex)/(Storage!$I$63/1000000)+FA_st_e_demand*1000*$AU77/100)*(CF77+FA_st_ab_losses)/1000000+co2_st_nl_cost*Storage!$I$12*co2_density/FA_density/1000000+(co2_st_opex_lev+co2_st_invest_lev+co2_st_e_demand*1000*$AU77/100)*Storage!$I$12/1000000+co2_st_invest_lev*Storage!$I$12*co2_st_lifetime*M77/1000000+Carriers!$P$18/Carriers!$P$23*((CF77+FA_st_ab_losses)/365.25*short_st_duration_hrs/24)*(h2_short_st_invest*(1/gh2_short_st_lifetime+$M77+h2_short_st_opex)+h2_short_st_e_demand*1000*$AU77/100)/1000000+Carriers!$P$20/Carriers!$P$23*((CF77+FA_st_ab_losses)/365.25*short_st_duration_hrs/24)*(co2_short_st_invest*(1/co2_short_st_lifetime+$M77+co2_short_st_opex)+co2_short_st_e_demand*1000*$AU77/100)/1000000</f>
        <v>12169.628095179363</v>
      </c>
      <c r="CE77" s="63">
        <f>FA_st_nl_cost*FA_st_nl_demand/1000000+(FA_st_invest*(M77+1/FA_st_lifetime+FA_st_opex)/(Storage!$I$63/1000000)+FA_st_e_demand*1000*$AU77/100)*(CF77+FA_st_ab_losses)/1000000+Carriers!$P$18/Carriers!$P$23*((CF77+FA_st_ab_losses)/365.25*short_st_duration_hrs/24)*(h2_short_st_invest*(1/gh2_short_st_lifetime+$M77+h2_short_st_opex)+h2_short_st_e_demand*1000*$AU77/100)/1000000+Carriers!$P$20/Carriers!$P$23*((CF77+FA_st_ab_losses)/365.25*short_st_duration_hrs/24)*(co2_short_st_invest*(1/co2_short_st_lifetime+$M77+co2_short_st_opex)+co2_short_st_e_demand*1000*$AU77/100)/1000000</f>
        <v>5327.8828683043239</v>
      </c>
      <c r="CF77" s="63">
        <f>Storage!$I$57/((1-Shipping!$J$37)^($F77/24/Shipping!$J$44+0.5*Shipping!$J$59))</f>
        <v>310425396.82539684</v>
      </c>
      <c r="CG77" s="28">
        <f>IF($E77="","No Port",((F77/24/Shipping!$J$44+F77/24/Shipping!$J$50+Shipping!$J$59+Shipping!$J$64)*(Shipping!$J$22+wacc_nl*Shipping!$J$19/365.25*1000000+Shipping!$J$35)+(F77/24/Shipping!$J$44*Shipping!$J$45+Shipping!$J$64*Shipping!$J$65)*IF(bunker_choice="HFO",$H77,IF(bunker_choice="hydrogen",$BD77*hfo_e_density_lhv/h2_e_density_lhv,(CB77+CD77)*1000000/CF77*hfo_e_density_lhv/FA_e_density_lhv))+(F77/24/Shipping!$J$50*Shipping!$J$51+Shipping!$J$59*Shipping!$J$60)*IF(bunker_choice="HFO",bunker_price_ROT,IF(bunker_choice="hydrogen",$BD77*hfo_e_density_lhv/h2_e_density_lhv,(CB77+CD77)*1000000/CF77*hfo_e_density_lhv/FA_e_density_lhv))+Shipping!$J$73+IF(G77="Panama",Shipping!$J$55,0)+IF(G77="Suez",Shipping!$J$56,0))/Shipping!$J$31*CF77/1000000+IF(inland_transport_to_port="hv dc grid",$BM77/100*1000*CI77,IF(inland_transport_to_port="pipeline",$BN77,0)))</f>
        <v>21679.792576244421</v>
      </c>
      <c r="CH77" s="28">
        <f t="shared" si="132"/>
        <v>163323.93723129592</v>
      </c>
      <c r="CI77" s="29">
        <f>((Carriers!$P$18/Carriers!$P$23*alk_el_e_demand)+FA_e_demand)*(CF77+FA_st_ab_losses)/1000000+FA_st_e_demand*CF77/1000000</f>
        <v>1897.8881241622576</v>
      </c>
      <c r="CJ77" s="29">
        <f t="shared" si="103"/>
        <v>0.46563809523809524</v>
      </c>
      <c r="CK77" s="28">
        <f>IFERROR(CH77*1000000/Storage!$I$12,"")</f>
        <v>526.12943045752081</v>
      </c>
      <c r="CL77" s="28">
        <f>IF($E77="","No Port",((F77/24/Shipping!$J$44+F77/24/Shipping!$J$50+Shipping!$J$59+Shipping!$J$64)*Carriers!$P$39*wacc_nl))</f>
        <v>304.31294040970664</v>
      </c>
      <c r="CM77" s="29">
        <f>H2_retrieval!$H$25*h2_demand_kt/1000+(co2_liq_e_demand+co2_st_e_demand*2)*Storage!$I$12*co2_density/FA_density/1000000</f>
        <v>94.204253879484654</v>
      </c>
      <c r="CN77" s="28">
        <f>IFERROR((((CB77+CD77+CG77)*(1+H2_retrieval!$H$34)+CL77)*1000000/H2_retrieval!$H$8)+h2_regen_fa,"")</f>
        <v>10493.10330804793</v>
      </c>
      <c r="CO77" s="149">
        <f>(meoh_invest*(M77+1/meoh_lifetime)/meoh_prod+meoh_opex+meoh_e_demand*1000*$AU77/100+Carriers!$R$18/Carriers!$R$23*BD77+Carriers!$R$20/Carriers!$R$23*co2_liq_cost)*(CS77+meoh_st_ab_losses)/1000000</f>
        <v>65843.834743694402</v>
      </c>
      <c r="CP77" s="86">
        <f>(meoh_invest*(M77+1/meoh_lifetime)/meoh_prod+meoh_opex+meoh_e_demand*1000*$AU77/100+Carriers!$R$18/Carriers!$R$23*BD77+Carriers!$R$20/Carriers!$R$23*BP77)*(CS77+meoh_st_ab_losses)/1000000</f>
        <v>82858.066683273326</v>
      </c>
      <c r="CQ77" s="63">
        <f>meoh_st_nl_cost*meoh_st_nl_demand/1000000+(meoh_st_invest*(M77+1/meoh_st_lifetime+meoh_st_opex)/(Storage!$K$63/1000000)+meoh_st_e_demand*1000*$AU77/100)*(CS77+meoh_st_ab_losses)/1000000+co2_st_nl_cost*Storage!$K$12*co2_density/meoh_density/1000000+(co2_st_opex_lev+co2_st_invest_lev+co2_st_e_demand*1000*IFERROR(MIN(S77,AA77,AI77),S77)/100)*Storage!$K$12/1000000+co2_st_invest_lev*Storage!$K$12*co2_st_lifetime*M77/1000000+Carriers!$R$18/Carriers!$R$23*((CS77+meoh_st_ab_losses)/365.25*short_st_duration_hrs/24)*(h2_short_st_invest*(1/gh2_short_st_lifetime+$M77+h2_short_st_opex)+h2_short_st_e_demand*1000*$AU77/100)/1000000+Carriers!$R$20/Carriers!$R$23*((CF77+meoh_st_ab_losses)/365.25*short_st_duration_hrs/24)*(co2_short_st_invest*(1/co2_short_st_lifetime+$M77+co2_short_st_opex)+co2_short_st_e_demand*1000*$AU77/100)/1000000</f>
        <v>5094.8032341407443</v>
      </c>
      <c r="CR77" s="63">
        <f>meoh_st_nl_cost*meoh_st_nl_demand/1000000+(meoh_st_invest*(M77+1/meoh_st_lifetime+meoh_st_opex)/(Storage!$K$63/1000000)+meoh_st_e_demand*1000*$AU77/100)*(CS77+meoh_st_ab_losses)/1000000+Carriers!$R$18/Carriers!$R$23*((CS77+meoh_st_ab_losses)/365.25*short_st_duration_hrs/24)*(h2_short_st_invest*(1/gh2_short_st_lifetime+$M77+h2_short_st_opex)+h2_short_st_e_demand*1000*$AU77/100)/1000000+Carriers!$R$20/Carriers!$R$23*((CF77+meoh_st_ab_losses)/365.25*short_st_duration_hrs/24)*(co2_short_st_invest*(1/co2_short_st_lifetime+$M77+co2_short_st_opex)+co2_short_st_e_demand*1000*$AU77/100)/1000000</f>
        <v>2114.5168628399979</v>
      </c>
      <c r="CS77" s="63">
        <f>Storage!$K$57/((1-Shipping!$L$37)^($F77/24/Shipping!$L$44+0.5*Shipping!$L$59))</f>
        <v>108044444.44444443</v>
      </c>
      <c r="CT77" s="28">
        <f>IF($E77="","No Port",IF(AND(ship_choice="VLCC",G77="Panama"),"Ship cannot pass through Panama",IF(ship_choice="VLCC",((F77/24/Shipping!$AD$44+F77/24/Shipping!$AD$50+Shipping!$AD$59+Shipping!$AD$64)*(Shipping!$AD$22+wacc_nl*Shipping!$AD$19/365.25*1000000+Shipping!$AD$35)+(F77/24/Shipping!$AD$44*Shipping!$AD$45+Shipping!$AD$64*Shipping!$AD$65)*IF(bunker_choice="HFO",$H77,IF(bunker_choice="hydrogen",$BD77*hfo_e_density_lhv/h2_e_density_lhv,(CO77+CQ77)*1000000/CS77*hfo_e_density_lhv/meoh_e_density_lhv))+(F77/24/Shipping!$AD$50*Shipping!$AD$51+Shipping!$AD$59*Shipping!$AD$60)*IF(bunker_choice="HFO",bunker_price_ROT,IF(bunker_choice="hydrogen",$BD77*hfo_e_density_lhv/h2_e_density_lhv,(CO77+CQ77)*1000000/CS77*hfo_e_density_lhv/meoh_e_density_lhv))+Shipping!$AD$73+IF(G77="Panama",Shipping!$AD$55,0)+IF(G77="Suez",Shipping!$AD$56,0))/Shipping!$AD$31*CS77/1000000+IF(inland_transport_to_port="hv dc grid",$BM77/100*1000*CV77,IF(inland_transport_to_port="pipeline",$BN77,0)),((F77/24/Shipping!$L$44+F77/24/Shipping!$L$50+Shipping!$L$59+Shipping!$L$64)*(Shipping!$L$22+wacc_nl*Shipping!$L$19/365.25*1000000+Shipping!$L$35)+(F77/24/Shipping!$L$44*Shipping!$L$45+Shipping!$L$64*Shipping!$L$65)*IF(bunker_choice="HFO",$H77,IF(bunker_choice="hydrogen",$BD77*hfo_e_density_lhv/h2_e_density_lhv,(CO77+CQ77)*1000000/CS77*hfo_e_density_lhv/meoh_e_density_lhv))+(F77/24/Shipping!$L$50*Shipping!$L$51+Shipping!$L$59*Shipping!$L$60)*IF(bunker_choice="HFO",bunker_price_ROT,IF(bunker_choice="hydrogen",$BD77*hfo_e_density_lhv/h2_e_density_lhv,(CO77+CQ77)*1000000/CS77*hfo_e_density_lhv/meoh_e_density_lhv))+Shipping!$L$73+IF(G77="Panama",Shipping!$L$55,0)+IF(G77="Suez",Shipping!$L$56,0))/Shipping!$L$31*CS77/1000000+IF(inland_transport_to_port="hv dc grid",$BM77/100*1000*CV77,IF(inland_transport_to_port="pipeline",$BN77,0)))))</f>
        <v>8081.309930422216</v>
      </c>
      <c r="CU77" s="28">
        <f t="shared" si="133"/>
        <v>93053.893476535537</v>
      </c>
      <c r="CV77" s="29">
        <f>((Carriers!$R$18/Carriers!$R$23*alk_el_e_demand)+meoh_e_demand)*(CS77+meoh_st_ab_losses)/1000000+meoh_st_e_demand*CS77/1000000</f>
        <v>1119.9789871111109</v>
      </c>
      <c r="CW77" s="29">
        <f t="shared" si="104"/>
        <v>0.16206666666666666</v>
      </c>
      <c r="CX77" s="28">
        <f>IFERROR(CU77*1000000/Storage!$K$12,"")</f>
        <v>861.2556985693335</v>
      </c>
      <c r="CY77" s="28">
        <f>IF($E77="","No Port",((F77/24/Shipping!$L$44+F77/24/Shipping!$L$50+Shipping!$L$59+Shipping!$L$64)*Carriers!$R$39*wacc_nl))</f>
        <v>109.03211890324195</v>
      </c>
      <c r="CZ77" s="29">
        <f>H2_retrieval!$J$25*h2_demand_kt/1000+(co2_liq_e_demand+co2_st_e_demand*2)*Storage!$K$12*co2_density/meoh_density/1000000</f>
        <v>251.05079059698966</v>
      </c>
      <c r="DA77" s="28">
        <f>IFERROR((((CO77+CQ77+CT77)*(1+H2_retrieval!$J$34)+CY77)*1000000/H2_retrieval!$J$8)+h2_regen_meoh,"")</f>
        <v>6988.4358981343948</v>
      </c>
      <c r="DB77" s="149">
        <f>(DBT_invest*(M77+1/DBT_lifetime)/DBT_prod+DBT_opex+DBT_e_demand*1000*$AU77/100+Carriers!$T$18/Carriers!$T$23*BD77)*(DD77+DBT_st_ab_losses)/1000000</f>
        <v>44303.896660011655</v>
      </c>
      <c r="DC77" s="28">
        <f>2*(DBT_st_nl_cost*DBT_st_nl_demand/1000000+(DBT_st_invest*(M77+1/DBT_st_lifetime+DBT_st_opex)/(Storage!$M$63/1000000)+DBT_st_e_demand*1000*$AU77/100)*(DD77+DBT_st_ab_losses)/1000000)+Carriers!$T$18/Carriers!$T$23*((DD77+DBT_st_ab_losses)/365.25*short_st_duration_hrs/24)*(h2_short_st_invest*(1/gh2_short_st_lifetime+$M77+h2_short_st_opex)+h2_short_st_e_demand*1000*$AU77/100)/1000000</f>
        <v>4330.1931376010107</v>
      </c>
      <c r="DD77" s="63">
        <f>Storage!$M$57/((1-Shipping!$N$37)^($F77/24/Shipping!$N$44+0.5*Shipping!$N$59))</f>
        <v>219354838.70967743</v>
      </c>
      <c r="DE77" s="28">
        <f>IF($E77="","No Port",IF(AND(ship_choice="VLCC",G77="Panama"),"Ship cannot pass through Panama",IF(ship_choice="VLCC",((F77/24/Shipping!$AD$44+F77/24/Shipping!$AD$50+Shipping!$AD$59+Shipping!$AD$64)*(Shipping!$AD$22+wacc_nl*Shipping!$AD$19/365.25*1000000+Shipping!$AD$35)+(F77/24/Shipping!$AD$44*Shipping!$AD$45+Shipping!$AD$64*Shipping!$AD$65)*IF(bunker_choice="HFO",$H77,IF(bunker_choice="hydrogen",$BD77*hfo_e_density_lhv/h2_e_density_lhv,(DB77+DC77)*1000000/DD77*hfo_e_density_lhv/DBT_e_density_lhv))+(F77/24/Shipping!$AD$50*Shipping!$AD$51+Shipping!$AD$59*Shipping!$AD$60)*IF(bunker_choice="HFO",bunker_price_ROT,IF(bunker_choice="hydrogen",$BD77*hfo_e_density_lhv/h2_e_density_lhv,(DB77+DC77)*1000000/DD77*hfo_e_density_lhv/DBT_e_density_lhv))+Shipping!$AD$73+IF(G77="Panama",Shipping!$AD$55,0)+IF(G77="Suez",Shipping!$AD$56,0))/Shipping!$AD$31*DD77/1000000+IF(inland_transport_to_port="hv dc grid",$BM77/100*1000*DG77,IF(inland_transport_to_port="pipeline",$BN77,0)),((F77/24/Shipping!$N$44+F77/24/Shipping!$N$50+Shipping!$N$59+Shipping!$N$64)*(Shipping!$N$22+wacc_nl*Shipping!$N$19/365.25*1000000+Shipping!$N$35)+(F77/24/Shipping!$N$44*Shipping!$N$45+Shipping!$N$64*Shipping!$N$65)*IF(bunker_choice="HFO",$H77,IF(bunker_choice="hydrogen",$BD77*hfo_e_density_lhv/h2_e_density_lhv,(DB77+DC77)*1000000/DD77*hfo_e_density_lhv/DBT_e_density_lhv))+(F77/24/Shipping!$N$50*Shipping!$N$51+Shipping!$N$59*Shipping!$N$60)*IF(bunker_choice="HFO",bunker_price_ROT,IF(bunker_choice="hydrogen",$BD77*hfo_e_density_lhv/h2_e_density_lhv,(DB77+DC77)*1000000/DD77*hfo_e_density_lhv/DBT_e_density_lhv))+Shipping!$N$73+IF(G77="Panama",Shipping!$N$55,0)+IF(G77="Suez",Shipping!$N$56,0))/Shipping!$N$31*Shipping!$N$86/1000000+IF(inland_transport_to_port="hv dc grid",$BM77/100*1000*DG77,IF(inland_transport_to_port="pipeline",$BN77,0)))))</f>
        <v>14075.169693477896</v>
      </c>
      <c r="DF77" s="28">
        <f t="shared" si="82"/>
        <v>62709.259491090561</v>
      </c>
      <c r="DG77" s="29">
        <f>((Carriers!$T$18/Carriers!$T$23*alk_el_e_demand)+DBT_e_demand)*(DD77+DBT_st_ab_losses)/1000000+DBT_st_e_demand*DD77/1000000</f>
        <v>703.88335483870969</v>
      </c>
      <c r="DH77" s="29">
        <f t="shared" si="105"/>
        <v>0.21935483870967742</v>
      </c>
      <c r="DI77" s="28">
        <f>IFERROR(DF77*1000000/Storage!$M$12,"")</f>
        <v>285.88044767997167</v>
      </c>
      <c r="DJ77" s="28">
        <f>IF($E77="","No Port",((F77/24/Shipping!$N$44+F77/24/Shipping!$N$50+Shipping!$N$59+Shipping!$N$64)*Carriers!$T$39*wacc_nl))</f>
        <v>7941.1674579194787</v>
      </c>
      <c r="DK77" s="100">
        <f>H2_retrieval!$L$25*h2_demand_kt/1000+(co2_liq_e_demand+co2_st_e_demand*2)*Storage!$M$12*co2_density/DBT_density/1000000</f>
        <v>206.61934861671787</v>
      </c>
      <c r="DL77" s="28">
        <f>IFERROR(((DF77*(1+H2_retrieval!$L$34)+DJ77)*1000000/H2_retrieval!$L$8)+h2_regen_lohc,"")</f>
        <v>5665.5341151248276</v>
      </c>
      <c r="DM77" s="149">
        <f t="shared" si="127"/>
        <v>51517.180729800501</v>
      </c>
      <c r="DN77" s="16">
        <f>2*(nabh4_st_nl_cost*nabh4_st_nl_demand/1000000+(nabh4_st_invest*(M77+1/nabh4_st_lifetime+nabh4_st_opex)/(Storage!$O$63/1000000)+nabh4_st_e_demand*1000*$AU77/100)*(DO77+nabh4_st_ab_losses)/1000000)+(h2_demand_kt*1000/365.25*short_st_duration_hrs/24)*(h2_short_st_invest*(1/gh2_short_st_lifetime+$M77+h2_short_st_opex)+h2_short_st_e_demand*1000*$AU77/100)/1000000</f>
        <v>1459.5912094601035</v>
      </c>
      <c r="DO77" s="63">
        <f>Storage!$O$57/((1-Shipping!$P$37)^($F77/24/Shipping!$P$44+0.5*Shipping!$P$59))</f>
        <v>63920000</v>
      </c>
      <c r="DP77" s="16">
        <f>IF($E77="","No Port",((F77/24/Shipping!$P$44+F77/24/Shipping!$P$50+Shipping!$P$59+Shipping!$P$64)*(Shipping!$P$22+wacc_nl*Shipping!$P$19/365.25*1000000+Shipping!$P$35)+(F77/24/Shipping!$P$44*Shipping!$P$45+Shipping!$P$64*Shipping!$P$65)*IF(bunker_choice="HFO",$H77,IF(bunker_choice="hydrogen",$BD77*hfo_e_density_lhv/h2_e_density_lhv,(DM77+DN77)*1000000/DO77*hfo_e_density_lhv/nabh4_e_density_lhv))+(F77/24/Shipping!$P$50*Shipping!$P$51+Shipping!$P$59*Shipping!$P$60)*IF(bunker_choice="HFO",bunker_price_ROT,IF(bunker_choice="hydrogen",$BD77*hfo_e_density_lhv/h2_e_density_lhv,(DM77+DN77)*1000000/DO77*hfo_e_density_lhv/nabh4_e_density_lhv))+Shipping!$P$73+IF(G77="Panama",Shipping!$P$55,0)+IF(G77="Suez",Shipping!$P$56,0))/Shipping!$P$31*(DO77+nabh4_st_ab_losses)/1000000+IF(inland_transport_to_port="hv dc grid",$BM77/100*1000*DR77,IF(inland_transport_to_port="pipeline",$BN77,0)))</f>
        <v>4426.4392975110195</v>
      </c>
      <c r="DQ77" s="28">
        <f t="shared" si="60"/>
        <v>57403.211236771618</v>
      </c>
      <c r="DR77" s="29">
        <f>((Carriers!$V$18/Carriers!$V$23*alk_el_e_demand)+nabh4_e_demand)*(DO77+nabh4_st_ab_losses)/1000000+nabh4_st_e_demand*DO77/1000000</f>
        <v>980.02139682539689</v>
      </c>
      <c r="DS77" s="28">
        <f t="shared" si="106"/>
        <v>3.1960000000000002</v>
      </c>
      <c r="DT77" s="28">
        <f>IFERROR(DQ77*1000000/Storage!$O$12,"")</f>
        <v>898.0477352436111</v>
      </c>
      <c r="DU77" s="28">
        <f>IF($E77="","No Port",((F77/24/Shipping!$P$44+F77/24/Shipping!$P$50+Shipping!$P$59+Shipping!$P$64)*Carriers!$V$39*wacc_nl))</f>
        <v>733.3011418275654</v>
      </c>
      <c r="DV77" s="100">
        <f>H2_retrieval!$N$25*h2_demand_kt/1000+(co2_liq_e_demand+co2_st_e_demand*2)*Storage!$O$12*co2_density/nabh4_density/1000000</f>
        <v>18.783638728971958</v>
      </c>
      <c r="DW77" s="28">
        <f>IFERROR(((DQ77*(1+H2_retrieval!$N$34)+DU77)*1000000/H2_retrieval!$N$8)+h2_regen_nabh4,"")</f>
        <v>4366.0342548134786</v>
      </c>
      <c r="DX77" s="149">
        <f>(Dme_invest*(M77+1/Dme_lifetime)/Dme_prod+Dme_opex+Dme_e_demand*1000*$AU77/100+Carriers!$X$21/Carriers!$X$23*(CO77*1000000/CS77))*(EB77+Dme_st_ab_losses)/1000000</f>
        <v>92596.252131047586</v>
      </c>
      <c r="DY77" s="86">
        <f>(Dme_invest*(M77+1/Dme_lifetime)/Dme_prod+Dme_opex+Dme_e_demand*1000*$AU77/100+Carriers!$X$21/Carriers!$X$23*(CP77*1000000/CS77))*(EB77+Dme_st_ab_losses)/1000000</f>
        <v>115678.84829466249</v>
      </c>
      <c r="DZ77" s="63">
        <f>Dme_st_nl_cost*Dme_st_nl_demand/1000000+(Dme_st_invest*(M77+1/Dme_st_lifetime+Dme_st_opex)/(Storage!$Q$63/1000000)+Dme_st_e_demand*1000*$AU77/100)*(EB77+Dme_st_ab_losses)/1000000+co2_st_nl_cost*Storage!$Q$12*co2_density/Dme_density/1000000+(co2_st_opex_lev+co2_st_invest_lev+co2_st_e_demand*1000*$AU77/100)*Storage!$Q$12/1000000+co2_st_invest_lev*Storage!$Q$12*co2_st_lifetime*M77/1000000+(h2_demand_kt*1000/365.25*short_st_duration_hrs/24)*(h2_short_st_invest*(1/gh2_short_st_lifetime+$M77+h2_short_st_opex)+h2_short_st_e_demand*1000*$AU77/100)/1000000</f>
        <v>6135.7849079031585</v>
      </c>
      <c r="EA77" s="63">
        <f>Dme_st_nl_cost*Dme_st_nl_demand/1000000+(Dme_st_invest*(M77+1/Dme_st_lifetime+Dme_st_opex)/(Storage!$Q$63/1000000)+Dme_st_e_demand*1000*$AU77/100)*(EB77+Dme_st_ab_losses)/1000000+(h2_demand_kt*1000/365.25*short_st_duration_hrs/24)*(h2_short_st_invest*(1/gh2_short_st_lifetime+$M77+h2_short_st_opex)+h2_short_st_e_demand*1000*$AU77/100)/1000000</f>
        <v>3152.6523858888086</v>
      </c>
      <c r="EB77" s="63">
        <f>Storage!$Q$57/((1-Shipping!$R$37)^($F77/24/Shipping!$R$44+0.5*Shipping!$R$59))</f>
        <v>103547089.94708996</v>
      </c>
      <c r="EC77" s="153">
        <f>IF($E77="","No Port",IF(AND(ship_choice="VLCC",G77="Panama"),"Ship cannot pass through Panama",IF(ship_choice="VLCC",((F77/24/Shipping!$AD$44+F77/24/Shipping!$AD$50+Shipping!$AD$59+Shipping!$AD$64)*(Shipping!$AD$22+wacc_nl*Shipping!$AD$19/365.25*1000000+Shipping!$AD$35)+(F77/24/Shipping!$AD$44*Shipping!$AD$45+Shipping!$AD$64*Shipping!$AD$65)*IF(bunker_choice="HFO",$H77,IF(bunker_choice="hydrogen",$BD77*hfo_e_density_lhv/h2_e_density_lhv,(DX77+DZ77)*1000000/EB77*hfo_e_density_lhv/Dme_e_density_lhv))+(F77/24/Shipping!$AD$50*Shipping!$AD$51+Shipping!$AD$59*Shipping!$AD$60)*IF(bunker_choice="HFO",bunker_price_ROT,IF(bunker_choice="hydrogen",$BD77*hfo_e_density_lhv/h2_e_density_lhv,(DX77+DZ77)*1000000/EB77*hfo_e_density_lhv/Dme_e_density_lhv))+Shipping!$AD$73+IF(G77="Panama",Shipping!$AD$55,0)+IF(G77="Suez",Shipping!$AD$56,0))/Shipping!$AD$31*(EB77+Dme_st_ab_losses)/1000000+IF(inland_transport_to_port="hv dc grid",$BM77/100*1000*EE77,IF(inland_transport_to_port="pipeline",$BN77,0)),((F77/24/Shipping!$R$44+F77/24/Shipping!$R$50+Shipping!$R$59+Shipping!$R$64)*(Shipping!$R$22+wacc_nl*Shipping!$R$19/365.25*1000000+Shipping!$R$35)+(F77/24/Shipping!$R$44*Shipping!$R$45+Shipping!$R$64*Shipping!$R$65)*IF(bunker_choice="HFO",$H77,IF(bunker_choice="hydrogen",$BD77*hfo_e_density_lhv/h2_e_density_lhv,(DX77+DZ77)*1000000/EB77*hfo_e_density_lhv/Dme_e_density_lhv))+(F77/24/Shipping!$R$50*Shipping!$R$51+Shipping!$R$59*Shipping!$R$60)*IF(bunker_choice="HFO",bunker_price_ROT,IF(bunker_choice="hydrogen",$BD77*hfo_e_density_lhv/h2_e_density_lhv,(DX77+DZ77)*1000000/EB77*hfo_e_density_lhv/Dme_e_density_lhv))+Shipping!$R$73+IF(G77="Panama",Shipping!$R$55,0)+IF(G77="Suez",Shipping!$R$56,0))/Shipping!$R$31*(EB77+Dme_st_ab_losses)/1000000+IF(inland_transport_to_port="hv dc grid",$BM77/100*1000*EE77,IF(inland_transport_to_port="pipeline",$BN77,0)))))</f>
        <v>8000.5711263605699</v>
      </c>
      <c r="ED77" s="28">
        <f t="shared" si="134"/>
        <v>126832.07180691187</v>
      </c>
      <c r="EE77" s="29">
        <f>(Dme_e_demand)*(EB77+Dme_st_ab_losses)/1000000+Dme_st_e_demand*DZ77/1000000+$CV77*(Carriers!$X$21/Carriers!$X$23*EB77)/$CS77</f>
        <v>1550.2168215249048</v>
      </c>
      <c r="EF77" s="29">
        <f t="shared" si="107"/>
        <v>1.0354708994708997</v>
      </c>
      <c r="EG77" s="28">
        <f>IFERROR(ED77*1000000/Storage!$Q$12,"")</f>
        <v>1224.8733583118558</v>
      </c>
      <c r="EH77" s="28">
        <f>IF($E77="","No Port",((F77/24/Shipping!$R$44+F77/24/Shipping!$R$50+Shipping!$R$59+Shipping!$R$64)*Carriers!$X$39*wacc_nl))</f>
        <v>113.40554553510215</v>
      </c>
      <c r="EI77" s="100">
        <f>H2_retrieval!$P$25*h2_demand_kt/1000+(co2_liq_e_demand+co2_st_e_demand*2)*Storage!$Q$12*co2_density/Dme_density/1000000</f>
        <v>252.45335899349112</v>
      </c>
      <c r="EJ77" s="28">
        <f>IFERROR((((DX77+DZ77+EC77)*(1+H2_retrieval!$P$34)+EH77)*1000000/H2_retrieval!$P$8)+h2_regen_dme,"")</f>
        <v>9026.4530807583506</v>
      </c>
      <c r="EK77" s="149">
        <f>(ome_invest*(M77+1/ome_lifetime)/ome_prod+ome_opex+ome_e_demand*1000*$AU77/100+Carriers!$Z$21/Carriers!$Z$23*(CO77*1000000/CS77))*(EO77+ome_st_ab_losses)/1000000</f>
        <v>201392.73295809675</v>
      </c>
      <c r="EL77" s="86">
        <f>(ome_invest*(M77+1/ome_lifetime)/ome_prod+ome_opex+ome_e_demand*1000*$AU77/100+Carriers!$Z$21/Carriers!$Z$23*(CP77*1000000/CS77))*(EO77+ome_st_ab_losses)/1000000</f>
        <v>249847.59563371169</v>
      </c>
      <c r="EM77" s="63">
        <f>ome_st_nl_cost*ome_st_nl_demand/1000000+(ome_st_invest*(M77+1/ome_st_lifetime+ome_st_opex)/(Storage!$S$63/1000000)+ome_st_e_demand*1000*$AU77/100)*(EO77+ome_st_ab_losses)/1000000+co2_st_nl_cost*Storage!$S$12*co2_density/ome_density/1000000+(co2_st_opex_lev+co2_st_invest_lev+co2_st_e_demand*1000*$AU77/100)*Storage!$S$12/1000000+co2_st_invest_lev*Storage!$S$12*co2_st_lifetime*M77/1000000+(h2_demand_kt*1000/365.25*short_st_duration_hrs/24)*(h2_short_st_invest*(1/gh2_short_st_lifetime+$M77+h2_short_st_opex)+h2_short_st_e_demand*1000*$AU77/100)/1000000</f>
        <v>5257.0647200080621</v>
      </c>
      <c r="EN77" s="63">
        <f>ome_st_nl_cost*ome_st_nl_demand/1000000+(ome_st_invest*(M77+1/ome_st_lifetime+ome_st_opex)/(Storage!$S$63/1000000)+ome_st_e_demand*1000*$AU77/100)*(EO77+ome_st_ab_losses)/1000000+(h2_demand_kt*1000/365.25*short_st_duration_hrs/24)*(h2_short_st_invest*(1/gh2_short_st_lifetime+$M77+h2_short_st_opex)+h2_short_st_e_demand*1000*$AU77/100)/1000000</f>
        <v>1900.2858565027184</v>
      </c>
      <c r="EO77" s="63">
        <f>Storage!$S$57/((1-Shipping!$T$37)^($F77/24/Shipping!$T$44+0.5*Shipping!$T$59))</f>
        <v>128282539.68253967</v>
      </c>
      <c r="EP77" s="28">
        <f>IF($E77="","No Port",IF(AND(ship_choice="VLCC",G77="Panama"),"Ship cannot pass through Panama",IF(ship_choice="VLCC",((F77/24/Shipping!$AD$44+F77/24/Shipping!$AD$50+Shipping!$AD$59+Shipping!$AD$64)*(Shipping!$AD$22+wacc_nl*Shipping!$AD$19/365.25*1000000+Shipping!$AD$35)+(F77/24/Shipping!$AD$44*Shipping!$AD$45+Shipping!$AD$64*Shipping!$AD$65)*IF(bunker_choice="HFO",$H77,IF(bunker_choice="hydrogen",$BD77*hfo_e_density_lhv/h2_e_density_lhv,(EK77+EM77)*1000000/EO77*hfo_e_density_lhv/Dme_e_density_lhv))+(F77/24/Shipping!$AD$50*Shipping!$AD$51+Shipping!$AD$59*Shipping!$AD$60)*IF(bunker_choice="HFO",bunker_price_ROT,IF(bunker_choice="hydrogen",$BD77*hfo_e_density_lhv/h2_e_density_lhv,(EK77+EM77)*1000000/EO77*hfo_e_density_lhv/ome_e_density_lhv))+Shipping!$AD$73+IF(G77="Panama",Shipping!$AD$55,0)+IF(G77="Suez",Shipping!$AD$56,0))/Shipping!$AD$31*(EO77+ome_st_ab_losses)/1000000+IF(inland_transport_to_port="hv dc grid",$BM77/100*1000*ER77,IF(inland_transport_to_port="pipeline",$BN77,0)),((F77/24/Shipping!$T$44+F77/24/Shipping!$T$50+Shipping!$T$59+Shipping!$T$64)*(Shipping!$T$22+wacc_nl*Shipping!$T$19/365.25*1000000+Shipping!$T$35)+(F77/24/Shipping!$T$44*Shipping!$T$45+Shipping!$T$64*Shipping!$T$65)*IF(bunker_choice="HFO",$H77,IF(bunker_choice="hydrogen",$BD77*hfo_e_density_lhv/h2_e_density_lhv,(EK77+EM77)*1000000/EO77*hfo_e_density_lhv/Dme_e_density_lhv))+(F77/24/Shipping!$T$50*Shipping!$T$51+Shipping!$T$59*Shipping!$T$60)*IF(bunker_choice="HFO",bunker_price_ROT,IF(bunker_choice="hydrogen",$BD77*hfo_e_density_lhv/h2_e_density_lhv,(EK77+EM77)*1000000/EO77*hfo_e_density_lhv/ome_e_density_lhv))+Shipping!$T$73+IF(G77="Panama",Shipping!$T$55,0)+IF(G77="Suez",Shipping!$T$56,0))/Shipping!$T$31*(EO77+ome_st_ab_losses)/1000000+IF(inland_transport_to_port="hv dc grid",$BM77/100*1000*ER77,IF(inland_transport_to_port="pipeline",$BN77,0)))))</f>
        <v>8892.6098553817064</v>
      </c>
      <c r="EQ77" s="28">
        <f t="shared" si="135"/>
        <v>260640.49134559612</v>
      </c>
      <c r="ER77" s="29">
        <f>(ome_e_demand)*(EO77+ome_st_ab_losses)/1000000+ome_st_e_demand*EM77/1000000+$CV77*(Carriers!$Z$21/Carriers!$Z$23*EO77)/$CS77</f>
        <v>3352.0814580263805</v>
      </c>
      <c r="ES77" s="29">
        <f t="shared" si="108"/>
        <v>0.1924238095238095</v>
      </c>
      <c r="ET77" s="28">
        <f>IFERROR(EQ77*1000000/Storage!$S$12,"")</f>
        <v>2031.7690310045482</v>
      </c>
      <c r="EU77" s="28">
        <f>IF($E77="","No Port",((F77/24/Shipping!$T$44+F77/24/Shipping!$T$50+Shipping!$T$59+Shipping!$T$64)*Carriers!$Z$39*wacc_nl))</f>
        <v>129.45521809840463</v>
      </c>
      <c r="EV77" s="100">
        <f>H2_retrieval!$R$25*h2_demand_kt/1000+(co2_liq_e_demand+co2_st_e_demand*2)*Storage!$S$12*co2_density/ome_density/1000000</f>
        <v>254.51942895252085</v>
      </c>
      <c r="EW77" s="28">
        <f>IFERROR((((EK77+EM77+EP77)*(1+H2_retrieval!$R$34)+EU77)*1000000/H2_retrieval!$R$8)+h2_regen_ome,"")</f>
        <v>17028.353745518536</v>
      </c>
      <c r="EX77" s="149">
        <f>(sng_invest*(M77+1/sng_lifetime)/sng_prod+lng_invest*(M77+1/lng_lifetime)/lng_prod+sng_opex+lng_opex+(sng_e_demand+lng_e_demand)*1000*$AU77/100+Carriers!$AB$18/Carriers!$AB$23*BD77+Carriers!$AB$20/Carriers!$AB$23*co2_liq_cost)*(FB77+lng_st_ab_losses)/1000000</f>
        <v>72143.386874599426</v>
      </c>
      <c r="EY77" s="86">
        <f>(sng_invest*(M77+1/sng_lifetime)/sng_prod+lng_invest*(M77+1/lng_lifetime)/lng_prod+sng_opex+lng_opex+(sng_e_demand+lng_e_demand)*1000*$AU77/100+Carriers!$AB$18/Carriers!$AB$23*BD77+Carriers!$AB$20/Carriers!$AB$23*BP77)*(FB77+lng_st_ab_losses)/1000000</f>
        <v>84980.216584406691</v>
      </c>
      <c r="EZ77" s="63">
        <f>lng_st_nl_cost*lng_st_nl_demand/1000000+(lng_st_invest*(M77+1/lng_st_lifetime+lng_st_opex)/(Storage!$U$63/1000000)+lng_st_e_demand*1000*$AU77/100)*(FB77+lng_st_ab_losses)/1000000+co2_st_nl_cost*Storage!$U$12*co2_density/lng_density/1000000+(co2_st_opex_lev+co2_st_invest_lev+co2_st_e_demand*1000*$AU77/100)*Storage!$U$12/1000000+co2_st_invest_lev*Storage!$U$12*co2_st_lifetime*M77/1000000+Carriers!$AB$18/Carriers!$AB$23*((FB77+lng_st_ab_losses)/365.25*short_st_duration_hrs/24)*(h2_short_st_invest*(1/gh2_short_st_lifetime+$M77+h2_short_st_opex)+h2_short_st_e_demand*1000*$AU77/100)/1000000+Carriers!$AB$20/Carriers!$AB$23*((FB77+lng_st_ab_losses)/365.25*short_st_duration_hrs/24)*(co2_short_st_invest*(1/co2_short_st_lifetime+$M77+co2_short_st_opex)+co2_short_st_e_demand*1000*$AU77/100)/1000000</f>
        <v>6568.8130167381632</v>
      </c>
      <c r="FA77" s="63">
        <f>lng_st_nl_cost*lng_st_nl_demand/1000000+(lng_st_invest*(M77+1/lng_st_lifetime+lng_st_opex)/(Storage!$U$63/1000000)+lng_st_e_demand*1000*$AU77/100)*(FB77+lng_st_ab_losses)/1000000+Carriers!$AB$18/Carriers!$AB$23*((FB77+lng_st_ab_losses)/365.25*short_st_duration_hrs/24)*(h2_short_st_invest*(1/gh2_short_st_lifetime+$M77+h2_short_st_opex)+h2_short_st_e_demand*1000*$AU77/100)/1000000+Carriers!$AB$20/Carriers!$AB$23*((FB77+lng_st_ab_losses)/365.25*short_st_duration_hrs/24)*(co2_short_st_invest*(1/co2_short_st_lifetime+$M77+co2_short_st_opex)+co2_short_st_e_demand*1000*$AU77/100)/1000000</f>
        <v>4961.9191517563904</v>
      </c>
      <c r="FB77" s="63">
        <f>Storage!$U$57/((1-Shipping!$V$37)^($F77/24/Shipping!$V$44+0.5*Shipping!$V$59))</f>
        <v>41535730.143798232</v>
      </c>
      <c r="FC77" s="28">
        <f>IF($E77="","No Port",IF(G77="Panama","Ship cannot pass through Panama",((F77/24/Shipping!$V$44+F77/24/Shipping!$V$50+Shipping!$V$59+Shipping!$V$64)*(Shipping!$V$22+wacc_nl*Shipping!$V$19/365.25*1000000+Shipping!$V$35)+(F77/24/Shipping!$V$44*Shipping!$V$45+Shipping!$V$64*Shipping!$V$65)*IF(bunker_choice="HFO",$H77,IF(bunker_choice="hydrogen",$BD77*hfo_e_density_lhv/h2_e_density_lhv,(EX77+EZ77)*1000000/FB77*hfo_e_density_lhv/lng_e_density_lhv))+(F77/24/Shipping!$V$50*Shipping!$V$51+Shipping!$V$59*Shipping!$V$60)*IF(bunker_choice="HFO",bunker_price_ROT,IF(bunker_choice="hydrogen",$BD77*hfo_e_density_lhv/h2_e_density_lhv,(EX77+EZ77)*1000000/FB77*hfo_e_density_lhv/lng_e_density_lhv))+Shipping!$V$73+IF(G77="Panama",Shipping!$V$55,0)+IF(G77="Suez",Shipping!$V$56,0))/Shipping!$V$31*(FB77+lng_st_ab_losses)/1000000)+IF(inland_transport_to_port="hv dc grid",$BM77/100*1000*FE77,IF(inland_transport_to_port="pipeline",$BN77,0)))</f>
        <v>3775.0079563330473</v>
      </c>
      <c r="FD77" s="28">
        <f t="shared" si="136"/>
        <v>93717.143692496131</v>
      </c>
      <c r="FE77" s="29">
        <f>((Carriers!$AB$18/Carriers!$AB$23*alk_el_e_demand)+sng_e_demand+lng_e_demand)*(FB77+lng_st_ab_losses)/1000000+lng_st_e_demand*EZ77/1000000</f>
        <v>1113.9463766649342</v>
      </c>
      <c r="FF77" s="29">
        <f t="shared" si="109"/>
        <v>0.8126185861001558</v>
      </c>
      <c r="FG77" s="28">
        <f>IFERROR(FD77*1000000/Storage!$U$12,"")</f>
        <v>2309.2068416095335</v>
      </c>
      <c r="FH77" s="28">
        <f>IF($E77="","No Port",((F77/24/Shipping!$V$44+F77/24/Shipping!$V$50+Shipping!$V$59+Shipping!$V$64)*Carriers!$AB$39*wacc_nl))</f>
        <v>38.033647048420342</v>
      </c>
      <c r="FI77" s="100">
        <f>H2_retrieval!$T$25*h2_demand_kt/1000+(co2_liq_e_demand+co2_st_e_demand*2)*Storage!$U$12*co2_density/lng_density/1000000</f>
        <v>236.51371749646054</v>
      </c>
      <c r="FJ77" s="28">
        <f>IFERROR((((EX77+EZ77+FC77)*(1+H2_retrieval!$T$34)+FH77)*1000000/H2_retrieval!$T$8)+h2_regen_lng,"")</f>
        <v>7238.1610060431058</v>
      </c>
      <c r="FK77" s="149">
        <f>(lh2_invest*(M77+1/lh2_lifetime)/lh2_prod+lh2_opex+lh2_e_demand*1000*$AU77/100+Carriers!$AD$18/Carriers!$AD$23*BD77)*(FM77+lh2_st_ab_losses)/1000000</f>
        <v>56851.206540287902</v>
      </c>
      <c r="FL77" s="28">
        <f>lh2_st_nl_cost*lh2_st_nl_demand/1000000+(lh2_st_invest*(M77+1/lh2_st_lifetime+lh2_st_opex)/(Storage!$Y$63/1000000)+lh2_st_e_demand*1000*$AU77/100)*(FM77+lh2_st_ab_losses)/1000000+((FM77+lh2_st_ab_losses)/365.25*short_st_duration_hrs/24)*(h2_short_st_invest*(1/gh2_short_st_lifetime+$M77+h2_short_st_opex)+h2_short_st_e_demand*1000*$AU77/100)/1000000</f>
        <v>57570.340840815064</v>
      </c>
      <c r="FM77" s="63">
        <f>Storage!$Y$57/((1-Shipping!$Z$37)^($F77/24/Shipping!$Z$44+0.5*Shipping!$Z$59))</f>
        <v>14107689.844076551</v>
      </c>
      <c r="FN77" s="28">
        <f>IF($E77="","No Port",IF(G77="Panama","Ship cannot pass through Panama",((F77/24/Shipping!$Z$44+F77/24/Shipping!$Z$50+Shipping!$Z$59+Shipping!$Z$64)*(Shipping!$Z$22+wacc_nl*Shipping!$Z$19/365.25*1000000+Shipping!$Z$35)+(F77/24/Shipping!$Z$44*Shipping!$Z$45+Shipping!$Z$64*Shipping!$Z$65)*IF(bunker_choice="HFO",$H77,IF(bunker_choice="hydrogen",$BD77*hfo_e_density_lhv/h2_e_density_lhv,(FK77+FL77)*1000000/FM77*hfo_e_density_lhv/lh2_e_density_lhv))+(F77/24/Shipping!$Z$50*Shipping!$Z$51+Shipping!$Z$59*Shipping!$Z$60)*IF(bunker_choice="HFO",bunker_price_ROT,IF(bunker_choice="hydrogen",$BD77*hfo_e_density_lhv/h2_e_density_lhv,(FK77+FL77)*1000000/FM77*hfo_e_density_lhv/lh2_e_density_lhv))+Shipping!$Z$73+IF(G77="Panama",Shipping!$Z$55,0)+IF(G77="Suez",Shipping!$Z$56,0))/Shipping!$Z$31*(FM77+lh2_st_ab_losses)/1000000)+IF(inland_transport_to_port="hv dc grid",$BM77/100*1000*FP77,IF(inland_transport_to_port="pipeline",$BN77,0)))</f>
        <v>5805.4470073025714</v>
      </c>
      <c r="FO77" s="28">
        <f t="shared" si="128"/>
        <v>120226.99438840554</v>
      </c>
      <c r="FP77" s="29">
        <f>((Carriers!$AD$18/Carriers!$AD$23*alk_el_e_demand)+lh2_e_demand)*(FM77+lh2_st_ab_losses)/1000000+lh2_st_e_demand*FM77/1000000</f>
        <v>817.51106442671369</v>
      </c>
      <c r="FQ77" s="100">
        <f t="shared" si="110"/>
        <v>1.361902463475859</v>
      </c>
      <c r="FR77" s="28">
        <f>IFERROR(FO77*1000000/Storage!$Y$12,"")</f>
        <v>8840.2201756180548</v>
      </c>
      <c r="FS77" s="100">
        <f>H2_retrieval!$V$25*h2_demand_kt/1000</f>
        <v>8.16</v>
      </c>
      <c r="FT77" s="28">
        <f>IFERROR(FR77*(1+H2_retrieval!$V$34)/Carrier_properties!$U$7+H2_retrieval!$V$38,"")</f>
        <v>8872.1889014865228</v>
      </c>
      <c r="FU77" s="12"/>
      <c r="FV77" s="24">
        <f t="shared" si="129"/>
        <v>2.559632475347366</v>
      </c>
      <c r="FW77" s="24" t="str">
        <f t="shared" si="92"/>
        <v/>
      </c>
      <c r="FX77" s="24">
        <f t="shared" si="93"/>
        <v>8.4210582501139584</v>
      </c>
      <c r="FY77" s="24">
        <f t="shared" si="130"/>
        <v>2.559632475347366</v>
      </c>
      <c r="FZ77" s="28">
        <f t="shared" si="94"/>
        <v>3007.3448519405997</v>
      </c>
      <c r="GA77" s="28">
        <f t="shared" si="137"/>
        <v>686.15395364957794</v>
      </c>
      <c r="GB77" s="28">
        <f t="shared" si="138"/>
        <v>439.12728526983307</v>
      </c>
      <c r="GC77" s="28">
        <f t="shared" si="139"/>
        <v>766.88872907184293</v>
      </c>
      <c r="GD77" s="28">
        <f t="shared" si="140"/>
        <v>1117.1617507915632</v>
      </c>
      <c r="GE77" s="28">
        <f t="shared" si="141"/>
        <v>1947.6352452329727</v>
      </c>
      <c r="GF77" s="28">
        <f t="shared" si="142"/>
        <v>2045.9545622576525</v>
      </c>
      <c r="GG77" s="12"/>
      <c r="GH77" s="12"/>
      <c r="GI77" s="12"/>
      <c r="GJ77" s="12"/>
      <c r="GK77" s="12"/>
      <c r="GL77" s="12"/>
      <c r="GM77" s="12"/>
      <c r="GN77" s="12"/>
      <c r="GO77" s="12"/>
      <c r="GP77" s="12"/>
      <c r="GQ77" s="12"/>
      <c r="GR77" s="12"/>
      <c r="GS77" s="12"/>
      <c r="GT77" s="12"/>
      <c r="GU77" s="12"/>
      <c r="GV77" s="12"/>
      <c r="GW77" s="12"/>
      <c r="GX77" s="12"/>
      <c r="GY77" s="12"/>
      <c r="GZ77" s="12"/>
      <c r="HA77" s="12"/>
      <c r="HB77" s="12"/>
      <c r="HC77" s="12"/>
      <c r="HD77" s="12"/>
      <c r="HE77" s="12"/>
      <c r="HF77" s="12"/>
    </row>
    <row r="78" spans="1:214" x14ac:dyDescent="0.2">
      <c r="A78" s="154" t="s">
        <v>252</v>
      </c>
      <c r="B78" s="12">
        <v>8321</v>
      </c>
      <c r="C78" s="12">
        <v>1</v>
      </c>
      <c r="D78" s="12">
        <f t="shared" si="111"/>
        <v>0</v>
      </c>
      <c r="E78" s="12" t="s">
        <v>745</v>
      </c>
      <c r="F78" s="12">
        <v>11095</v>
      </c>
      <c r="G78" s="12" t="s">
        <v>692</v>
      </c>
      <c r="H78" s="16">
        <f t="shared" si="112"/>
        <v>382.75862068965517</v>
      </c>
      <c r="I78" s="16">
        <v>120410</v>
      </c>
      <c r="J78" s="16">
        <f t="shared" si="113"/>
        <v>195.77459844267395</v>
      </c>
      <c r="K78" s="27">
        <f t="shared" si="114"/>
        <v>234.92951813120874</v>
      </c>
      <c r="L78" s="103">
        <v>7.8E-2</v>
      </c>
      <c r="M78" s="103">
        <f t="shared" si="115"/>
        <v>9.6588688804968847E-2</v>
      </c>
      <c r="N78" s="122">
        <f t="shared" si="116"/>
        <v>0.9</v>
      </c>
      <c r="O78" s="46">
        <f t="shared" si="117"/>
        <v>40</v>
      </c>
      <c r="P78" s="70">
        <f t="array" ref="P78">SUMPRODUCT(IF(Solar_data!A$4:A$777=A78,Solar_data!C$4:C$777),IF(Solar_data!A$4:A$777=A78,Solar_data!I$4:I$777))/SUMIF(Solar_data!A$4:A$777,A78,Solar_data!I$4:I$777)</f>
        <v>1684.3189176396872</v>
      </c>
      <c r="Q78" s="16">
        <f t="array" ref="Q78">MAX(IF(Solar_data!$A$777:'Solar_data'!$A$4=Country_details!$A78,Solar_data!$C$4:'Solar_data'!$C$777))</f>
        <v>1916.25</v>
      </c>
      <c r="R78" s="16">
        <f t="array" ref="R78">MIN(IF(Solar_data!$A$777:'Solar_data'!$A$4=Country_details!A78,Solar_data!$C$4:'Solar_data'!$C$777))</f>
        <v>1368.75</v>
      </c>
      <c r="S78" s="24">
        <f t="shared" si="95"/>
        <v>2.2165779423180529</v>
      </c>
      <c r="T78" s="24">
        <f t="shared" si="96"/>
        <v>1.9482970179617212</v>
      </c>
      <c r="U78" s="24">
        <f t="shared" si="97"/>
        <v>2.7276158251464095</v>
      </c>
      <c r="V78" s="16">
        <f t="array" ref="V78">SUM(IF(Solar_data!$A$777:'Solar_data'!$A$4=Country_details!$A78,Solar_data!$I$4:'Solar_data'!$I$777))</f>
        <v>834.23271088129036</v>
      </c>
      <c r="W78" s="148"/>
      <c r="X78" s="16">
        <f>IFERROR(INDEX(Onshore_wind_data!$J$5:'Onshore_wind_data'!$J$221,MATCH(A78,Onshore_wind_data!$B$5:'Onshore_wind_data'!$B$221,0)),"")</f>
        <v>2847.5000000000005</v>
      </c>
      <c r="Y78" s="16">
        <f>IFERROR(INDEX(Onshore_wind_data!$K$5:'Onshore_wind_data'!$K$221,MATCH(A78,Onshore_wind_data!$B$5:'Onshore_wind_data'!$B$221,0)),"")</f>
        <v>2847.5</v>
      </c>
      <c r="Z78" s="16">
        <f>IFERROR(INDEX(Onshore_wind_data!$L$5:'Onshore_wind_data'!$L$221,MATCH(A78,Onshore_wind_data!$B$5:'Onshore_wind_data'!$B$221,0)),"")</f>
        <v>2847.5</v>
      </c>
      <c r="AA78" s="24">
        <f t="shared" si="118"/>
        <v>4.2838485892562144</v>
      </c>
      <c r="AB78" s="24">
        <f t="shared" si="119"/>
        <v>4.2838485892562153</v>
      </c>
      <c r="AC78" s="24">
        <f t="shared" si="120"/>
        <v>4.2838485892562153</v>
      </c>
      <c r="AD78" s="16">
        <f>IFERROR(INDEX(Onshore_wind_data!$I$5:'Onshore_wind_data'!$I$221,MATCH(A78,Onshore_wind_data!$B$5:'Onshore_wind_data'!$B$221,0)),"")</f>
        <v>88.910909500000002</v>
      </c>
      <c r="AE78" s="148"/>
      <c r="AF78" s="16">
        <f>INDEX(Offshore_wind_data!$AA$7:$AA$192,MATCH(Country_details!A78,Offshore_wind_data!$A$7:$A$192,0))</f>
        <v>3153.6</v>
      </c>
      <c r="AG78" s="16">
        <f>INDEX(Offshore_wind_data!$Y$7:$Y$192,MATCH(Country_details!A78,Offshore_wind_data!$A$7:$A$192,0))</f>
        <v>3153.6</v>
      </c>
      <c r="AH78" s="16">
        <f>INDEX(Offshore_wind_data!$Z$7:$Z$192,MATCH(Country_details!A78,Offshore_wind_data!$A$7:$A$192,0))</f>
        <v>3153.6</v>
      </c>
      <c r="AI78" s="24">
        <f t="shared" si="98"/>
        <v>7.3954897363951169</v>
      </c>
      <c r="AJ78" s="24">
        <f t="shared" si="99"/>
        <v>7.3954897363951169</v>
      </c>
      <c r="AK78" s="24">
        <f t="shared" si="100"/>
        <v>7.3954897363951169</v>
      </c>
      <c r="AL78" s="16">
        <f>INDEX(Offshore_wind_data!$W$7:$W$191,MATCH(A78,Offshore_wind_data!$A$7:$A$191,0))</f>
        <v>79.786079999999998</v>
      </c>
      <c r="AM78" s="148"/>
      <c r="AN78" s="12">
        <v>25.6</v>
      </c>
      <c r="AO78" s="12">
        <v>26.8</v>
      </c>
      <c r="AP78" s="34">
        <f>0.58*11.63</f>
        <v>6.7454000000000001</v>
      </c>
      <c r="AQ78" s="15">
        <f t="shared" si="101"/>
        <v>50</v>
      </c>
      <c r="AR78" s="12">
        <f t="shared" si="131"/>
        <v>1340</v>
      </c>
      <c r="AS78" s="16">
        <f t="shared" si="121"/>
        <v>-337.07029961870967</v>
      </c>
      <c r="AT78" s="12"/>
      <c r="AU78" s="24">
        <f t="shared" si="122"/>
        <v>3.5155162437235985</v>
      </c>
      <c r="AV78" s="16">
        <f t="shared" si="123"/>
        <v>4531.8189176396882</v>
      </c>
      <c r="AW78" s="149">
        <f>HV_DC_Grid!$E$3/(1-AX78)*AU78/100*1000</f>
        <v>4198.9089952533577</v>
      </c>
      <c r="AX78" s="31">
        <f>(1-(1-HV_DC_Grid!$E$25)^(B78*C78*HV_DC_Grid!$E$8/1000))+(1-(1-HV_DC_Grid!$E$26)^(B78*D78*HV_DC_Grid!$E$8/1000))+HV_DC_Grid!$E$35*HV_DC_Grid!$E$28</f>
        <v>0.16275483757859432</v>
      </c>
      <c r="AY78" s="28">
        <f>B78*nl_e_demand/IF(hv_dc_flh="electricity FLH",$AV78,hv_dc_custom)*1000*hv_dc_capacity_multiplier*hv_dc_length_multiplier*1000*(C78*hv_dc_overhead_invest*(hv_dc_overhead_opex+M78+1/hv_dc_lifetime)+D78*hv_dc_sea_invest*(hv_dc_sea_opex+M78+1/hv_dc_lifetime))/1000000+HV_DC_Grid!$E$10*1000*hv_dc_station_invest*hv_dc_station_number*(hv_dc_station_opex+M78+1/hv_dc_lifetime)/1000000</f>
        <v>6128.7273904487683</v>
      </c>
      <c r="AZ78" s="24">
        <f>(AW78+AY78)/(HV_DC_Grid!$E$3*1000)*100</f>
        <v>10.327636385702126</v>
      </c>
      <c r="BA78" s="28">
        <f>MIN(((Carriers!$F$26+Carriers!$F$27)*(alk_el_opex+wacc_nl+1/alk_el_lifetime)+IF(hv_dc_flh="electricity FLH",$AV78,hv_dc_custom)*AZ78/100)/(IF(hv_dc_flh="electricity FLH",$AV78,hv_dc_custom)/alk_el_e_demand)*1000,((Carriers!$H$26+Carriers!$H$27)*(pem_el_opex+wacc_nl+1/pem_el_lifetime)+IF(hv_dc_flh="electricity FLH",$AV78,hv_dc_custom)*AZ78/100)/(IF(hv_dc_flh="electricity FLH",$AV78,hv_dc_custom)/pem_el_e_demand)*1000)</f>
        <v>5629.3532212023247</v>
      </c>
      <c r="BB78" s="12"/>
      <c r="BC78" s="12"/>
      <c r="BD78" s="149">
        <f>MIN(((Carriers!$F$26+Carriers!$F$27)*(alk_el_opex+M78+1/alk_el_lifetime)+$AV78*$AU78/100)/($AV78/alk_el_e_demand)*1000,((Carriers!$H$26+Carriers!$H$27)*(pem_el_opex+M78+1/pem_el_lifetime)+$AV78*$AU78/100)/($AV78/pem_el_e_demand)*1000)</f>
        <v>2440.3939708690523</v>
      </c>
      <c r="BE78" s="28">
        <f>Storage!$AC$50</f>
        <v>8.1664117557772418</v>
      </c>
      <c r="BF78" s="28">
        <f>((Pipeline!$D$22*Pipeline!$D$24*B78*(pipeline_opex+M78+1/pipeline_lifetime))*(Pipeline!$D$39/Pipeline!$D$3)+(Pipeline!$D$57*(pipeline_comp_opex+M78+1/pipeline_comp_lifetime)+Pipeline!$D$47*1000*Pipeline!$D$45*$AU78/100/1000000))*(Pipeline!$D$75/Pipeline!$D$45)</f>
        <v>15922.503648343538</v>
      </c>
      <c r="BG78" s="28">
        <f>BD78+(BE78+BF78)/Storage!$AC$12*1000000</f>
        <v>3611.7667694057664</v>
      </c>
      <c r="BH78" s="28"/>
      <c r="BI78" s="28"/>
      <c r="BJ78" s="28">
        <f>IF($E78="","No Port",BK78*HV_DC_Grid!$E$3*$AU78/100*1000)</f>
        <v>65.166418006119997</v>
      </c>
      <c r="BK78" s="31">
        <f>IFERROR((1-(1-HV_DC_Grid!$E$25)^(K78*HV_DC_Grid!$E$8/1000))+HV_DC_Grid!$E$35*HV_DC_Grid!$E$28,"")</f>
        <v>1.8536799004261292E-2</v>
      </c>
      <c r="BL78" s="28">
        <f>IFERROR(K78*nl_e_demand/IF(hv_dc_flh="electricity FLH",$AV78,hv_dc_custom)*1000*hv_dc_capacity_multiplier*hv_dc_length_multiplier*1000*(hv_dc_overhead_invest*(hv_dc_overhead_opex+M78+1/hv_dc_lifetime))/1000000+HV_DC_Grid!$E$10*1000*hv_dc_station_invest*hv_dc_station_number*(hv_dc_station_opex+M78+1/hv_dc_lifetime)/1000000,"")</f>
        <v>510.62041353815368</v>
      </c>
      <c r="BM78" s="29">
        <f>IFERROR((BJ78+BL78)/(HV_DC_Grid!$E$3*1000)*100,"")</f>
        <v>0.57578683154427368</v>
      </c>
      <c r="BN78" s="28">
        <f>IFERROR(((Pipeline!$D$22*Pipeline!$D$24*K78*(pipeline_opex+M78+1/pipeline_lifetime))*(Pipeline!$D$39/Pipeline!$D$3)+(Pipeline!$D$57*(pipeline_comp_opex+M78+1/pipeline_comp_lifetime)+Pipeline!$D$47*1000*Pipeline!$D$45*S78/100/1000000))*(Pipeline!$D$75/Pipeline!$D$45),"")</f>
        <v>519.40485416297724</v>
      </c>
      <c r="BO78" s="28"/>
      <c r="BP78" s="150">
        <f t="shared" si="124"/>
        <v>104.12968374296422</v>
      </c>
      <c r="BQ78" s="34">
        <f t="shared" si="125"/>
        <v>30.345800606908185</v>
      </c>
      <c r="BR78" s="151">
        <f>(nh3_invest*(M78+1/nh3_lifetime)/nh3_prod+nh3_opex+nh3_e_demand*1000*$AU78/100+Carriers!$N$18/Carriers!$N$23*BD78+Carriers!$N$19/Carriers!$N$23*BQ78)*(BT78+nh3_st_ab_losses)/1000000</f>
        <v>46724.558205625057</v>
      </c>
      <c r="BS78" s="63">
        <f>nh3_st_nl_cost*nh3_st_nl_demand/1000000+(nh3_st_invest*(M78+1/nh3_st_lifetime+nh3_st_opex)/(Storage!$G$63/1000000)+nh3_st_e_demand*1000*$AU78/100)*(BT78+nh3_st_ab_losses)/1000000+Carriers!$N$18/Carriers!$N$23*((BT78+nh3_st_ab_losses)/365.25*short_st_duration_hrs/24)*(h2_short_st_invest*(1/gh2_short_st_lifetime+$M78+h2_short_st_opex)+h2_short_st_e_demand*1000*$AU78/100)/1000000+Carriers!$N$19/Carriers!$N$23*((BT78+nh3_st_ab_losses)/365.25*short_st_duration_hrs/24)*(n2_short_st_invest*(1/n2_short_st_lifetime+$M78+n2_short_st_opex)+n2_short_st_e_demand*1000*$AU78/100)/1000000</f>
        <v>3184.8519654308707</v>
      </c>
      <c r="BT78" s="63">
        <f>Storage!$G$57/((1-Shipping!$H$37)^(F78/24/Shipping!$H$44+0.5*Shipping!$H$59))</f>
        <v>82439412.085904822</v>
      </c>
      <c r="BU78" s="63">
        <f>IF($E78="","No Port",((F78/24/Shipping!$H$44+F78/24/Shipping!$H$50+Shipping!$H$59+Shipping!$H$64)*(Shipping!$H$22+wacc_nl*Shipping!$H$19/365.25*1000000+Shipping!$H$35)+(F78/24/Shipping!$H$44*Shipping!$H$45+Shipping!$H$64*Shipping!$H$65)*IF(bunker_choice="HFO",H78,IF(bunker_choice="hydrogen",BD78*hfo_e_density_lhv/h2_e_density_lhv,(BR78+BS78)*1000000/BT78*hfo_e_density_lhv/nh3_e_density_lhv))+(F78/24/Shipping!$H$50*Shipping!$H$51+Shipping!$H$59*Shipping!$H$60)*IF(bunker_choice="HFO",bunker_price_ROT,IF(bunker_choice="hydrogen",BD78*hfo_e_density_lhv/h2_e_density_lhv,(BR78+BS78)*1000000/BT78*hfo_e_density_lhv/nh3_e_density_lhv))+Shipping!$H$73+IF(G78="Panama",Shipping!$H$55,0)+IF(G78="Suez",Shipping!$H$56,0))/Shipping!$H$31*BT78/1000000+IF(inland_transport_to_port="hv dc grid",$BM78/100*1000*BW78,IF(inland_transport_to_port="pipeline",$BN78,0)))</f>
        <v>7692.4304955031057</v>
      </c>
      <c r="BV78" s="63">
        <f t="shared" si="126"/>
        <v>57601.84066655903</v>
      </c>
      <c r="BW78" s="33">
        <f>((Carriers!$N$18/Carriers!$N$23*alk_el_e_demand)+(Carriers!$N$19/Carriers!$N$23*n2_e_demand)+nh3_e_demand)*(BT78+nh3_st_ab_losses)/1000000+nh3_st_e_demand*BT78/1000000</f>
        <v>814.08294796220343</v>
      </c>
      <c r="BX78" s="33">
        <f t="shared" si="102"/>
        <v>0.76626754477640768</v>
      </c>
      <c r="BY78" s="63">
        <f>IFERROR(BV78*1000000/Storage!$G$12,"")</f>
        <v>752.34602263791294</v>
      </c>
      <c r="BZ78" s="63">
        <f>H2_retrieval!$F$25*h2_demand_kt/1000</f>
        <v>80</v>
      </c>
      <c r="CA78" s="63">
        <f>IFERROR(BY78*(1+H2_retrieval!$F$34)/Carrier_properties!$E$7+H2_retrieval!$F$38,"")</f>
        <v>4644.6554404201343</v>
      </c>
      <c r="CB78" s="149">
        <f>(FA_invest*(M78+1/FA_lifetime)/FA_prod+FA_opex+FA_e_demand*1000*$AU78/100+Carriers!$P$18/Carriers!$P$23*BD78+Carriers!$P$20/Carriers!$P$23*co2_liq_cost)*(CF78+FA_st_ab_losses)/1000000</f>
        <v>101168.71916442754</v>
      </c>
      <c r="CC78" s="86">
        <f>(FA_invest*(M78+1/FA_lifetime)/FA_prod+FA_opex+FA_e_demand*1000*$AU78/100+Carriers!$P$18/Carriers!$P$23*BD78+Carriers!$P$20/Carriers!$P$23*BP78)*(CF78+FA_st_ab_losses)/1000000</f>
        <v>126131.96332840087</v>
      </c>
      <c r="CD78" s="63">
        <f>FA_st_nl_cost*FA_st_nl_demand/1000000+(FA_st_invest*(M78+1/FA_st_lifetime+FA_st_opex)/(Storage!$I$63/1000000)+FA_st_e_demand*1000*$AU78/100)*(CF78+FA_st_ab_losses)/1000000+co2_st_nl_cost*Storage!$I$12*co2_density/FA_density/1000000+(co2_st_opex_lev+co2_st_invest_lev+co2_st_e_demand*1000*$AU78/100)*Storage!$I$12/1000000+co2_st_invest_lev*Storage!$I$12*co2_st_lifetime*M78/1000000+Carriers!$P$18/Carriers!$P$23*((CF78+FA_st_ab_losses)/365.25*short_st_duration_hrs/24)*(h2_short_st_invest*(1/gh2_short_st_lifetime+$M78+h2_short_st_opex)+h2_short_st_e_demand*1000*$AU78/100)/1000000+Carriers!$P$20/Carriers!$P$23*((CF78+FA_st_ab_losses)/365.25*short_st_duration_hrs/24)*(co2_short_st_invest*(1/co2_short_st_lifetime+$M78+co2_short_st_opex)+co2_short_st_e_demand*1000*$AU78/100)/1000000</f>
        <v>11127.113796369766</v>
      </c>
      <c r="CE78" s="63">
        <f>FA_st_nl_cost*FA_st_nl_demand/1000000+(FA_st_invest*(M78+1/FA_st_lifetime+FA_st_opex)/(Storage!$I$63/1000000)+FA_st_e_demand*1000*$AU78/100)*(CF78+FA_st_ab_losses)/1000000+Carriers!$P$18/Carriers!$P$23*((CF78+FA_st_ab_losses)/365.25*short_st_duration_hrs/24)*(h2_short_st_invest*(1/gh2_short_st_lifetime+$M78+h2_short_st_opex)+h2_short_st_e_demand*1000*$AU78/100)/1000000+Carriers!$P$20/Carriers!$P$23*((CF78+FA_st_ab_losses)/365.25*short_st_duration_hrs/24)*(co2_short_st_invest*(1/co2_short_st_lifetime+$M78+co2_short_st_opex)+co2_short_st_e_demand*1000*$AU78/100)/1000000</f>
        <v>4595.9493110942176</v>
      </c>
      <c r="CF78" s="63">
        <f>Storage!$I$57/((1-Shipping!$J$37)^($F78/24/Shipping!$J$44+0.5*Shipping!$J$59))</f>
        <v>310425396.82539684</v>
      </c>
      <c r="CG78" s="28">
        <f>IF($E78="","No Port",((F78/24/Shipping!$J$44+F78/24/Shipping!$J$50+Shipping!$J$59+Shipping!$J$64)*(Shipping!$J$22+wacc_nl*Shipping!$J$19/365.25*1000000+Shipping!$J$35)+(F78/24/Shipping!$J$44*Shipping!$J$45+Shipping!$J$64*Shipping!$J$65)*IF(bunker_choice="HFO",$H78,IF(bunker_choice="hydrogen",$BD78*hfo_e_density_lhv/h2_e_density_lhv,(CB78+CD78)*1000000/CF78*hfo_e_density_lhv/FA_e_density_lhv))+(F78/24/Shipping!$J$50*Shipping!$J$51+Shipping!$J$59*Shipping!$J$60)*IF(bunker_choice="HFO",bunker_price_ROT,IF(bunker_choice="hydrogen",$BD78*hfo_e_density_lhv/h2_e_density_lhv,(CB78+CD78)*1000000/CF78*hfo_e_density_lhv/FA_e_density_lhv))+Shipping!$J$73+IF(G78="Panama",Shipping!$J$55,0)+IF(G78="Suez",Shipping!$J$56,0))/Shipping!$J$31*CF78/1000000+IF(inland_transport_to_port="hv dc grid",$BM78/100*1000*CI78,IF(inland_transport_to_port="pipeline",$BN78,0)))</f>
        <v>30197.161530825233</v>
      </c>
      <c r="CH78" s="28">
        <f t="shared" si="132"/>
        <v>160925.07417032032</v>
      </c>
      <c r="CI78" s="29">
        <f>((Carriers!$P$18/Carriers!$P$23*alk_el_e_demand)+FA_e_demand)*(CF78+FA_st_ab_losses)/1000000+FA_st_e_demand*CF78/1000000</f>
        <v>1897.8881241622576</v>
      </c>
      <c r="CJ78" s="29">
        <f t="shared" si="103"/>
        <v>0.46563809523809524</v>
      </c>
      <c r="CK78" s="28">
        <f>IFERROR(CH78*1000000/Storage!$I$12,"")</f>
        <v>518.40176678854311</v>
      </c>
      <c r="CL78" s="28">
        <f>IF($E78="","No Port",((F78/24/Shipping!$J$44+F78/24/Shipping!$J$50+Shipping!$J$59+Shipping!$J$64)*Carriers!$P$39*wacc_nl))</f>
        <v>504.56353663191857</v>
      </c>
      <c r="CM78" s="29">
        <f>H2_retrieval!$H$25*h2_demand_kt/1000+(co2_liq_e_demand+co2_st_e_demand*2)*Storage!$I$12*co2_density/FA_density/1000000</f>
        <v>94.204253879484654</v>
      </c>
      <c r="CN78" s="28">
        <f>IFERROR((((CB78+CD78+CG78)*(1+H2_retrieval!$H$34)+CL78)*1000000/H2_retrieval!$H$8)+h2_regen_fa,"")</f>
        <v>10604.213693373904</v>
      </c>
      <c r="CO78" s="149">
        <f>(meoh_invest*(M78+1/meoh_lifetime)/meoh_prod+meoh_opex+meoh_e_demand*1000*$AU78/100+Carriers!$R$18/Carriers!$R$23*BD78+Carriers!$R$20/Carriers!$R$23*co2_liq_cost)*(CS78+meoh_st_ab_losses)/1000000</f>
        <v>54327.627442240446</v>
      </c>
      <c r="CP78" s="86">
        <f>(meoh_invest*(M78+1/meoh_lifetime)/meoh_prod+meoh_opex+meoh_e_demand*1000*$AU78/100+Carriers!$R$18/Carriers!$R$23*BD78+Carriers!$R$20/Carriers!$R$23*BP78)*(CS78+meoh_st_ab_losses)/1000000</f>
        <v>68981.822427683393</v>
      </c>
      <c r="CQ78" s="63">
        <f>meoh_st_nl_cost*meoh_st_nl_demand/1000000+(meoh_st_invest*(M78+1/meoh_st_lifetime+meoh_st_opex)/(Storage!$K$63/1000000)+meoh_st_e_demand*1000*$AU78/100)*(CS78+meoh_st_ab_losses)/1000000+co2_st_nl_cost*Storage!$K$12*co2_density/meoh_density/1000000+(co2_st_opex_lev+co2_st_invest_lev+co2_st_e_demand*1000*IFERROR(MIN(S78,AA78,AI78),S78)/100)*Storage!$K$12/1000000+co2_st_invest_lev*Storage!$K$12*co2_st_lifetime*M78/1000000+Carriers!$R$18/Carriers!$R$23*((CS78+meoh_st_ab_losses)/365.25*short_st_duration_hrs/24)*(h2_short_st_invest*(1/gh2_short_st_lifetime+$M78+h2_short_st_opex)+h2_short_st_e_demand*1000*$AU78/100)/1000000+Carriers!$R$20/Carriers!$R$23*((CF78+meoh_st_ab_losses)/365.25*short_st_duration_hrs/24)*(co2_short_st_invest*(1/co2_short_st_lifetime+$M78+co2_short_st_opex)+co2_short_st_e_demand*1000*$AU78/100)/1000000</f>
        <v>4510.7561606728732</v>
      </c>
      <c r="CR78" s="63">
        <f>meoh_st_nl_cost*meoh_st_nl_demand/1000000+(meoh_st_invest*(M78+1/meoh_st_lifetime+meoh_st_opex)/(Storage!$K$63/1000000)+meoh_st_e_demand*1000*$AU78/100)*(CS78+meoh_st_ab_losses)/1000000+Carriers!$R$18/Carriers!$R$23*((CS78+meoh_st_ab_losses)/365.25*short_st_duration_hrs/24)*(h2_short_st_invest*(1/gh2_short_st_lifetime+$M78+h2_short_st_opex)+h2_short_st_e_demand*1000*$AU78/100)/1000000+Carriers!$R$20/Carriers!$R$23*((CF78+meoh_st_ab_losses)/365.25*short_st_duration_hrs/24)*(co2_short_st_invest*(1/co2_short_st_lifetime+$M78+co2_short_st_opex)+co2_short_st_e_demand*1000*$AU78/100)/1000000</f>
        <v>1778.9113691510838</v>
      </c>
      <c r="CS78" s="63">
        <f>Storage!$K$57/((1-Shipping!$L$37)^($F78/24/Shipping!$L$44+0.5*Shipping!$L$59))</f>
        <v>108044444.44444443</v>
      </c>
      <c r="CT78" s="28">
        <f>IF($E78="","No Port",IF(AND(ship_choice="VLCC",G78="Panama"),"Ship cannot pass through Panama",IF(ship_choice="VLCC",((F78/24/Shipping!$AD$44+F78/24/Shipping!$AD$50+Shipping!$AD$59+Shipping!$AD$64)*(Shipping!$AD$22+wacc_nl*Shipping!$AD$19/365.25*1000000+Shipping!$AD$35)+(F78/24/Shipping!$AD$44*Shipping!$AD$45+Shipping!$AD$64*Shipping!$AD$65)*IF(bunker_choice="HFO",$H78,IF(bunker_choice="hydrogen",$BD78*hfo_e_density_lhv/h2_e_density_lhv,(CO78+CQ78)*1000000/CS78*hfo_e_density_lhv/meoh_e_density_lhv))+(F78/24/Shipping!$AD$50*Shipping!$AD$51+Shipping!$AD$59*Shipping!$AD$60)*IF(bunker_choice="HFO",bunker_price_ROT,IF(bunker_choice="hydrogen",$BD78*hfo_e_density_lhv/h2_e_density_lhv,(CO78+CQ78)*1000000/CS78*hfo_e_density_lhv/meoh_e_density_lhv))+Shipping!$AD$73+IF(G78="Panama",Shipping!$AD$55,0)+IF(G78="Suez",Shipping!$AD$56,0))/Shipping!$AD$31*CS78/1000000+IF(inland_transport_to_port="hv dc grid",$BM78/100*1000*CV78,IF(inland_transport_to_port="pipeline",$BN78,0)),((F78/24/Shipping!$L$44+F78/24/Shipping!$L$50+Shipping!$L$59+Shipping!$L$64)*(Shipping!$L$22+wacc_nl*Shipping!$L$19/365.25*1000000+Shipping!$L$35)+(F78/24/Shipping!$L$44*Shipping!$L$45+Shipping!$L$64*Shipping!$L$65)*IF(bunker_choice="HFO",$H78,IF(bunker_choice="hydrogen",$BD78*hfo_e_density_lhv/h2_e_density_lhv,(CO78+CQ78)*1000000/CS78*hfo_e_density_lhv/meoh_e_density_lhv))+(F78/24/Shipping!$L$50*Shipping!$L$51+Shipping!$L$59*Shipping!$L$60)*IF(bunker_choice="HFO",bunker_price_ROT,IF(bunker_choice="hydrogen",$BD78*hfo_e_density_lhv/h2_e_density_lhv,(CO78+CQ78)*1000000/CS78*hfo_e_density_lhv/meoh_e_density_lhv))+Shipping!$L$73+IF(G78="Panama",Shipping!$L$55,0)+IF(G78="Suez",Shipping!$L$56,0))/Shipping!$L$31*CS78/1000000+IF(inland_transport_to_port="hv dc grid",$BM78/100*1000*CV78,IF(inland_transport_to_port="pipeline",$BN78,0)))))</f>
        <v>10326.138308236365</v>
      </c>
      <c r="CU78" s="28">
        <f t="shared" si="133"/>
        <v>81086.872105070841</v>
      </c>
      <c r="CV78" s="29">
        <f>((Carriers!$R$18/Carriers!$R$23*alk_el_e_demand)+meoh_e_demand)*(CS78+meoh_st_ab_losses)/1000000+meoh_st_e_demand*CS78/1000000</f>
        <v>1119.9789871111109</v>
      </c>
      <c r="CW78" s="29">
        <f t="shared" si="104"/>
        <v>0.16206666666666666</v>
      </c>
      <c r="CX78" s="28">
        <f>IFERROR(CU78*1000000/Storage!$K$12,"")</f>
        <v>750.49552544800258</v>
      </c>
      <c r="CY78" s="28">
        <f>IF($E78="","No Port",((F78/24/Shipping!$L$44+F78/24/Shipping!$L$50+Shipping!$L$59+Shipping!$L$64)*Carriers!$R$39*wacc_nl))</f>
        <v>181.13328197159626</v>
      </c>
      <c r="CZ78" s="29">
        <f>H2_retrieval!$J$25*h2_demand_kt/1000+(co2_liq_e_demand+co2_st_e_demand*2)*Storage!$K$12*co2_density/meoh_density/1000000</f>
        <v>251.05079059698966</v>
      </c>
      <c r="DA78" s="28">
        <f>IFERROR((((CO78+CQ78+CT78)*(1+H2_retrieval!$J$34)+CY78)*1000000/H2_retrieval!$J$8)+h2_regen_meoh,"")</f>
        <v>6269.0737779844449</v>
      </c>
      <c r="DB78" s="149">
        <f>(DBT_invest*(M78+1/DBT_lifetime)/DBT_prod+DBT_opex+DBT_e_demand*1000*$AU78/100+Carriers!$T$18/Carriers!$T$23*BD78)*(DD78+DBT_st_ab_losses)/1000000</f>
        <v>36183.240660071322</v>
      </c>
      <c r="DC78" s="28">
        <f>2*(DBT_st_nl_cost*DBT_st_nl_demand/1000000+(DBT_st_invest*(M78+1/DBT_st_lifetime+DBT_st_opex)/(Storage!$M$63/1000000)+DBT_st_e_demand*1000*$AU78/100)*(DD78+DBT_st_ab_losses)/1000000)+Carriers!$T$18/Carriers!$T$23*((DD78+DBT_st_ab_losses)/365.25*short_st_duration_hrs/24)*(h2_short_st_invest*(1/gh2_short_st_lifetime+$M78+h2_short_st_opex)+h2_short_st_e_demand*1000*$AU78/100)/1000000</f>
        <v>3740.7283761568488</v>
      </c>
      <c r="DD78" s="63">
        <f>Storage!$M$57/((1-Shipping!$N$37)^($F78/24/Shipping!$N$44+0.5*Shipping!$N$59))</f>
        <v>219354838.70967743</v>
      </c>
      <c r="DE78" s="28">
        <f>IF($E78="","No Port",IF(AND(ship_choice="VLCC",G78="Panama"),"Ship cannot pass through Panama",IF(ship_choice="VLCC",((F78/24/Shipping!$AD$44+F78/24/Shipping!$AD$50+Shipping!$AD$59+Shipping!$AD$64)*(Shipping!$AD$22+wacc_nl*Shipping!$AD$19/365.25*1000000+Shipping!$AD$35)+(F78/24/Shipping!$AD$44*Shipping!$AD$45+Shipping!$AD$64*Shipping!$AD$65)*IF(bunker_choice="HFO",$H78,IF(bunker_choice="hydrogen",$BD78*hfo_e_density_lhv/h2_e_density_lhv,(DB78+DC78)*1000000/DD78*hfo_e_density_lhv/DBT_e_density_lhv))+(F78/24/Shipping!$AD$50*Shipping!$AD$51+Shipping!$AD$59*Shipping!$AD$60)*IF(bunker_choice="HFO",bunker_price_ROT,IF(bunker_choice="hydrogen",$BD78*hfo_e_density_lhv/h2_e_density_lhv,(DB78+DC78)*1000000/DD78*hfo_e_density_lhv/DBT_e_density_lhv))+Shipping!$AD$73+IF(G78="Panama",Shipping!$AD$55,0)+IF(G78="Suez",Shipping!$AD$56,0))/Shipping!$AD$31*DD78/1000000+IF(inland_transport_to_port="hv dc grid",$BM78/100*1000*DG78,IF(inland_transport_to_port="pipeline",$BN78,0)),((F78/24/Shipping!$N$44+F78/24/Shipping!$N$50+Shipping!$N$59+Shipping!$N$64)*(Shipping!$N$22+wacc_nl*Shipping!$N$19/365.25*1000000+Shipping!$N$35)+(F78/24/Shipping!$N$44*Shipping!$N$45+Shipping!$N$64*Shipping!$N$65)*IF(bunker_choice="HFO",$H78,IF(bunker_choice="hydrogen",$BD78*hfo_e_density_lhv/h2_e_density_lhv,(DB78+DC78)*1000000/DD78*hfo_e_density_lhv/DBT_e_density_lhv))+(F78/24/Shipping!$N$50*Shipping!$N$51+Shipping!$N$59*Shipping!$N$60)*IF(bunker_choice="HFO",bunker_price_ROT,IF(bunker_choice="hydrogen",$BD78*hfo_e_density_lhv/h2_e_density_lhv,(DB78+DC78)*1000000/DD78*hfo_e_density_lhv/DBT_e_density_lhv))+Shipping!$N$73+IF(G78="Panama",Shipping!$N$55,0)+IF(G78="Suez",Shipping!$N$56,0))/Shipping!$N$31*Shipping!$N$86/1000000+IF(inland_transport_to_port="hv dc grid",$BM78/100*1000*DG78,IF(inland_transport_to_port="pipeline",$BN78,0)))))</f>
        <v>18953.932404828873</v>
      </c>
      <c r="DF78" s="28">
        <f t="shared" si="82"/>
        <v>58877.901441057038</v>
      </c>
      <c r="DG78" s="29">
        <f>((Carriers!$T$18/Carriers!$T$23*alk_el_e_demand)+DBT_e_demand)*(DD78+DBT_st_ab_losses)/1000000+DBT_st_e_demand*DD78/1000000</f>
        <v>703.88335483870969</v>
      </c>
      <c r="DH78" s="29">
        <f t="shared" si="105"/>
        <v>0.21935483870967742</v>
      </c>
      <c r="DI78" s="28">
        <f>IFERROR(DF78*1000000/Storage!$M$12,"")</f>
        <v>268.41396245187764</v>
      </c>
      <c r="DJ78" s="28">
        <f>IF($E78="","No Port",((F78/24/Shipping!$N$44+F78/24/Shipping!$N$50+Shipping!$N$59+Shipping!$N$64)*Carriers!$T$39*wacc_nl))</f>
        <v>13192.532061267901</v>
      </c>
      <c r="DK78" s="100">
        <f>H2_retrieval!$L$25*h2_demand_kt/1000+(co2_liq_e_demand+co2_st_e_demand*2)*Storage!$M$12*co2_density/DBT_density/1000000</f>
        <v>206.61934861671787</v>
      </c>
      <c r="DL78" s="28">
        <f>IFERROR(((DF78*(1+H2_retrieval!$L$34)+DJ78)*1000000/H2_retrieval!$L$8)+h2_regen_lohc,"")</f>
        <v>5769.9463616921003</v>
      </c>
      <c r="DM78" s="149">
        <f t="shared" si="127"/>
        <v>57387.789183152017</v>
      </c>
      <c r="DN78" s="16">
        <f>2*(nabh4_st_nl_cost*nabh4_st_nl_demand/1000000+(nabh4_st_invest*(M78+1/nabh4_st_lifetime+nabh4_st_opex)/(Storage!$O$63/1000000)+nabh4_st_e_demand*1000*$AU78/100)*(DO78+nabh4_st_ab_losses)/1000000)+(h2_demand_kt*1000/365.25*short_st_duration_hrs/24)*(h2_short_st_invest*(1/gh2_short_st_lifetime+$M78+h2_short_st_opex)+h2_short_st_e_demand*1000*$AU78/100)/1000000</f>
        <v>1345.3751108238619</v>
      </c>
      <c r="DO78" s="63">
        <f>Storage!$O$57/((1-Shipping!$P$37)^($F78/24/Shipping!$P$44+0.5*Shipping!$P$59))</f>
        <v>63920000</v>
      </c>
      <c r="DP78" s="16">
        <f>IF($E78="","No Port",((F78/24/Shipping!$P$44+F78/24/Shipping!$P$50+Shipping!$P$59+Shipping!$P$64)*(Shipping!$P$22+wacc_nl*Shipping!$P$19/365.25*1000000+Shipping!$P$35)+(F78/24/Shipping!$P$44*Shipping!$P$45+Shipping!$P$64*Shipping!$P$65)*IF(bunker_choice="HFO",$H78,IF(bunker_choice="hydrogen",$BD78*hfo_e_density_lhv/h2_e_density_lhv,(DM78+DN78)*1000000/DO78*hfo_e_density_lhv/nabh4_e_density_lhv))+(F78/24/Shipping!$P$50*Shipping!$P$51+Shipping!$P$59*Shipping!$P$60)*IF(bunker_choice="HFO",bunker_price_ROT,IF(bunker_choice="hydrogen",$BD78*hfo_e_density_lhv/h2_e_density_lhv,(DM78+DN78)*1000000/DO78*hfo_e_density_lhv/nabh4_e_density_lhv))+Shipping!$P$73+IF(G78="Panama",Shipping!$P$55,0)+IF(G78="Suez",Shipping!$P$56,0))/Shipping!$P$31*(DO78+nabh4_st_ab_losses)/1000000+IF(inland_transport_to_port="hv dc grid",$BM78/100*1000*DR78,IF(inland_transport_to_port="pipeline",$BN78,0)))</f>
        <v>4977.7651737606138</v>
      </c>
      <c r="DQ78" s="28">
        <f t="shared" si="60"/>
        <v>63710.929467736496</v>
      </c>
      <c r="DR78" s="29">
        <f>((Carriers!$V$18/Carriers!$V$23*alk_el_e_demand)+nabh4_e_demand)*(DO78+nabh4_st_ab_losses)/1000000+nabh4_st_e_demand*DO78/1000000</f>
        <v>980.02139682539689</v>
      </c>
      <c r="DS78" s="28">
        <f t="shared" si="106"/>
        <v>3.1960000000000002</v>
      </c>
      <c r="DT78" s="28">
        <f>IFERROR(DQ78*1000000/Storage!$O$12,"")</f>
        <v>996.72918441390016</v>
      </c>
      <c r="DU78" s="28">
        <f>IF($E78="","No Port",((F78/24/Shipping!$P$44+F78/24/Shipping!$P$50+Shipping!$P$59+Shipping!$P$64)*Carriers!$V$39*wacc_nl))</f>
        <v>1203.3984057794319</v>
      </c>
      <c r="DV78" s="100">
        <f>H2_retrieval!$N$25*h2_demand_kt/1000+(co2_liq_e_demand+co2_st_e_demand*2)*Storage!$O$12*co2_density/nabh4_density/1000000</f>
        <v>18.783638728971958</v>
      </c>
      <c r="DW78" s="28">
        <f>IFERROR(((DQ78*(1+H2_retrieval!$N$34)+DU78)*1000000/H2_retrieval!$N$8)+h2_regen_nabh4,"")</f>
        <v>4873.6790974264222</v>
      </c>
      <c r="DX78" s="149">
        <f>(Dme_invest*(M78+1/Dme_lifetime)/Dme_prod+Dme_opex+Dme_e_demand*1000*$AU78/100+Carriers!$X$21/Carriers!$X$23*(CO78*1000000/CS78))*(EB78+Dme_st_ab_losses)/1000000</f>
        <v>76810.510726029795</v>
      </c>
      <c r="DY78" s="86">
        <f>(Dme_invest*(M78+1/Dme_lifetime)/Dme_prod+Dme_opex+Dme_e_demand*1000*$AU78/100+Carriers!$X$21/Carriers!$X$23*(CP78*1000000/CS78))*(EB78+Dme_st_ab_losses)/1000000</f>
        <v>96691.3296870661</v>
      </c>
      <c r="DZ78" s="63">
        <f>Dme_st_nl_cost*Dme_st_nl_demand/1000000+(Dme_st_invest*(M78+1/Dme_st_lifetime+Dme_st_opex)/(Storage!$Q$63/1000000)+Dme_st_e_demand*1000*$AU78/100)*(EB78+Dme_st_ab_losses)/1000000+co2_st_nl_cost*Storage!$Q$12*co2_density/Dme_density/1000000+(co2_st_opex_lev+co2_st_invest_lev+co2_st_e_demand*1000*$AU78/100)*Storage!$Q$12/1000000+co2_st_invest_lev*Storage!$Q$12*co2_st_lifetime*M78/1000000+(h2_demand_kt*1000/365.25*short_st_duration_hrs/24)*(h2_short_st_invest*(1/gh2_short_st_lifetime+$M78+h2_short_st_opex)+h2_short_st_e_demand*1000*$AU78/100)/1000000</f>
        <v>5604.1998521284895</v>
      </c>
      <c r="EA78" s="63">
        <f>Dme_st_nl_cost*Dme_st_nl_demand/1000000+(Dme_st_invest*(M78+1/Dme_st_lifetime+Dme_st_opex)/(Storage!$Q$63/1000000)+Dme_st_e_demand*1000*$AU78/100)*(EB78+Dme_st_ab_losses)/1000000+(h2_demand_kt*1000/365.25*short_st_duration_hrs/24)*(h2_short_st_invest*(1/gh2_short_st_lifetime+$M78+h2_short_st_opex)+h2_short_st_e_demand*1000*$AU78/100)/1000000</f>
        <v>2724.6662376620457</v>
      </c>
      <c r="EB78" s="63">
        <f>Storage!$Q$57/((1-Shipping!$R$37)^($F78/24/Shipping!$R$44+0.5*Shipping!$R$59))</f>
        <v>103547089.94708996</v>
      </c>
      <c r="EC78" s="153">
        <f>IF($E78="","No Port",IF(AND(ship_choice="VLCC",G78="Panama"),"Ship cannot pass through Panama",IF(ship_choice="VLCC",((F78/24/Shipping!$AD$44+F78/24/Shipping!$AD$50+Shipping!$AD$59+Shipping!$AD$64)*(Shipping!$AD$22+wacc_nl*Shipping!$AD$19/365.25*1000000+Shipping!$AD$35)+(F78/24/Shipping!$AD$44*Shipping!$AD$45+Shipping!$AD$64*Shipping!$AD$65)*IF(bunker_choice="HFO",$H78,IF(bunker_choice="hydrogen",$BD78*hfo_e_density_lhv/h2_e_density_lhv,(DX78+DZ78)*1000000/EB78*hfo_e_density_lhv/Dme_e_density_lhv))+(F78/24/Shipping!$AD$50*Shipping!$AD$51+Shipping!$AD$59*Shipping!$AD$60)*IF(bunker_choice="HFO",bunker_price_ROT,IF(bunker_choice="hydrogen",$BD78*hfo_e_density_lhv/h2_e_density_lhv,(DX78+DZ78)*1000000/EB78*hfo_e_density_lhv/Dme_e_density_lhv))+Shipping!$AD$73+IF(G78="Panama",Shipping!$AD$55,0)+IF(G78="Suez",Shipping!$AD$56,0))/Shipping!$AD$31*(EB78+Dme_st_ab_losses)/1000000+IF(inland_transport_to_port="hv dc grid",$BM78/100*1000*EE78,IF(inland_transport_to_port="pipeline",$BN78,0)),((F78/24/Shipping!$R$44+F78/24/Shipping!$R$50+Shipping!$R$59+Shipping!$R$64)*(Shipping!$R$22+wacc_nl*Shipping!$R$19/365.25*1000000+Shipping!$R$35)+(F78/24/Shipping!$R$44*Shipping!$R$45+Shipping!$R$64*Shipping!$R$65)*IF(bunker_choice="HFO",$H78,IF(bunker_choice="hydrogen",$BD78*hfo_e_density_lhv/h2_e_density_lhv,(DX78+DZ78)*1000000/EB78*hfo_e_density_lhv/Dme_e_density_lhv))+(F78/24/Shipping!$R$50*Shipping!$R$51+Shipping!$R$59*Shipping!$R$60)*IF(bunker_choice="HFO",bunker_price_ROT,IF(bunker_choice="hydrogen",$BD78*hfo_e_density_lhv/h2_e_density_lhv,(DX78+DZ78)*1000000/EB78*hfo_e_density_lhv/Dme_e_density_lhv))+Shipping!$R$73+IF(G78="Panama",Shipping!$R$55,0)+IF(G78="Suez",Shipping!$R$56,0))/Shipping!$R$31*(EB78+Dme_st_ab_losses)/1000000+IF(inland_transport_to_port="hv dc grid",$BM78/100*1000*EE78,IF(inland_transport_to_port="pipeline",$BN78,0)))))</f>
        <v>10415.43515088984</v>
      </c>
      <c r="ED78" s="28">
        <f t="shared" si="134"/>
        <v>109831.43107561799</v>
      </c>
      <c r="EE78" s="29">
        <f>(Dme_e_demand)*(EB78+Dme_st_ab_losses)/1000000+Dme_st_e_demand*DZ78/1000000+$CV78*(Carriers!$X$21/Carriers!$X$23*EB78)/$CS78</f>
        <v>1550.2168162090543</v>
      </c>
      <c r="EF78" s="29">
        <f t="shared" si="107"/>
        <v>1.0354708994708997</v>
      </c>
      <c r="EG78" s="28">
        <f>IFERROR(ED78*1000000/Storage!$Q$12,"")</f>
        <v>1060.6906590203471</v>
      </c>
      <c r="EH78" s="28">
        <f>IF($E78="","No Port",((F78/24/Shipping!$R$44+F78/24/Shipping!$R$50+Shipping!$R$59+Shipping!$R$64)*Carriers!$X$39*wacc_nl))</f>
        <v>189.37188540612189</v>
      </c>
      <c r="EI78" s="100">
        <f>H2_retrieval!$P$25*h2_demand_kt/1000+(co2_liq_e_demand+co2_st_e_demand*2)*Storage!$Q$12*co2_density/Dme_density/1000000</f>
        <v>252.45335899349112</v>
      </c>
      <c r="EJ78" s="28">
        <f>IFERROR((((DX78+DZ78+EC78)*(1+H2_retrieval!$P$34)+EH78)*1000000/H2_retrieval!$P$8)+h2_regen_dme,"")</f>
        <v>8009.7989560236338</v>
      </c>
      <c r="EK78" s="149">
        <f>(ome_invest*(M78+1/ome_lifetime)/ome_prod+ome_opex+ome_e_demand*1000*$AU78/100+Carriers!$Z$21/Carriers!$Z$23*(CO78*1000000/CS78))*(EO78+ome_st_ab_losses)/1000000</f>
        <v>168292.02747663466</v>
      </c>
      <c r="EL78" s="86">
        <f>(ome_invest*(M78+1/ome_lifetime)/ome_prod+ome_opex+ome_e_demand*1000*$AU78/100+Carriers!$Z$21/Carriers!$Z$23*(CP78*1000000/CS78))*(EO78+ome_st_ab_losses)/1000000</f>
        <v>210025.73653637469</v>
      </c>
      <c r="EM78" s="63">
        <f>ome_st_nl_cost*ome_st_nl_demand/1000000+(ome_st_invest*(M78+1/ome_st_lifetime+ome_st_opex)/(Storage!$S$63/1000000)+ome_st_e_demand*1000*$AU78/100)*(EO78+ome_st_ab_losses)/1000000+co2_st_nl_cost*Storage!$S$12*co2_density/ome_density/1000000+(co2_st_opex_lev+co2_st_invest_lev+co2_st_e_demand*1000*$AU78/100)*Storage!$S$12/1000000+co2_st_invest_lev*Storage!$S$12*co2_st_lifetime*M78/1000000+(h2_demand_kt*1000/365.25*short_st_duration_hrs/24)*(h2_short_st_invest*(1/gh2_short_st_lifetime+$M78+h2_short_st_opex)+h2_short_st_e_demand*1000*$AU78/100)/1000000</f>
        <v>4844.7977105157761</v>
      </c>
      <c r="EN78" s="63">
        <f>ome_st_nl_cost*ome_st_nl_demand/1000000+(ome_st_invest*(M78+1/ome_st_lifetime+ome_st_opex)/(Storage!$S$63/1000000)+ome_st_e_demand*1000*$AU78/100)*(EO78+ome_st_ab_losses)/1000000+(h2_demand_kt*1000/365.25*short_st_duration_hrs/24)*(h2_short_st_invest*(1/gh2_short_st_lifetime+$M78+h2_short_st_opex)+h2_short_st_e_demand*1000*$AU78/100)/1000000</f>
        <v>1616.365582542767</v>
      </c>
      <c r="EO78" s="63">
        <f>Storage!$S$57/((1-Shipping!$T$37)^($F78/24/Shipping!$T$44+0.5*Shipping!$T$59))</f>
        <v>128282539.68253967</v>
      </c>
      <c r="EP78" s="28">
        <f>IF($E78="","No Port",IF(AND(ship_choice="VLCC",G78="Panama"),"Ship cannot pass through Panama",IF(ship_choice="VLCC",((F78/24/Shipping!$AD$44+F78/24/Shipping!$AD$50+Shipping!$AD$59+Shipping!$AD$64)*(Shipping!$AD$22+wacc_nl*Shipping!$AD$19/365.25*1000000+Shipping!$AD$35)+(F78/24/Shipping!$AD$44*Shipping!$AD$45+Shipping!$AD$64*Shipping!$AD$65)*IF(bunker_choice="HFO",$H78,IF(bunker_choice="hydrogen",$BD78*hfo_e_density_lhv/h2_e_density_lhv,(EK78+EM78)*1000000/EO78*hfo_e_density_lhv/Dme_e_density_lhv))+(F78/24/Shipping!$AD$50*Shipping!$AD$51+Shipping!$AD$59*Shipping!$AD$60)*IF(bunker_choice="HFO",bunker_price_ROT,IF(bunker_choice="hydrogen",$BD78*hfo_e_density_lhv/h2_e_density_lhv,(EK78+EM78)*1000000/EO78*hfo_e_density_lhv/ome_e_density_lhv))+Shipping!$AD$73+IF(G78="Panama",Shipping!$AD$55,0)+IF(G78="Suez",Shipping!$AD$56,0))/Shipping!$AD$31*(EO78+ome_st_ab_losses)/1000000+IF(inland_transport_to_port="hv dc grid",$BM78/100*1000*ER78,IF(inland_transport_to_port="pipeline",$BN78,0)),((F78/24/Shipping!$T$44+F78/24/Shipping!$T$50+Shipping!$T$59+Shipping!$T$64)*(Shipping!$T$22+wacc_nl*Shipping!$T$19/365.25*1000000+Shipping!$T$35)+(F78/24/Shipping!$T$44*Shipping!$T$45+Shipping!$T$64*Shipping!$T$65)*IF(bunker_choice="HFO",$H78,IF(bunker_choice="hydrogen",$BD78*hfo_e_density_lhv/h2_e_density_lhv,(EK78+EM78)*1000000/EO78*hfo_e_density_lhv/Dme_e_density_lhv))+(F78/24/Shipping!$T$50*Shipping!$T$51+Shipping!$T$59*Shipping!$T$60)*IF(bunker_choice="HFO",bunker_price_ROT,IF(bunker_choice="hydrogen",$BD78*hfo_e_density_lhv/h2_e_density_lhv,(EK78+EM78)*1000000/EO78*hfo_e_density_lhv/ome_e_density_lhv))+Shipping!$T$73+IF(G78="Panama",Shipping!$T$55,0)+IF(G78="Suez",Shipping!$T$56,0))/Shipping!$T$31*(EO78+ome_st_ab_losses)/1000000+IF(inland_transport_to_port="hv dc grid",$BM78/100*1000*ER78,IF(inland_transport_to_port="pipeline",$BN78,0)))))</f>
        <v>11497.574307758056</v>
      </c>
      <c r="EQ78" s="28">
        <f t="shared" si="135"/>
        <v>223139.67642667552</v>
      </c>
      <c r="ER78" s="29">
        <f>(ome_e_demand)*(EO78+ome_st_ab_losses)/1000000+ome_st_e_demand*EM78/1000000+$CV78*(Carriers!$Z$21/Carriers!$Z$23*EO78)/$CS78</f>
        <v>3352.08145740798</v>
      </c>
      <c r="ES78" s="29">
        <f t="shared" si="108"/>
        <v>0.1924238095238095</v>
      </c>
      <c r="ET78" s="28">
        <f>IFERROR(EQ78*1000000/Storage!$S$12,"")</f>
        <v>1739.4391861813654</v>
      </c>
      <c r="EU78" s="28">
        <f>IF($E78="","No Port",((F78/24/Shipping!$T$44+F78/24/Shipping!$T$50+Shipping!$T$59+Shipping!$T$64)*Carriers!$Z$39*wacc_nl))</f>
        <v>215.06184377946272</v>
      </c>
      <c r="EV78" s="100">
        <f>H2_retrieval!$R$25*h2_demand_kt/1000+(co2_liq_e_demand+co2_st_e_demand*2)*Storage!$S$12*co2_density/ome_density/1000000</f>
        <v>254.51942895252085</v>
      </c>
      <c r="EW78" s="28">
        <f>IFERROR((((EK78+EM78+EP78)*(1+H2_retrieval!$R$34)+EU78)*1000000/H2_retrieval!$R$8)+h2_regen_ome,"")</f>
        <v>14762.00070045258</v>
      </c>
      <c r="EX78" s="149">
        <f>(sng_invest*(M78+1/sng_lifetime)/sng_prod+lng_invest*(M78+1/lng_lifetime)/lng_prod+sng_opex+lng_opex+(sng_e_demand+lng_e_demand)*1000*$AU78/100+Carriers!$AB$18/Carriers!$AB$23*BD78+Carriers!$AB$20/Carriers!$AB$23*co2_liq_cost)*(FB78+lng_st_ab_losses)/1000000</f>
        <v>60232.6015244503</v>
      </c>
      <c r="EY78" s="86">
        <f>(sng_invest*(M78+1/sng_lifetime)/sng_prod+lng_invest*(M78+1/lng_lifetime)/lng_prod+sng_opex+lng_opex+(sng_e_demand+lng_e_demand)*1000*$AU78/100+Carriers!$AB$18/Carriers!$AB$23*BD78+Carriers!$AB$20/Carriers!$AB$23*BP78)*(FB78+lng_st_ab_losses)/1000000</f>
        <v>71461.853660240929</v>
      </c>
      <c r="EZ78" s="63">
        <f>lng_st_nl_cost*lng_st_nl_demand/1000000+(lng_st_invest*(M78+1/lng_st_lifetime+lng_st_opex)/(Storage!$U$63/1000000)+lng_st_e_demand*1000*$AU78/100)*(FB78+lng_st_ab_losses)/1000000+co2_st_nl_cost*Storage!$U$12*co2_density/lng_density/1000000+(co2_st_opex_lev+co2_st_invest_lev+co2_st_e_demand*1000*$AU78/100)*Storage!$U$12/1000000+co2_st_invest_lev*Storage!$U$12*co2_st_lifetime*M78/1000000+Carriers!$AB$18/Carriers!$AB$23*((FB78+lng_st_ab_losses)/365.25*short_st_duration_hrs/24)*(h2_short_st_invest*(1/gh2_short_st_lifetime+$M78+h2_short_st_opex)+h2_short_st_e_demand*1000*$AU78/100)/1000000+Carriers!$AB$20/Carriers!$AB$23*((FB78+lng_st_ab_losses)/365.25*short_st_duration_hrs/24)*(co2_short_st_invest*(1/co2_short_st_lifetime+$M78+co2_short_st_opex)+co2_short_st_e_demand*1000*$AU78/100)/1000000</f>
        <v>5881.7972354253534</v>
      </c>
      <c r="FA78" s="63">
        <f>lng_st_nl_cost*lng_st_nl_demand/1000000+(lng_st_invest*(M78+1/lng_st_lifetime+lng_st_opex)/(Storage!$U$63/1000000)+lng_st_e_demand*1000*$AU78/100)*(FB78+lng_st_ab_losses)/1000000+Carriers!$AB$18/Carriers!$AB$23*((FB78+lng_st_ab_losses)/365.25*short_st_duration_hrs/24)*(h2_short_st_invest*(1/gh2_short_st_lifetime+$M78+h2_short_st_opex)+h2_short_st_e_demand*1000*$AU78/100)/1000000+Carriers!$AB$20/Carriers!$AB$23*((FB78+lng_st_ab_losses)/365.25*short_st_duration_hrs/24)*(co2_short_st_invest*(1/co2_short_st_lifetime+$M78+co2_short_st_opex)+co2_short_st_e_demand*1000*$AU78/100)/1000000</f>
        <v>4315.5078067583963</v>
      </c>
      <c r="FB78" s="63">
        <f>Storage!$U$57/((1-Shipping!$V$37)^($F78/24/Shipping!$V$44+0.5*Shipping!$V$59))</f>
        <v>42186434.879870094</v>
      </c>
      <c r="FC78" s="28">
        <f>IF($E78="","No Port",IF(G78="Panama","Ship cannot pass through Panama",((F78/24/Shipping!$V$44+F78/24/Shipping!$V$50+Shipping!$V$59+Shipping!$V$64)*(Shipping!$V$22+wacc_nl*Shipping!$V$19/365.25*1000000+Shipping!$V$35)+(F78/24/Shipping!$V$44*Shipping!$V$45+Shipping!$V$64*Shipping!$V$65)*IF(bunker_choice="HFO",$H78,IF(bunker_choice="hydrogen",$BD78*hfo_e_density_lhv/h2_e_density_lhv,(EX78+EZ78)*1000000/FB78*hfo_e_density_lhv/lng_e_density_lhv))+(F78/24/Shipping!$V$50*Shipping!$V$51+Shipping!$V$59*Shipping!$V$60)*IF(bunker_choice="HFO",bunker_price_ROT,IF(bunker_choice="hydrogen",$BD78*hfo_e_density_lhv/h2_e_density_lhv,(EX78+EZ78)*1000000/FB78*hfo_e_density_lhv/lng_e_density_lhv))+Shipping!$V$73+IF(G78="Panama",Shipping!$V$55,0)+IF(G78="Suez",Shipping!$V$56,0))/Shipping!$V$31*(FB78+lng_st_ab_losses)/1000000)+IF(inland_transport_to_port="hv dc grid",$BM78/100*1000*FE78,IF(inland_transport_to_port="pipeline",$BN78,0)))</f>
        <v>4158.6535384734871</v>
      </c>
      <c r="FD78" s="28">
        <f t="shared" si="136"/>
        <v>79936.015005472815</v>
      </c>
      <c r="FE78" s="29">
        <f>((Carriers!$AB$18/Carriers!$AB$23*alk_el_e_demand)+sng_e_demand+lng_e_demand)*(FB78+lng_st_ab_losses)/1000000+lng_st_e_demand*EZ78/1000000</f>
        <v>1131.3779635168746</v>
      </c>
      <c r="FF78" s="29">
        <f t="shared" si="109"/>
        <v>0.8126185861001558</v>
      </c>
      <c r="FG78" s="28">
        <f>IFERROR(FD78*1000000/Storage!$U$12,"")</f>
        <v>1969.637416045364</v>
      </c>
      <c r="FH78" s="28">
        <f>IF($E78="","No Port",((F78/24/Shipping!$V$44+F78/24/Shipping!$V$50+Shipping!$V$59+Shipping!$V$64)*Carriers!$AB$39*wacc_nl))</f>
        <v>62.770312531227461</v>
      </c>
      <c r="FI78" s="100">
        <f>H2_retrieval!$T$25*h2_demand_kt/1000+(co2_liq_e_demand+co2_st_e_demand*2)*Storage!$U$12*co2_density/lng_density/1000000</f>
        <v>236.51371749646054</v>
      </c>
      <c r="FJ78" s="28">
        <f>IFERROR((((EX78+EZ78+FC78)*(1+H2_retrieval!$T$34)+FH78)*1000000/H2_retrieval!$T$8)+h2_regen_lng,"")</f>
        <v>6341.8802057608491</v>
      </c>
      <c r="FK78" s="149">
        <f>(lh2_invest*(M78+1/lh2_lifetime)/lh2_prod+lh2_opex+lh2_e_demand*1000*$AU78/100+Carriers!$AD$18/Carriers!$AD$23*BD78)*(FM78+lh2_st_ab_losses)/1000000</f>
        <v>48400.326069591974</v>
      </c>
      <c r="FL78" s="28">
        <f>lh2_st_nl_cost*lh2_st_nl_demand/1000000+(lh2_st_invest*(M78+1/lh2_st_lifetime+lh2_st_opex)/(Storage!$Y$63/1000000)+lh2_st_e_demand*1000*$AU78/100)*(FM78+lh2_st_ab_losses)/1000000+((FM78+lh2_st_ab_losses)/365.25*short_st_duration_hrs/24)*(h2_short_st_invest*(1/gh2_short_st_lifetime+$M78+h2_short_st_opex)+h2_short_st_e_demand*1000*$AU78/100)/1000000</f>
        <v>50875.468020464214</v>
      </c>
      <c r="FM78" s="63">
        <f>Storage!$Y$57/((1-Shipping!$Z$37)^($F78/24/Shipping!$Z$44+0.5*Shipping!$Z$59))</f>
        <v>14463104.421448085</v>
      </c>
      <c r="FN78" s="28">
        <f>IF($E78="","No Port",IF(G78="Panama","Ship cannot pass through Panama",((F78/24/Shipping!$Z$44+F78/24/Shipping!$Z$50+Shipping!$Z$59+Shipping!$Z$64)*(Shipping!$Z$22+wacc_nl*Shipping!$Z$19/365.25*1000000+Shipping!$Z$35)+(F78/24/Shipping!$Z$44*Shipping!$Z$45+Shipping!$Z$64*Shipping!$Z$65)*IF(bunker_choice="HFO",$H78,IF(bunker_choice="hydrogen",$BD78*hfo_e_density_lhv/h2_e_density_lhv,(FK78+FL78)*1000000/FM78*hfo_e_density_lhv/lh2_e_density_lhv))+(F78/24/Shipping!$Z$50*Shipping!$Z$51+Shipping!$Z$59*Shipping!$Z$60)*IF(bunker_choice="HFO",bunker_price_ROT,IF(bunker_choice="hydrogen",$BD78*hfo_e_density_lhv/h2_e_density_lhv,(FK78+FL78)*1000000/FM78*hfo_e_density_lhv/lh2_e_density_lhv))+Shipping!$Z$73+IF(G78="Panama",Shipping!$Z$55,0)+IF(G78="Suez",Shipping!$Z$56,0))/Shipping!$Z$31*(FM78+lh2_st_ab_losses)/1000000)+IF(inland_transport_to_port="hv dc grid",$BM78/100*1000*FP78,IF(inland_transport_to_port="pipeline",$BN78,0)))</f>
        <v>7374.8502716135836</v>
      </c>
      <c r="FO78" s="28">
        <f t="shared" si="128"/>
        <v>106650.64436166977</v>
      </c>
      <c r="FP78" s="29">
        <f>((Carriers!$AD$18/Carriers!$AD$23*alk_el_e_demand)+lh2_e_demand)*(FM78+lh2_st_ab_losses)/1000000+lh2_st_e_demand*FM78/1000000</f>
        <v>838.07890601920451</v>
      </c>
      <c r="FQ78" s="100">
        <f t="shared" si="110"/>
        <v>1.361902463475859</v>
      </c>
      <c r="FR78" s="28">
        <f>IFERROR(FO78*1000000/Storage!$Y$12,"")</f>
        <v>7841.9591442404244</v>
      </c>
      <c r="FS78" s="100">
        <f>H2_retrieval!$V$25*h2_demand_kt/1000</f>
        <v>8.16</v>
      </c>
      <c r="FT78" s="28">
        <f>IFERROR(FR78*(1+H2_retrieval!$V$34)/Carrier_properties!$U$7+H2_retrieval!$V$38,"")</f>
        <v>7873.9278701088915</v>
      </c>
      <c r="FU78" s="12"/>
      <c r="FV78" s="24">
        <f t="shared" si="129"/>
        <v>2.2165779423180529</v>
      </c>
      <c r="FW78" s="24">
        <f t="shared" si="92"/>
        <v>4.2838485892562144</v>
      </c>
      <c r="FX78" s="24">
        <f t="shared" si="93"/>
        <v>7.3954897363951169</v>
      </c>
      <c r="FY78" s="24">
        <f t="shared" si="130"/>
        <v>2.2165779423180529</v>
      </c>
      <c r="FZ78" s="28">
        <f t="shared" si="94"/>
        <v>2440.3939708690523</v>
      </c>
      <c r="GA78" s="28">
        <f t="shared" si="137"/>
        <v>566.77451989755082</v>
      </c>
      <c r="GB78" s="28">
        <f t="shared" si="138"/>
        <v>406.31972969449271</v>
      </c>
      <c r="GC78" s="28">
        <f t="shared" si="139"/>
        <v>638.45783818300151</v>
      </c>
      <c r="GD78" s="28">
        <f t="shared" si="140"/>
        <v>933.79089394470691</v>
      </c>
      <c r="GE78" s="28">
        <f t="shared" si="141"/>
        <v>1637.2121806765333</v>
      </c>
      <c r="GF78" s="28">
        <f t="shared" si="142"/>
        <v>1693.9533730151741</v>
      </c>
      <c r="GG78" s="12"/>
      <c r="GH78" s="12"/>
      <c r="GI78" s="12"/>
      <c r="GJ78" s="12"/>
      <c r="GK78" s="12"/>
      <c r="GL78" s="12"/>
      <c r="GM78" s="12"/>
      <c r="GN78" s="12"/>
      <c r="GO78" s="12"/>
      <c r="GP78" s="12"/>
      <c r="GQ78" s="12"/>
      <c r="GR78" s="12"/>
      <c r="GS78" s="12"/>
      <c r="GT78" s="12"/>
      <c r="GU78" s="12"/>
      <c r="GV78" s="12"/>
      <c r="GW78" s="12"/>
      <c r="GX78" s="12"/>
      <c r="GY78" s="12"/>
      <c r="GZ78" s="12"/>
      <c r="HA78" s="12"/>
      <c r="HB78" s="12"/>
      <c r="HC78" s="12"/>
      <c r="HD78" s="12"/>
      <c r="HE78" s="12"/>
      <c r="HF78" s="12"/>
    </row>
    <row r="79" spans="1:214" x14ac:dyDescent="0.2">
      <c r="A79" s="40" t="s">
        <v>270</v>
      </c>
      <c r="B79" s="12">
        <v>8750</v>
      </c>
      <c r="C79" s="12">
        <v>1</v>
      </c>
      <c r="D79" s="12">
        <f t="shared" si="111"/>
        <v>0</v>
      </c>
      <c r="E79" s="12" t="s">
        <v>746</v>
      </c>
      <c r="F79" s="12">
        <v>10791</v>
      </c>
      <c r="G79" s="12" t="s">
        <v>692</v>
      </c>
      <c r="H79" s="16">
        <f t="shared" si="112"/>
        <v>382.75862068965517</v>
      </c>
      <c r="I79" s="16">
        <v>97480</v>
      </c>
      <c r="J79" s="16">
        <f t="shared" si="113"/>
        <v>176.15007154468009</v>
      </c>
      <c r="K79" s="27">
        <f t="shared" si="114"/>
        <v>211.38008585361609</v>
      </c>
      <c r="L79" s="103">
        <v>8.5000000000000006E-2</v>
      </c>
      <c r="M79" s="103">
        <f t="shared" si="115"/>
        <v>0.10153843627327469</v>
      </c>
      <c r="N79" s="122">
        <f t="shared" si="116"/>
        <v>0.9</v>
      </c>
      <c r="O79" s="46">
        <f t="shared" si="117"/>
        <v>40</v>
      </c>
      <c r="P79" s="70">
        <f t="array" ref="P79">SUMPRODUCT(IF(Solar_data!A$4:A$777=A79,Solar_data!C$4:C$777),IF(Solar_data!A$4:A$777=A79,Solar_data!I$4:I$777))/SUMIF(Solar_data!A$4:A$777,A79,Solar_data!I$4:I$777)</f>
        <v>1771.0209221384819</v>
      </c>
      <c r="Q79" s="16">
        <f t="array" ref="Q79">MAX(IF(Solar_data!$A$777:'Solar_data'!$A$4=Country_details!$A79,Solar_data!$C$4:'Solar_data'!$C$777))</f>
        <v>1916.25</v>
      </c>
      <c r="R79" s="16">
        <f t="array" ref="R79">MIN(IF(Solar_data!$A$777:'Solar_data'!$A$4=Country_details!A79,Solar_data!$C$4:'Solar_data'!$C$777))</f>
        <v>1551.25</v>
      </c>
      <c r="S79" s="24">
        <f t="shared" si="95"/>
        <v>2.1844559879421159</v>
      </c>
      <c r="T79" s="24">
        <f t="shared" si="96"/>
        <v>2.0189000694774557</v>
      </c>
      <c r="U79" s="24">
        <f t="shared" si="97"/>
        <v>2.4939353799427395</v>
      </c>
      <c r="V79" s="16">
        <f t="array" ref="V79">SUM(IF(Solar_data!$A$777:'Solar_data'!$A$4=Country_details!$A79,Solar_data!$I$4:'Solar_data'!$I$777))</f>
        <v>676.84247573782966</v>
      </c>
      <c r="W79" s="148"/>
      <c r="X79" s="16" t="str">
        <f>IFERROR(INDEX(Onshore_wind_data!$J$5:'Onshore_wind_data'!$J$221,MATCH(A79,Onshore_wind_data!$B$5:'Onshore_wind_data'!$B$221,0)),"")</f>
        <v/>
      </c>
      <c r="Y79" s="16" t="str">
        <f>IFERROR(INDEX(Onshore_wind_data!$K$5:'Onshore_wind_data'!$K$221,MATCH(A79,Onshore_wind_data!$B$5:'Onshore_wind_data'!$B$221,0)),"")</f>
        <v/>
      </c>
      <c r="Z79" s="16" t="str">
        <f>IFERROR(INDEX(Onshore_wind_data!$L$5:'Onshore_wind_data'!$L$221,MATCH(A79,Onshore_wind_data!$B$5:'Onshore_wind_data'!$B$221,0)),"")</f>
        <v/>
      </c>
      <c r="AA79" s="24" t="str">
        <f t="shared" si="118"/>
        <v/>
      </c>
      <c r="AB79" s="24" t="str">
        <f t="shared" si="119"/>
        <v/>
      </c>
      <c r="AC79" s="24" t="str">
        <f t="shared" si="120"/>
        <v/>
      </c>
      <c r="AD79" s="16">
        <f>IFERROR(INDEX(Onshore_wind_data!$I$5:'Onshore_wind_data'!$I$221,MATCH(A79,Onshore_wind_data!$B$5:'Onshore_wind_data'!$B$221,0)),"")</f>
        <v>0</v>
      </c>
      <c r="AE79" s="148"/>
      <c r="AF79" s="16">
        <f>INDEX(Offshore_wind_data!$AA$7:$AA$192,MATCH(Country_details!A79,Offshore_wind_data!$A$7:$A$192,0))</f>
        <v>3687.643373493976</v>
      </c>
      <c r="AG79" s="16">
        <f>INDEX(Offshore_wind_data!$Y$7:$Y$192,MATCH(Country_details!A79,Offshore_wind_data!$A$7:$A$192,0))</f>
        <v>4204.8</v>
      </c>
      <c r="AH79" s="16">
        <f>INDEX(Offshore_wind_data!$Z$7:$Z$192,MATCH(Country_details!A79,Offshore_wind_data!$A$7:$A$192,0))</f>
        <v>3153.6</v>
      </c>
      <c r="AI79" s="24">
        <f t="shared" si="98"/>
        <v>6.5123925081465543</v>
      </c>
      <c r="AJ79" s="24">
        <f t="shared" si="99"/>
        <v>5.7114205380180882</v>
      </c>
      <c r="AK79" s="24">
        <f t="shared" si="100"/>
        <v>7.6152273840241174</v>
      </c>
      <c r="AL79" s="16">
        <f>INDEX(Offshore_wind_data!$W$7:$W$191,MATCH(A79,Offshore_wind_data!$A$7:$A$191,0))</f>
        <v>1848.6893760000003</v>
      </c>
      <c r="AM79" s="148"/>
      <c r="AN79" s="12">
        <v>51.6</v>
      </c>
      <c r="AO79" s="12">
        <v>50.6</v>
      </c>
      <c r="AP79" s="34">
        <f>5.253*11.63</f>
        <v>61.092390000000009</v>
      </c>
      <c r="AQ79" s="15">
        <f t="shared" si="101"/>
        <v>50</v>
      </c>
      <c r="AR79" s="12">
        <f t="shared" si="131"/>
        <v>2530</v>
      </c>
      <c r="AS79" s="16">
        <f t="shared" si="121"/>
        <v>-4.4681482621699615</v>
      </c>
      <c r="AT79" s="12"/>
      <c r="AU79" s="24">
        <f t="shared" si="122"/>
        <v>2.1844559879421159</v>
      </c>
      <c r="AV79" s="16">
        <f t="shared" si="123"/>
        <v>1771.0209221384819</v>
      </c>
      <c r="AW79" s="149">
        <f>HV_DC_Grid!$E$3/(1-AX79)*AU79/100*1000</f>
        <v>2631.2210238440471</v>
      </c>
      <c r="AX79" s="31">
        <f>(1-(1-HV_DC_Grid!$E$25)^(B79*C79*HV_DC_Grid!$E$8/1000))+(1-(1-HV_DC_Grid!$E$26)^(B79*D79*HV_DC_Grid!$E$8/1000))+HV_DC_Grid!$E$35*HV_DC_Grid!$E$28</f>
        <v>0.16979380745796713</v>
      </c>
      <c r="AY79" s="28">
        <f>B79*nl_e_demand/IF(hv_dc_flh="electricity FLH",$AV79,hv_dc_custom)*1000*hv_dc_capacity_multiplier*hv_dc_length_multiplier*1000*(C79*hv_dc_overhead_invest*(hv_dc_overhead_opex+M79+1/hv_dc_lifetime)+D79*hv_dc_sea_invest*(hv_dc_sea_opex+M79+1/hv_dc_lifetime))/1000000+HV_DC_Grid!$E$10*1000*hv_dc_station_invest*hv_dc_station_number*(hv_dc_station_opex+M79+1/hv_dc_lifetime)/1000000</f>
        <v>6668.5372275867358</v>
      </c>
      <c r="AZ79" s="24">
        <f>(AW79+AY79)/(HV_DC_Grid!$E$3*1000)*100</f>
        <v>9.2997582514307826</v>
      </c>
      <c r="BA79" s="28">
        <f>MIN(((Carriers!$F$26+Carriers!$F$27)*(alk_el_opex+wacc_nl+1/alk_el_lifetime)+IF(hv_dc_flh="electricity FLH",$AV79,hv_dc_custom)*AZ79/100)/(IF(hv_dc_flh="electricity FLH",$AV79,hv_dc_custom)/alk_el_e_demand)*1000,((Carriers!$H$26+Carriers!$H$27)*(pem_el_opex+wacc_nl+1/pem_el_lifetime)+IF(hv_dc_flh="electricity FLH",$AV79,hv_dc_custom)*AZ79/100)/(IF(hv_dc_flh="electricity FLH",$AV79,hv_dc_custom)/pem_el_e_demand)*1000)</f>
        <v>5101.332223627137</v>
      </c>
      <c r="BB79" s="12"/>
      <c r="BC79" s="12"/>
      <c r="BD79" s="149">
        <f>MIN(((Carriers!$F$26+Carriers!$F$27)*(alk_el_opex+M79+1/alk_el_lifetime)+$AV79*$AU79/100)/($AV79/alk_el_e_demand)*1000,((Carriers!$H$26+Carriers!$H$27)*(pem_el_opex+M79+1/pem_el_lifetime)+$AV79*$AU79/100)/($AV79/pem_el_e_demand)*1000)</f>
        <v>2795.9421457130443</v>
      </c>
      <c r="BE79" s="28">
        <f>Storage!$AC$50</f>
        <v>8.1664117557772418</v>
      </c>
      <c r="BF79" s="28">
        <f>((Pipeline!$D$22*Pipeline!$D$24*B79*(pipeline_opex+M79+1/pipeline_lifetime))*(Pipeline!$D$39/Pipeline!$D$3)+(Pipeline!$D$57*(pipeline_comp_opex+M79+1/pipeline_comp_lifetime)+Pipeline!$D$47*1000*Pipeline!$D$45*$AU79/100/1000000))*(Pipeline!$D$75/Pipeline!$D$45)</f>
        <v>17210.751979767119</v>
      </c>
      <c r="BG79" s="28">
        <f>BD79+(BE79+BF79)/Storage!$AC$12*1000000</f>
        <v>4062.0390862661984</v>
      </c>
      <c r="BH79" s="28"/>
      <c r="BI79" s="28"/>
      <c r="BJ79" s="28">
        <f>IF($E79="","No Port",BK79*HV_DC_Grid!$E$3*$AU79/100*1000)</f>
        <v>39.501426173079842</v>
      </c>
      <c r="BK79" s="31">
        <f>IFERROR((1-(1-HV_DC_Grid!$E$25)^(K79*HV_DC_Grid!$E$8/1000))+HV_DC_Grid!$E$35*HV_DC_Grid!$E$28,"")</f>
        <v>1.8082958132881619E-2</v>
      </c>
      <c r="BL79" s="28">
        <f>IFERROR(K79*nl_e_demand/IF(hv_dc_flh="electricity FLH",$AV79,hv_dc_custom)*1000*hv_dc_capacity_multiplier*hv_dc_length_multiplier*1000*(hv_dc_overhead_invest*(hv_dc_overhead_opex+M79+1/hv_dc_lifetime))/1000000+HV_DC_Grid!$E$10*1000*hv_dc_station_invest*hv_dc_station_number*(hv_dc_station_opex+M79+1/hv_dc_lifetime)/1000000,"")</f>
        <v>512.85022545715537</v>
      </c>
      <c r="BM79" s="29">
        <f>IFERROR((BJ79+BL79)/(HV_DC_Grid!$E$3*1000)*100,"")</f>
        <v>0.55235165163023525</v>
      </c>
      <c r="BN79" s="28">
        <f>IFERROR(((Pipeline!$D$22*Pipeline!$D$24*K79*(pipeline_opex+M79+1/pipeline_lifetime))*(Pipeline!$D$39/Pipeline!$D$3)+(Pipeline!$D$57*(pipeline_comp_opex+M79+1/pipeline_comp_lifetime)+Pipeline!$D$47*1000*Pipeline!$D$45*S79/100/1000000))*(Pipeline!$D$75/Pipeline!$D$45),"")</f>
        <v>486.39733126529012</v>
      </c>
      <c r="BO79" s="28"/>
      <c r="BP79" s="150">
        <f t="shared" si="124"/>
        <v>99.283726070318991</v>
      </c>
      <c r="BQ79" s="34">
        <f t="shared" si="125"/>
        <v>29.682847112839561</v>
      </c>
      <c r="BR79" s="151">
        <f>(nh3_invest*(M79+1/nh3_lifetime)/nh3_prod+nh3_opex+nh3_e_demand*1000*$AU79/100+Carriers!$N$18/Carriers!$N$23*BD79+Carriers!$N$19/Carriers!$N$23*BQ79)*(BT79+nh3_st_ab_losses)/1000000</f>
        <v>51285.246664635903</v>
      </c>
      <c r="BS79" s="63">
        <f>nh3_st_nl_cost*nh3_st_nl_demand/1000000+(nh3_st_invest*(M79+1/nh3_st_lifetime+nh3_st_opex)/(Storage!$G$63/1000000)+nh3_st_e_demand*1000*$AU79/100)*(BT79+nh3_st_ab_losses)/1000000+Carriers!$N$18/Carriers!$N$23*((BT79+nh3_st_ab_losses)/365.25*short_st_duration_hrs/24)*(h2_short_st_invest*(1/gh2_short_st_lifetime+$M79+h2_short_st_opex)+h2_short_st_e_demand*1000*$AU79/100)/1000000+Carriers!$N$19/Carriers!$N$23*((BT79+nh3_st_ab_losses)/365.25*short_st_duration_hrs/24)*(n2_short_st_invest*(1/n2_short_st_lifetime+$M79+n2_short_st_opex)+n2_short_st_e_demand*1000*$AU79/100)/1000000</f>
        <v>3231.4473283374423</v>
      </c>
      <c r="BT79" s="63">
        <f>Storage!$G$57/((1-Shipping!$H$37)^(F79/24/Shipping!$H$44+0.5*Shipping!$H$59))</f>
        <v>82281188.635359943</v>
      </c>
      <c r="BU79" s="63">
        <f>IF($E79="","No Port",((F79/24/Shipping!$H$44+F79/24/Shipping!$H$50+Shipping!$H$59+Shipping!$H$64)*(Shipping!$H$22+wacc_nl*Shipping!$H$19/365.25*1000000+Shipping!$H$35)+(F79/24/Shipping!$H$44*Shipping!$H$45+Shipping!$H$64*Shipping!$H$65)*IF(bunker_choice="HFO",H79,IF(bunker_choice="hydrogen",BD79*hfo_e_density_lhv/h2_e_density_lhv,(BR79+BS79)*1000000/BT79*hfo_e_density_lhv/nh3_e_density_lhv))+(F79/24/Shipping!$H$50*Shipping!$H$51+Shipping!$H$59*Shipping!$H$60)*IF(bunker_choice="HFO",bunker_price_ROT,IF(bunker_choice="hydrogen",BD79*hfo_e_density_lhv/h2_e_density_lhv,(BR79+BS79)*1000000/BT79*hfo_e_density_lhv/nh3_e_density_lhv))+Shipping!$H$73+IF(G79="Panama",Shipping!$H$55,0)+IF(G79="Suez",Shipping!$H$56,0))/Shipping!$H$31*BT79/1000000+IF(inland_transport_to_port="hv dc grid",$BM79/100*1000*BW79,IF(inland_transport_to_port="pipeline",$BN79,0)))</f>
        <v>7823.0912507745315</v>
      </c>
      <c r="BV79" s="63">
        <f t="shared" si="126"/>
        <v>62339.785243747872</v>
      </c>
      <c r="BW79" s="33">
        <f>((Carriers!$N$18/Carriers!$N$23*alk_el_e_demand)+(Carriers!$N$19/Carriers!$N$23*n2_e_demand)+nh3_e_demand)*(BT79+nh3_st_ab_losses)/1000000+nh3_st_e_demand*BT79/1000000</f>
        <v>812.52171023605354</v>
      </c>
      <c r="BX79" s="33">
        <f t="shared" si="102"/>
        <v>0.76626754477640768</v>
      </c>
      <c r="BY79" s="63">
        <f>IFERROR(BV79*1000000/Storage!$G$12,"")</f>
        <v>814.22900618285234</v>
      </c>
      <c r="BZ79" s="63">
        <f>H2_retrieval!$F$25*h2_demand_kt/1000</f>
        <v>80</v>
      </c>
      <c r="CA79" s="63">
        <f>IFERROR(BY79*(1+H2_retrieval!$F$34)/Carrier_properties!$E$7+H2_retrieval!$F$38,"")</f>
        <v>4993.0337181546083</v>
      </c>
      <c r="CB79" s="149">
        <f>(FA_invest*(M79+1/FA_lifetime)/FA_prod+FA_opex+FA_e_demand*1000*$AU79/100+Carriers!$P$18/Carriers!$P$23*BD79+Carriers!$P$20/Carriers!$P$23*co2_liq_cost)*(CF79+FA_st_ab_losses)/1000000</f>
        <v>95574.862811203144</v>
      </c>
      <c r="CC79" s="86">
        <f>(FA_invest*(M79+1/FA_lifetime)/FA_prod+FA_opex+FA_e_demand*1000*$AU79/100+Carriers!$P$18/Carriers!$P$23*BD79+Carriers!$P$20/Carriers!$P$23*BP79)*(CF79+FA_st_ab_losses)/1000000</f>
        <v>119289.43273754047</v>
      </c>
      <c r="CD79" s="63">
        <f>FA_st_nl_cost*FA_st_nl_demand/1000000+(FA_st_invest*(M79+1/FA_st_lifetime+FA_st_opex)/(Storage!$I$63/1000000)+FA_st_e_demand*1000*$AU79/100)*(CF79+FA_st_ab_losses)/1000000+co2_st_nl_cost*Storage!$I$12*co2_density/FA_density/1000000+(co2_st_opex_lev+co2_st_invest_lev+co2_st_e_demand*1000*$AU79/100)*Storage!$I$12/1000000+co2_st_invest_lev*Storage!$I$12*co2_st_lifetime*M79/1000000+Carriers!$P$18/Carriers!$P$23*((CF79+FA_st_ab_losses)/365.25*short_st_duration_hrs/24)*(h2_short_st_invest*(1/gh2_short_st_lifetime+$M79+h2_short_st_opex)+h2_short_st_e_demand*1000*$AU79/100)/1000000+Carriers!$P$20/Carriers!$P$23*((CF79+FA_st_ab_losses)/365.25*short_st_duration_hrs/24)*(co2_short_st_invest*(1/co2_short_st_lifetime+$M79+co2_short_st_opex)+co2_short_st_e_demand*1000*$AU79/100)/1000000</f>
        <v>10866.835763304463</v>
      </c>
      <c r="CE79" s="63">
        <f>FA_st_nl_cost*FA_st_nl_demand/1000000+(FA_st_invest*(M79+1/FA_st_lifetime+FA_st_opex)/(Storage!$I$63/1000000)+FA_st_e_demand*1000*$AU79/100)*(CF79+FA_st_ab_losses)/1000000+Carriers!$P$18/Carriers!$P$23*((CF79+FA_st_ab_losses)/365.25*short_st_duration_hrs/24)*(h2_short_st_invest*(1/gh2_short_st_lifetime+$M79+h2_short_st_opex)+h2_short_st_e_demand*1000*$AU79/100)/1000000+Carriers!$P$20/Carriers!$P$23*((CF79+FA_st_ab_losses)/365.25*short_st_duration_hrs/24)*(co2_short_st_invest*(1/co2_short_st_lifetime+$M79+co2_short_st_opex)+co2_short_st_e_demand*1000*$AU79/100)/1000000</f>
        <v>4676.8122983654039</v>
      </c>
      <c r="CF79" s="63">
        <f>Storage!$I$57/((1-Shipping!$J$37)^($F79/24/Shipping!$J$44+0.5*Shipping!$J$59))</f>
        <v>310425396.82539684</v>
      </c>
      <c r="CG79" s="28">
        <f>IF($E79="","No Port",((F79/24/Shipping!$J$44+F79/24/Shipping!$J$50+Shipping!$J$59+Shipping!$J$64)*(Shipping!$J$22+wacc_nl*Shipping!$J$19/365.25*1000000+Shipping!$J$35)+(F79/24/Shipping!$J$44*Shipping!$J$45+Shipping!$J$64*Shipping!$J$65)*IF(bunker_choice="HFO",$H79,IF(bunker_choice="hydrogen",$BD79*hfo_e_density_lhv/h2_e_density_lhv,(CB79+CD79)*1000000/CF79*hfo_e_density_lhv/FA_e_density_lhv))+(F79/24/Shipping!$J$50*Shipping!$J$51+Shipping!$J$59*Shipping!$J$60)*IF(bunker_choice="HFO",bunker_price_ROT,IF(bunker_choice="hydrogen",$BD79*hfo_e_density_lhv/h2_e_density_lhv,(CB79+CD79)*1000000/CF79*hfo_e_density_lhv/FA_e_density_lhv))+Shipping!$J$73+IF(G79="Panama",Shipping!$J$55,0)+IF(G79="Suez",Shipping!$J$56,0))/Shipping!$J$31*CF79/1000000+IF(inland_transport_to_port="hv dc grid",$BM79/100*1000*CI79,IF(inland_transport_to_port="pipeline",$BN79,0)))</f>
        <v>31443.357774429551</v>
      </c>
      <c r="CH79" s="28">
        <f t="shared" si="132"/>
        <v>155409.60281033543</v>
      </c>
      <c r="CI79" s="29">
        <f>((Carriers!$P$18/Carriers!$P$23*alk_el_e_demand)+FA_e_demand)*(CF79+FA_st_ab_losses)/1000000+FA_st_e_demand*CF79/1000000</f>
        <v>1897.8881241622576</v>
      </c>
      <c r="CJ79" s="29">
        <f t="shared" si="103"/>
        <v>0.46563809523809524</v>
      </c>
      <c r="CK79" s="28">
        <f>IFERROR(CH79*1000000/Storage!$I$12,"")</f>
        <v>500.6343050525204</v>
      </c>
      <c r="CL79" s="28">
        <f>IF($E79="","No Port",((F79/24/Shipping!$J$44+F79/24/Shipping!$J$50+Shipping!$J$59+Shipping!$J$64)*Carriers!$P$39*wacc_nl))</f>
        <v>491.96498918747477</v>
      </c>
      <c r="CM79" s="29">
        <f>H2_retrieval!$H$25*h2_demand_kt/1000+(co2_liq_e_demand+co2_st_e_demand*2)*Storage!$I$12*co2_density/FA_density/1000000</f>
        <v>94.204253879484654</v>
      </c>
      <c r="CN79" s="28">
        <f>IFERROR((((CB79+CD79+CG79)*(1+H2_retrieval!$H$34)+CL79)*1000000/H2_retrieval!$H$8)+h2_regen_fa,"")</f>
        <v>10264.468348511415</v>
      </c>
      <c r="CO79" s="149">
        <f>(meoh_invest*(M79+1/meoh_lifetime)/meoh_prod+meoh_opex+meoh_e_demand*1000*$AU79/100+Carriers!$R$18/Carriers!$R$23*BD79+Carriers!$R$20/Carriers!$R$23*co2_liq_cost)*(CS79+meoh_st_ab_losses)/1000000</f>
        <v>61113.375382025188</v>
      </c>
      <c r="CP79" s="86">
        <f>(meoh_invest*(M79+1/meoh_lifetime)/meoh_prod+meoh_opex+meoh_e_demand*1000*$AU79/100+Carriers!$R$18/Carriers!$R$23*BD79+Carriers!$R$20/Carriers!$R$23*BP79)*(CS79+meoh_st_ab_losses)/1000000</f>
        <v>75034.560041108998</v>
      </c>
      <c r="CQ79" s="63">
        <f>meoh_st_nl_cost*meoh_st_nl_demand/1000000+(meoh_st_invest*(M79+1/meoh_st_lifetime+meoh_st_opex)/(Storage!$K$63/1000000)+meoh_st_e_demand*1000*$AU79/100)*(CS79+meoh_st_ab_losses)/1000000+co2_st_nl_cost*Storage!$K$12*co2_density/meoh_density/1000000+(co2_st_opex_lev+co2_st_invest_lev+co2_st_e_demand*1000*IFERROR(MIN(S79,AA79,AI79),S79)/100)*Storage!$K$12/1000000+co2_st_invest_lev*Storage!$K$12*co2_st_lifetime*M79/1000000+Carriers!$R$18/Carriers!$R$23*((CS79+meoh_st_ab_losses)/365.25*short_st_duration_hrs/24)*(h2_short_st_invest*(1/gh2_short_st_lifetime+$M79+h2_short_st_opex)+h2_short_st_e_demand*1000*$AU79/100)/1000000+Carriers!$R$20/Carriers!$R$23*((CF79+meoh_st_ab_losses)/365.25*short_st_duration_hrs/24)*(co2_short_st_invest*(1/co2_short_st_lifetime+$M79+co2_short_st_opex)+co2_short_st_e_demand*1000*$AU79/100)/1000000</f>
        <v>4569.7022027372313</v>
      </c>
      <c r="CR79" s="63">
        <f>meoh_st_nl_cost*meoh_st_nl_demand/1000000+(meoh_st_invest*(M79+1/meoh_st_lifetime+meoh_st_opex)/(Storage!$K$63/1000000)+meoh_st_e_demand*1000*$AU79/100)*(CS79+meoh_st_ab_losses)/1000000+Carriers!$R$18/Carriers!$R$23*((CS79+meoh_st_ab_losses)/365.25*short_st_duration_hrs/24)*(h2_short_st_invest*(1/gh2_short_st_lifetime+$M79+h2_short_st_opex)+h2_short_st_e_demand*1000*$AU79/100)/1000000+Carriers!$R$20/Carriers!$R$23*((CF79+meoh_st_ab_losses)/365.25*short_st_duration_hrs/24)*(co2_short_st_invest*(1/co2_short_st_lifetime+$M79+co2_short_st_opex)+co2_short_st_e_demand*1000*$AU79/100)/1000000</f>
        <v>1816.2494488557875</v>
      </c>
      <c r="CS79" s="63">
        <f>Storage!$K$57/((1-Shipping!$L$37)^($F79/24/Shipping!$L$44+0.5*Shipping!$L$59))</f>
        <v>108044444.44444443</v>
      </c>
      <c r="CT79" s="28">
        <f>IF($E79="","No Port",IF(AND(ship_choice="VLCC",G79="Panama"),"Ship cannot pass through Panama",IF(ship_choice="VLCC",((F79/24/Shipping!$AD$44+F79/24/Shipping!$AD$50+Shipping!$AD$59+Shipping!$AD$64)*(Shipping!$AD$22+wacc_nl*Shipping!$AD$19/365.25*1000000+Shipping!$AD$35)+(F79/24/Shipping!$AD$44*Shipping!$AD$45+Shipping!$AD$64*Shipping!$AD$65)*IF(bunker_choice="HFO",$H79,IF(bunker_choice="hydrogen",$BD79*hfo_e_density_lhv/h2_e_density_lhv,(CO79+CQ79)*1000000/CS79*hfo_e_density_lhv/meoh_e_density_lhv))+(F79/24/Shipping!$AD$50*Shipping!$AD$51+Shipping!$AD$59*Shipping!$AD$60)*IF(bunker_choice="HFO",bunker_price_ROT,IF(bunker_choice="hydrogen",$BD79*hfo_e_density_lhv/h2_e_density_lhv,(CO79+CQ79)*1000000/CS79*hfo_e_density_lhv/meoh_e_density_lhv))+Shipping!$AD$73+IF(G79="Panama",Shipping!$AD$55,0)+IF(G79="Suez",Shipping!$AD$56,0))/Shipping!$AD$31*CS79/1000000+IF(inland_transport_to_port="hv dc grid",$BM79/100*1000*CV79,IF(inland_transport_to_port="pipeline",$BN79,0)),((F79/24/Shipping!$L$44+F79/24/Shipping!$L$50+Shipping!$L$59+Shipping!$L$64)*(Shipping!$L$22+wacc_nl*Shipping!$L$19/365.25*1000000+Shipping!$L$35)+(F79/24/Shipping!$L$44*Shipping!$L$45+Shipping!$L$64*Shipping!$L$65)*IF(bunker_choice="HFO",$H79,IF(bunker_choice="hydrogen",$BD79*hfo_e_density_lhv/h2_e_density_lhv,(CO79+CQ79)*1000000/CS79*hfo_e_density_lhv/meoh_e_density_lhv))+(F79/24/Shipping!$L$50*Shipping!$L$51+Shipping!$L$59*Shipping!$L$60)*IF(bunker_choice="HFO",bunker_price_ROT,IF(bunker_choice="hydrogen",$BD79*hfo_e_density_lhv/h2_e_density_lhv,(CO79+CQ79)*1000000/CS79*hfo_e_density_lhv/meoh_e_density_lhv))+Shipping!$L$73+IF(G79="Panama",Shipping!$L$55,0)+IF(G79="Suez",Shipping!$L$56,0))/Shipping!$L$31*CS79/1000000+IF(inland_transport_to_port="hv dc grid",$BM79/100*1000*CV79,IF(inland_transport_to_port="pipeline",$BN79,0)))))</f>
        <v>10726.498205646465</v>
      </c>
      <c r="CU79" s="28">
        <f t="shared" si="133"/>
        <v>87577.307695611249</v>
      </c>
      <c r="CV79" s="29">
        <f>((Carriers!$R$18/Carriers!$R$23*alk_el_e_demand)+meoh_e_demand)*(CS79+meoh_st_ab_losses)/1000000+meoh_st_e_demand*CS79/1000000</f>
        <v>1119.9789871111109</v>
      </c>
      <c r="CW79" s="29">
        <f t="shared" si="104"/>
        <v>0.16206666666666666</v>
      </c>
      <c r="CX79" s="28">
        <f>IFERROR(CU79*1000000/Storage!$K$12,"")</f>
        <v>810.56743033782539</v>
      </c>
      <c r="CY79" s="28">
        <f>IF($E79="","No Port",((F79/24/Shipping!$L$44+F79/24/Shipping!$L$50+Shipping!$L$59+Shipping!$L$64)*Carriers!$R$39*wacc_nl))</f>
        <v>176.59711608318992</v>
      </c>
      <c r="CZ79" s="29">
        <f>H2_retrieval!$J$25*h2_demand_kt/1000+(co2_liq_e_demand+co2_st_e_demand*2)*Storage!$K$12*co2_density/meoh_density/1000000</f>
        <v>251.05079059698966</v>
      </c>
      <c r="DA79" s="28">
        <f>IFERROR((((CO79+CQ79+CT79)*(1+H2_retrieval!$J$34)+CY79)*1000000/H2_retrieval!$J$8)+h2_regen_meoh,"")</f>
        <v>6801.4647863205328</v>
      </c>
      <c r="DB79" s="149">
        <f>(DBT_invest*(M79+1/DBT_lifetime)/DBT_prod+DBT_opex+DBT_e_demand*1000*$AU79/100+Carriers!$T$18/Carriers!$T$23*BD79)*(DD79+DBT_st_ab_losses)/1000000</f>
        <v>41006.082455711628</v>
      </c>
      <c r="DC79" s="28">
        <f>2*(DBT_st_nl_cost*DBT_st_nl_demand/1000000+(DBT_st_invest*(M79+1/DBT_st_lifetime+DBT_st_opex)/(Storage!$M$63/1000000)+DBT_st_e_demand*1000*$AU79/100)*(DD79+DBT_st_ab_losses)/1000000)+Carriers!$T$18/Carriers!$T$23*((DD79+DBT_st_ab_losses)/365.25*short_st_duration_hrs/24)*(h2_short_st_invest*(1/gh2_short_st_lifetime+$M79+h2_short_st_opex)+h2_short_st_e_demand*1000*$AU79/100)/1000000</f>
        <v>3805.3078105220452</v>
      </c>
      <c r="DD79" s="63">
        <f>Storage!$M$57/((1-Shipping!$N$37)^($F79/24/Shipping!$N$44+0.5*Shipping!$N$59))</f>
        <v>219354838.70967743</v>
      </c>
      <c r="DE79" s="28">
        <f>IF($E79="","No Port",IF(AND(ship_choice="VLCC",G79="Panama"),"Ship cannot pass through Panama",IF(ship_choice="VLCC",((F79/24/Shipping!$AD$44+F79/24/Shipping!$AD$50+Shipping!$AD$59+Shipping!$AD$64)*(Shipping!$AD$22+wacc_nl*Shipping!$AD$19/365.25*1000000+Shipping!$AD$35)+(F79/24/Shipping!$AD$44*Shipping!$AD$45+Shipping!$AD$64*Shipping!$AD$65)*IF(bunker_choice="HFO",$H79,IF(bunker_choice="hydrogen",$BD79*hfo_e_density_lhv/h2_e_density_lhv,(DB79+DC79)*1000000/DD79*hfo_e_density_lhv/DBT_e_density_lhv))+(F79/24/Shipping!$AD$50*Shipping!$AD$51+Shipping!$AD$59*Shipping!$AD$60)*IF(bunker_choice="HFO",bunker_price_ROT,IF(bunker_choice="hydrogen",$BD79*hfo_e_density_lhv/h2_e_density_lhv,(DB79+DC79)*1000000/DD79*hfo_e_density_lhv/DBT_e_density_lhv))+Shipping!$AD$73+IF(G79="Panama",Shipping!$AD$55,0)+IF(G79="Suez",Shipping!$AD$56,0))/Shipping!$AD$31*DD79/1000000+IF(inland_transport_to_port="hv dc grid",$BM79/100*1000*DG79,IF(inland_transport_to_port="pipeline",$BN79,0)),((F79/24/Shipping!$N$44+F79/24/Shipping!$N$50+Shipping!$N$59+Shipping!$N$64)*(Shipping!$N$22+wacc_nl*Shipping!$N$19/365.25*1000000+Shipping!$N$35)+(F79/24/Shipping!$N$44*Shipping!$N$45+Shipping!$N$64*Shipping!$N$65)*IF(bunker_choice="HFO",$H79,IF(bunker_choice="hydrogen",$BD79*hfo_e_density_lhv/h2_e_density_lhv,(DB79+DC79)*1000000/DD79*hfo_e_density_lhv/DBT_e_density_lhv))+(F79/24/Shipping!$N$50*Shipping!$N$51+Shipping!$N$59*Shipping!$N$60)*IF(bunker_choice="HFO",bunker_price_ROT,IF(bunker_choice="hydrogen",$BD79*hfo_e_density_lhv/h2_e_density_lhv,(DB79+DC79)*1000000/DD79*hfo_e_density_lhv/DBT_e_density_lhv))+Shipping!$N$73+IF(G79="Panama",Shipping!$N$55,0)+IF(G79="Suez",Shipping!$N$56,0))/Shipping!$N$31*Shipping!$N$86/1000000+IF(inland_transport_to_port="hv dc grid",$BM79/100*1000*DG79,IF(inland_transport_to_port="pipeline",$BN79,0)))))</f>
        <v>19783.858825303207</v>
      </c>
      <c r="DF79" s="28">
        <f t="shared" si="82"/>
        <v>64595.249091536883</v>
      </c>
      <c r="DG79" s="29">
        <f>((Carriers!$T$18/Carriers!$T$23*alk_el_e_demand)+DBT_e_demand)*(DD79+DBT_st_ab_losses)/1000000+DBT_st_e_demand*DD79/1000000</f>
        <v>703.88335483870969</v>
      </c>
      <c r="DH79" s="29">
        <f t="shared" si="105"/>
        <v>0.21935483870967742</v>
      </c>
      <c r="DI79" s="28">
        <f>IFERROR(DF79*1000000/Storage!$M$12,"")</f>
        <v>294.47834144671225</v>
      </c>
      <c r="DJ79" s="28">
        <f>IF($E79="","No Port",((F79/24/Shipping!$N$44+F79/24/Shipping!$N$50+Shipping!$N$59+Shipping!$N$64)*Carriers!$T$39*wacc_nl))</f>
        <v>12862.148195494327</v>
      </c>
      <c r="DK79" s="100">
        <f>H2_retrieval!$L$25*h2_demand_kt/1000+(co2_liq_e_demand+co2_st_e_demand*2)*Storage!$M$12*co2_density/DBT_density/1000000</f>
        <v>206.61934861671787</v>
      </c>
      <c r="DL79" s="28">
        <f>IFERROR(((DF79*(1+H2_retrieval!$L$34)+DJ79)*1000000/H2_retrieval!$L$8)+h2_regen_lohc,"")</f>
        <v>6166.0466399793258</v>
      </c>
      <c r="DM79" s="149">
        <f t="shared" si="127"/>
        <v>44796.958773255756</v>
      </c>
      <c r="DN79" s="16">
        <f>2*(nabh4_st_nl_cost*nabh4_st_nl_demand/1000000+(nabh4_st_invest*(M79+1/nabh4_st_lifetime+nabh4_st_opex)/(Storage!$O$63/1000000)+nabh4_st_e_demand*1000*$AU79/100)*(DO79+nabh4_st_ab_losses)/1000000)+(h2_demand_kt*1000/365.25*short_st_duration_hrs/24)*(h2_short_st_invest*(1/gh2_short_st_lifetime+$M79+h2_short_st_opex)+h2_short_st_e_demand*1000*$AU79/100)/1000000</f>
        <v>1281.0788521242343</v>
      </c>
      <c r="DO79" s="63">
        <f>Storage!$O$57/((1-Shipping!$P$37)^($F79/24/Shipping!$P$44+0.5*Shipping!$P$59))</f>
        <v>63920000</v>
      </c>
      <c r="DP79" s="16">
        <f>IF($E79="","No Port",((F79/24/Shipping!$P$44+F79/24/Shipping!$P$50+Shipping!$P$59+Shipping!$P$64)*(Shipping!$P$22+wacc_nl*Shipping!$P$19/365.25*1000000+Shipping!$P$35)+(F79/24/Shipping!$P$44*Shipping!$P$45+Shipping!$P$64*Shipping!$P$65)*IF(bunker_choice="HFO",$H79,IF(bunker_choice="hydrogen",$BD79*hfo_e_density_lhv/h2_e_density_lhv,(DM79+DN79)*1000000/DO79*hfo_e_density_lhv/nabh4_e_density_lhv))+(F79/24/Shipping!$P$50*Shipping!$P$51+Shipping!$P$59*Shipping!$P$60)*IF(bunker_choice="HFO",bunker_price_ROT,IF(bunker_choice="hydrogen",$BD79*hfo_e_density_lhv/h2_e_density_lhv,(DM79+DN79)*1000000/DO79*hfo_e_density_lhv/nabh4_e_density_lhv))+Shipping!$P$73+IF(G79="Panama",Shipping!$P$55,0)+IF(G79="Suez",Shipping!$P$56,0))/Shipping!$P$31*(DO79+nabh4_st_ab_losses)/1000000+IF(inland_transport_to_port="hv dc grid",$BM79/100*1000*DR79,IF(inland_transport_to_port="pipeline",$BN79,0)))</f>
        <v>5229.9419228420838</v>
      </c>
      <c r="DQ79" s="28">
        <f t="shared" si="60"/>
        <v>51307.979548222072</v>
      </c>
      <c r="DR79" s="29">
        <f>((Carriers!$V$18/Carriers!$V$23*alk_el_e_demand)+nabh4_e_demand)*(DO79+nabh4_st_ab_losses)/1000000+nabh4_st_e_demand*DO79/1000000</f>
        <v>980.02139682539689</v>
      </c>
      <c r="DS79" s="28">
        <f t="shared" si="106"/>
        <v>3.1960000000000002</v>
      </c>
      <c r="DT79" s="28">
        <f>IFERROR(DQ79*1000000/Storage!$O$12,"")</f>
        <v>802.69054362049542</v>
      </c>
      <c r="DU79" s="28">
        <f>IF($E79="","No Port",((F79/24/Shipping!$P$44+F79/24/Shipping!$P$50+Shipping!$P$59+Shipping!$P$64)*Carriers!$V$39*wacc_nl))</f>
        <v>1173.8227501003407</v>
      </c>
      <c r="DV79" s="100">
        <f>H2_retrieval!$N$25*h2_demand_kt/1000+(co2_liq_e_demand+co2_st_e_demand*2)*Storage!$O$12*co2_density/nabh4_density/1000000</f>
        <v>18.783638728971958</v>
      </c>
      <c r="DW79" s="28">
        <f>IFERROR(((DQ79*(1+H2_retrieval!$N$34)+DU79)*1000000/H2_retrieval!$N$8)+h2_regen_nabh4,"")</f>
        <v>3941.2831728982023</v>
      </c>
      <c r="DX79" s="149">
        <f>(Dme_invest*(M79+1/Dme_lifetime)/Dme_prod+Dme_opex+Dme_e_demand*1000*$AU79/100+Carriers!$X$21/Carriers!$X$23*(CO79*1000000/CS79))*(EB79+Dme_st_ab_losses)/1000000</f>
        <v>85646.034113709145</v>
      </c>
      <c r="DY79" s="86">
        <f>(Dme_invest*(M79+1/Dme_lifetime)/Dme_prod+Dme_opex+Dme_e_demand*1000*$AU79/100+Carriers!$X$21/Carriers!$X$23*(CP79*1000000/CS79))*(EB79+Dme_st_ab_losses)/1000000</f>
        <v>104532.40434457689</v>
      </c>
      <c r="DZ79" s="63">
        <f>Dme_st_nl_cost*Dme_st_nl_demand/1000000+(Dme_st_invest*(M79+1/Dme_st_lifetime+Dme_st_opex)/(Storage!$Q$63/1000000)+Dme_st_e_demand*1000*$AU79/100)*(EB79+Dme_st_ab_losses)/1000000+co2_st_nl_cost*Storage!$Q$12*co2_density/Dme_density/1000000+(co2_st_opex_lev+co2_st_invest_lev+co2_st_e_demand*1000*$AU79/100)*Storage!$Q$12/1000000+co2_st_invest_lev*Storage!$Q$12*co2_st_lifetime*M79/1000000+(h2_demand_kt*1000/365.25*short_st_duration_hrs/24)*(h2_short_st_invest*(1/gh2_short_st_lifetime+$M79+h2_short_st_opex)+h2_short_st_e_demand*1000*$AU79/100)/1000000</f>
        <v>5528.5514430004214</v>
      </c>
      <c r="EA79" s="63">
        <f>Dme_st_nl_cost*Dme_st_nl_demand/1000000+(Dme_st_invest*(M79+1/Dme_st_lifetime+Dme_st_opex)/(Storage!$Q$63/1000000)+Dme_st_e_demand*1000*$AU79/100)*(EB79+Dme_st_ab_losses)/1000000+(h2_demand_kt*1000/365.25*short_st_duration_hrs/24)*(h2_short_st_invest*(1/gh2_short_st_lifetime+$M79+h2_short_st_opex)+h2_short_st_e_demand*1000*$AU79/100)/1000000</f>
        <v>2762.810579638337</v>
      </c>
      <c r="EB79" s="63">
        <f>Storage!$Q$57/((1-Shipping!$R$37)^($F79/24/Shipping!$R$44+0.5*Shipping!$R$59))</f>
        <v>103547089.94708996</v>
      </c>
      <c r="EC79" s="153">
        <f>IF($E79="","No Port",IF(AND(ship_choice="VLCC",G79="Panama"),"Ship cannot pass through Panama",IF(ship_choice="VLCC",((F79/24/Shipping!$AD$44+F79/24/Shipping!$AD$50+Shipping!$AD$59+Shipping!$AD$64)*(Shipping!$AD$22+wacc_nl*Shipping!$AD$19/365.25*1000000+Shipping!$AD$35)+(F79/24/Shipping!$AD$44*Shipping!$AD$45+Shipping!$AD$64*Shipping!$AD$65)*IF(bunker_choice="HFO",$H79,IF(bunker_choice="hydrogen",$BD79*hfo_e_density_lhv/h2_e_density_lhv,(DX79+DZ79)*1000000/EB79*hfo_e_density_lhv/Dme_e_density_lhv))+(F79/24/Shipping!$AD$50*Shipping!$AD$51+Shipping!$AD$59*Shipping!$AD$60)*IF(bunker_choice="HFO",bunker_price_ROT,IF(bunker_choice="hydrogen",$BD79*hfo_e_density_lhv/h2_e_density_lhv,(DX79+DZ79)*1000000/EB79*hfo_e_density_lhv/Dme_e_density_lhv))+Shipping!$AD$73+IF(G79="Panama",Shipping!$AD$55,0)+IF(G79="Suez",Shipping!$AD$56,0))/Shipping!$AD$31*(EB79+Dme_st_ab_losses)/1000000+IF(inland_transport_to_port="hv dc grid",$BM79/100*1000*EE79,IF(inland_transport_to_port="pipeline",$BN79,0)),((F79/24/Shipping!$R$44+F79/24/Shipping!$R$50+Shipping!$R$59+Shipping!$R$64)*(Shipping!$R$22+wacc_nl*Shipping!$R$19/365.25*1000000+Shipping!$R$35)+(F79/24/Shipping!$R$44*Shipping!$R$45+Shipping!$R$64*Shipping!$R$65)*IF(bunker_choice="HFO",$H79,IF(bunker_choice="hydrogen",$BD79*hfo_e_density_lhv/h2_e_density_lhv,(DX79+DZ79)*1000000/EB79*hfo_e_density_lhv/Dme_e_density_lhv))+(F79/24/Shipping!$R$50*Shipping!$R$51+Shipping!$R$59*Shipping!$R$60)*IF(bunker_choice="HFO",bunker_price_ROT,IF(bunker_choice="hydrogen",$BD79*hfo_e_density_lhv/h2_e_density_lhv,(DX79+DZ79)*1000000/EB79*hfo_e_density_lhv/Dme_e_density_lhv))+Shipping!$R$73+IF(G79="Panama",Shipping!$R$55,0)+IF(G79="Suez",Shipping!$R$56,0))/Shipping!$R$31*(EB79+Dme_st_ab_losses)/1000000+IF(inland_transport_to_port="hv dc grid",$BM79/100*1000*EE79,IF(inland_transport_to_port="pipeline",$BN79,0)))))</f>
        <v>10697.648150556972</v>
      </c>
      <c r="ED79" s="28">
        <f t="shared" si="134"/>
        <v>117992.86307477219</v>
      </c>
      <c r="EE79" s="29">
        <f>(Dme_e_demand)*(EB79+Dme_st_ab_losses)/1000000+Dme_st_e_demand*DZ79/1000000+$CV79*(Carriers!$X$21/Carriers!$X$23*EB79)/$CS79</f>
        <v>1550.2168154525702</v>
      </c>
      <c r="EF79" s="29">
        <f t="shared" si="107"/>
        <v>1.0354708994708997</v>
      </c>
      <c r="EG79" s="28">
        <f>IFERROR(ED79*1000000/Storage!$Q$12,"")</f>
        <v>1139.5092139727312</v>
      </c>
      <c r="EH79" s="28">
        <f>IF($E79="","No Port",((F79/24/Shipping!$R$44+F79/24/Shipping!$R$50+Shipping!$R$59+Shipping!$R$64)*Carriers!$X$39*wacc_nl))</f>
        <v>184.59254614271333</v>
      </c>
      <c r="EI79" s="100">
        <f>H2_retrieval!$P$25*h2_demand_kt/1000+(co2_liq_e_demand+co2_st_e_demand*2)*Storage!$Q$12*co2_density/Dme_density/1000000</f>
        <v>252.45335899349112</v>
      </c>
      <c r="EJ79" s="28">
        <f>IFERROR((((DX79+DZ79+EC79)*(1+H2_retrieval!$P$34)+EH79)*1000000/H2_retrieval!$P$8)+h2_regen_dme,"")</f>
        <v>8674.3069441820899</v>
      </c>
      <c r="EK79" s="149">
        <f>(ome_invest*(M79+1/ome_lifetime)/ome_prod+ome_opex+ome_e_demand*1000*$AU79/100+Carriers!$Z$21/Carriers!$Z$23*(CO79*1000000/CS79))*(EO79+ome_st_ab_losses)/1000000</f>
        <v>185674.62631066306</v>
      </c>
      <c r="EL79" s="86">
        <f>(ome_invest*(M79+1/ome_lifetime)/ome_prod+ome_opex+ome_e_demand*1000*$AU79/100+Carriers!$Z$21/Carriers!$Z$23*(CP79*1000000/CS79))*(EO79+ome_st_ab_losses)/1000000</f>
        <v>225320.79390337295</v>
      </c>
      <c r="EM79" s="63">
        <f>ome_st_nl_cost*ome_st_nl_demand/1000000+(ome_st_invest*(M79+1/ome_st_lifetime+ome_st_opex)/(Storage!$S$63/1000000)+ome_st_e_demand*1000*$AU79/100)*(EO79+ome_st_ab_losses)/1000000+co2_st_nl_cost*Storage!$S$12*co2_density/ome_density/1000000+(co2_st_opex_lev+co2_st_invest_lev+co2_st_e_demand*1000*$AU79/100)*Storage!$S$12/1000000+co2_st_invest_lev*Storage!$S$12*co2_st_lifetime*M79/1000000+(h2_demand_kt*1000/365.25*short_st_duration_hrs/24)*(h2_short_st_invest*(1/gh2_short_st_lifetime+$M79+h2_short_st_opex)+h2_short_st_e_demand*1000*$AU79/100)/1000000</f>
        <v>4735.1493083059313</v>
      </c>
      <c r="EN79" s="63">
        <f>ome_st_nl_cost*ome_st_nl_demand/1000000+(ome_st_invest*(M79+1/ome_st_lifetime+ome_st_opex)/(Storage!$S$63/1000000)+ome_st_e_demand*1000*$AU79/100)*(EO79+ome_st_ab_losses)/1000000+(h2_demand_kt*1000/365.25*short_st_duration_hrs/24)*(h2_short_st_invest*(1/gh2_short_st_lifetime+$M79+h2_short_st_opex)+h2_short_st_e_demand*1000*$AU79/100)/1000000</f>
        <v>1647.6928766715582</v>
      </c>
      <c r="EO79" s="63">
        <f>Storage!$S$57/((1-Shipping!$T$37)^($F79/24/Shipping!$T$44+0.5*Shipping!$T$59))</f>
        <v>128282539.68253967</v>
      </c>
      <c r="EP79" s="28">
        <f>IF($E79="","No Port",IF(AND(ship_choice="VLCC",G79="Panama"),"Ship cannot pass through Panama",IF(ship_choice="VLCC",((F79/24/Shipping!$AD$44+F79/24/Shipping!$AD$50+Shipping!$AD$59+Shipping!$AD$64)*(Shipping!$AD$22+wacc_nl*Shipping!$AD$19/365.25*1000000+Shipping!$AD$35)+(F79/24/Shipping!$AD$44*Shipping!$AD$45+Shipping!$AD$64*Shipping!$AD$65)*IF(bunker_choice="HFO",$H79,IF(bunker_choice="hydrogen",$BD79*hfo_e_density_lhv/h2_e_density_lhv,(EK79+EM79)*1000000/EO79*hfo_e_density_lhv/Dme_e_density_lhv))+(F79/24/Shipping!$AD$50*Shipping!$AD$51+Shipping!$AD$59*Shipping!$AD$60)*IF(bunker_choice="HFO",bunker_price_ROT,IF(bunker_choice="hydrogen",$BD79*hfo_e_density_lhv/h2_e_density_lhv,(EK79+EM79)*1000000/EO79*hfo_e_density_lhv/ome_e_density_lhv))+Shipping!$AD$73+IF(G79="Panama",Shipping!$AD$55,0)+IF(G79="Suez",Shipping!$AD$56,0))/Shipping!$AD$31*(EO79+ome_st_ab_losses)/1000000+IF(inland_transport_to_port="hv dc grid",$BM79/100*1000*ER79,IF(inland_transport_to_port="pipeline",$BN79,0)),((F79/24/Shipping!$T$44+F79/24/Shipping!$T$50+Shipping!$T$59+Shipping!$T$64)*(Shipping!$T$22+wacc_nl*Shipping!$T$19/365.25*1000000+Shipping!$T$35)+(F79/24/Shipping!$T$44*Shipping!$T$45+Shipping!$T$64*Shipping!$T$65)*IF(bunker_choice="HFO",$H79,IF(bunker_choice="hydrogen",$BD79*hfo_e_density_lhv/h2_e_density_lhv,(EK79+EM79)*1000000/EO79*hfo_e_density_lhv/Dme_e_density_lhv))+(F79/24/Shipping!$T$50*Shipping!$T$51+Shipping!$T$59*Shipping!$T$60)*IF(bunker_choice="HFO",bunker_price_ROT,IF(bunker_choice="hydrogen",$BD79*hfo_e_density_lhv/h2_e_density_lhv,(EK79+EM79)*1000000/EO79*hfo_e_density_lhv/ome_e_density_lhv))+Shipping!$T$73+IF(G79="Panama",Shipping!$T$55,0)+IF(G79="Suez",Shipping!$T$56,0))/Shipping!$T$31*(EO79+ome_st_ab_losses)/1000000+IF(inland_transport_to_port="hv dc grid",$BM79/100*1000*ER79,IF(inland_transport_to_port="pipeline",$BN79,0)))))</f>
        <v>11964.283690728033</v>
      </c>
      <c r="EQ79" s="28">
        <f t="shared" si="135"/>
        <v>238932.77047077255</v>
      </c>
      <c r="ER79" s="29">
        <f>(ome_e_demand)*(EO79+ome_st_ab_losses)/1000000+ome_st_e_demand*EM79/1000000+$CV79*(Carriers!$Z$21/Carriers!$Z$23*EO79)/$CS79</f>
        <v>3352.0814572435074</v>
      </c>
      <c r="ES79" s="29">
        <f t="shared" si="108"/>
        <v>0.1924238095238095</v>
      </c>
      <c r="ET79" s="28">
        <f>IFERROR(EQ79*1000000/Storage!$S$12,"")</f>
        <v>1862.5509836495178</v>
      </c>
      <c r="EU79" s="28">
        <f>IF($E79="","No Port",((F79/24/Shipping!$T$44+F79/24/Shipping!$T$50+Shipping!$T$59+Shipping!$T$64)*Carriers!$Z$39*wacc_nl))</f>
        <v>209.67599646840281</v>
      </c>
      <c r="EV79" s="100">
        <f>H2_retrieval!$R$25*h2_demand_kt/1000+(co2_liq_e_demand+co2_st_e_demand*2)*Storage!$S$12*co2_density/ome_density/1000000</f>
        <v>254.51942895252085</v>
      </c>
      <c r="EW79" s="28">
        <f>IFERROR((((EK79+EM79+EP79)*(1+H2_retrieval!$R$34)+EU79)*1000000/H2_retrieval!$R$8)+h2_regen_ome,"")</f>
        <v>16065.991433355339</v>
      </c>
      <c r="EX79" s="149">
        <f>(sng_invest*(M79+1/sng_lifetime)/sng_prod+lng_invest*(M79+1/lng_lifetime)/lng_prod+sng_opex+lng_opex+(sng_e_demand+lng_e_demand)*1000*$AU79/100+Carriers!$AB$18/Carriers!$AB$23*BD79+Carriers!$AB$20/Carriers!$AB$23*co2_liq_cost)*(FB79+lng_st_ab_losses)/1000000</f>
        <v>67349.332154262142</v>
      </c>
      <c r="EY79" s="86">
        <f>(sng_invest*(M79+1/sng_lifetime)/sng_prod+lng_invest*(M79+1/lng_lifetime)/lng_prod+sng_opex+lng_opex+(sng_e_demand+lng_e_demand)*1000*$AU79/100+Carriers!$AB$18/Carriers!$AB$23*BD79+Carriers!$AB$20/Carriers!$AB$23*BP79)*(FB79+lng_st_ab_losses)/1000000</f>
        <v>78006.475377614188</v>
      </c>
      <c r="EZ79" s="63">
        <f>lng_st_nl_cost*lng_st_nl_demand/1000000+(lng_st_invest*(M79+1/lng_st_lifetime+lng_st_opex)/(Storage!$U$63/1000000)+lng_st_e_demand*1000*$AU79/100)*(FB79+lng_st_ab_losses)/1000000+co2_st_nl_cost*Storage!$U$12*co2_density/lng_density/1000000+(co2_st_opex_lev+co2_st_invest_lev+co2_st_e_demand*1000*$AU79/100)*Storage!$U$12/1000000+co2_st_invest_lev*Storage!$U$12*co2_st_lifetime*M79/1000000+Carriers!$AB$18/Carriers!$AB$23*((FB79+lng_st_ab_losses)/365.25*short_st_duration_hrs/24)*(h2_short_st_invest*(1/gh2_short_st_lifetime+$M79+h2_short_st_opex)+h2_short_st_e_demand*1000*$AU79/100)/1000000+Carriers!$AB$20/Carriers!$AB$23*((FB79+lng_st_ab_losses)/365.25*short_st_duration_hrs/24)*(co2_short_st_invest*(1/co2_short_st_lifetime+$M79+co2_short_st_opex)+co2_short_st_e_demand*1000*$AU79/100)/1000000</f>
        <v>5906.9448808428579</v>
      </c>
      <c r="FA79" s="63">
        <f>lng_st_nl_cost*lng_st_nl_demand/1000000+(lng_st_invest*(M79+1/lng_st_lifetime+lng_st_opex)/(Storage!$U$63/1000000)+lng_st_e_demand*1000*$AU79/100)*(FB79+lng_st_ab_losses)/1000000+Carriers!$AB$18/Carriers!$AB$23*((FB79+lng_st_ab_losses)/365.25*short_st_duration_hrs/24)*(h2_short_st_invest*(1/gh2_short_st_lifetime+$M79+h2_short_st_opex)+h2_short_st_e_demand*1000*$AU79/100)/1000000+Carriers!$AB$20/Carriers!$AB$23*((FB79+lng_st_ab_losses)/365.25*short_st_duration_hrs/24)*(co2_short_st_invest*(1/co2_short_st_lifetime+$M79+co2_short_st_opex)+co2_short_st_e_demand*1000*$AU79/100)/1000000</f>
        <v>4385.255251774829</v>
      </c>
      <c r="FB79" s="63">
        <f>Storage!$U$57/((1-Shipping!$V$37)^($F79/24/Shipping!$V$44+0.5*Shipping!$V$59))</f>
        <v>42145197.658576548</v>
      </c>
      <c r="FC79" s="28">
        <f>IF($E79="","No Port",IF(G79="Panama","Ship cannot pass through Panama",((F79/24/Shipping!$V$44+F79/24/Shipping!$V$50+Shipping!$V$59+Shipping!$V$64)*(Shipping!$V$22+wacc_nl*Shipping!$V$19/365.25*1000000+Shipping!$V$35)+(F79/24/Shipping!$V$44*Shipping!$V$45+Shipping!$V$64*Shipping!$V$65)*IF(bunker_choice="HFO",$H79,IF(bunker_choice="hydrogen",$BD79*hfo_e_density_lhv/h2_e_density_lhv,(EX79+EZ79)*1000000/FB79*hfo_e_density_lhv/lng_e_density_lhv))+(F79/24/Shipping!$V$50*Shipping!$V$51+Shipping!$V$59*Shipping!$V$60)*IF(bunker_choice="HFO",bunker_price_ROT,IF(bunker_choice="hydrogen",$BD79*hfo_e_density_lhv/h2_e_density_lhv,(EX79+EZ79)*1000000/FB79*hfo_e_density_lhv/lng_e_density_lhv))+Shipping!$V$73+IF(G79="Panama",Shipping!$V$55,0)+IF(G79="Suez",Shipping!$V$56,0))/Shipping!$V$31*(FB79+lng_st_ab_losses)/1000000)+IF(inland_transport_to_port="hv dc grid",$BM79/100*1000*FE79,IF(inland_transport_to_port="pipeline",$BN79,0)))</f>
        <v>4282.5577887912114</v>
      </c>
      <c r="FD79" s="28">
        <f t="shared" si="136"/>
        <v>86674.288418180222</v>
      </c>
      <c r="FE79" s="29">
        <f>((Carriers!$AB$18/Carriers!$AB$23*alk_el_e_demand)+sng_e_demand+lng_e_demand)*(FB79+lng_st_ab_losses)/1000000+lng_st_e_demand*EZ79/1000000</f>
        <v>1130.2732682472672</v>
      </c>
      <c r="FF79" s="29">
        <f t="shared" si="109"/>
        <v>0.8126185861001558</v>
      </c>
      <c r="FG79" s="28">
        <f>IFERROR(FD79*1000000/Storage!$U$12,"")</f>
        <v>2135.669653608164</v>
      </c>
      <c r="FH79" s="28">
        <f>IF($E79="","No Port",((F79/24/Shipping!$V$44+F79/24/Shipping!$V$50+Shipping!$V$59+Shipping!$V$64)*Carriers!$AB$39*wacc_nl))</f>
        <v>61.214032252507799</v>
      </c>
      <c r="FI79" s="100">
        <f>H2_retrieval!$T$25*h2_demand_kt/1000+(co2_liq_e_demand+co2_st_e_demand*2)*Storage!$U$12*co2_density/lng_density/1000000</f>
        <v>236.51371749646054</v>
      </c>
      <c r="FJ79" s="28">
        <f>IFERROR((((EX79+EZ79+FC79)*(1+H2_retrieval!$T$34)+FH79)*1000000/H2_retrieval!$T$8)+h2_regen_lng,"")</f>
        <v>6876.0144885011687</v>
      </c>
      <c r="FK79" s="149">
        <f>(lh2_invest*(M79+1/lh2_lifetime)/lh2_prod+lh2_opex+lh2_e_demand*1000*$AU79/100+Carriers!$AD$18/Carriers!$AD$23*BD79)*(FM79+lh2_st_ab_losses)/1000000</f>
        <v>52536.839476383473</v>
      </c>
      <c r="FL79" s="28">
        <f>lh2_st_nl_cost*lh2_st_nl_demand/1000000+(lh2_st_invest*(M79+1/lh2_st_lifetime+lh2_st_opex)/(Storage!$Y$63/1000000)+lh2_st_e_demand*1000*$AU79/100)*(FM79+lh2_st_ab_losses)/1000000+((FM79+lh2_st_ab_losses)/365.25*short_st_duration_hrs/24)*(h2_short_st_invest*(1/gh2_short_st_lifetime+$M79+h2_short_st_opex)+h2_short_st_e_demand*1000*$AU79/100)/1000000</f>
        <v>51710.927002594093</v>
      </c>
      <c r="FM79" s="63">
        <f>Storage!$Y$57/((1-Shipping!$Z$37)^($F79/24/Shipping!$Z$44+0.5*Shipping!$Z$59))</f>
        <v>14440482.284138257</v>
      </c>
      <c r="FN79" s="28">
        <f>IF($E79="","No Port",IF(G79="Panama","Ship cannot pass through Panama",((F79/24/Shipping!$Z$44+F79/24/Shipping!$Z$50+Shipping!$Z$59+Shipping!$Z$64)*(Shipping!$Z$22+wacc_nl*Shipping!$Z$19/365.25*1000000+Shipping!$Z$35)+(F79/24/Shipping!$Z$44*Shipping!$Z$45+Shipping!$Z$64*Shipping!$Z$65)*IF(bunker_choice="HFO",$H79,IF(bunker_choice="hydrogen",$BD79*hfo_e_density_lhv/h2_e_density_lhv,(FK79+FL79)*1000000/FM79*hfo_e_density_lhv/lh2_e_density_lhv))+(F79/24/Shipping!$Z$50*Shipping!$Z$51+Shipping!$Z$59*Shipping!$Z$60)*IF(bunker_choice="HFO",bunker_price_ROT,IF(bunker_choice="hydrogen",$BD79*hfo_e_density_lhv/h2_e_density_lhv,(FK79+FL79)*1000000/FM79*hfo_e_density_lhv/lh2_e_density_lhv))+Shipping!$Z$73+IF(G79="Panama",Shipping!$Z$55,0)+IF(G79="Suez",Shipping!$Z$56,0))/Shipping!$Z$31*(FM79+lh2_st_ab_losses)/1000000)+IF(inland_transport_to_port="hv dc grid",$BM79/100*1000*FP79,IF(inland_transport_to_port="pipeline",$BN79,0)))</f>
        <v>7470.81460002522</v>
      </c>
      <c r="FO79" s="28">
        <f t="shared" si="128"/>
        <v>111718.58107900279</v>
      </c>
      <c r="FP79" s="29">
        <f>((Carriers!$AD$18/Carriers!$AD$23*alk_el_e_demand)+lh2_e_demand)*(FM79+lh2_st_ab_losses)/1000000+lh2_st_e_demand*FM79/1000000</f>
        <v>836.76976293308462</v>
      </c>
      <c r="FQ79" s="100">
        <f t="shared" si="110"/>
        <v>1.361902463475859</v>
      </c>
      <c r="FR79" s="28">
        <f>IFERROR(FO79*1000000/Storage!$Y$12,"")</f>
        <v>8214.6015499266759</v>
      </c>
      <c r="FS79" s="100">
        <f>H2_retrieval!$V$25*h2_demand_kt/1000</f>
        <v>8.16</v>
      </c>
      <c r="FT79" s="28">
        <f>IFERROR(FR79*(1+H2_retrieval!$V$34)/Carrier_properties!$U$7+H2_retrieval!$V$38,"")</f>
        <v>8246.570275795144</v>
      </c>
      <c r="FU79" s="12"/>
      <c r="FV79" s="24">
        <f t="shared" si="129"/>
        <v>2.1844559879421159</v>
      </c>
      <c r="FW79" s="24" t="str">
        <f t="shared" si="92"/>
        <v/>
      </c>
      <c r="FX79" s="24">
        <f t="shared" si="93"/>
        <v>6.5123925081465543</v>
      </c>
      <c r="FY79" s="24">
        <f t="shared" si="130"/>
        <v>2.1844559879421159</v>
      </c>
      <c r="FZ79" s="28">
        <f t="shared" si="94"/>
        <v>2795.9421457130443</v>
      </c>
      <c r="GA79" s="28">
        <f t="shared" si="137"/>
        <v>623.29248659633868</v>
      </c>
      <c r="GB79" s="28">
        <f t="shared" si="138"/>
        <v>384.27729804799606</v>
      </c>
      <c r="GC79" s="28">
        <f t="shared" si="139"/>
        <v>694.47865114148601</v>
      </c>
      <c r="GD79" s="28">
        <f t="shared" si="140"/>
        <v>1009.5156164986423</v>
      </c>
      <c r="GE79" s="28">
        <f t="shared" si="141"/>
        <v>1756.4416362583208</v>
      </c>
      <c r="GF79" s="28">
        <f t="shared" si="142"/>
        <v>1850.898316091771</v>
      </c>
      <c r="GG79" s="12"/>
      <c r="GH79" s="12"/>
      <c r="GI79" s="12"/>
      <c r="GJ79" s="12"/>
      <c r="GK79" s="12"/>
      <c r="GL79" s="12"/>
      <c r="GM79" s="12"/>
      <c r="GN79" s="12"/>
      <c r="GO79" s="12"/>
      <c r="GP79" s="12"/>
      <c r="GQ79" s="12"/>
      <c r="GR79" s="12"/>
      <c r="GS79" s="12"/>
      <c r="GT79" s="12"/>
      <c r="GU79" s="12"/>
      <c r="GV79" s="12"/>
      <c r="GW79" s="12"/>
      <c r="GX79" s="12"/>
      <c r="GY79" s="12"/>
      <c r="GZ79" s="12"/>
      <c r="HA79" s="12"/>
      <c r="HB79" s="12"/>
      <c r="HC79" s="12"/>
      <c r="HD79" s="12"/>
      <c r="HE79" s="12"/>
      <c r="HF79" s="12"/>
    </row>
    <row r="80" spans="1:214" x14ac:dyDescent="0.2">
      <c r="A80" s="40" t="s">
        <v>82</v>
      </c>
      <c r="B80" s="12">
        <v>4277</v>
      </c>
      <c r="C80" s="12">
        <v>1</v>
      </c>
      <c r="D80" s="12">
        <f t="shared" si="111"/>
        <v>0</v>
      </c>
      <c r="E80" s="12" t="s">
        <v>747</v>
      </c>
      <c r="F80" s="12">
        <v>6580</v>
      </c>
      <c r="G80" s="12" t="s">
        <v>692</v>
      </c>
      <c r="H80" s="16">
        <f t="shared" si="112"/>
        <v>382.75862068965517</v>
      </c>
      <c r="I80" s="16">
        <v>17820</v>
      </c>
      <c r="J80" s="16">
        <f t="shared" si="113"/>
        <v>75.314554846956042</v>
      </c>
      <c r="K80" s="27">
        <f t="shared" si="114"/>
        <v>90.377465816347254</v>
      </c>
      <c r="L80" s="103">
        <v>8.5000000000000006E-2</v>
      </c>
      <c r="M80" s="103">
        <f t="shared" si="115"/>
        <v>0.10153843627327469</v>
      </c>
      <c r="N80" s="122">
        <f t="shared" si="116"/>
        <v>0.85</v>
      </c>
      <c r="O80" s="46">
        <f t="shared" si="117"/>
        <v>40</v>
      </c>
      <c r="P80" s="70">
        <f t="array" ref="P80">SUMPRODUCT(IF(Solar_data!A$4:A$777=A80,Solar_data!C$4:C$777),IF(Solar_data!A$4:A$777=A80,Solar_data!I$4:I$777))/SUMIF(Solar_data!A$4:A$777,A80,Solar_data!I$4:I$777)</f>
        <v>2255.423190071022</v>
      </c>
      <c r="Q80" s="16">
        <f t="array" ref="Q80">MAX(IF(Solar_data!$A$777:'Solar_data'!$A$4=Country_details!$A80,Solar_data!$C$4:'Solar_data'!$C$777))</f>
        <v>2281.25</v>
      </c>
      <c r="R80" s="16">
        <f t="array" ref="R80">MIN(IF(Solar_data!$A$777:'Solar_data'!$A$4=Country_details!A80,Solar_data!$C$4:'Solar_data'!$C$777))</f>
        <v>2098.75</v>
      </c>
      <c r="S80" s="24">
        <f t="shared" si="95"/>
        <v>1.8161952398063972</v>
      </c>
      <c r="T80" s="24">
        <f t="shared" si="96"/>
        <v>1.7956334735587725</v>
      </c>
      <c r="U80" s="24">
        <f t="shared" si="97"/>
        <v>1.9517755147377962</v>
      </c>
      <c r="V80" s="16">
        <f t="array" ref="V80">SUM(IF(Solar_data!$A$777:'Solar_data'!$A$4=Country_details!$A80,Solar_data!$I$4:'Solar_data'!$I$777))</f>
        <v>143.5681958307411</v>
      </c>
      <c r="W80" s="148"/>
      <c r="X80" s="16" t="str">
        <f>IFERROR(INDEX(Onshore_wind_data!$J$5:'Onshore_wind_data'!$J$221,MATCH(A80,Onshore_wind_data!$B$5:'Onshore_wind_data'!$B$221,0)),"")</f>
        <v/>
      </c>
      <c r="Y80" s="16" t="str">
        <f>IFERROR(INDEX(Onshore_wind_data!$K$5:'Onshore_wind_data'!$K$221,MATCH(A80,Onshore_wind_data!$B$5:'Onshore_wind_data'!$B$221,0)),"")</f>
        <v/>
      </c>
      <c r="Z80" s="16" t="str">
        <f>IFERROR(INDEX(Onshore_wind_data!$L$5:'Onshore_wind_data'!$L$221,MATCH(A80,Onshore_wind_data!$B$5:'Onshore_wind_data'!$B$221,0)),"")</f>
        <v/>
      </c>
      <c r="AA80" s="24" t="str">
        <f t="shared" si="118"/>
        <v/>
      </c>
      <c r="AB80" s="24" t="str">
        <f t="shared" si="119"/>
        <v/>
      </c>
      <c r="AC80" s="24" t="str">
        <f t="shared" si="120"/>
        <v/>
      </c>
      <c r="AD80" s="16">
        <f>IFERROR(INDEX(Onshore_wind_data!$I$5:'Onshore_wind_data'!$I$221,MATCH(A80,Onshore_wind_data!$B$5:'Onshore_wind_data'!$B$221,0)),"")</f>
        <v>0</v>
      </c>
      <c r="AE80" s="148"/>
      <c r="AF80" s="16" t="str">
        <f>INDEX(Offshore_wind_data!$AA$7:$AA$192,MATCH(Country_details!A80,Offshore_wind_data!$A$7:$A$192,0))</f>
        <v/>
      </c>
      <c r="AG80" s="16" t="str">
        <f>INDEX(Offshore_wind_data!$Y$7:$Y$192,MATCH(Country_details!A80,Offshore_wind_data!$A$7:$A$192,0))</f>
        <v/>
      </c>
      <c r="AH80" s="16" t="str">
        <f>INDEX(Offshore_wind_data!$Z$7:$Z$192,MATCH(Country_details!A80,Offshore_wind_data!$A$7:$A$192,0))</f>
        <v/>
      </c>
      <c r="AI80" s="24" t="str">
        <f t="shared" si="98"/>
        <v/>
      </c>
      <c r="AJ80" s="24" t="str">
        <f t="shared" si="99"/>
        <v/>
      </c>
      <c r="AK80" s="24" t="str">
        <f t="shared" si="100"/>
        <v/>
      </c>
      <c r="AL80" s="16">
        <f>INDEX(Offshore_wind_data!$W$7:$W$191,MATCH(A80,Offshore_wind_data!$A$7:$A$191,0))</f>
        <v>0</v>
      </c>
      <c r="AM80" s="148"/>
      <c r="AN80" s="12">
        <v>4.0999999999999996</v>
      </c>
      <c r="AO80" s="12">
        <v>5.6</v>
      </c>
      <c r="AP80" s="34">
        <f>9.757*11.63</f>
        <v>113.47391</v>
      </c>
      <c r="AQ80" s="15">
        <f t="shared" si="101"/>
        <v>50</v>
      </c>
      <c r="AR80" s="12">
        <f t="shared" si="131"/>
        <v>280</v>
      </c>
      <c r="AS80" s="16">
        <f t="shared" si="121"/>
        <v>-136.4318041692589</v>
      </c>
      <c r="AT80" s="12"/>
      <c r="AU80" s="24">
        <f t="shared" si="122"/>
        <v>1.8161952398063972</v>
      </c>
      <c r="AV80" s="16">
        <f t="shared" si="123"/>
        <v>2255.423190071022</v>
      </c>
      <c r="AW80" s="149">
        <f>HV_DC_Grid!$E$3/(1-AX80)*AU80/100*1000</f>
        <v>2003.4112111787219</v>
      </c>
      <c r="AX80" s="31">
        <f>(1-(1-HV_DC_Grid!$E$25)^(B80*C80*HV_DC_Grid!$E$8/1000))+(1-(1-HV_DC_Grid!$E$26)^(B80*D80*HV_DC_Grid!$E$8/1000))+HV_DC_Grid!$E$35*HV_DC_Grid!$E$28</f>
        <v>9.3448599232992521E-2</v>
      </c>
      <c r="AY80" s="28">
        <f>B80*nl_e_demand/IF(hv_dc_flh="electricity FLH",$AV80,hv_dc_custom)*1000*hv_dc_capacity_multiplier*hv_dc_length_multiplier*1000*(C80*hv_dc_overhead_invest*(hv_dc_overhead_opex+M80+1/hv_dc_lifetime)+D80*hv_dc_sea_invest*(hv_dc_sea_opex+M80+1/hv_dc_lifetime))/1000000+HV_DC_Grid!$E$10*1000*hv_dc_station_invest*hv_dc_station_number*(hv_dc_station_opex+M80+1/hv_dc_lifetime)/1000000</f>
        <v>3443.8489012088476</v>
      </c>
      <c r="AZ80" s="24">
        <f>(AW80+AY80)/(HV_DC_Grid!$E$3*1000)*100</f>
        <v>5.4472601123875686</v>
      </c>
      <c r="BA80" s="28">
        <f>MIN(((Carriers!$F$26+Carriers!$F$27)*(alk_el_opex+wacc_nl+1/alk_el_lifetime)+IF(hv_dc_flh="electricity FLH",$AV80,hv_dc_custom)*AZ80/100)/(IF(hv_dc_flh="electricity FLH",$AV80,hv_dc_custom)/alk_el_e_demand)*1000,((Carriers!$H$26+Carriers!$H$27)*(pem_el_opex+wacc_nl+1/pem_el_lifetime)+IF(hv_dc_flh="electricity FLH",$AV80,hv_dc_custom)*AZ80/100)/(IF(hv_dc_flh="electricity FLH",$AV80,hv_dc_custom)/pem_el_e_demand)*1000)</f>
        <v>3122.3039296006377</v>
      </c>
      <c r="BB80" s="12"/>
      <c r="BC80" s="12"/>
      <c r="BD80" s="149">
        <f>MIN(((Carriers!$F$26+Carriers!$F$27)*(alk_el_opex+M80+1/alk_el_lifetime)+$AV80*$AU80/100)/($AV80/alk_el_e_demand)*1000,((Carriers!$H$26+Carriers!$H$27)*(pem_el_opex+M80+1/pem_el_lifetime)+$AV80*$AU80/100)/($AV80/pem_el_e_demand)*1000)</f>
        <v>2247.2836105155475</v>
      </c>
      <c r="BE80" s="28">
        <f>Storage!$AC$50</f>
        <v>8.1664117557772418</v>
      </c>
      <c r="BF80" s="28">
        <f>((Pipeline!$D$22*Pipeline!$D$24*B80*(pipeline_opex+M80+1/pipeline_lifetime))*(Pipeline!$D$39/Pipeline!$D$3)+(Pipeline!$D$57*(pipeline_comp_opex+M80+1/pipeline_comp_lifetime)+Pipeline!$D$47*1000*Pipeline!$D$45*$AU80/100/1000000))*(Pipeline!$D$75/Pipeline!$D$45)</f>
        <v>8439.4444942590435</v>
      </c>
      <c r="BG80" s="28">
        <f>BD80+(BE80+BF80)/Storage!$AC$12*1000000</f>
        <v>2868.4314712519313</v>
      </c>
      <c r="BH80" s="28"/>
      <c r="BI80" s="28"/>
      <c r="BJ80" s="28">
        <f>IF($E80="","No Port",BK80*HV_DC_Grid!$E$3*$AU80/100*1000)</f>
        <v>28.600988768717638</v>
      </c>
      <c r="BK80" s="31">
        <f>IFERROR((1-(1-HV_DC_Grid!$E$25)^(K80*HV_DC_Grid!$E$8/1000))+HV_DC_Grid!$E$35*HV_DC_Grid!$E$28,"")</f>
        <v>1.5747750099689969E-2</v>
      </c>
      <c r="BL80" s="28">
        <f>IFERROR(K80*nl_e_demand/IF(hv_dc_flh="electricity FLH",$AV80,hv_dc_custom)*1000*hv_dc_capacity_multiplier*hv_dc_length_multiplier*1000*(hv_dc_overhead_invest*(hv_dc_overhead_opex+M80+1/hv_dc_lifetime))/1000000+HV_DC_Grid!$E$10*1000*hv_dc_station_invest*hv_dc_station_number*(hv_dc_station_opex+M80+1/hv_dc_lifetime)/1000000,"")</f>
        <v>425.61666044590567</v>
      </c>
      <c r="BM80" s="29">
        <f>IFERROR((BJ80+BL80)/(HV_DC_Grid!$E$3*1000)*100,"")</f>
        <v>0.45421764921462326</v>
      </c>
      <c r="BN80" s="28">
        <f>IFERROR(((Pipeline!$D$22*Pipeline!$D$24*K80*(pipeline_opex+M80+1/pipeline_lifetime))*(Pipeline!$D$39/Pipeline!$D$3)+(Pipeline!$D$57*(pipeline_comp_opex+M80+1/pipeline_comp_lifetime)+Pipeline!$D$47*1000*Pipeline!$D$45*S80/100/1000000))*(Pipeline!$D$75/Pipeline!$D$45),"")</f>
        <v>239.2246993606376</v>
      </c>
      <c r="BO80" s="28"/>
      <c r="BP80" s="150">
        <f t="shared" si="124"/>
        <v>97.258291955572531</v>
      </c>
      <c r="BQ80" s="34">
        <f t="shared" si="125"/>
        <v>29.284462725071176</v>
      </c>
      <c r="BR80" s="151">
        <f>(nh3_invest*(M80+1/nh3_lifetime)/nh3_prod+nh3_opex+nh3_e_demand*1000*$AU80/100+Carriers!$N$18/Carriers!$N$23*BD80+Carriers!$N$19/Carriers!$N$23*BQ80)*(BT80+nh3_st_ab_losses)/1000000</f>
        <v>41907.573709624543</v>
      </c>
      <c r="BS80" s="63">
        <f>nh3_st_nl_cost*nh3_st_nl_demand/1000000+(nh3_st_invest*(M80+1/nh3_st_lifetime+nh3_st_opex)/(Storage!$G$63/1000000)+nh3_st_e_demand*1000*$AU80/100)*(BT80+nh3_st_ab_losses)/1000000+Carriers!$N$18/Carriers!$N$23*((BT80+nh3_st_ab_losses)/365.25*short_st_duration_hrs/24)*(h2_short_st_invest*(1/gh2_short_st_lifetime+$M80+h2_short_st_opex)+h2_short_st_e_demand*1000*$AU80/100)/1000000+Carriers!$N$19/Carriers!$N$23*((BT80+nh3_st_ab_losses)/365.25*short_st_duration_hrs/24)*(n2_short_st_invest*(1/n2_short_st_lifetime+$M80+n2_short_st_opex)+n2_short_st_e_demand*1000*$AU80/100)/1000000</f>
        <v>3175.3753725572437</v>
      </c>
      <c r="BT80" s="63">
        <f>Storage!$G$57/((1-Shipping!$H$37)^(F80/24/Shipping!$H$44+0.5*Shipping!$H$59))</f>
        <v>80120463.419622794</v>
      </c>
      <c r="BU80" s="63">
        <f>IF($E80="","No Port",((F80/24/Shipping!$H$44+F80/24/Shipping!$H$50+Shipping!$H$59+Shipping!$H$64)*(Shipping!$H$22+wacc_nl*Shipping!$H$19/365.25*1000000+Shipping!$H$35)+(F80/24/Shipping!$H$44*Shipping!$H$45+Shipping!$H$64*Shipping!$H$65)*IF(bunker_choice="HFO",H80,IF(bunker_choice="hydrogen",BD80*hfo_e_density_lhv/h2_e_density_lhv,(BR80+BS80)*1000000/BT80*hfo_e_density_lhv/nh3_e_density_lhv))+(F80/24/Shipping!$H$50*Shipping!$H$51+Shipping!$H$59*Shipping!$H$60)*IF(bunker_choice="HFO",bunker_price_ROT,IF(bunker_choice="hydrogen",BD80*hfo_e_density_lhv/h2_e_density_lhv,(BR80+BS80)*1000000/BT80*hfo_e_density_lhv/nh3_e_density_lhv))+Shipping!$H$73+IF(G80="Panama",Shipping!$H$55,0)+IF(G80="Suez",Shipping!$H$56,0))/Shipping!$H$31*BT80/1000000+IF(inland_transport_to_port="hv dc grid",$BM80/100*1000*BW80,IF(inland_transport_to_port="pipeline",$BN80,0)))</f>
        <v>4665.8365804588093</v>
      </c>
      <c r="BV80" s="63">
        <f t="shared" si="126"/>
        <v>49748.785662640599</v>
      </c>
      <c r="BW80" s="33">
        <f>((Carriers!$N$18/Carriers!$N$23*alk_el_e_demand)+(Carriers!$N$19/Carriers!$N$23*n2_e_demand)+nh3_e_demand)*(BT80+nh3_st_ab_losses)/1000000+nh3_st_e_demand*BT80/1000000</f>
        <v>791.20119351722758</v>
      </c>
      <c r="BX80" s="33">
        <f t="shared" si="102"/>
        <v>0.76626754477640768</v>
      </c>
      <c r="BY80" s="63">
        <f>IFERROR(BV80*1000000/Storage!$G$12,"")</f>
        <v>649.77612852713628</v>
      </c>
      <c r="BZ80" s="63">
        <f>H2_retrieval!$F$25*h2_demand_kt/1000</f>
        <v>80</v>
      </c>
      <c r="CA80" s="63">
        <f>IFERROR(BY80*(1+H2_retrieval!$F$34)/Carrier_properties!$E$7+H2_retrieval!$F$38,"")</f>
        <v>4067.2249254261324</v>
      </c>
      <c r="CB80" s="149">
        <f>(FA_invest*(M80+1/FA_lifetime)/FA_prod+FA_opex+FA_e_demand*1000*$AU80/100+Carriers!$P$18/Carriers!$P$23*BD80+Carriers!$P$20/Carriers!$P$23*co2_liq_cost)*(CF80+FA_st_ab_losses)/1000000</f>
        <v>81986.658884078584</v>
      </c>
      <c r="CC80" s="86">
        <f>(FA_invest*(M80+1/FA_lifetime)/FA_prod+FA_opex+FA_e_demand*1000*$AU80/100+Carriers!$P$18/Carriers!$P$23*BD80+Carriers!$P$20/Carriers!$P$23*BP80)*(CF80+FA_st_ab_losses)/1000000</f>
        <v>105179.32837917827</v>
      </c>
      <c r="CD80" s="63">
        <f>FA_st_nl_cost*FA_st_nl_demand/1000000+(FA_st_invest*(M80+1/FA_st_lifetime+FA_st_opex)/(Storage!$I$63/1000000)+FA_st_e_demand*1000*$AU80/100)*(CF80+FA_st_ab_losses)/1000000+co2_st_nl_cost*Storage!$I$12*co2_density/FA_density/1000000+(co2_st_opex_lev+co2_st_invest_lev+co2_st_e_demand*1000*$AU80/100)*Storage!$I$12/1000000+co2_st_invest_lev*Storage!$I$12*co2_st_lifetime*M80/1000000+Carriers!$P$18/Carriers!$P$23*((CF80+FA_st_ab_losses)/365.25*short_st_duration_hrs/24)*(h2_short_st_invest*(1/gh2_short_st_lifetime+$M80+h2_short_st_opex)+h2_short_st_e_demand*1000*$AU80/100)/1000000+Carriers!$P$20/Carriers!$P$23*((CF80+FA_st_ab_losses)/365.25*short_st_duration_hrs/24)*(co2_short_st_invest*(1/co2_short_st_lifetime+$M80+co2_short_st_opex)+co2_short_st_e_demand*1000*$AU80/100)/1000000</f>
        <v>10750.710741934716</v>
      </c>
      <c r="CE80" s="63">
        <f>FA_st_nl_cost*FA_st_nl_demand/1000000+(FA_st_invest*(M80+1/FA_st_lifetime+FA_st_opex)/(Storage!$I$63/1000000)+FA_st_e_demand*1000*$AU80/100)*(CF80+FA_st_ab_losses)/1000000+Carriers!$P$18/Carriers!$P$23*((CF80+FA_st_ab_losses)/365.25*short_st_duration_hrs/24)*(h2_short_st_invest*(1/gh2_short_st_lifetime+$M80+h2_short_st_opex)+h2_short_st_e_demand*1000*$AU80/100)/1000000+Carriers!$P$20/Carriers!$P$23*((CF80+FA_st_ab_losses)/365.25*short_st_duration_hrs/24)*(co2_short_st_invest*(1/co2_short_st_lifetime+$M80+co2_short_st_opex)+co2_short_st_e_demand*1000*$AU80/100)/1000000</f>
        <v>4675.0047658709036</v>
      </c>
      <c r="CF80" s="63">
        <f>Storage!$I$57/((1-Shipping!$J$37)^($F80/24/Shipping!$J$44+0.5*Shipping!$J$59))</f>
        <v>310425396.82539684</v>
      </c>
      <c r="CG80" s="28">
        <f>IF($E80="","No Port",((F80/24/Shipping!$J$44+F80/24/Shipping!$J$50+Shipping!$J$59+Shipping!$J$64)*(Shipping!$J$22+wacc_nl*Shipping!$J$19/365.25*1000000+Shipping!$J$35)+(F80/24/Shipping!$J$44*Shipping!$J$45+Shipping!$J$64*Shipping!$J$65)*IF(bunker_choice="HFO",$H80,IF(bunker_choice="hydrogen",$BD80*hfo_e_density_lhv/h2_e_density_lhv,(CB80+CD80)*1000000/CF80*hfo_e_density_lhv/FA_e_density_lhv))+(F80/24/Shipping!$J$50*Shipping!$J$51+Shipping!$J$59*Shipping!$J$60)*IF(bunker_choice="HFO",bunker_price_ROT,IF(bunker_choice="hydrogen",$BD80*hfo_e_density_lhv/h2_e_density_lhv,(CB80+CD80)*1000000/CF80*hfo_e_density_lhv/FA_e_density_lhv))+Shipping!$J$73+IF(G80="Panama",Shipping!$J$55,0)+IF(G80="Suez",Shipping!$J$56,0))/Shipping!$J$31*CF80/1000000+IF(inland_transport_to_port="hv dc grid",$BM80/100*1000*CI80,IF(inland_transport_to_port="pipeline",$BN80,0)))</f>
        <v>18837.670020604604</v>
      </c>
      <c r="CH80" s="28">
        <f t="shared" si="132"/>
        <v>128692.00316565379</v>
      </c>
      <c r="CI80" s="29">
        <f>((Carriers!$P$18/Carriers!$P$23*alk_el_e_demand)+FA_e_demand)*(CF80+FA_st_ab_losses)/1000000+FA_st_e_demand*CF80/1000000</f>
        <v>1897.8881241622576</v>
      </c>
      <c r="CJ80" s="29">
        <f t="shared" si="103"/>
        <v>0.46563809523809524</v>
      </c>
      <c r="CK80" s="28">
        <f>IFERROR(CH80*1000000/Storage!$I$12,"")</f>
        <v>414.56660595988041</v>
      </c>
      <c r="CL80" s="28">
        <f>IF($E80="","No Port",((F80/24/Shipping!$J$44+F80/24/Shipping!$J$50+Shipping!$J$59+Shipping!$J$64)*Carriers!$P$39*wacc_nl))</f>
        <v>317.45024152776148</v>
      </c>
      <c r="CM80" s="29">
        <f>H2_retrieval!$H$25*h2_demand_kt/1000+(co2_liq_e_demand+co2_st_e_demand*2)*Storage!$I$12*co2_density/FA_density/1000000</f>
        <v>94.204253879484654</v>
      </c>
      <c r="CN80" s="28">
        <f>IFERROR((((CB80+CD80+CG80)*(1+H2_retrieval!$H$34)+CL80)*1000000/H2_retrieval!$H$8)+h2_regen_fa,"")</f>
        <v>8317.0763301306088</v>
      </c>
      <c r="CO80" s="149">
        <f>(meoh_invest*(M80+1/meoh_lifetime)/meoh_prod+meoh_opex+meoh_e_demand*1000*$AU80/100+Carriers!$R$18/Carriers!$R$23*BD80+Carriers!$R$20/Carriers!$R$23*co2_liq_cost)*(CS80+meoh_st_ab_losses)/1000000</f>
        <v>49493.382227634167</v>
      </c>
      <c r="CP80" s="86">
        <f>(meoh_invest*(M80+1/meoh_lifetime)/meoh_prod+meoh_opex+meoh_e_demand*1000*$AU80/100+Carriers!$R$18/Carriers!$R$23*BD80+Carriers!$R$20/Carriers!$R$23*BP80)*(CS80+meoh_st_ab_losses)/1000000</f>
        <v>63108.195221556729</v>
      </c>
      <c r="CQ80" s="63">
        <f>meoh_st_nl_cost*meoh_st_nl_demand/1000000+(meoh_st_invest*(M80+1/meoh_st_lifetime+meoh_st_opex)/(Storage!$K$63/1000000)+meoh_st_e_demand*1000*$AU80/100)*(CS80+meoh_st_ab_losses)/1000000+co2_st_nl_cost*Storage!$K$12*co2_density/meoh_density/1000000+(co2_st_opex_lev+co2_st_invest_lev+co2_st_e_demand*1000*IFERROR(MIN(S80,AA80,AI80),S80)/100)*Storage!$K$12/1000000+co2_st_invest_lev*Storage!$K$12*co2_st_lifetime*M80/1000000+Carriers!$R$18/Carriers!$R$23*((CS80+meoh_st_ab_losses)/365.25*short_st_duration_hrs/24)*(h2_short_st_invest*(1/gh2_short_st_lifetime+$M80+h2_short_st_opex)+h2_short_st_e_demand*1000*$AU80/100)/1000000+Carriers!$R$20/Carriers!$R$23*((CF80+meoh_st_ab_losses)/365.25*short_st_duration_hrs/24)*(co2_short_st_invest*(1/co2_short_st_lifetime+$M80+co2_short_st_opex)+co2_short_st_e_demand*1000*$AU80/100)/1000000</f>
        <v>4529.1637794141316</v>
      </c>
      <c r="CR80" s="63">
        <f>meoh_st_nl_cost*meoh_st_nl_demand/1000000+(meoh_st_invest*(M80+1/meoh_st_lifetime+meoh_st_opex)/(Storage!$K$63/1000000)+meoh_st_e_demand*1000*$AU80/100)*(CS80+meoh_st_ab_losses)/1000000+Carriers!$R$18/Carriers!$R$23*((CS80+meoh_st_ab_losses)/365.25*short_st_duration_hrs/24)*(h2_short_st_invest*(1/gh2_short_st_lifetime+$M80+h2_short_st_opex)+h2_short_st_e_demand*1000*$AU80/100)/1000000+Carriers!$R$20/Carriers!$R$23*((CF80+meoh_st_ab_losses)/365.25*short_st_duration_hrs/24)*(co2_short_st_invest*(1/co2_short_st_lifetime+$M80+co2_short_st_opex)+co2_short_st_e_demand*1000*$AU80/100)/1000000</f>
        <v>1815.4995534757084</v>
      </c>
      <c r="CS80" s="63">
        <f>Storage!$K$57/((1-Shipping!$L$37)^($F80/24/Shipping!$L$44+0.5*Shipping!$L$59))</f>
        <v>108044444.44444443</v>
      </c>
      <c r="CT80" s="28">
        <f>IF($E80="","No Port",IF(AND(ship_choice="VLCC",G80="Panama"),"Ship cannot pass through Panama",IF(ship_choice="VLCC",((F80/24/Shipping!$AD$44+F80/24/Shipping!$AD$50+Shipping!$AD$59+Shipping!$AD$64)*(Shipping!$AD$22+wacc_nl*Shipping!$AD$19/365.25*1000000+Shipping!$AD$35)+(F80/24/Shipping!$AD$44*Shipping!$AD$45+Shipping!$AD$64*Shipping!$AD$65)*IF(bunker_choice="HFO",$H80,IF(bunker_choice="hydrogen",$BD80*hfo_e_density_lhv/h2_e_density_lhv,(CO80+CQ80)*1000000/CS80*hfo_e_density_lhv/meoh_e_density_lhv))+(F80/24/Shipping!$AD$50*Shipping!$AD$51+Shipping!$AD$59*Shipping!$AD$60)*IF(bunker_choice="HFO",bunker_price_ROT,IF(bunker_choice="hydrogen",$BD80*hfo_e_density_lhv/h2_e_density_lhv,(CO80+CQ80)*1000000/CS80*hfo_e_density_lhv/meoh_e_density_lhv))+Shipping!$AD$73+IF(G80="Panama",Shipping!$AD$55,0)+IF(G80="Suez",Shipping!$AD$56,0))/Shipping!$AD$31*CS80/1000000+IF(inland_transport_to_port="hv dc grid",$BM80/100*1000*CV80,IF(inland_transport_to_port="pipeline",$BN80,0)),((F80/24/Shipping!$L$44+F80/24/Shipping!$L$50+Shipping!$L$59+Shipping!$L$64)*(Shipping!$L$22+wacc_nl*Shipping!$L$19/365.25*1000000+Shipping!$L$35)+(F80/24/Shipping!$L$44*Shipping!$L$45+Shipping!$L$64*Shipping!$L$65)*IF(bunker_choice="HFO",$H80,IF(bunker_choice="hydrogen",$BD80*hfo_e_density_lhv/h2_e_density_lhv,(CO80+CQ80)*1000000/CS80*hfo_e_density_lhv/meoh_e_density_lhv))+(F80/24/Shipping!$L$50*Shipping!$L$51+Shipping!$L$59*Shipping!$L$60)*IF(bunker_choice="HFO",bunker_price_ROT,IF(bunker_choice="hydrogen",$BD80*hfo_e_density_lhv/h2_e_density_lhv,(CO80+CQ80)*1000000/CS80*hfo_e_density_lhv/meoh_e_density_lhv))+Shipping!$L$73+IF(G80="Panama",Shipping!$L$55,0)+IF(G80="Suez",Shipping!$L$56,0))/Shipping!$L$31*CS80/1000000+IF(inland_transport_to_port="hv dc grid",$BM80/100*1000*CV80,IF(inland_transport_to_port="pipeline",$BN80,0)))))</f>
        <v>6414.7621800367833</v>
      </c>
      <c r="CU80" s="28">
        <f t="shared" si="133"/>
        <v>71338.456955069225</v>
      </c>
      <c r="CV80" s="29">
        <f>((Carriers!$R$18/Carriers!$R$23*alk_el_e_demand)+meoh_e_demand)*(CS80+meoh_st_ab_losses)/1000000+meoh_st_e_demand*CS80/1000000</f>
        <v>1119.9789871111109</v>
      </c>
      <c r="CW80" s="29">
        <f t="shared" si="104"/>
        <v>0.16206666666666666</v>
      </c>
      <c r="CX80" s="28">
        <f>IFERROR(CU80*1000000/Storage!$K$12,"")</f>
        <v>660.26955223737468</v>
      </c>
      <c r="CY80" s="28">
        <f>IF($E80="","No Port",((F80/24/Shipping!$L$44+F80/24/Shipping!$L$50+Shipping!$L$59+Shipping!$L$64)*Carriers!$R$39*wacc_nl))</f>
        <v>113.76226556977102</v>
      </c>
      <c r="CZ80" s="29">
        <f>H2_retrieval!$J$25*h2_demand_kt/1000+(co2_liq_e_demand+co2_st_e_demand*2)*Storage!$K$12*co2_density/meoh_density/1000000</f>
        <v>251.05079059698966</v>
      </c>
      <c r="DA80" s="28">
        <f>IFERROR((((CO80+CQ80+CT80)*(1+H2_retrieval!$J$34)+CY80)*1000000/H2_retrieval!$J$8)+h2_regen_meoh,"")</f>
        <v>5622.4131353030907</v>
      </c>
      <c r="DB80" s="149">
        <f>(DBT_invest*(M80+1/DBT_lifetime)/DBT_prod+DBT_opex+DBT_e_demand*1000*$AU80/100+Carriers!$T$18/Carriers!$T$23*BD80)*(DD80+DBT_st_ab_losses)/1000000</f>
        <v>33525.795496179497</v>
      </c>
      <c r="DC80" s="28">
        <f>2*(DBT_st_nl_cost*DBT_st_nl_demand/1000000+(DBT_st_invest*(M80+1/DBT_st_lifetime+DBT_st_opex)/(Storage!$M$63/1000000)+DBT_st_e_demand*1000*$AU80/100)*(DD80+DBT_st_ab_losses)/1000000)+Carriers!$T$18/Carriers!$T$23*((DD80+DBT_st_ab_losses)/365.25*short_st_duration_hrs/24)*(h2_short_st_invest*(1/gh2_short_st_lifetime+$M80+h2_short_st_opex)+h2_short_st_e_demand*1000*$AU80/100)/1000000</f>
        <v>3803.6876442803318</v>
      </c>
      <c r="DD80" s="63">
        <f>Storage!$M$57/((1-Shipping!$N$37)^($F80/24/Shipping!$N$44+0.5*Shipping!$N$59))</f>
        <v>219354838.70967743</v>
      </c>
      <c r="DE80" s="28">
        <f>IF($E80="","No Port",IF(AND(ship_choice="VLCC",G80="Panama"),"Ship cannot pass through Panama",IF(ship_choice="VLCC",((F80/24/Shipping!$AD$44+F80/24/Shipping!$AD$50+Shipping!$AD$59+Shipping!$AD$64)*(Shipping!$AD$22+wacc_nl*Shipping!$AD$19/365.25*1000000+Shipping!$AD$35)+(F80/24/Shipping!$AD$44*Shipping!$AD$45+Shipping!$AD$64*Shipping!$AD$65)*IF(bunker_choice="HFO",$H80,IF(bunker_choice="hydrogen",$BD80*hfo_e_density_lhv/h2_e_density_lhv,(DB80+DC80)*1000000/DD80*hfo_e_density_lhv/DBT_e_density_lhv))+(F80/24/Shipping!$AD$50*Shipping!$AD$51+Shipping!$AD$59*Shipping!$AD$60)*IF(bunker_choice="HFO",bunker_price_ROT,IF(bunker_choice="hydrogen",$BD80*hfo_e_density_lhv/h2_e_density_lhv,(DB80+DC80)*1000000/DD80*hfo_e_density_lhv/DBT_e_density_lhv))+Shipping!$AD$73+IF(G80="Panama",Shipping!$AD$55,0)+IF(G80="Suez",Shipping!$AD$56,0))/Shipping!$AD$31*DD80/1000000+IF(inland_transport_to_port="hv dc grid",$BM80/100*1000*DG80,IF(inland_transport_to_port="pipeline",$BN80,0)),((F80/24/Shipping!$N$44+F80/24/Shipping!$N$50+Shipping!$N$59+Shipping!$N$64)*(Shipping!$N$22+wacc_nl*Shipping!$N$19/365.25*1000000+Shipping!$N$35)+(F80/24/Shipping!$N$44*Shipping!$N$45+Shipping!$N$64*Shipping!$N$65)*IF(bunker_choice="HFO",$H80,IF(bunker_choice="hydrogen",$BD80*hfo_e_density_lhv/h2_e_density_lhv,(DB80+DC80)*1000000/DD80*hfo_e_density_lhv/DBT_e_density_lhv))+(F80/24/Shipping!$N$50*Shipping!$N$51+Shipping!$N$59*Shipping!$N$60)*IF(bunker_choice="HFO",bunker_price_ROT,IF(bunker_choice="hydrogen",$BD80*hfo_e_density_lhv/h2_e_density_lhv,(DB80+DC80)*1000000/DD80*hfo_e_density_lhv/DBT_e_density_lhv))+Shipping!$N$73+IF(G80="Panama",Shipping!$N$55,0)+IF(G80="Suez",Shipping!$N$56,0))/Shipping!$N$31*Shipping!$N$86/1000000+IF(inland_transport_to_port="hv dc grid",$BM80/100*1000*DG80,IF(inland_transport_to_port="pipeline",$BN80,0)))))</f>
        <v>11820.084909107329</v>
      </c>
      <c r="DF80" s="28">
        <f t="shared" si="82"/>
        <v>49149.568049567155</v>
      </c>
      <c r="DG80" s="29">
        <f>((Carriers!$T$18/Carriers!$T$23*alk_el_e_demand)+DBT_e_demand)*(DD80+DBT_st_ab_losses)/1000000+DBT_st_e_demand*DD80/1000000</f>
        <v>703.88335483870969</v>
      </c>
      <c r="DH80" s="29">
        <f t="shared" si="105"/>
        <v>0.21935483870967742</v>
      </c>
      <c r="DI80" s="28">
        <f>IFERROR(DF80*1000000/Storage!$M$12,"")</f>
        <v>224.06420728479142</v>
      </c>
      <c r="DJ80" s="28">
        <f>IF($E80="","No Port",((F80/24/Shipping!$N$44+F80/24/Shipping!$N$50+Shipping!$N$59+Shipping!$N$64)*Carriers!$T$39*wacc_nl))</f>
        <v>8285.679581111006</v>
      </c>
      <c r="DK80" s="100">
        <f>H2_retrieval!$L$25*h2_demand_kt/1000+(co2_liq_e_demand+co2_st_e_demand*2)*Storage!$M$12*co2_density/DBT_density/1000000</f>
        <v>206.61934861671787</v>
      </c>
      <c r="DL80" s="28">
        <f>IFERROR(((DF80*(1+H2_retrieval!$L$34)+DJ80)*1000000/H2_retrieval!$L$8)+h2_regen_lohc,"")</f>
        <v>4693.829753482778</v>
      </c>
      <c r="DM80" s="149">
        <f t="shared" si="127"/>
        <v>41199.694258926844</v>
      </c>
      <c r="DN80" s="16">
        <f>2*(nabh4_st_nl_cost*nabh4_st_nl_demand/1000000+(nabh4_st_invest*(M80+1/nabh4_st_lifetime+nabh4_st_opex)/(Storage!$O$63/1000000)+nabh4_st_e_demand*1000*$AU80/100)*(DO80+nabh4_st_ab_losses)/1000000)+(h2_demand_kt*1000/365.25*short_st_duration_hrs/24)*(h2_short_st_invest*(1/gh2_short_st_lifetime+$M80+h2_short_st_opex)+h2_short_st_e_demand*1000*$AU80/100)/1000000</f>
        <v>1257.5350544018938</v>
      </c>
      <c r="DO80" s="63">
        <f>Storage!$O$57/((1-Shipping!$P$37)^($F80/24/Shipping!$P$44+0.5*Shipping!$P$59))</f>
        <v>63920000</v>
      </c>
      <c r="DP80" s="16">
        <f>IF($E80="","No Port",((F80/24/Shipping!$P$44+F80/24/Shipping!$P$50+Shipping!$P$59+Shipping!$P$64)*(Shipping!$P$22+wacc_nl*Shipping!$P$19/365.25*1000000+Shipping!$P$35)+(F80/24/Shipping!$P$44*Shipping!$P$45+Shipping!$P$64*Shipping!$P$65)*IF(bunker_choice="HFO",$H80,IF(bunker_choice="hydrogen",$BD80*hfo_e_density_lhv/h2_e_density_lhv,(DM80+DN80)*1000000/DO80*hfo_e_density_lhv/nabh4_e_density_lhv))+(F80/24/Shipping!$P$50*Shipping!$P$51+Shipping!$P$59*Shipping!$P$60)*IF(bunker_choice="HFO",bunker_price_ROT,IF(bunker_choice="hydrogen",$BD80*hfo_e_density_lhv/h2_e_density_lhv,(DM80+DN80)*1000000/DO80*hfo_e_density_lhv/nabh4_e_density_lhv))+Shipping!$P$73+IF(G80="Panama",Shipping!$P$55,0)+IF(G80="Suez",Shipping!$P$56,0))/Shipping!$P$31*(DO80+nabh4_st_ab_losses)/1000000+IF(inland_transport_to_port="hv dc grid",$BM80/100*1000*DR80,IF(inland_transport_to_port="pipeline",$BN80,0)))</f>
        <v>2973.8458915048254</v>
      </c>
      <c r="DQ80" s="28">
        <f t="shared" si="60"/>
        <v>45431.075204833563</v>
      </c>
      <c r="DR80" s="29">
        <f>((Carriers!$V$18/Carriers!$V$23*alk_el_e_demand)+nabh4_e_demand)*(DO80+nabh4_st_ab_losses)/1000000+nabh4_st_e_demand*DO80/1000000</f>
        <v>980.02139682539689</v>
      </c>
      <c r="DS80" s="28">
        <f t="shared" si="106"/>
        <v>3.1960000000000002</v>
      </c>
      <c r="DT80" s="28">
        <f>IFERROR(DQ80*1000000/Storage!$O$12,"")</f>
        <v>710.74898630840994</v>
      </c>
      <c r="DU80" s="28">
        <f>IF($E80="","No Port",((F80/24/Shipping!$P$44+F80/24/Shipping!$P$50+Shipping!$P$59+Shipping!$P$64)*Carriers!$V$39*wacc_nl))</f>
        <v>764.14154594030163</v>
      </c>
      <c r="DV80" s="100">
        <f>H2_retrieval!$N$25*h2_demand_kt/1000+(co2_liq_e_demand+co2_st_e_demand*2)*Storage!$O$12*co2_density/nabh4_density/1000000</f>
        <v>18.783638728971958</v>
      </c>
      <c r="DW80" s="28">
        <f>IFERROR(((DQ80*(1+H2_retrieval!$N$34)+DU80)*1000000/H2_retrieval!$N$8)+h2_regen_nabh4,"")</f>
        <v>3470.3917291911198</v>
      </c>
      <c r="DX80" s="149">
        <f>(Dme_invest*(M80+1/Dme_lifetime)/Dme_prod+Dme_opex+Dme_e_demand*1000*$AU80/100+Carriers!$X$21/Carriers!$X$23*(CO80*1000000/CS80))*(EB80+Dme_st_ab_losses)/1000000</f>
        <v>69763.751197232588</v>
      </c>
      <c r="DY80" s="86">
        <f>(Dme_invest*(M80+1/Dme_lifetime)/Dme_prod+Dme_opex+Dme_e_demand*1000*$AU80/100+Carriers!$X$21/Carriers!$X$23*(CP80*1000000/CS80))*(EB80+Dme_st_ab_losses)/1000000</f>
        <v>88234.478015690955</v>
      </c>
      <c r="DZ80" s="63">
        <f>Dme_st_nl_cost*Dme_st_nl_demand/1000000+(Dme_st_invest*(M80+1/Dme_st_lifetime+Dme_st_opex)/(Storage!$Q$63/1000000)+Dme_st_e_demand*1000*$AU80/100)*(EB80+Dme_st_ab_losses)/1000000+co2_st_nl_cost*Storage!$Q$12*co2_density/Dme_density/1000000+(co2_st_opex_lev+co2_st_invest_lev+co2_st_e_demand*1000*$AU80/100)*Storage!$Q$12/1000000+co2_st_invest_lev*Storage!$Q$12*co2_st_lifetime*M80/1000000+(h2_demand_kt*1000/365.25*short_st_duration_hrs/24)*(h2_short_st_invest*(1/gh2_short_st_lifetime+$M80+h2_short_st_opex)+h2_short_st_e_demand*1000*$AU80/100)/1000000</f>
        <v>5486.5982415082535</v>
      </c>
      <c r="EA80" s="63">
        <f>Dme_st_nl_cost*Dme_st_nl_demand/1000000+(Dme_st_invest*(M80+1/Dme_st_lifetime+Dme_st_opex)/(Storage!$Q$63/1000000)+Dme_st_e_demand*1000*$AU80/100)*(EB80+Dme_st_ab_losses)/1000000+(h2_demand_kt*1000/365.25*short_st_duration_hrs/24)*(h2_short_st_invest*(1/gh2_short_st_lifetime+$M80+h2_short_st_opex)+h2_short_st_e_demand*1000*$AU80/100)/1000000</f>
        <v>2758.9897069573626</v>
      </c>
      <c r="EB80" s="63">
        <f>Storage!$Q$57/((1-Shipping!$R$37)^($F80/24/Shipping!$R$44+0.5*Shipping!$R$59))</f>
        <v>103547089.94708996</v>
      </c>
      <c r="EC80" s="153">
        <f>IF($E80="","No Port",IF(AND(ship_choice="VLCC",G80="Panama"),"Ship cannot pass through Panama",IF(ship_choice="VLCC",((F80/24/Shipping!$AD$44+F80/24/Shipping!$AD$50+Shipping!$AD$59+Shipping!$AD$64)*(Shipping!$AD$22+wacc_nl*Shipping!$AD$19/365.25*1000000+Shipping!$AD$35)+(F80/24/Shipping!$AD$44*Shipping!$AD$45+Shipping!$AD$64*Shipping!$AD$65)*IF(bunker_choice="HFO",$H80,IF(bunker_choice="hydrogen",$BD80*hfo_e_density_lhv/h2_e_density_lhv,(DX80+DZ80)*1000000/EB80*hfo_e_density_lhv/Dme_e_density_lhv))+(F80/24/Shipping!$AD$50*Shipping!$AD$51+Shipping!$AD$59*Shipping!$AD$60)*IF(bunker_choice="HFO",bunker_price_ROT,IF(bunker_choice="hydrogen",$BD80*hfo_e_density_lhv/h2_e_density_lhv,(DX80+DZ80)*1000000/EB80*hfo_e_density_lhv/Dme_e_density_lhv))+Shipping!$AD$73+IF(G80="Panama",Shipping!$AD$55,0)+IF(G80="Suez",Shipping!$AD$56,0))/Shipping!$AD$31*(EB80+Dme_st_ab_losses)/1000000+IF(inland_transport_to_port="hv dc grid",$BM80/100*1000*EE80,IF(inland_transport_to_port="pipeline",$BN80,0)),((F80/24/Shipping!$R$44+F80/24/Shipping!$R$50+Shipping!$R$59+Shipping!$R$64)*(Shipping!$R$22+wacc_nl*Shipping!$R$19/365.25*1000000+Shipping!$R$35)+(F80/24/Shipping!$R$44*Shipping!$R$45+Shipping!$R$64*Shipping!$R$65)*IF(bunker_choice="HFO",$H80,IF(bunker_choice="hydrogen",$BD80*hfo_e_density_lhv/h2_e_density_lhv,(DX80+DZ80)*1000000/EB80*hfo_e_density_lhv/Dme_e_density_lhv))+(F80/24/Shipping!$R$50*Shipping!$R$51+Shipping!$R$59*Shipping!$R$60)*IF(bunker_choice="HFO",bunker_price_ROT,IF(bunker_choice="hydrogen",$BD80*hfo_e_density_lhv/h2_e_density_lhv,(DX80+DZ80)*1000000/EB80*hfo_e_density_lhv/Dme_e_density_lhv))+Shipping!$R$73+IF(G80="Panama",Shipping!$R$55,0)+IF(G80="Suez",Shipping!$R$56,0))/Shipping!$R$31*(EB80+Dme_st_ab_losses)/1000000+IF(inland_transport_to_port="hv dc grid",$BM80/100*1000*EE80,IF(inland_transport_to_port="pipeline",$BN80,0)))))</f>
        <v>6483.0178848333844</v>
      </c>
      <c r="ED80" s="28">
        <f t="shared" si="134"/>
        <v>97476.485607481707</v>
      </c>
      <c r="EE80" s="29">
        <f>(Dme_e_demand)*(EB80+Dme_st_ab_losses)/1000000+Dme_st_e_demand*DZ80/1000000+$CV80*(Carriers!$X$21/Carriers!$X$23*EB80)/$CS80</f>
        <v>1550.2168150330383</v>
      </c>
      <c r="EF80" s="29">
        <f t="shared" si="107"/>
        <v>1.0354708994708997</v>
      </c>
      <c r="EG80" s="28">
        <f>IFERROR(ED80*1000000/Storage!$Q$12,"")</f>
        <v>941.37349159005646</v>
      </c>
      <c r="EH80" s="28">
        <f>IF($E80="","No Port",((F80/24/Shipping!$R$44+F80/24/Shipping!$R$50+Shipping!$R$59+Shipping!$R$64)*Carriers!$X$39*wacc_nl))</f>
        <v>118.38926443806434</v>
      </c>
      <c r="EI80" s="100">
        <f>H2_retrieval!$P$25*h2_demand_kt/1000+(co2_liq_e_demand+co2_st_e_demand*2)*Storage!$Q$12*co2_density/Dme_density/1000000</f>
        <v>252.45335899349112</v>
      </c>
      <c r="EJ80" s="28">
        <f>IFERROR((((DX80+DZ80+EC80)*(1+H2_retrieval!$P$34)+EH80)*1000000/H2_retrieval!$P$8)+h2_regen_dme,"")</f>
        <v>7188.6400570205496</v>
      </c>
      <c r="EK80" s="149">
        <f>(ome_invest*(M80+1/ome_lifetime)/ome_prod+ome_opex+ome_e_demand*1000*$AU80/100+Carriers!$Z$21/Carriers!$Z$23*(CO80*1000000/CS80))*(EO80+ome_st_ab_losses)/1000000</f>
        <v>151983.63489816646</v>
      </c>
      <c r="EL80" s="86">
        <f>(ome_invest*(M80+1/ome_lifetime)/ome_prod+ome_opex+ome_e_demand*1000*$AU80/100+Carriers!$Z$21/Carriers!$Z$23*(CP80*1000000/CS80))*(EO80+ome_st_ab_losses)/1000000</f>
        <v>190757.28605782162</v>
      </c>
      <c r="EM80" s="63">
        <f>ome_st_nl_cost*ome_st_nl_demand/1000000+(ome_st_invest*(M80+1/ome_st_lifetime+ome_st_opex)/(Storage!$S$63/1000000)+ome_st_e_demand*1000*$AU80/100)*(EO80+ome_st_ab_losses)/1000000+co2_st_nl_cost*Storage!$S$12*co2_density/ome_density/1000000+(co2_st_opex_lev+co2_st_invest_lev+co2_st_e_demand*1000*$AU80/100)*Storage!$S$12/1000000+co2_st_invest_lev*Storage!$S$12*co2_st_lifetime*M80/1000000+(h2_demand_kt*1000/365.25*short_st_duration_hrs/24)*(h2_short_st_invest*(1/gh2_short_st_lifetime+$M80+h2_short_st_opex)+h2_short_st_e_demand*1000*$AU80/100)/1000000</f>
        <v>4687.1946922076404</v>
      </c>
      <c r="EN80" s="63">
        <f>ome_st_nl_cost*ome_st_nl_demand/1000000+(ome_st_invest*(M80+1/ome_st_lifetime+ome_st_opex)/(Storage!$S$63/1000000)+ome_st_e_demand*1000*$AU80/100)*(EO80+ome_st_ab_losses)/1000000+(h2_demand_kt*1000/365.25*short_st_duration_hrs/24)*(h2_short_st_invest*(1/gh2_short_st_lifetime+$M80+h2_short_st_opex)+h2_short_st_e_demand*1000*$AU80/100)/1000000</f>
        <v>1646.9796846095094</v>
      </c>
      <c r="EO80" s="63">
        <f>Storage!$S$57/((1-Shipping!$T$37)^($F80/24/Shipping!$T$44+0.5*Shipping!$T$59))</f>
        <v>128282539.68253967</v>
      </c>
      <c r="EP80" s="28">
        <f>IF($E80="","No Port",IF(AND(ship_choice="VLCC",G80="Panama"),"Ship cannot pass through Panama",IF(ship_choice="VLCC",((F80/24/Shipping!$AD$44+F80/24/Shipping!$AD$50+Shipping!$AD$59+Shipping!$AD$64)*(Shipping!$AD$22+wacc_nl*Shipping!$AD$19/365.25*1000000+Shipping!$AD$35)+(F80/24/Shipping!$AD$44*Shipping!$AD$45+Shipping!$AD$64*Shipping!$AD$65)*IF(bunker_choice="HFO",$H80,IF(bunker_choice="hydrogen",$BD80*hfo_e_density_lhv/h2_e_density_lhv,(EK80+EM80)*1000000/EO80*hfo_e_density_lhv/Dme_e_density_lhv))+(F80/24/Shipping!$AD$50*Shipping!$AD$51+Shipping!$AD$59*Shipping!$AD$60)*IF(bunker_choice="HFO",bunker_price_ROT,IF(bunker_choice="hydrogen",$BD80*hfo_e_density_lhv/h2_e_density_lhv,(EK80+EM80)*1000000/EO80*hfo_e_density_lhv/ome_e_density_lhv))+Shipping!$AD$73+IF(G80="Panama",Shipping!$AD$55,0)+IF(G80="Suez",Shipping!$AD$56,0))/Shipping!$AD$31*(EO80+ome_st_ab_losses)/1000000+IF(inland_transport_to_port="hv dc grid",$BM80/100*1000*ER80,IF(inland_transport_to_port="pipeline",$BN80,0)),((F80/24/Shipping!$T$44+F80/24/Shipping!$T$50+Shipping!$T$59+Shipping!$T$64)*(Shipping!$T$22+wacc_nl*Shipping!$T$19/365.25*1000000+Shipping!$T$35)+(F80/24/Shipping!$T$44*Shipping!$T$45+Shipping!$T$64*Shipping!$T$65)*IF(bunker_choice="HFO",$H80,IF(bunker_choice="hydrogen",$BD80*hfo_e_density_lhv/h2_e_density_lhv,(EK80+EM80)*1000000/EO80*hfo_e_density_lhv/Dme_e_density_lhv))+(F80/24/Shipping!$T$50*Shipping!$T$51+Shipping!$T$59*Shipping!$T$60)*IF(bunker_choice="HFO",bunker_price_ROT,IF(bunker_choice="hydrogen",$BD80*hfo_e_density_lhv/h2_e_density_lhv,(EK80+EM80)*1000000/EO80*hfo_e_density_lhv/ome_e_density_lhv))+Shipping!$T$73+IF(G80="Panama",Shipping!$T$55,0)+IF(G80="Suez",Shipping!$T$56,0))/Shipping!$T$31*(EO80+ome_st_ab_losses)/1000000+IF(inland_transport_to_port="hv dc grid",$BM80/100*1000*ER80,IF(inland_transport_to_port="pipeline",$BN80,0)))))</f>
        <v>7135.8523909109499</v>
      </c>
      <c r="EQ80" s="28">
        <f t="shared" si="135"/>
        <v>199540.11813334207</v>
      </c>
      <c r="ER80" s="29">
        <f>(ome_e_demand)*(EO80+ome_st_ab_losses)/1000000+ome_st_e_demand*EM80/1000000+$CV80*(Carriers!$Z$21/Carriers!$Z$23*EO80)/$CS80</f>
        <v>3352.0814571715755</v>
      </c>
      <c r="ES80" s="29">
        <f t="shared" si="108"/>
        <v>0.1924238095238095</v>
      </c>
      <c r="ET80" s="28">
        <f>IFERROR(EQ80*1000000/Storage!$S$12,"")</f>
        <v>1555.4737115989694</v>
      </c>
      <c r="EU80" s="28">
        <f>IF($E80="","No Port",((F80/24/Shipping!$T$44+F80/24/Shipping!$T$50+Shipping!$T$59+Shipping!$T$64)*Carriers!$Z$39*wacc_nl))</f>
        <v>135.07138124842442</v>
      </c>
      <c r="EV80" s="100">
        <f>H2_retrieval!$R$25*h2_demand_kt/1000+(co2_liq_e_demand+co2_st_e_demand*2)*Storage!$S$12*co2_density/ome_density/1000000</f>
        <v>254.51942895252085</v>
      </c>
      <c r="EW80" s="28">
        <f>IFERROR((((EK80+EM80+EP80)*(1+H2_retrieval!$R$34)+EU80)*1000000/H2_retrieval!$R$8)+h2_regen_ome,"")</f>
        <v>13224.669231617692</v>
      </c>
      <c r="EX80" s="149">
        <f>(sng_invest*(M80+1/sng_lifetime)/sng_prod+lng_invest*(M80+1/lng_lifetime)/lng_prod+sng_opex+lng_opex+(sng_e_demand+lng_e_demand)*1000*$AU80/100+Carriers!$AB$18/Carriers!$AB$23*BD80+Carriers!$AB$20/Carriers!$AB$23*co2_liq_cost)*(FB80+lng_st_ab_losses)/1000000</f>
        <v>54811.181193646844</v>
      </c>
      <c r="EY80" s="86">
        <f>(sng_invest*(M80+1/sng_lifetime)/sng_prod+lng_invest*(M80+1/lng_lifetime)/lng_prod+sng_opex+lng_opex+(sng_e_demand+lng_e_demand)*1000*$AU80/100+Carriers!$AB$18/Carriers!$AB$23*BD80+Carriers!$AB$20/Carriers!$AB$23*BP80)*(FB80+lng_st_ab_losses)/1000000</f>
        <v>65093.699857566455</v>
      </c>
      <c r="EZ80" s="63">
        <f>lng_st_nl_cost*lng_st_nl_demand/1000000+(lng_st_invest*(M80+1/lng_st_lifetime+lng_st_opex)/(Storage!$U$63/1000000)+lng_st_e_demand*1000*$AU80/100)*(FB80+lng_st_ab_losses)/1000000+co2_st_nl_cost*Storage!$U$12*co2_density/lng_density/1000000+(co2_st_opex_lev+co2_st_invest_lev+co2_st_e_demand*1000*$AU80/100)*Storage!$U$12/1000000+co2_st_invest_lev*Storage!$U$12*co2_st_lifetime*M80/1000000+Carriers!$AB$18/Carriers!$AB$23*((FB80+lng_st_ab_losses)/365.25*short_st_duration_hrs/24)*(h2_short_st_invest*(1/gh2_short_st_lifetime+$M80+h2_short_st_opex)+h2_short_st_e_demand*1000*$AU80/100)/1000000+Carriers!$AB$20/Carriers!$AB$23*((FB80+lng_st_ab_losses)/365.25*short_st_duration_hrs/24)*(co2_short_st_invest*(1/co2_short_st_lifetime+$M80+co2_short_st_opex)+co2_short_st_e_demand*1000*$AU80/100)/1000000</f>
        <v>5851.872523473995</v>
      </c>
      <c r="FA80" s="63">
        <f>lng_st_nl_cost*lng_st_nl_demand/1000000+(lng_st_invest*(M80+1/lng_st_lifetime+lng_st_opex)/(Storage!$U$63/1000000)+lng_st_e_demand*1000*$AU80/100)*(FB80+lng_st_ab_losses)/1000000+Carriers!$AB$18/Carriers!$AB$23*((FB80+lng_st_ab_losses)/365.25*short_st_duration_hrs/24)*(h2_short_st_invest*(1/gh2_short_st_lifetime+$M80+h2_short_st_opex)+h2_short_st_e_demand*1000*$AU80/100)/1000000+Carriers!$AB$20/Carriers!$AB$23*((FB80+lng_st_ab_losses)/365.25*short_st_duration_hrs/24)*(co2_short_st_invest*(1/co2_short_st_lifetime+$M80+co2_short_st_opex)+co2_short_st_e_demand*1000*$AU80/100)/1000000</f>
        <v>4345.1284353715764</v>
      </c>
      <c r="FB80" s="63">
        <f>Storage!$U$57/((1-Shipping!$V$37)^($F80/24/Shipping!$V$44+0.5*Shipping!$V$59))</f>
        <v>41578109.846822083</v>
      </c>
      <c r="FC80" s="28">
        <f>IF($E80="","No Port",IF(G80="Panama","Ship cannot pass through Panama",((F80/24/Shipping!$V$44+F80/24/Shipping!$V$50+Shipping!$V$59+Shipping!$V$64)*(Shipping!$V$22+wacc_nl*Shipping!$V$19/365.25*1000000+Shipping!$V$35)+(F80/24/Shipping!$V$44*Shipping!$V$45+Shipping!$V$64*Shipping!$V$65)*IF(bunker_choice="HFO",$H80,IF(bunker_choice="hydrogen",$BD80*hfo_e_density_lhv/h2_e_density_lhv,(EX80+EZ80)*1000000/FB80*hfo_e_density_lhv/lng_e_density_lhv))+(F80/24/Shipping!$V$50*Shipping!$V$51+Shipping!$V$59*Shipping!$V$60)*IF(bunker_choice="HFO",bunker_price_ROT,IF(bunker_choice="hydrogen",$BD80*hfo_e_density_lhv/h2_e_density_lhv,(EX80+EZ80)*1000000/FB80*hfo_e_density_lhv/lng_e_density_lhv))+Shipping!$V$73+IF(G80="Panama",Shipping!$V$55,0)+IF(G80="Suez",Shipping!$V$56,0))/Shipping!$V$31*(FB80+lng_st_ab_losses)/1000000)+IF(inland_transport_to_port="hv dc grid",$BM80/100*1000*FE80,IF(inland_transport_to_port="pipeline",$BN80,0)))</f>
        <v>2490.9975744092226</v>
      </c>
      <c r="FD80" s="28">
        <f t="shared" si="136"/>
        <v>71929.825867347259</v>
      </c>
      <c r="FE80" s="29">
        <f>((Carriers!$AB$18/Carriers!$AB$23*alk_el_e_demand)+sng_e_demand+lng_e_demand)*(FB80+lng_st_ab_losses)/1000000+lng_st_e_demand*EZ80/1000000</f>
        <v>1115.0816638159981</v>
      </c>
      <c r="FF80" s="29">
        <f t="shared" si="109"/>
        <v>0.8126185861001558</v>
      </c>
      <c r="FG80" s="28">
        <f>IFERROR(FD80*1000000/Storage!$U$12,"")</f>
        <v>1772.3635128453056</v>
      </c>
      <c r="FH80" s="28">
        <f>IF($E80="","No Port",((F80/24/Shipping!$V$44+F80/24/Shipping!$V$50+Shipping!$V$59+Shipping!$V$64)*Carriers!$AB$39*wacc_nl))</f>
        <v>39.656478786427357</v>
      </c>
      <c r="FI80" s="100">
        <f>H2_retrieval!$T$25*h2_demand_kt/1000+(co2_liq_e_demand+co2_st_e_demand*2)*Storage!$U$12*co2_density/lng_density/1000000</f>
        <v>236.51371749646054</v>
      </c>
      <c r="FJ80" s="28">
        <f>IFERROR((((EX80+EZ80+FC80)*(1+H2_retrieval!$T$34)+FH80)*1000000/H2_retrieval!$T$8)+h2_regen_lng,"")</f>
        <v>5816.7247027782105</v>
      </c>
      <c r="FK80" s="149">
        <f>(lh2_invest*(M80+1/lh2_lifetime)/lh2_prod+lh2_opex+lh2_e_demand*1000*$AU80/100+Carriers!$AD$18/Carriers!$AD$23*BD80)*(FM80+lh2_st_ab_losses)/1000000</f>
        <v>43314.537778166698</v>
      </c>
      <c r="FL80" s="28">
        <f>lh2_st_nl_cost*lh2_st_nl_demand/1000000+(lh2_st_invest*(M80+1/lh2_st_lifetime+lh2_st_opex)/(Storage!$Y$63/1000000)+lh2_st_e_demand*1000*$AU80/100)*(FM80+lh2_st_ab_losses)/1000000+((FM80+lh2_st_ab_losses)/365.25*short_st_duration_hrs/24)*(h2_short_st_invest*(1/gh2_short_st_lifetime+$M80+h2_short_st_opex)+h2_short_st_e_demand*1000*$AU80/100)/1000000</f>
        <v>51082.691273714161</v>
      </c>
      <c r="FM80" s="63">
        <f>Storage!$Y$57/((1-Shipping!$Z$37)^($F80/24/Shipping!$Z$44+0.5*Shipping!$Z$59))</f>
        <v>14130736.507395543</v>
      </c>
      <c r="FN80" s="28">
        <f>IF($E80="","No Port",IF(G80="Panama","Ship cannot pass through Panama",((F80/24/Shipping!$Z$44+F80/24/Shipping!$Z$50+Shipping!$Z$59+Shipping!$Z$64)*(Shipping!$Z$22+wacc_nl*Shipping!$Z$19/365.25*1000000+Shipping!$Z$35)+(F80/24/Shipping!$Z$44*Shipping!$Z$45+Shipping!$Z$64*Shipping!$Z$65)*IF(bunker_choice="HFO",$H80,IF(bunker_choice="hydrogen",$BD80*hfo_e_density_lhv/h2_e_density_lhv,(FK80+FL80)*1000000/FM80*hfo_e_density_lhv/lh2_e_density_lhv))+(F80/24/Shipping!$Z$50*Shipping!$Z$51+Shipping!$Z$59*Shipping!$Z$60)*IF(bunker_choice="HFO",bunker_price_ROT,IF(bunker_choice="hydrogen",$BD80*hfo_e_density_lhv/h2_e_density_lhv,(FK80+FL80)*1000000/FM80*hfo_e_density_lhv/lh2_e_density_lhv))+Shipping!$Z$73+IF(G80="Panama",Shipping!$Z$55,0)+IF(G80="Suez",Shipping!$Z$56,0))/Shipping!$Z$31*(FM80+lh2_st_ab_losses)/1000000)+IF(inland_transport_to_port="hv dc grid",$BM80/100*1000*FP80,IF(inland_transport_to_port="pipeline",$BN80,0)))</f>
        <v>4537.8736561573469</v>
      </c>
      <c r="FO80" s="28">
        <f t="shared" si="128"/>
        <v>98935.102708038205</v>
      </c>
      <c r="FP80" s="29">
        <f>((Carriers!$AD$18/Carriers!$AD$23*alk_el_e_demand)+lh2_e_demand)*(FM80+lh2_st_ab_losses)/1000000+lh2_st_e_demand*FM80/1000000</f>
        <v>818.84477483298372</v>
      </c>
      <c r="FQ80" s="100">
        <f t="shared" si="110"/>
        <v>1.361902463475859</v>
      </c>
      <c r="FR80" s="28">
        <f>IFERROR(FO80*1000000/Storage!$Y$12,"")</f>
        <v>7274.6399050028094</v>
      </c>
      <c r="FS80" s="100">
        <f>H2_retrieval!$V$25*h2_demand_kt/1000</f>
        <v>8.16</v>
      </c>
      <c r="FT80" s="28">
        <f>IFERROR(FR80*(1+H2_retrieval!$V$34)/Carrier_properties!$U$7+H2_retrieval!$V$38,"")</f>
        <v>7306.6086308712765</v>
      </c>
      <c r="FU80" s="12"/>
      <c r="FV80" s="24">
        <f t="shared" si="129"/>
        <v>1.8161952398063972</v>
      </c>
      <c r="FW80" s="24" t="str">
        <f t="shared" si="92"/>
        <v/>
      </c>
      <c r="FX80" s="24" t="str">
        <f t="shared" si="93"/>
        <v/>
      </c>
      <c r="FY80" s="24">
        <f t="shared" si="130"/>
        <v>1.8161952398063972</v>
      </c>
      <c r="FZ80" s="28">
        <f t="shared" si="94"/>
        <v>2247.2836105155475</v>
      </c>
      <c r="GA80" s="28">
        <f t="shared" si="137"/>
        <v>523.05705585023736</v>
      </c>
      <c r="GB80" s="28">
        <f t="shared" si="138"/>
        <v>338.82320665386112</v>
      </c>
      <c r="GC80" s="28">
        <f t="shared" si="139"/>
        <v>584.09477272111337</v>
      </c>
      <c r="GD80" s="28">
        <f t="shared" si="140"/>
        <v>852.1193406862194</v>
      </c>
      <c r="GE80" s="28">
        <f t="shared" si="141"/>
        <v>1487.0089610783195</v>
      </c>
      <c r="GF80" s="28">
        <f t="shared" si="142"/>
        <v>1565.576215402243</v>
      </c>
      <c r="GG80" s="12"/>
      <c r="GH80" s="12"/>
      <c r="GI80" s="12"/>
      <c r="GJ80" s="12"/>
      <c r="GK80" s="12"/>
      <c r="GL80" s="12"/>
      <c r="GM80" s="12"/>
      <c r="GN80" s="12"/>
      <c r="GO80" s="12"/>
      <c r="GP80" s="12"/>
      <c r="GQ80" s="12"/>
      <c r="GR80" s="12"/>
      <c r="GS80" s="12"/>
      <c r="GT80" s="12"/>
      <c r="GU80" s="12"/>
      <c r="GV80" s="12"/>
      <c r="GW80" s="12"/>
      <c r="GX80" s="12"/>
      <c r="GY80" s="12"/>
      <c r="GZ80" s="12"/>
      <c r="HA80" s="12"/>
      <c r="HB80" s="12"/>
      <c r="HC80" s="12"/>
      <c r="HD80" s="12"/>
      <c r="HE80" s="12"/>
      <c r="HF80" s="12"/>
    </row>
    <row r="81" spans="1:214" x14ac:dyDescent="0.2">
      <c r="A81" s="40" t="s">
        <v>230</v>
      </c>
      <c r="B81" s="12">
        <v>5226</v>
      </c>
      <c r="C81" s="12">
        <v>1</v>
      </c>
      <c r="D81" s="12">
        <f t="shared" si="111"/>
        <v>0</v>
      </c>
      <c r="E81" s="12"/>
      <c r="F81" s="12"/>
      <c r="G81" s="12"/>
      <c r="H81" s="16">
        <f t="shared" si="112"/>
        <v>382.75862068965517</v>
      </c>
      <c r="I81" s="16">
        <v>191800</v>
      </c>
      <c r="J81" s="16">
        <f t="shared" si="113"/>
        <v>247.08669767927825</v>
      </c>
      <c r="K81" s="16" t="str">
        <f t="shared" si="114"/>
        <v/>
      </c>
      <c r="L81" s="103">
        <v>0.20200000000000001</v>
      </c>
      <c r="M81" s="103">
        <f t="shared" si="115"/>
        <v>0.18426992967210076</v>
      </c>
      <c r="N81" s="122">
        <f t="shared" si="116"/>
        <v>0.9</v>
      </c>
      <c r="O81" s="46">
        <f t="shared" si="117"/>
        <v>40</v>
      </c>
      <c r="P81" s="70">
        <f t="array" ref="P81">SUMPRODUCT(IF(Solar_data!A$4:A$777=A81,Solar_data!C$4:C$777),IF(Solar_data!A$4:A$777=A81,Solar_data!I$4:I$777))/SUMIF(Solar_data!A$4:A$777,A81,Solar_data!I$4:I$777)</f>
        <v>1789.1528753187454</v>
      </c>
      <c r="Q81" s="16">
        <f t="array" ref="Q81">MAX(IF(Solar_data!$A$777:'Solar_data'!$A$4=Country_details!$A81,Solar_data!$C$4:'Solar_data'!$C$777))</f>
        <v>2098.75</v>
      </c>
      <c r="R81" s="16">
        <f t="array" ref="R81">MIN(IF(Solar_data!$A$777:'Solar_data'!$A$4=Country_details!A81,Solar_data!$C$4:'Solar_data'!$C$777))</f>
        <v>1551.25</v>
      </c>
      <c r="S81" s="24">
        <f t="shared" si="95"/>
        <v>3.4262274783414801</v>
      </c>
      <c r="T81" s="24">
        <f t="shared" si="96"/>
        <v>2.9208075017847546</v>
      </c>
      <c r="U81" s="24">
        <f t="shared" si="97"/>
        <v>3.9516807377087857</v>
      </c>
      <c r="V81" s="16">
        <f t="array" ref="V81">SUM(IF(Solar_data!$A$777:'Solar_data'!$A$4=Country_details!$A81,Solar_data!$I$4:'Solar_data'!$I$777))</f>
        <v>1450.6706359326936</v>
      </c>
      <c r="W81" s="148"/>
      <c r="X81" s="16" t="str">
        <f>IFERROR(INDEX(Onshore_wind_data!$J$5:'Onshore_wind_data'!$J$221,MATCH(A81,Onshore_wind_data!$B$5:'Onshore_wind_data'!$B$221,0)),"")</f>
        <v/>
      </c>
      <c r="Y81" s="16" t="str">
        <f>IFERROR(INDEX(Onshore_wind_data!$K$5:'Onshore_wind_data'!$K$221,MATCH(A81,Onshore_wind_data!$B$5:'Onshore_wind_data'!$B$221,0)),"")</f>
        <v/>
      </c>
      <c r="Z81" s="16" t="str">
        <f>IFERROR(INDEX(Onshore_wind_data!$L$5:'Onshore_wind_data'!$L$221,MATCH(A81,Onshore_wind_data!$B$5:'Onshore_wind_data'!$B$221,0)),"")</f>
        <v/>
      </c>
      <c r="AA81" s="24" t="str">
        <f t="shared" si="118"/>
        <v/>
      </c>
      <c r="AB81" s="24" t="str">
        <f t="shared" si="119"/>
        <v/>
      </c>
      <c r="AC81" s="24" t="str">
        <f t="shared" si="120"/>
        <v/>
      </c>
      <c r="AD81" s="16">
        <f>IFERROR(INDEX(Onshore_wind_data!$I$5:'Onshore_wind_data'!$I$221,MATCH(A81,Onshore_wind_data!$B$5:'Onshore_wind_data'!$B$221,0)),"")</f>
        <v>0</v>
      </c>
      <c r="AE81" s="148"/>
      <c r="AF81" s="16" t="str">
        <f>INDEX(Offshore_wind_data!$AA$7:$AA$192,MATCH(Country_details!A81,Offshore_wind_data!$A$7:$A$192,0))</f>
        <v/>
      </c>
      <c r="AG81" s="16" t="str">
        <f>INDEX(Offshore_wind_data!$Y$7:$Y$192,MATCH(Country_details!A81,Offshore_wind_data!$A$7:$A$192,0))</f>
        <v/>
      </c>
      <c r="AH81" s="16" t="str">
        <f>INDEX(Offshore_wind_data!$Z$7:$Z$192,MATCH(Country_details!A81,Offshore_wind_data!$A$7:$A$192,0))</f>
        <v/>
      </c>
      <c r="AI81" s="24" t="str">
        <f t="shared" si="98"/>
        <v/>
      </c>
      <c r="AJ81" s="24" t="str">
        <f t="shared" si="99"/>
        <v/>
      </c>
      <c r="AK81" s="24" t="str">
        <f t="shared" si="100"/>
        <v/>
      </c>
      <c r="AL81" s="16">
        <f>INDEX(Offshore_wind_data!$W$7:$W$191,MATCH(A81,Offshore_wind_data!$A$7:$A$191,0))</f>
        <v>0</v>
      </c>
      <c r="AM81" s="148"/>
      <c r="AN81" s="12">
        <v>6</v>
      </c>
      <c r="AO81" s="12">
        <v>8.1</v>
      </c>
      <c r="AP81" s="34">
        <f>0.69*11.63</f>
        <v>8.0246999999999993</v>
      </c>
      <c r="AQ81" s="15">
        <f t="shared" si="101"/>
        <v>50</v>
      </c>
      <c r="AR81" s="12">
        <f t="shared" si="131"/>
        <v>405</v>
      </c>
      <c r="AS81" s="16">
        <f t="shared" si="121"/>
        <v>1045.6706359326936</v>
      </c>
      <c r="AT81" s="12"/>
      <c r="AU81" s="24">
        <f t="shared" si="122"/>
        <v>3.4262274783414801</v>
      </c>
      <c r="AV81" s="16">
        <f t="shared" si="123"/>
        <v>1789.1528753187454</v>
      </c>
      <c r="AW81" s="149">
        <f>HV_DC_Grid!$E$3/(1-AX81)*AU81/100*1000</f>
        <v>3850.5723799740849</v>
      </c>
      <c r="AX81" s="31">
        <f>(1-(1-HV_DC_Grid!$E$25)^(B81*C81*HV_DC_Grid!$E$8/1000))+(1-(1-HV_DC_Grid!$E$26)^(B81*D81*HV_DC_Grid!$E$8/1000))+HV_DC_Grid!$E$35*HV_DC_Grid!$E$28</f>
        <v>0.11020307106536219</v>
      </c>
      <c r="AY81" s="28">
        <f>B81*nl_e_demand/IF(hv_dc_flh="electricity FLH",$AV81,hv_dc_custom)*1000*hv_dc_capacity_multiplier*hv_dc_length_multiplier*1000*(C81*hv_dc_overhead_invest*(hv_dc_overhead_opex+M81+1/hv_dc_lifetime)+D81*hv_dc_sea_invest*(hv_dc_sea_opex+M81+1/hv_dc_lifetime))/1000000+HV_DC_Grid!$E$10*1000*hv_dc_station_invest*hv_dc_station_number*(hv_dc_station_opex+M81+1/hv_dc_lifetime)/1000000</f>
        <v>6629.2491793569297</v>
      </c>
      <c r="AZ81" s="24">
        <f>(AW81+AY81)/(HV_DC_Grid!$E$3*1000)*100</f>
        <v>10.479821559331013</v>
      </c>
      <c r="BA81" s="28">
        <f>MIN(((Carriers!$F$26+Carriers!$F$27)*(alk_el_opex+wacc_nl+1/alk_el_lifetime)+IF(hv_dc_flh="electricity FLH",$AV81,hv_dc_custom)*AZ81/100)/(IF(hv_dc_flh="electricity FLH",$AV81,hv_dc_custom)/alk_el_e_demand)*1000,((Carriers!$H$26+Carriers!$H$27)*(pem_el_opex+wacc_nl+1/pem_el_lifetime)+IF(hv_dc_flh="electricity FLH",$AV81,hv_dc_custom)*AZ81/100)/(IF(hv_dc_flh="electricity FLH",$AV81,hv_dc_custom)/pem_el_e_demand)*1000)</f>
        <v>5707.5307448954845</v>
      </c>
      <c r="BB81" s="12"/>
      <c r="BC81" s="12"/>
      <c r="BD81" s="149">
        <f>MIN(((Carriers!$F$26+Carriers!$F$27)*(alk_el_opex+M81+1/alk_el_lifetime)+$AV81*$AU81/100)/($AV81/alk_el_e_demand)*1000,((Carriers!$H$26+Carriers!$H$27)*(pem_el_opex+M81+1/pem_el_lifetime)+$AV81*$AU81/100)/($AV81/pem_el_e_demand)*1000)</f>
        <v>4248.2601443632057</v>
      </c>
      <c r="BE81" s="28">
        <f>Storage!$AC$50</f>
        <v>8.1664117557772418</v>
      </c>
      <c r="BF81" s="28">
        <f>((Pipeline!$D$22*Pipeline!$D$24*B81*(pipeline_opex+M81+1/pipeline_lifetime))*(Pipeline!$D$39/Pipeline!$D$3)+(Pipeline!$D$57*(pipeline_comp_opex+M81+1/pipeline_comp_lifetime)+Pipeline!$D$47*1000*Pipeline!$D$45*$AU81/100/1000000))*(Pipeline!$D$75/Pipeline!$D$45)</f>
        <v>15433.133333974742</v>
      </c>
      <c r="BG81" s="28">
        <f>BD81+(BE81+BF81)/Storage!$AC$12*1000000</f>
        <v>5383.6498315492736</v>
      </c>
      <c r="BH81" s="28"/>
      <c r="BI81" s="28"/>
      <c r="BJ81" s="28" t="str">
        <f>IF($E81="","No Port",BK81*HV_DC_Grid!$E$3*$AU81/100*1000)</f>
        <v>No Port</v>
      </c>
      <c r="BK81" s="31" t="str">
        <f>IFERROR((1-(1-HV_DC_Grid!$E$25)^(K81*HV_DC_Grid!$E$8/1000))+HV_DC_Grid!$E$35*HV_DC_Grid!$E$28,"")</f>
        <v/>
      </c>
      <c r="BL81" s="28" t="str">
        <f>IFERROR(K81*nl_e_demand/IF(hv_dc_flh="electricity FLH",$AV81,hv_dc_custom)*1000*hv_dc_capacity_multiplier*hv_dc_length_multiplier*1000*(hv_dc_overhead_invest*(hv_dc_overhead_opex+M81+1/hv_dc_lifetime))/1000000+HV_DC_Grid!$E$10*1000*hv_dc_station_invest*hv_dc_station_number*(hv_dc_station_opex+M81+1/hv_dc_lifetime)/1000000,"")</f>
        <v/>
      </c>
      <c r="BM81" s="29" t="str">
        <f>IFERROR((BJ81+BL81)/(HV_DC_Grid!$E$3*1000)*100,"")</f>
        <v/>
      </c>
      <c r="BN81" s="28" t="str">
        <f>IFERROR(((Pipeline!$D$22*Pipeline!$D$24*K81*(pipeline_opex+M81+1/pipeline_lifetime))*(Pipeline!$D$39/Pipeline!$D$3)+(Pipeline!$D$57*(pipeline_comp_opex+M81+1/pipeline_comp_lifetime)+Pipeline!$D$47*1000*Pipeline!$D$45*S81/100/1000000))*(Pipeline!$D$75/Pipeline!$D$45),"")</f>
        <v/>
      </c>
      <c r="BO81" s="28"/>
      <c r="BP81" s="150">
        <f t="shared" si="124"/>
        <v>147.47921596692854</v>
      </c>
      <c r="BQ81" s="34">
        <f t="shared" si="125"/>
        <v>44.012980713177512</v>
      </c>
      <c r="BR81" s="151">
        <f>(nh3_invest*(M81+1/nh3_lifetime)/nh3_prod+nh3_opex+nh3_e_demand*1000*$AU81/100+Carriers!$N$18/Carriers!$N$23*BD81+Carriers!$N$19/Carriers!$N$23*BQ81)*(BT81+nh3_st_ab_losses)/1000000</f>
        <v>72346.419708421905</v>
      </c>
      <c r="BS81" s="63">
        <f>nh3_st_nl_cost*nh3_st_nl_demand/1000000+(nh3_st_invest*(M81+1/nh3_st_lifetime+nh3_st_opex)/(Storage!$G$63/1000000)+nh3_st_e_demand*1000*$AU81/100)*(BT81+nh3_st_ab_losses)/1000000+Carriers!$N$18/Carriers!$N$23*((BT81+nh3_st_ab_losses)/365.25*short_st_duration_hrs/24)*(h2_short_st_invest*(1/gh2_short_st_lifetime+$M81+h2_short_st_opex)+h2_short_st_e_demand*1000*$AU81/100)/1000000+Carriers!$N$19/Carriers!$N$23*((BT81+nh3_st_ab_losses)/365.25*short_st_duration_hrs/24)*(n2_short_st_invest*(1/n2_short_st_lifetime+$M81+n2_short_st_opex)+n2_short_st_e_demand*1000*$AU81/100)/1000000</f>
        <v>4067.2033369411697</v>
      </c>
      <c r="BT81" s="63">
        <f>Storage!$G$57/((1-Shipping!$H$37)^(F81/24/Shipping!$H$44+0.5*Shipping!$H$59))</f>
        <v>76857210.785724297</v>
      </c>
      <c r="BU81" s="63" t="str">
        <f>IF($E81="","No Port",((F81/24/Shipping!$H$44+F81/24/Shipping!$H$50+Shipping!$H$59+Shipping!$H$64)*(Shipping!$H$22+wacc_nl*Shipping!$H$19/365.25*1000000+Shipping!$H$35)+(F81/24/Shipping!$H$44*Shipping!$H$45+Shipping!$H$64*Shipping!$H$65)*IF(bunker_choice="HFO",H81,IF(bunker_choice="hydrogen",BD81*hfo_e_density_lhv/h2_e_density_lhv,(BR81+BS81)*1000000/BT81*hfo_e_density_lhv/nh3_e_density_lhv))+(F81/24/Shipping!$H$50*Shipping!$H$51+Shipping!$H$59*Shipping!$H$60)*IF(bunker_choice="HFO",bunker_price_ROT,IF(bunker_choice="hydrogen",BD81*hfo_e_density_lhv/h2_e_density_lhv,(BR81+BS81)*1000000/BT81*hfo_e_density_lhv/nh3_e_density_lhv))+Shipping!$H$73+IF(G81="Panama",Shipping!$H$55,0)+IF(G81="Suez",Shipping!$H$56,0))/Shipping!$H$31*BT81/1000000+IF(inland_transport_to_port="hv dc grid",$BM81/100*1000*BW81,IF(inland_transport_to_port="pipeline",$BN81,0)))</f>
        <v>No Port</v>
      </c>
      <c r="BV81" s="63" t="str">
        <f t="shared" si="126"/>
        <v/>
      </c>
      <c r="BW81" s="33">
        <f>((Carriers!$N$18/Carriers!$N$23*alk_el_e_demand)+(Carriers!$N$19/Carriers!$N$23*n2_e_demand)+nh3_e_demand)*(BT81+nh3_st_ab_losses)/1000000+nh3_st_e_demand*BT81/1000000</f>
        <v>759.00171168026975</v>
      </c>
      <c r="BX81" s="33">
        <f t="shared" si="102"/>
        <v>0.76626754477640768</v>
      </c>
      <c r="BY81" s="63" t="str">
        <f>IFERROR(BV81*1000000/Storage!$G$12,"")</f>
        <v/>
      </c>
      <c r="BZ81" s="63">
        <f>H2_retrieval!$F$25*h2_demand_kt/1000</f>
        <v>80</v>
      </c>
      <c r="CA81" s="63" t="str">
        <f>IFERROR(BY81*(1+H2_retrieval!$F$34)/Carrier_properties!$E$7+H2_retrieval!$F$38,"")</f>
        <v/>
      </c>
      <c r="CB81" s="149">
        <f>(FA_invest*(M81+1/FA_lifetime)/FA_prod+FA_opex+FA_e_demand*1000*$AU81/100+Carriers!$P$18/Carriers!$P$23*BD81+Carriers!$P$20/Carriers!$P$23*co2_liq_cost)*(CF81+FA_st_ab_losses)/1000000</f>
        <v>143757.33101775186</v>
      </c>
      <c r="CC81" s="86">
        <f>(FA_invest*(M81+1/FA_lifetime)/FA_prod+FA_opex+FA_e_demand*1000*$AU81/100+Carriers!$P$18/Carriers!$P$23*BD81+Carriers!$P$20/Carriers!$P$23*BP81)*(CF81+FA_st_ab_losses)/1000000</f>
        <v>179890.59517739882</v>
      </c>
      <c r="CD81" s="63">
        <f>FA_st_nl_cost*FA_st_nl_demand/1000000+(FA_st_invest*(M81+1/FA_st_lifetime+FA_st_opex)/(Storage!$I$63/1000000)+FA_st_e_demand*1000*$AU81/100)*(CF81+FA_st_ab_losses)/1000000+co2_st_nl_cost*Storage!$I$12*co2_density/FA_density/1000000+(co2_st_opex_lev+co2_st_invest_lev+co2_st_e_demand*1000*$AU81/100)*Storage!$I$12/1000000+co2_st_invest_lev*Storage!$I$12*co2_st_lifetime*M81/1000000+Carriers!$P$18/Carriers!$P$23*((CF81+FA_st_ab_losses)/365.25*short_st_duration_hrs/24)*(h2_short_st_invest*(1/gh2_short_st_lifetime+$M81+h2_short_st_opex)+h2_short_st_e_demand*1000*$AU81/100)/1000000+Carriers!$P$20/Carriers!$P$23*((CF81+FA_st_ab_losses)/365.25*short_st_duration_hrs/24)*(co2_short_st_invest*(1/co2_short_st_lifetime+$M81+co2_short_st_opex)+co2_short_st_e_demand*1000*$AU81/100)/1000000</f>
        <v>13923.502878174248</v>
      </c>
      <c r="CE81" s="63">
        <f>FA_st_nl_cost*FA_st_nl_demand/1000000+(FA_st_invest*(M81+1/FA_st_lifetime+FA_st_opex)/(Storage!$I$63/1000000)+FA_st_e_demand*1000*$AU81/100)*(CF81+FA_st_ab_losses)/1000000+Carriers!$P$18/Carriers!$P$23*((CF81+FA_st_ab_losses)/365.25*short_st_duration_hrs/24)*(h2_short_st_invest*(1/gh2_short_st_lifetime+$M81+h2_short_st_opex)+h2_short_st_e_demand*1000*$AU81/100)/1000000+Carriers!$P$20/Carriers!$P$23*((CF81+FA_st_ab_losses)/365.25*short_st_duration_hrs/24)*(co2_short_st_invest*(1/co2_short_st_lifetime+$M81+co2_short_st_opex)+co2_short_st_e_demand*1000*$AU81/100)/1000000</f>
        <v>6143.672738665794</v>
      </c>
      <c r="CF81" s="63">
        <f>Storage!$I$57/((1-Shipping!$J$37)^($F81/24/Shipping!$J$44+0.5*Shipping!$J$59))</f>
        <v>310425396.82539684</v>
      </c>
      <c r="CG81" s="28" t="str">
        <f>IF($E81="","No Port",((F81/24/Shipping!$J$44+F81/24/Shipping!$J$50+Shipping!$J$59+Shipping!$J$64)*(Shipping!$J$22+wacc_nl*Shipping!$J$19/365.25*1000000+Shipping!$J$35)+(F81/24/Shipping!$J$44*Shipping!$J$45+Shipping!$J$64*Shipping!$J$65)*IF(bunker_choice="HFO",$H81,IF(bunker_choice="hydrogen",$BD81*hfo_e_density_lhv/h2_e_density_lhv,(CB81+CD81)*1000000/CF81*hfo_e_density_lhv/FA_e_density_lhv))+(F81/24/Shipping!$J$50*Shipping!$J$51+Shipping!$J$59*Shipping!$J$60)*IF(bunker_choice="HFO",bunker_price_ROT,IF(bunker_choice="hydrogen",$BD81*hfo_e_density_lhv/h2_e_density_lhv,(CB81+CD81)*1000000/CF81*hfo_e_density_lhv/FA_e_density_lhv))+Shipping!$J$73+IF(G81="Panama",Shipping!$J$55,0)+IF(G81="Suez",Shipping!$J$56,0))/Shipping!$J$31*CF81/1000000+IF(inland_transport_to_port="hv dc grid",$BM81/100*1000*CI81,IF(inland_transport_to_port="pipeline",$BN81,0)))</f>
        <v>No Port</v>
      </c>
      <c r="CH81" s="28" t="str">
        <f t="shared" si="132"/>
        <v/>
      </c>
      <c r="CI81" s="29">
        <f>((Carriers!$P$18/Carriers!$P$23*alk_el_e_demand)+FA_e_demand)*(CF81+FA_st_ab_losses)/1000000+FA_st_e_demand*CF81/1000000</f>
        <v>1897.8881241622576</v>
      </c>
      <c r="CJ81" s="29">
        <f t="shared" si="103"/>
        <v>0.46563809523809524</v>
      </c>
      <c r="CK81" s="28" t="str">
        <f>IFERROR(CH81*1000000/Storage!$I$12,"")</f>
        <v/>
      </c>
      <c r="CL81" s="28" t="str">
        <f>IF($E81="","No Port",((F81/24/Shipping!$J$44+F81/24/Shipping!$J$50+Shipping!$J$59+Shipping!$J$64)*Carriers!$P$39*wacc_nl))</f>
        <v>No Port</v>
      </c>
      <c r="CM81" s="29">
        <f>H2_retrieval!$H$25*h2_demand_kt/1000+(co2_liq_e_demand+co2_st_e_demand*2)*Storage!$I$12*co2_density/FA_density/1000000</f>
        <v>94.204253879484654</v>
      </c>
      <c r="CN81" s="28" t="str">
        <f>IFERROR((((CB81+CD81+CG81)*(1+H2_retrieval!$H$34)+CL81)*1000000/H2_retrieval!$H$8)+h2_regen_fa,"")</f>
        <v/>
      </c>
      <c r="CO81" s="149">
        <f>(meoh_invest*(M81+1/meoh_lifetime)/meoh_prod+meoh_opex+meoh_e_demand*1000*$AU81/100+Carriers!$R$18/Carriers!$R$23*BD81+Carriers!$R$20/Carriers!$R$23*co2_liq_cost)*(CS81+meoh_st_ab_losses)/1000000</f>
        <v>92316.15235933887</v>
      </c>
      <c r="CP81" s="86">
        <f>(meoh_invest*(M81+1/meoh_lifetime)/meoh_prod+meoh_opex+meoh_e_demand*1000*$AU81/100+Carriers!$R$18/Carriers!$R$23*BD81+Carriers!$R$20/Carriers!$R$23*BP81)*(CS81+meoh_st_ab_losses)/1000000</f>
        <v>113527.49392127249</v>
      </c>
      <c r="CQ81" s="63">
        <f>meoh_st_nl_cost*meoh_st_nl_demand/1000000+(meoh_st_invest*(M81+1/meoh_st_lifetime+meoh_st_opex)/(Storage!$K$63/1000000)+meoh_st_e_demand*1000*$AU81/100)*(CS81+meoh_st_ab_losses)/1000000+co2_st_nl_cost*Storage!$K$12*co2_density/meoh_density/1000000+(co2_st_opex_lev+co2_st_invest_lev+co2_st_e_demand*1000*IFERROR(MIN(S81,AA81,AI81),S81)/100)*Storage!$K$12/1000000+co2_st_invest_lev*Storage!$K$12*co2_st_lifetime*M81/1000000+Carriers!$R$18/Carriers!$R$23*((CS81+meoh_st_ab_losses)/365.25*short_st_duration_hrs/24)*(h2_short_st_invest*(1/gh2_short_st_lifetime+$M81+h2_short_st_opex)+h2_short_st_e_demand*1000*$AU81/100)/1000000+Carriers!$R$20/Carriers!$R$23*((CF81+meoh_st_ab_losses)/365.25*short_st_duration_hrs/24)*(co2_short_st_invest*(1/co2_short_st_lifetime+$M81+co2_short_st_opex)+co2_short_st_e_demand*1000*$AU81/100)/1000000</f>
        <v>5794.9503191655904</v>
      </c>
      <c r="CR81" s="63">
        <f>meoh_st_nl_cost*meoh_st_nl_demand/1000000+(meoh_st_invest*(M81+1/meoh_st_lifetime+meoh_st_opex)/(Storage!$K$63/1000000)+meoh_st_e_demand*1000*$AU81/100)*(CS81+meoh_st_ab_losses)/1000000+Carriers!$R$18/Carriers!$R$23*((CS81+meoh_st_ab_losses)/365.25*short_st_duration_hrs/24)*(h2_short_st_invest*(1/gh2_short_st_lifetime+$M81+h2_short_st_opex)+h2_short_st_e_demand*1000*$AU81/100)/1000000+Carriers!$R$20/Carriers!$R$23*((CF81+meoh_st_ab_losses)/365.25*short_st_duration_hrs/24)*(co2_short_st_invest*(1/co2_short_st_lifetime+$M81+co2_short_st_opex)+co2_short_st_e_demand*1000*$AU81/100)/1000000</f>
        <v>2488.1608193717825</v>
      </c>
      <c r="CS81" s="63">
        <f>Storage!$K$57/((1-Shipping!$L$37)^($F81/24/Shipping!$L$44+0.5*Shipping!$L$59))</f>
        <v>108044444.44444443</v>
      </c>
      <c r="CT81" s="28" t="str">
        <f>IF($E81="","No Port",IF(AND(ship_choice="VLCC",G81="Panama"),"Ship cannot pass through Panama",IF(ship_choice="VLCC",((F81/24/Shipping!$AD$44+F81/24/Shipping!$AD$50+Shipping!$AD$59+Shipping!$AD$64)*(Shipping!$AD$22+wacc_nl*Shipping!$AD$19/365.25*1000000+Shipping!$AD$35)+(F81/24/Shipping!$AD$44*Shipping!$AD$45+Shipping!$AD$64*Shipping!$AD$65)*IF(bunker_choice="HFO",$H81,IF(bunker_choice="hydrogen",$BD81*hfo_e_density_lhv/h2_e_density_lhv,(CO81+CQ81)*1000000/CS81*hfo_e_density_lhv/meoh_e_density_lhv))+(F81/24/Shipping!$AD$50*Shipping!$AD$51+Shipping!$AD$59*Shipping!$AD$60)*IF(bunker_choice="HFO",bunker_price_ROT,IF(bunker_choice="hydrogen",$BD81*hfo_e_density_lhv/h2_e_density_lhv,(CO81+CQ81)*1000000/CS81*hfo_e_density_lhv/meoh_e_density_lhv))+Shipping!$AD$73+IF(G81="Panama",Shipping!$AD$55,0)+IF(G81="Suez",Shipping!$AD$56,0))/Shipping!$AD$31*CS81/1000000+IF(inland_transport_to_port="hv dc grid",$BM81/100*1000*CV81,IF(inland_transport_to_port="pipeline",$BN81,0)),((F81/24/Shipping!$L$44+F81/24/Shipping!$L$50+Shipping!$L$59+Shipping!$L$64)*(Shipping!$L$22+wacc_nl*Shipping!$L$19/365.25*1000000+Shipping!$L$35)+(F81/24/Shipping!$L$44*Shipping!$L$45+Shipping!$L$64*Shipping!$L$65)*IF(bunker_choice="HFO",$H81,IF(bunker_choice="hydrogen",$BD81*hfo_e_density_lhv/h2_e_density_lhv,(CO81+CQ81)*1000000/CS81*hfo_e_density_lhv/meoh_e_density_lhv))+(F81/24/Shipping!$L$50*Shipping!$L$51+Shipping!$L$59*Shipping!$L$60)*IF(bunker_choice="HFO",bunker_price_ROT,IF(bunker_choice="hydrogen",$BD81*hfo_e_density_lhv/h2_e_density_lhv,(CO81+CQ81)*1000000/CS81*hfo_e_density_lhv/meoh_e_density_lhv))+Shipping!$L$73+IF(G81="Panama",Shipping!$L$55,0)+IF(G81="Suez",Shipping!$L$56,0))/Shipping!$L$31*CS81/1000000+IF(inland_transport_to_port="hv dc grid",$BM81/100*1000*CV81,IF(inland_transport_to_port="pipeline",$BN81,0)))))</f>
        <v>No Port</v>
      </c>
      <c r="CU81" s="28" t="str">
        <f t="shared" si="133"/>
        <v/>
      </c>
      <c r="CV81" s="29">
        <f>((Carriers!$R$18/Carriers!$R$23*alk_el_e_demand)+meoh_e_demand)*(CS81+meoh_st_ab_losses)/1000000+meoh_st_e_demand*CS81/1000000</f>
        <v>1119.9789871111109</v>
      </c>
      <c r="CW81" s="29">
        <f t="shared" si="104"/>
        <v>0.16206666666666666</v>
      </c>
      <c r="CX81" s="28" t="str">
        <f>IFERROR(CU81*1000000/Storage!$K$12,"")</f>
        <v/>
      </c>
      <c r="CY81" s="28" t="str">
        <f>IF($E81="","No Port",((F81/24/Shipping!$L$44+F81/24/Shipping!$L$50+Shipping!$L$59+Shipping!$L$64)*Carriers!$R$39*wacc_nl))</f>
        <v>No Port</v>
      </c>
      <c r="CZ81" s="29">
        <f>H2_retrieval!$J$25*h2_demand_kt/1000+(co2_liq_e_demand+co2_st_e_demand*2)*Storage!$K$12*co2_density/meoh_density/1000000</f>
        <v>251.05079059698966</v>
      </c>
      <c r="DA81" s="28" t="str">
        <f>IFERROR((((CO81+CQ81+CT81)*(1+H2_retrieval!$J$34)+CY81)*1000000/H2_retrieval!$J$8)+h2_regen_meoh,"")</f>
        <v/>
      </c>
      <c r="DB81" s="149">
        <f>(DBT_invest*(M81+1/DBT_lifetime)/DBT_prod+DBT_opex+DBT_e_demand*1000*$AU81/100+Carriers!$T$18/Carriers!$T$23*BD81)*(DD81+DBT_st_ab_losses)/1000000</f>
        <v>61728.774845958549</v>
      </c>
      <c r="DC81" s="28">
        <f>2*(DBT_st_nl_cost*DBT_st_nl_demand/1000000+(DBT_st_invest*(M81+1/DBT_st_lifetime+DBT_st_opex)/(Storage!$M$63/1000000)+DBT_st_e_demand*1000*$AU81/100)*(DD81+DBT_st_ab_losses)/1000000)+Carriers!$T$18/Carriers!$T$23*((DD81+DBT_st_ab_losses)/365.25*short_st_duration_hrs/24)*(h2_short_st_invest*(1/gh2_short_st_lifetime+$M81+h2_short_st_opex)+h2_short_st_e_demand*1000*$AU81/100)/1000000</f>
        <v>4988.0491482958669</v>
      </c>
      <c r="DD81" s="63">
        <f>Storage!$M$57/((1-Shipping!$N$37)^($F81/24/Shipping!$N$44+0.5*Shipping!$N$59))</f>
        <v>219354838.70967743</v>
      </c>
      <c r="DE81" s="28" t="str">
        <f>IF($E81="","No Port",IF(AND(ship_choice="VLCC",G81="Panama"),"Ship cannot pass through Panama",IF(ship_choice="VLCC",((F81/24/Shipping!$AD$44+F81/24/Shipping!$AD$50+Shipping!$AD$59+Shipping!$AD$64)*(Shipping!$AD$22+wacc_nl*Shipping!$AD$19/365.25*1000000+Shipping!$AD$35)+(F81/24/Shipping!$AD$44*Shipping!$AD$45+Shipping!$AD$64*Shipping!$AD$65)*IF(bunker_choice="HFO",$H81,IF(bunker_choice="hydrogen",$BD81*hfo_e_density_lhv/h2_e_density_lhv,(DB81+DC81)*1000000/DD81*hfo_e_density_lhv/DBT_e_density_lhv))+(F81/24/Shipping!$AD$50*Shipping!$AD$51+Shipping!$AD$59*Shipping!$AD$60)*IF(bunker_choice="HFO",bunker_price_ROT,IF(bunker_choice="hydrogen",$BD81*hfo_e_density_lhv/h2_e_density_lhv,(DB81+DC81)*1000000/DD81*hfo_e_density_lhv/DBT_e_density_lhv))+Shipping!$AD$73+IF(G81="Panama",Shipping!$AD$55,0)+IF(G81="Suez",Shipping!$AD$56,0))/Shipping!$AD$31*DD81/1000000+IF(inland_transport_to_port="hv dc grid",$BM81/100*1000*DG81,IF(inland_transport_to_port="pipeline",$BN81,0)),((F81/24/Shipping!$N$44+F81/24/Shipping!$N$50+Shipping!$N$59+Shipping!$N$64)*(Shipping!$N$22+wacc_nl*Shipping!$N$19/365.25*1000000+Shipping!$N$35)+(F81/24/Shipping!$N$44*Shipping!$N$45+Shipping!$N$64*Shipping!$N$65)*IF(bunker_choice="HFO",$H81,IF(bunker_choice="hydrogen",$BD81*hfo_e_density_lhv/h2_e_density_lhv,(DB81+DC81)*1000000/DD81*hfo_e_density_lhv/DBT_e_density_lhv))+(F81/24/Shipping!$N$50*Shipping!$N$51+Shipping!$N$59*Shipping!$N$60)*IF(bunker_choice="HFO",bunker_price_ROT,IF(bunker_choice="hydrogen",$BD81*hfo_e_density_lhv/h2_e_density_lhv,(DB81+DC81)*1000000/DD81*hfo_e_density_lhv/DBT_e_density_lhv))+Shipping!$N$73+IF(G81="Panama",Shipping!$N$55,0)+IF(G81="Suez",Shipping!$N$56,0))/Shipping!$N$31*Shipping!$N$86/1000000+IF(inland_transport_to_port="hv dc grid",$BM81/100*1000*DG81,IF(inland_transport_to_port="pipeline",$BN81,0)))))</f>
        <v>No Port</v>
      </c>
      <c r="DF81" s="28" t="str">
        <f t="shared" si="82"/>
        <v/>
      </c>
      <c r="DG81" s="29">
        <f>((Carriers!$T$18/Carriers!$T$23*alk_el_e_demand)+DBT_e_demand)*(DD81+DBT_st_ab_losses)/1000000+DBT_st_e_demand*DD81/1000000</f>
        <v>703.88335483870969</v>
      </c>
      <c r="DH81" s="29">
        <f t="shared" si="105"/>
        <v>0.21935483870967742</v>
      </c>
      <c r="DI81" s="28" t="str">
        <f>IFERROR(DF81*1000000/Storage!$M$12,"")</f>
        <v/>
      </c>
      <c r="DJ81" s="28" t="str">
        <f>IF($E81="","No Port",((F81/24/Shipping!$N$44+F81/24/Shipping!$N$50+Shipping!$N$59+Shipping!$N$64)*Carriers!$T$39*wacc_nl))</f>
        <v>No Port</v>
      </c>
      <c r="DK81" s="100">
        <f>H2_retrieval!$L$25*h2_demand_kt/1000+(co2_liq_e_demand+co2_st_e_demand*2)*Storage!$M$12*co2_density/DBT_density/1000000</f>
        <v>206.61934861671787</v>
      </c>
      <c r="DL81" s="28" t="str">
        <f>IFERROR(((DF81*(1+H2_retrieval!$L$34)+DJ81)*1000000/H2_retrieval!$L$8)+h2_regen_lohc,"")</f>
        <v/>
      </c>
      <c r="DM81" s="149">
        <f t="shared" si="127"/>
        <v>63801.554237482836</v>
      </c>
      <c r="DN81" s="16">
        <f>2*(nabh4_st_nl_cost*nabh4_st_nl_demand/1000000+(nabh4_st_invest*(M81+1/nabh4_st_lifetime+nabh4_st_opex)/(Storage!$O$63/1000000)+nabh4_st_e_demand*1000*$AU81/100)*(DO81+nabh4_st_ab_losses)/1000000)+(h2_demand_kt*1000/365.25*short_st_duration_hrs/24)*(h2_short_st_invest*(1/gh2_short_st_lifetime+$M81+h2_short_st_opex)+h2_short_st_e_demand*1000*$AU81/100)/1000000</f>
        <v>1708.1527425286863</v>
      </c>
      <c r="DO81" s="63">
        <f>Storage!$O$57/((1-Shipping!$P$37)^($F81/24/Shipping!$P$44+0.5*Shipping!$P$59))</f>
        <v>63920000</v>
      </c>
      <c r="DP81" s="16" t="str">
        <f>IF($E81="","No Port",((F81/24/Shipping!$P$44+F81/24/Shipping!$P$50+Shipping!$P$59+Shipping!$P$64)*(Shipping!$P$22+wacc_nl*Shipping!$P$19/365.25*1000000+Shipping!$P$35)+(F81/24/Shipping!$P$44*Shipping!$P$45+Shipping!$P$64*Shipping!$P$65)*IF(bunker_choice="HFO",$H81,IF(bunker_choice="hydrogen",$BD81*hfo_e_density_lhv/h2_e_density_lhv,(DM81+DN81)*1000000/DO81*hfo_e_density_lhv/nabh4_e_density_lhv))+(F81/24/Shipping!$P$50*Shipping!$P$51+Shipping!$P$59*Shipping!$P$60)*IF(bunker_choice="HFO",bunker_price_ROT,IF(bunker_choice="hydrogen",$BD81*hfo_e_density_lhv/h2_e_density_lhv,(DM81+DN81)*1000000/DO81*hfo_e_density_lhv/nabh4_e_density_lhv))+Shipping!$P$73+IF(G81="Panama",Shipping!$P$55,0)+IF(G81="Suez",Shipping!$P$56,0))/Shipping!$P$31*(DO81+nabh4_st_ab_losses)/1000000+IF(inland_transport_to_port="hv dc grid",$BM81/100*1000*DR81,IF(inland_transport_to_port="pipeline",$BN81,0)))</f>
        <v>No Port</v>
      </c>
      <c r="DQ81" s="28" t="str">
        <f t="shared" si="60"/>
        <v/>
      </c>
      <c r="DR81" s="29">
        <f>((Carriers!$V$18/Carriers!$V$23*alk_el_e_demand)+nabh4_e_demand)*(DO81+nabh4_st_ab_losses)/1000000+nabh4_st_e_demand*DO81/1000000</f>
        <v>980.02139682539689</v>
      </c>
      <c r="DS81" s="28">
        <f t="shared" si="106"/>
        <v>3.1960000000000002</v>
      </c>
      <c r="DT81" s="28" t="str">
        <f>IFERROR(DQ81*1000000/Storage!$O$12,"")</f>
        <v/>
      </c>
      <c r="DU81" s="28" t="str">
        <f>IF($E81="","No Port",((F81/24/Shipping!$P$44+F81/24/Shipping!$P$50+Shipping!$P$59+Shipping!$P$64)*Carriers!$V$39*wacc_nl))</f>
        <v>No Port</v>
      </c>
      <c r="DV81" s="100">
        <f>H2_retrieval!$N$25*h2_demand_kt/1000+(co2_liq_e_demand+co2_st_e_demand*2)*Storage!$O$12*co2_density/nabh4_density/1000000</f>
        <v>18.783638728971958</v>
      </c>
      <c r="DW81" s="28" t="str">
        <f>IFERROR(((DQ81*(1+H2_retrieval!$N$34)+DU81)*1000000/H2_retrieval!$N$8)+h2_regen_nabh4,"")</f>
        <v/>
      </c>
      <c r="DX81" s="149">
        <f>(Dme_invest*(M81+1/Dme_lifetime)/Dme_prod+Dme_opex+Dme_e_demand*1000*$AU81/100+Carriers!$X$21/Carriers!$X$23*(CO81*1000000/CS81))*(EB81+Dme_st_ab_losses)/1000000</f>
        <v>129303.26408853398</v>
      </c>
      <c r="DY81" s="86">
        <f>(Dme_invest*(M81+1/Dme_lifetime)/Dme_prod+Dme_opex+Dme_e_demand*1000*$AU81/100+Carriers!$X$21/Carriers!$X$23*(CP81*1000000/CS81))*(EB81+Dme_st_ab_losses)/1000000</f>
        <v>158079.92783106031</v>
      </c>
      <c r="DZ81" s="63">
        <f>Dme_st_nl_cost*Dme_st_nl_demand/1000000+(Dme_st_invest*(M81+1/Dme_st_lifetime+Dme_st_opex)/(Storage!$Q$63/1000000)+Dme_st_e_demand*1000*$AU81/100)*(EB81+Dme_st_ab_losses)/1000000+co2_st_nl_cost*Storage!$Q$12*co2_density/Dme_density/1000000+(co2_st_opex_lev+co2_st_invest_lev+co2_st_e_demand*1000*$AU81/100)*Storage!$Q$12/1000000+co2_st_invest_lev*Storage!$Q$12*co2_st_lifetime*M81/1000000+(h2_demand_kt*1000/365.25*short_st_duration_hrs/24)*(h2_short_st_invest*(1/gh2_short_st_lifetime+$M81+h2_short_st_opex)+h2_short_st_e_demand*1000*$AU81/100)/1000000</f>
        <v>6940.1251217485042</v>
      </c>
      <c r="EA81" s="63">
        <f>Dme_st_nl_cost*Dme_st_nl_demand/1000000+(Dme_st_invest*(M81+1/Dme_st_lifetime+Dme_st_opex)/(Storage!$Q$63/1000000)+Dme_st_e_demand*1000*$AU81/100)*(EB81+Dme_st_ab_losses)/1000000+(h2_demand_kt*1000/365.25*short_st_duration_hrs/24)*(h2_short_st_invest*(1/gh2_short_st_lifetime+$M81+h2_short_st_opex)+h2_short_st_e_demand*1000*$AU81/100)/1000000</f>
        <v>3644.0801775553223</v>
      </c>
      <c r="EB81" s="63">
        <f>Storage!$Q$57/((1-Shipping!$R$37)^($F81/24/Shipping!$R$44+0.5*Shipping!$R$59))</f>
        <v>103547089.94708996</v>
      </c>
      <c r="EC81" s="153" t="str">
        <f>IF($E81="","No Port",IF(AND(ship_choice="VLCC",G81="Panama"),"Ship cannot pass through Panama",IF(ship_choice="VLCC",((F81/24/Shipping!$AD$44+F81/24/Shipping!$AD$50+Shipping!$AD$59+Shipping!$AD$64)*(Shipping!$AD$22+wacc_nl*Shipping!$AD$19/365.25*1000000+Shipping!$AD$35)+(F81/24/Shipping!$AD$44*Shipping!$AD$45+Shipping!$AD$64*Shipping!$AD$65)*IF(bunker_choice="HFO",$H81,IF(bunker_choice="hydrogen",$BD81*hfo_e_density_lhv/h2_e_density_lhv,(DX81+DZ81)*1000000/EB81*hfo_e_density_lhv/Dme_e_density_lhv))+(F81/24/Shipping!$AD$50*Shipping!$AD$51+Shipping!$AD$59*Shipping!$AD$60)*IF(bunker_choice="HFO",bunker_price_ROT,IF(bunker_choice="hydrogen",$BD81*hfo_e_density_lhv/h2_e_density_lhv,(DX81+DZ81)*1000000/EB81*hfo_e_density_lhv/Dme_e_density_lhv))+Shipping!$AD$73+IF(G81="Panama",Shipping!$AD$55,0)+IF(G81="Suez",Shipping!$AD$56,0))/Shipping!$AD$31*(EB81+Dme_st_ab_losses)/1000000+IF(inland_transport_to_port="hv dc grid",$BM81/100*1000*EE81,IF(inland_transport_to_port="pipeline",$BN81,0)),((F81/24/Shipping!$R$44+F81/24/Shipping!$R$50+Shipping!$R$59+Shipping!$R$64)*(Shipping!$R$22+wacc_nl*Shipping!$R$19/365.25*1000000+Shipping!$R$35)+(F81/24/Shipping!$R$44*Shipping!$R$45+Shipping!$R$64*Shipping!$R$65)*IF(bunker_choice="HFO",$H81,IF(bunker_choice="hydrogen",$BD81*hfo_e_density_lhv/h2_e_density_lhv,(DX81+DZ81)*1000000/EB81*hfo_e_density_lhv/Dme_e_density_lhv))+(F81/24/Shipping!$R$50*Shipping!$R$51+Shipping!$R$59*Shipping!$R$60)*IF(bunker_choice="HFO",bunker_price_ROT,IF(bunker_choice="hydrogen",$BD81*hfo_e_density_lhv/h2_e_density_lhv,(DX81+DZ81)*1000000/EB81*hfo_e_density_lhv/Dme_e_density_lhv))+Shipping!$R$73+IF(G81="Panama",Shipping!$R$55,0)+IF(G81="Suez",Shipping!$R$56,0))/Shipping!$R$31*(EB81+Dme_st_ab_losses)/1000000+IF(inland_transport_to_port="hv dc grid",$BM81/100*1000*EE81,IF(inland_transport_to_port="pipeline",$BN81,0)))))</f>
        <v>No Port</v>
      </c>
      <c r="ED81" s="28" t="str">
        <f t="shared" si="134"/>
        <v/>
      </c>
      <c r="EE81" s="29">
        <f>(Dme_e_demand)*(EB81+Dme_st_ab_losses)/1000000+Dme_st_e_demand*DZ81/1000000+$CV81*(Carriers!$X$21/Carriers!$X$23*EB81)/$CS81</f>
        <v>1550.216829568307</v>
      </c>
      <c r="EF81" s="29">
        <f t="shared" si="107"/>
        <v>1.0354708994708997</v>
      </c>
      <c r="EG81" s="28" t="str">
        <f>IFERROR(ED81*1000000/Storage!$Q$12,"")</f>
        <v/>
      </c>
      <c r="EH81" s="28" t="str">
        <f>IF($E81="","No Port",((F81/24/Shipping!$R$44+F81/24/Shipping!$R$50+Shipping!$R$59+Shipping!$R$64)*Carriers!$X$39*wacc_nl))</f>
        <v>No Port</v>
      </c>
      <c r="EI81" s="100">
        <f>H2_retrieval!$P$25*h2_demand_kt/1000+(co2_liq_e_demand+co2_st_e_demand*2)*Storage!$Q$12*co2_density/Dme_density/1000000</f>
        <v>252.45335899349112</v>
      </c>
      <c r="EJ81" s="28" t="str">
        <f>IFERROR((((DX81+DZ81+EC81)*(1+H2_retrieval!$P$34)+EH81)*1000000/H2_retrieval!$P$8)+h2_regen_dme,"")</f>
        <v/>
      </c>
      <c r="EK81" s="149">
        <f>(ome_invest*(M81+1/ome_lifetime)/ome_prod+ome_opex+ome_e_demand*1000*$AU81/100+Carriers!$Z$21/Carriers!$Z$23*(CO81*1000000/CS81))*(EO81+ome_st_ab_losses)/1000000</f>
        <v>280237.17840642045</v>
      </c>
      <c r="EL81" s="86">
        <f>(ome_invest*(M81+1/ome_lifetime)/ome_prod+ome_opex+ome_e_demand*1000*$AU81/100+Carriers!$Z$21/Carriers!$Z$23*(CP81*1000000/CS81))*(EO81+ome_st_ab_losses)/1000000</f>
        <v>340644.99735463772</v>
      </c>
      <c r="EM81" s="63">
        <f>ome_st_nl_cost*ome_st_nl_demand/1000000+(ome_st_invest*(M81+1/ome_st_lifetime+ome_st_opex)/(Storage!$S$63/1000000)+ome_st_e_demand*1000*$AU81/100)*(EO81+ome_st_ab_losses)/1000000+co2_st_nl_cost*Storage!$S$12*co2_density/ome_density/1000000+(co2_st_opex_lev+co2_st_invest_lev+co2_st_e_demand*1000*$AU81/100)*Storage!$S$12/1000000+co2_st_invest_lev*Storage!$S$12*co2_st_lifetime*M81/1000000+(h2_demand_kt*1000/365.25*short_st_duration_hrs/24)*(h2_short_st_invest*(1/gh2_short_st_lifetime+$M81+h2_short_st_opex)+h2_short_st_e_demand*1000*$AU81/100)/1000000</f>
        <v>5961.2373108611782</v>
      </c>
      <c r="EN81" s="63">
        <f>ome_st_nl_cost*ome_st_nl_demand/1000000+(ome_st_invest*(M81+1/ome_st_lifetime+ome_st_opex)/(Storage!$S$63/1000000)+ome_st_e_demand*1000*$AU81/100)*(EO81+ome_st_ab_losses)/1000000+(h2_demand_kt*1000/365.25*short_st_duration_hrs/24)*(h2_short_st_invest*(1/gh2_short_st_lifetime+$M81+h2_short_st_opex)+h2_short_st_e_demand*1000*$AU81/100)/1000000</f>
        <v>2216.7971404487371</v>
      </c>
      <c r="EO81" s="63">
        <f>Storage!$S$57/((1-Shipping!$T$37)^($F81/24/Shipping!$T$44+0.5*Shipping!$T$59))</f>
        <v>128282539.68253967</v>
      </c>
      <c r="EP81" s="28" t="str">
        <f>IF($E81="","No Port",IF(AND(ship_choice="VLCC",G81="Panama"),"Ship cannot pass through Panama",IF(ship_choice="VLCC",((F81/24/Shipping!$AD$44+F81/24/Shipping!$AD$50+Shipping!$AD$59+Shipping!$AD$64)*(Shipping!$AD$22+wacc_nl*Shipping!$AD$19/365.25*1000000+Shipping!$AD$35)+(F81/24/Shipping!$AD$44*Shipping!$AD$45+Shipping!$AD$64*Shipping!$AD$65)*IF(bunker_choice="HFO",$H81,IF(bunker_choice="hydrogen",$BD81*hfo_e_density_lhv/h2_e_density_lhv,(EK81+EM81)*1000000/EO81*hfo_e_density_lhv/Dme_e_density_lhv))+(F81/24/Shipping!$AD$50*Shipping!$AD$51+Shipping!$AD$59*Shipping!$AD$60)*IF(bunker_choice="HFO",bunker_price_ROT,IF(bunker_choice="hydrogen",$BD81*hfo_e_density_lhv/h2_e_density_lhv,(EK81+EM81)*1000000/EO81*hfo_e_density_lhv/ome_e_density_lhv))+Shipping!$AD$73+IF(G81="Panama",Shipping!$AD$55,0)+IF(G81="Suez",Shipping!$AD$56,0))/Shipping!$AD$31*(EO81+ome_st_ab_losses)/1000000+IF(inland_transport_to_port="hv dc grid",$BM81/100*1000*ER81,IF(inland_transport_to_port="pipeline",$BN81,0)),((F81/24/Shipping!$T$44+F81/24/Shipping!$T$50+Shipping!$T$59+Shipping!$T$64)*(Shipping!$T$22+wacc_nl*Shipping!$T$19/365.25*1000000+Shipping!$T$35)+(F81/24/Shipping!$T$44*Shipping!$T$45+Shipping!$T$64*Shipping!$T$65)*IF(bunker_choice="HFO",$H81,IF(bunker_choice="hydrogen",$BD81*hfo_e_density_lhv/h2_e_density_lhv,(EK81+EM81)*1000000/EO81*hfo_e_density_lhv/Dme_e_density_lhv))+(F81/24/Shipping!$T$50*Shipping!$T$51+Shipping!$T$59*Shipping!$T$60)*IF(bunker_choice="HFO",bunker_price_ROT,IF(bunker_choice="hydrogen",$BD81*hfo_e_density_lhv/h2_e_density_lhv,(EK81+EM81)*1000000/EO81*hfo_e_density_lhv/ome_e_density_lhv))+Shipping!$T$73+IF(G81="Panama",Shipping!$T$55,0)+IF(G81="Suez",Shipping!$T$56,0))/Shipping!$T$31*(EO81+ome_st_ab_losses)/1000000+IF(inland_transport_to_port="hv dc grid",$BM81/100*1000*ER81,IF(inland_transport_to_port="pipeline",$BN81,0)))))</f>
        <v>No Port</v>
      </c>
      <c r="EQ81" s="28" t="str">
        <f t="shared" si="135"/>
        <v/>
      </c>
      <c r="ER81" s="29">
        <f>(ome_e_demand)*(EO81+ome_st_ab_losses)/1000000+ome_st_e_demand*EM81/1000000+$CV81*(Carriers!$Z$21/Carriers!$Z$23*EO81)/$CS81</f>
        <v>3352.0814590826394</v>
      </c>
      <c r="ES81" s="29">
        <f t="shared" si="108"/>
        <v>0.1924238095238095</v>
      </c>
      <c r="ET81" s="28" t="str">
        <f>IFERROR(EQ81*1000000/Storage!$S$12,"")</f>
        <v/>
      </c>
      <c r="EU81" s="28" t="str">
        <f>IF($E81="","No Port",((F81/24/Shipping!$T$44+F81/24/Shipping!$T$50+Shipping!$T$59+Shipping!$T$64)*Carriers!$Z$39*wacc_nl))</f>
        <v>No Port</v>
      </c>
      <c r="EV81" s="100">
        <f>H2_retrieval!$R$25*h2_demand_kt/1000+(co2_liq_e_demand+co2_st_e_demand*2)*Storage!$S$12*co2_density/ome_density/1000000</f>
        <v>254.51942895252085</v>
      </c>
      <c r="EW81" s="28" t="str">
        <f>IFERROR((((EK81+EM81+EP81)*(1+H2_retrieval!$R$34)+EU81)*1000000/H2_retrieval!$R$8)+h2_regen_ome,"")</f>
        <v/>
      </c>
      <c r="EX81" s="149">
        <f>(sng_invest*(M81+1/sng_lifetime)/sng_prod+lng_invest*(M81+1/lng_lifetime)/lng_prod+sng_opex+lng_opex+(sng_e_demand+lng_e_demand)*1000*$AU81/100+Carriers!$AB$18/Carriers!$AB$23*BD81+Carriers!$AB$20/Carriers!$AB$23*co2_liq_cost)*(FB81+lng_st_ab_losses)/1000000</f>
        <v>97945.586211703645</v>
      </c>
      <c r="EY81" s="86">
        <f>(sng_invest*(M81+1/sng_lifetime)/sng_prod+lng_invest*(M81+1/lng_lifetime)/lng_prod+sng_opex+lng_opex+(sng_e_demand+lng_e_demand)*1000*$AU81/100+Carriers!$AB$18/Carriers!$AB$23*BD81+Carriers!$AB$20/Carriers!$AB$23*BP81)*(FB81+lng_st_ab_losses)/1000000</f>
        <v>113630.17853318097</v>
      </c>
      <c r="EZ81" s="63">
        <f>lng_st_nl_cost*lng_st_nl_demand/1000000+(lng_st_invest*(M81+1/lng_st_lifetime+lng_st_opex)/(Storage!$U$63/1000000)+lng_st_e_demand*1000*$AU81/100)*(FB81+lng_st_ab_losses)/1000000+co2_st_nl_cost*Storage!$U$12*co2_density/lng_density/1000000+(co2_st_opex_lev+co2_st_invest_lev+co2_st_e_demand*1000*$AU81/100)*Storage!$U$12/1000000+co2_st_invest_lev*Storage!$U$12*co2_st_lifetime*M81/1000000+Carriers!$AB$18/Carriers!$AB$23*((FB81+lng_st_ab_losses)/365.25*short_st_duration_hrs/24)*(h2_short_st_invest*(1/gh2_short_st_lifetime+$M81+h2_short_st_opex)+h2_short_st_e_demand*1000*$AU81/100)/1000000+Carriers!$AB$20/Carriers!$AB$23*((FB81+lng_st_ab_losses)/365.25*short_st_duration_hrs/24)*(co2_short_st_invest*(1/co2_short_st_lifetime+$M81+co2_short_st_opex)+co2_short_st_e_demand*1000*$AU81/100)/1000000</f>
        <v>7383.5881015819077</v>
      </c>
      <c r="FA81" s="63">
        <f>lng_st_nl_cost*lng_st_nl_demand/1000000+(lng_st_invest*(M81+1/lng_st_lifetime+lng_st_opex)/(Storage!$U$63/1000000)+lng_st_e_demand*1000*$AU81/100)*(FB81+lng_st_ab_losses)/1000000+Carriers!$AB$18/Carriers!$AB$23*((FB81+lng_st_ab_losses)/365.25*short_st_duration_hrs/24)*(h2_short_st_invest*(1/gh2_short_st_lifetime+$M81+h2_short_st_opex)+h2_short_st_e_demand*1000*$AU81/100)/1000000+Carriers!$AB$20/Carriers!$AB$23*((FB81+lng_st_ab_losses)/365.25*short_st_duration_hrs/24)*(co2_short_st_invest*(1/co2_short_st_lifetime+$M81+co2_short_st_opex)+co2_short_st_e_demand*1000*$AU81/100)/1000000</f>
        <v>5654.051702820524</v>
      </c>
      <c r="FB81" s="63">
        <f>Storage!$U$57/((1-Shipping!$V$37)^($F81/24/Shipping!$V$44+0.5*Shipping!$V$59))</f>
        <v>40707231.50721889</v>
      </c>
      <c r="FC81" s="28" t="str">
        <f>IF($E81="","No Port",IF(G81="Panama","Ship cannot pass through Panama",((F81/24/Shipping!$V$44+F81/24/Shipping!$V$50+Shipping!$V$59+Shipping!$V$64)*(Shipping!$V$22+wacc_nl*Shipping!$V$19/365.25*1000000+Shipping!$V$35)+(F81/24/Shipping!$V$44*Shipping!$V$45+Shipping!$V$64*Shipping!$V$65)*IF(bunker_choice="HFO",$H81,IF(bunker_choice="hydrogen",$BD81*hfo_e_density_lhv/h2_e_density_lhv,(EX81+EZ81)*1000000/FB81*hfo_e_density_lhv/lng_e_density_lhv))+(F81/24/Shipping!$V$50*Shipping!$V$51+Shipping!$V$59*Shipping!$V$60)*IF(bunker_choice="HFO",bunker_price_ROT,IF(bunker_choice="hydrogen",$BD81*hfo_e_density_lhv/h2_e_density_lhv,(EX81+EZ81)*1000000/FB81*hfo_e_density_lhv/lng_e_density_lhv))+Shipping!$V$73+IF(G81="Panama",Shipping!$V$55,0)+IF(G81="Suez",Shipping!$V$56,0))/Shipping!$V$31*(FB81+lng_st_ab_losses)/1000000)+IF(inland_transport_to_port="hv dc grid",$BM81/100*1000*FE81,IF(inland_transport_to_port="pipeline",$BN81,0)))</f>
        <v>No Port</v>
      </c>
      <c r="FD81" s="28" t="str">
        <f t="shared" si="136"/>
        <v/>
      </c>
      <c r="FE81" s="29">
        <f>((Carriers!$AB$18/Carriers!$AB$23*alk_el_e_demand)+sng_e_demand+lng_e_demand)*(FB81+lng_st_ab_losses)/1000000+lng_st_e_demand*EZ81/1000000</f>
        <v>1091.7519067004114</v>
      </c>
      <c r="FF81" s="29">
        <f t="shared" si="109"/>
        <v>0.8126185861001558</v>
      </c>
      <c r="FG81" s="28" t="str">
        <f>IFERROR(FD81*1000000/Storage!$U$12,"")</f>
        <v/>
      </c>
      <c r="FH81" s="28" t="str">
        <f>IF($E81="","No Port",((F81/24/Shipping!$V$44+F81/24/Shipping!$V$50+Shipping!$V$59+Shipping!$V$64)*Carriers!$AB$39*wacc_nl))</f>
        <v>No Port</v>
      </c>
      <c r="FI81" s="100">
        <f>H2_retrieval!$T$25*h2_demand_kt/1000+(co2_liq_e_demand+co2_st_e_demand*2)*Storage!$U$12*co2_density/lng_density/1000000</f>
        <v>236.51371749646054</v>
      </c>
      <c r="FJ81" s="28" t="str">
        <f>IFERROR((((EX81+EZ81+FC81)*(1+H2_retrieval!$T$34)+FH81)*1000000/H2_retrieval!$T$8)+h2_regen_lng,"")</f>
        <v/>
      </c>
      <c r="FK81" s="149">
        <f>(lh2_invest*(M81+1/lh2_lifetime)/lh2_prod+lh2_opex+lh2_e_demand*1000*$AU81/100+Carriers!$AD$18/Carriers!$AD$23*BD81)*(FM81+lh2_st_ab_losses)/1000000</f>
        <v>75442.933885710532</v>
      </c>
      <c r="FL81" s="28">
        <f>lh2_st_nl_cost*lh2_st_nl_demand/1000000+(lh2_st_invest*(M81+1/lh2_st_lifetime+lh2_st_opex)/(Storage!$Y$63/1000000)+lh2_st_e_demand*1000*$AU81/100)*(FM81+lh2_st_ab_losses)/1000000+((FM81+lh2_st_ab_losses)/365.25*short_st_duration_hrs/24)*(h2_short_st_invest*(1/gh2_short_st_lifetime+$M81+h2_short_st_opex)+h2_short_st_e_demand*1000*$AU81/100)/1000000</f>
        <v>64370.710088059095</v>
      </c>
      <c r="FM81" s="63">
        <f>Storage!$Y$57/((1-Shipping!$Z$37)^($F81/24/Shipping!$Z$44+0.5*Shipping!$Z$59))</f>
        <v>13659984.090217989</v>
      </c>
      <c r="FN81" s="28" t="str">
        <f>IF($E81="","No Port",IF(G81="Panama","Ship cannot pass through Panama",((F81/24/Shipping!$Z$44+F81/24/Shipping!$Z$50+Shipping!$Z$59+Shipping!$Z$64)*(Shipping!$Z$22+wacc_nl*Shipping!$Z$19/365.25*1000000+Shipping!$Z$35)+(F81/24/Shipping!$Z$44*Shipping!$Z$45+Shipping!$Z$64*Shipping!$Z$65)*IF(bunker_choice="HFO",$H81,IF(bunker_choice="hydrogen",$BD81*hfo_e_density_lhv/h2_e_density_lhv,(FK81+FL81)*1000000/FM81*hfo_e_density_lhv/lh2_e_density_lhv))+(F81/24/Shipping!$Z$50*Shipping!$Z$51+Shipping!$Z$59*Shipping!$Z$60)*IF(bunker_choice="HFO",bunker_price_ROT,IF(bunker_choice="hydrogen",$BD81*hfo_e_density_lhv/h2_e_density_lhv,(FK81+FL81)*1000000/FM81*hfo_e_density_lhv/lh2_e_density_lhv))+Shipping!$Z$73+IF(G81="Panama",Shipping!$Z$55,0)+IF(G81="Suez",Shipping!$Z$56,0))/Shipping!$Z$31*(FM81+lh2_st_ab_losses)/1000000)+IF(inland_transport_to_port="hv dc grid",$BM81/100*1000*FP81,IF(inland_transport_to_port="pipeline",$BN81,0)))</f>
        <v>No Port</v>
      </c>
      <c r="FO81" s="28" t="str">
        <f t="shared" si="128"/>
        <v/>
      </c>
      <c r="FP81" s="29">
        <f>((Carriers!$AD$18/Carriers!$AD$23*alk_el_e_demand)+lh2_e_demand)*(FM81+lh2_st_ab_losses)/1000000+lh2_st_e_demand*FM81/1000000</f>
        <v>791.60233245091877</v>
      </c>
      <c r="FQ81" s="100">
        <f t="shared" si="110"/>
        <v>1.361902463475859</v>
      </c>
      <c r="FR81" s="28" t="str">
        <f>IFERROR(FO81*1000000/Storage!$Y$12,"")</f>
        <v/>
      </c>
      <c r="FS81" s="100">
        <f>H2_retrieval!$V$25*h2_demand_kt/1000</f>
        <v>8.16</v>
      </c>
      <c r="FT81" s="28" t="str">
        <f>IFERROR(FR81*(1+H2_retrieval!$V$34)/Carrier_properties!$U$7+H2_retrieval!$V$38,"")</f>
        <v/>
      </c>
      <c r="FU81" s="12"/>
      <c r="FV81" s="24">
        <f t="shared" si="129"/>
        <v>3.4262274783414801</v>
      </c>
      <c r="FW81" s="24" t="str">
        <f t="shared" si="92"/>
        <v/>
      </c>
      <c r="FX81" s="24" t="str">
        <f t="shared" si="93"/>
        <v/>
      </c>
      <c r="FY81" s="24">
        <f t="shared" si="130"/>
        <v>3.4262274783414801</v>
      </c>
      <c r="FZ81" s="28">
        <f t="shared" si="94"/>
        <v>4248.2601443632057</v>
      </c>
      <c r="GA81" s="28">
        <f t="shared" si="137"/>
        <v>941.30946164728323</v>
      </c>
      <c r="GB81" s="28">
        <f t="shared" si="138"/>
        <v>579.49702897079919</v>
      </c>
      <c r="GC81" s="28">
        <f t="shared" si="139"/>
        <v>1050.7480926485525</v>
      </c>
      <c r="GD81" s="28">
        <f t="shared" si="140"/>
        <v>1526.6477108321953</v>
      </c>
      <c r="GE81" s="28">
        <f t="shared" si="141"/>
        <v>2655.4276068873492</v>
      </c>
      <c r="GF81" s="28">
        <f t="shared" si="142"/>
        <v>2791.4003071672942</v>
      </c>
      <c r="GG81" s="12"/>
      <c r="GH81" s="12"/>
      <c r="GI81" s="12"/>
      <c r="GJ81" s="12"/>
      <c r="GK81" s="12"/>
      <c r="GL81" s="12"/>
      <c r="GM81" s="12"/>
      <c r="GN81" s="12"/>
      <c r="GO81" s="12"/>
      <c r="GP81" s="12"/>
      <c r="GQ81" s="12"/>
      <c r="GR81" s="12"/>
      <c r="GS81" s="12"/>
      <c r="GT81" s="12"/>
      <c r="GU81" s="12"/>
      <c r="GV81" s="12"/>
      <c r="GW81" s="12"/>
      <c r="GX81" s="12"/>
      <c r="GY81" s="12"/>
      <c r="GZ81" s="12"/>
      <c r="HA81" s="12"/>
      <c r="HB81" s="12"/>
      <c r="HC81" s="12"/>
      <c r="HD81" s="12"/>
      <c r="HE81" s="12"/>
      <c r="HF81" s="12"/>
    </row>
    <row r="82" spans="1:214" x14ac:dyDescent="0.2">
      <c r="A82" s="40" t="s">
        <v>231</v>
      </c>
      <c r="B82" s="12">
        <v>8752</v>
      </c>
      <c r="C82" s="12">
        <v>1</v>
      </c>
      <c r="D82" s="12">
        <f t="shared" si="111"/>
        <v>0</v>
      </c>
      <c r="E82" s="12"/>
      <c r="F82" s="12"/>
      <c r="G82" s="12"/>
      <c r="H82" s="16">
        <f t="shared" si="112"/>
        <v>382.75862068965517</v>
      </c>
      <c r="I82" s="16">
        <v>230800</v>
      </c>
      <c r="J82" s="16">
        <f t="shared" si="113"/>
        <v>271.04597715372734</v>
      </c>
      <c r="K82" s="16" t="str">
        <f t="shared" si="114"/>
        <v/>
      </c>
      <c r="L82" s="103">
        <v>0.19600000000000001</v>
      </c>
      <c r="M82" s="103">
        <f t="shared" si="115"/>
        <v>0.18002728898498147</v>
      </c>
      <c r="N82" s="122">
        <f t="shared" si="116"/>
        <v>0.9</v>
      </c>
      <c r="O82" s="46">
        <f t="shared" si="117"/>
        <v>40</v>
      </c>
      <c r="P82" s="70">
        <f t="array" ref="P82">SUMPRODUCT(IF(Solar_data!A$4:A$777=A82,Solar_data!C$4:C$777),IF(Solar_data!A$4:A$777=A82,Solar_data!I$4:I$777))/SUMIF(Solar_data!A$4:A$777,A82,Solar_data!I$4:I$777)</f>
        <v>1933.5082660917044</v>
      </c>
      <c r="Q82" s="16">
        <f t="array" ref="Q82">MAX(IF(Solar_data!$A$777:'Solar_data'!$A$4=Country_details!$A82,Solar_data!$C$4:'Solar_data'!$C$777))</f>
        <v>2098.75</v>
      </c>
      <c r="R82" s="16">
        <f t="array" ref="R82">MIN(IF(Solar_data!$A$777:'Solar_data'!$A$4=Country_details!A82,Solar_data!$C$4:'Solar_data'!$C$777))</f>
        <v>1551.25</v>
      </c>
      <c r="S82" s="24">
        <f t="shared" si="95"/>
        <v>3.1104491962750767</v>
      </c>
      <c r="T82" s="24">
        <f t="shared" si="96"/>
        <v>2.8655529397289623</v>
      </c>
      <c r="U82" s="24">
        <f t="shared" si="97"/>
        <v>3.8769245655156546</v>
      </c>
      <c r="V82" s="16">
        <f t="array" ref="V82">SUM(IF(Solar_data!$A$777:'Solar_data'!$A$4=Country_details!$A82,Solar_data!$I$4:'Solar_data'!$I$777))</f>
        <v>1806.5267732191955</v>
      </c>
      <c r="W82" s="148"/>
      <c r="X82" s="16" t="str">
        <f>IFERROR(INDEX(Onshore_wind_data!$J$5:'Onshore_wind_data'!$J$221,MATCH(A82,Onshore_wind_data!$B$5:'Onshore_wind_data'!$B$221,0)),"")</f>
        <v/>
      </c>
      <c r="Y82" s="16" t="str">
        <f>IFERROR(INDEX(Onshore_wind_data!$K$5:'Onshore_wind_data'!$K$221,MATCH(A82,Onshore_wind_data!$B$5:'Onshore_wind_data'!$B$221,0)),"")</f>
        <v/>
      </c>
      <c r="Z82" s="16" t="str">
        <f>IFERROR(INDEX(Onshore_wind_data!$L$5:'Onshore_wind_data'!$L$221,MATCH(A82,Onshore_wind_data!$B$5:'Onshore_wind_data'!$B$221,0)),"")</f>
        <v/>
      </c>
      <c r="AA82" s="24" t="str">
        <f t="shared" si="118"/>
        <v/>
      </c>
      <c r="AB82" s="24" t="str">
        <f t="shared" si="119"/>
        <v/>
      </c>
      <c r="AC82" s="24" t="str">
        <f t="shared" si="120"/>
        <v/>
      </c>
      <c r="AD82" s="16">
        <f>IFERROR(INDEX(Onshore_wind_data!$I$5:'Onshore_wind_data'!$I$221,MATCH(A82,Onshore_wind_data!$B$5:'Onshore_wind_data'!$B$221,0)),"")</f>
        <v>0</v>
      </c>
      <c r="AE82" s="148"/>
      <c r="AF82" s="16" t="str">
        <f>INDEX(Offshore_wind_data!$AA$7:$AA$192,MATCH(Country_details!A82,Offshore_wind_data!$A$7:$A$192,0))</f>
        <v/>
      </c>
      <c r="AG82" s="16" t="str">
        <f>INDEX(Offshore_wind_data!$Y$7:$Y$192,MATCH(Country_details!A82,Offshore_wind_data!$A$7:$A$192,0))</f>
        <v/>
      </c>
      <c r="AH82" s="16" t="str">
        <f>INDEX(Offshore_wind_data!$Z$7:$Z$192,MATCH(Country_details!A82,Offshore_wind_data!$A$7:$A$192,0))</f>
        <v/>
      </c>
      <c r="AI82" s="24" t="str">
        <f t="shared" si="98"/>
        <v/>
      </c>
      <c r="AJ82" s="24" t="str">
        <f t="shared" si="99"/>
        <v/>
      </c>
      <c r="AK82" s="24" t="str">
        <f t="shared" si="100"/>
        <v/>
      </c>
      <c r="AL82" s="16">
        <f>INDEX(Offshore_wind_data!$W$7:$W$191,MATCH(A82,Offshore_wind_data!$A$7:$A$191,0))</f>
        <v>0</v>
      </c>
      <c r="AM82" s="148"/>
      <c r="AN82" s="12">
        <v>6.9</v>
      </c>
      <c r="AO82" s="12">
        <v>9.1999999999999993</v>
      </c>
      <c r="AP82" s="34"/>
      <c r="AQ82" s="15">
        <f t="shared" si="101"/>
        <v>50</v>
      </c>
      <c r="AR82" s="12">
        <f t="shared" si="131"/>
        <v>459.99999999999994</v>
      </c>
      <c r="AS82" s="16">
        <f t="shared" si="121"/>
        <v>1346.5267732191955</v>
      </c>
      <c r="AT82" s="12"/>
      <c r="AU82" s="24">
        <f t="shared" si="122"/>
        <v>3.1104491962750767</v>
      </c>
      <c r="AV82" s="16">
        <f t="shared" si="123"/>
        <v>1933.5082660917044</v>
      </c>
      <c r="AW82" s="149">
        <f>HV_DC_Grid!$E$3/(1-AX82)*AU82/100*1000</f>
        <v>3746.7458858075702</v>
      </c>
      <c r="AX82" s="31">
        <f>(1-(1-HV_DC_Grid!$E$25)^(B82*C82*HV_DC_Grid!$E$8/1000))+(1-(1-HV_DC_Grid!$E$26)^(B82*D82*HV_DC_Grid!$E$8/1000))+HV_DC_Grid!$E$35*HV_DC_Grid!$E$28</f>
        <v>0.16982648648330911</v>
      </c>
      <c r="AY82" s="28">
        <f>B82*nl_e_demand/IF(hv_dc_flh="electricity FLH",$AV82,hv_dc_custom)*1000*hv_dc_capacity_multiplier*hv_dc_length_multiplier*1000*(C82*hv_dc_overhead_invest*(hv_dc_overhead_opex+M82+1/hv_dc_lifetime)+D82*hv_dc_sea_invest*(hv_dc_sea_opex+M82+1/hv_dc_lifetime))/1000000+HV_DC_Grid!$E$10*1000*hv_dc_station_invest*hv_dc_station_number*(hv_dc_station_opex+M82+1/hv_dc_lifetime)/1000000</f>
        <v>10504.203482198176</v>
      </c>
      <c r="AZ82" s="24">
        <f>(AW82+AY82)/(HV_DC_Grid!$E$3*1000)*100</f>
        <v>14.250949368005747</v>
      </c>
      <c r="BA82" s="28">
        <f>MIN(((Carriers!$F$26+Carriers!$F$27)*(alk_el_opex+wacc_nl+1/alk_el_lifetime)+IF(hv_dc_flh="electricity FLH",$AV82,hv_dc_custom)*AZ82/100)/(IF(hv_dc_flh="electricity FLH",$AV82,hv_dc_custom)/alk_el_e_demand)*1000,((Carriers!$H$26+Carriers!$H$27)*(pem_el_opex+wacc_nl+1/pem_el_lifetime)+IF(hv_dc_flh="electricity FLH",$AV82,hv_dc_custom)*AZ82/100)/(IF(hv_dc_flh="electricity FLH",$AV82,hv_dc_custom)/pem_el_e_demand)*1000)</f>
        <v>7641.6360861557578</v>
      </c>
      <c r="BB82" s="12"/>
      <c r="BC82" s="12"/>
      <c r="BD82" s="149">
        <f>MIN(((Carriers!$F$26+Carriers!$F$27)*(alk_el_opex+M82+1/alk_el_lifetime)+$AV82*$AU82/100)/($AV82/alk_el_e_demand)*1000,((Carriers!$H$26+Carriers!$H$27)*(pem_el_opex+M82+1/pem_el_lifetime)+$AV82*$AU82/100)/($AV82/pem_el_e_demand)*1000)</f>
        <v>3860.8238410438098</v>
      </c>
      <c r="BE82" s="28">
        <f>Storage!$AC$50</f>
        <v>8.1664117557772418</v>
      </c>
      <c r="BF82" s="28">
        <f>((Pipeline!$D$22*Pipeline!$D$24*B82*(pipeline_opex+M82+1/pipeline_lifetime))*(Pipeline!$D$39/Pipeline!$D$3)+(Pipeline!$D$57*(pipeline_comp_opex+M82+1/pipeline_comp_lifetime)+Pipeline!$D$47*1000*Pipeline!$D$45*$AU82/100/1000000))*(Pipeline!$D$75/Pipeline!$D$45)</f>
        <v>25324.541165134662</v>
      </c>
      <c r="BG82" s="28">
        <f>BD82+(BE82+BF82)/Storage!$AC$12*1000000</f>
        <v>5723.522927579872</v>
      </c>
      <c r="BH82" s="28"/>
      <c r="BI82" s="28"/>
      <c r="BJ82" s="28" t="str">
        <f>IF($E82="","No Port",BK82*HV_DC_Grid!$E$3*$AU82/100*1000)</f>
        <v>No Port</v>
      </c>
      <c r="BK82" s="31" t="str">
        <f>IFERROR((1-(1-HV_DC_Grid!$E$25)^(K82*HV_DC_Grid!$E$8/1000))+HV_DC_Grid!$E$35*HV_DC_Grid!$E$28,"")</f>
        <v/>
      </c>
      <c r="BL82" s="28" t="str">
        <f>IFERROR(K82*nl_e_demand/IF(hv_dc_flh="electricity FLH",$AV82,hv_dc_custom)*1000*hv_dc_capacity_multiplier*hv_dc_length_multiplier*1000*(hv_dc_overhead_invest*(hv_dc_overhead_opex+M82+1/hv_dc_lifetime))/1000000+HV_DC_Grid!$E$10*1000*hv_dc_station_invest*hv_dc_station_number*(hv_dc_station_opex+M82+1/hv_dc_lifetime)/1000000,"")</f>
        <v/>
      </c>
      <c r="BM82" s="29" t="str">
        <f>IFERROR((BJ82+BL82)/(HV_DC_Grid!$E$3*1000)*100,"")</f>
        <v/>
      </c>
      <c r="BN82" s="28" t="str">
        <f>IFERROR(((Pipeline!$D$22*Pipeline!$D$24*K82*(pipeline_opex+M82+1/pipeline_lifetime))*(Pipeline!$D$39/Pipeline!$D$3)+(Pipeline!$D$57*(pipeline_comp_opex+M82+1/pipeline_comp_lifetime)+Pipeline!$D$47*1000*Pipeline!$D$45*S82/100/1000000))*(Pipeline!$D$75/Pipeline!$D$45),"")</f>
        <v/>
      </c>
      <c r="BO82" s="28"/>
      <c r="BP82" s="150">
        <f t="shared" si="124"/>
        <v>143.62111507200365</v>
      </c>
      <c r="BQ82" s="34">
        <f t="shared" si="125"/>
        <v>43.005382844231683</v>
      </c>
      <c r="BR82" s="151">
        <f>(nh3_invest*(M82+1/nh3_lifetime)/nh3_prod+nh3_opex+nh3_e_demand*1000*$AU82/100+Carriers!$N$18/Carriers!$N$23*BD82+Carriers!$N$19/Carriers!$N$23*BQ82)*(BT82+nh3_st_ab_losses)/1000000</f>
        <v>66674.472478226977</v>
      </c>
      <c r="BS82" s="63">
        <f>nh3_st_nl_cost*nh3_st_nl_demand/1000000+(nh3_st_invest*(M82+1/nh3_st_lifetime+nh3_st_opex)/(Storage!$G$63/1000000)+nh3_st_e_demand*1000*$AU82/100)*(BT82+nh3_st_ab_losses)/1000000+Carriers!$N$18/Carriers!$N$23*((BT82+nh3_st_ab_losses)/365.25*short_st_duration_hrs/24)*(h2_short_st_invest*(1/gh2_short_st_lifetime+$M82+h2_short_st_opex)+h2_short_st_e_demand*1000*$AU82/100)/1000000+Carriers!$N$19/Carriers!$N$23*((BT82+nh3_st_ab_losses)/365.25*short_st_duration_hrs/24)*(n2_short_st_invest*(1/n2_short_st_lifetime+$M82+n2_short_st_opex)+n2_short_st_e_demand*1000*$AU82/100)/1000000</f>
        <v>4015.5525832146209</v>
      </c>
      <c r="BT82" s="63">
        <f>Storage!$G$57/((1-Shipping!$H$37)^(F82/24/Shipping!$H$44+0.5*Shipping!$H$59))</f>
        <v>76857210.785724297</v>
      </c>
      <c r="BU82" s="63" t="str">
        <f>IF($E82="","No Port",((F82/24/Shipping!$H$44+F82/24/Shipping!$H$50+Shipping!$H$59+Shipping!$H$64)*(Shipping!$H$22+wacc_nl*Shipping!$H$19/365.25*1000000+Shipping!$H$35)+(F82/24/Shipping!$H$44*Shipping!$H$45+Shipping!$H$64*Shipping!$H$65)*IF(bunker_choice="HFO",H82,IF(bunker_choice="hydrogen",BD82*hfo_e_density_lhv/h2_e_density_lhv,(BR82+BS82)*1000000/BT82*hfo_e_density_lhv/nh3_e_density_lhv))+(F82/24/Shipping!$H$50*Shipping!$H$51+Shipping!$H$59*Shipping!$H$60)*IF(bunker_choice="HFO",bunker_price_ROT,IF(bunker_choice="hydrogen",BD82*hfo_e_density_lhv/h2_e_density_lhv,(BR82+BS82)*1000000/BT82*hfo_e_density_lhv/nh3_e_density_lhv))+Shipping!$H$73+IF(G82="Panama",Shipping!$H$55,0)+IF(G82="Suez",Shipping!$H$56,0))/Shipping!$H$31*BT82/1000000+IF(inland_transport_to_port="hv dc grid",$BM82/100*1000*BW82,IF(inland_transport_to_port="pipeline",$BN82,0)))</f>
        <v>No Port</v>
      </c>
      <c r="BV82" s="63" t="str">
        <f t="shared" si="126"/>
        <v/>
      </c>
      <c r="BW82" s="33">
        <f>((Carriers!$N$18/Carriers!$N$23*alk_el_e_demand)+(Carriers!$N$19/Carriers!$N$23*n2_e_demand)+nh3_e_demand)*(BT82+nh3_st_ab_losses)/1000000+nh3_st_e_demand*BT82/1000000</f>
        <v>759.00171168026975</v>
      </c>
      <c r="BX82" s="33">
        <f t="shared" si="102"/>
        <v>0.76626754477640768</v>
      </c>
      <c r="BY82" s="63" t="str">
        <f>IFERROR(BV82*1000000/Storage!$G$12,"")</f>
        <v/>
      </c>
      <c r="BZ82" s="63">
        <f>H2_retrieval!$F$25*h2_demand_kt/1000</f>
        <v>80</v>
      </c>
      <c r="CA82" s="63" t="str">
        <f>IFERROR(BY82*(1+H2_retrieval!$F$34)/Carrier_properties!$E$7+H2_retrieval!$F$38,"")</f>
        <v/>
      </c>
      <c r="CB82" s="149">
        <f>(FA_invest*(M82+1/FA_lifetime)/FA_prod+FA_opex+FA_e_demand*1000*$AU82/100+Carriers!$P$18/Carriers!$P$23*BD82+Carriers!$P$20/Carriers!$P$23*co2_liq_cost)*(CF82+FA_st_ab_losses)/1000000</f>
        <v>133134.50352870824</v>
      </c>
      <c r="CC82" s="86">
        <f>(FA_invest*(M82+1/FA_lifetime)/FA_prod+FA_opex+FA_e_demand*1000*$AU82/100+Carriers!$P$18/Carriers!$P$23*BD82+Carriers!$P$20/Carriers!$P$23*BP82)*(CF82+FA_st_ab_losses)/1000000</f>
        <v>168273.63783433539</v>
      </c>
      <c r="CD82" s="63">
        <f>FA_st_nl_cost*FA_st_nl_demand/1000000+(FA_st_invest*(M82+1/FA_st_lifetime+FA_st_opex)/(Storage!$I$63/1000000)+FA_st_e_demand*1000*$AU82/100)*(CF82+FA_st_ab_losses)/1000000+co2_st_nl_cost*Storage!$I$12*co2_density/FA_density/1000000+(co2_st_opex_lev+co2_st_invest_lev+co2_st_e_demand*1000*$AU82/100)*Storage!$I$12/1000000+co2_st_invest_lev*Storage!$I$12*co2_st_lifetime*M82/1000000+Carriers!$P$18/Carriers!$P$23*((CF82+FA_st_ab_losses)/365.25*short_st_duration_hrs/24)*(h2_short_st_invest*(1/gh2_short_st_lifetime+$M82+h2_short_st_opex)+h2_short_st_e_demand*1000*$AU82/100)/1000000+Carriers!$P$20/Carriers!$P$23*((CF82+FA_st_ab_losses)/365.25*short_st_duration_hrs/24)*(co2_short_st_invest*(1/co2_short_st_lifetime+$M82+co2_short_st_opex)+co2_short_st_e_demand*1000*$AU82/100)/1000000</f>
        <v>13687.255822188887</v>
      </c>
      <c r="CE82" s="63">
        <f>FA_st_nl_cost*FA_st_nl_demand/1000000+(FA_st_invest*(M82+1/FA_st_lifetime+FA_st_opex)/(Storage!$I$63/1000000)+FA_st_e_demand*1000*$AU82/100)*(CF82+FA_st_ab_losses)/1000000+Carriers!$P$18/Carriers!$P$23*((CF82+FA_st_ab_losses)/365.25*short_st_duration_hrs/24)*(h2_short_st_invest*(1/gh2_short_st_lifetime+$M82+h2_short_st_opex)+h2_short_st_e_demand*1000*$AU82/100)/1000000+Carriers!$P$20/Carriers!$P$23*((CF82+FA_st_ab_losses)/365.25*short_st_duration_hrs/24)*(co2_short_st_invest*(1/co2_short_st_lifetime+$M82+co2_short_st_opex)+co2_short_st_e_demand*1000*$AU82/100)/1000000</f>
        <v>6067.2117564251621</v>
      </c>
      <c r="CF82" s="63">
        <f>Storage!$I$57/((1-Shipping!$J$37)^($F82/24/Shipping!$J$44+0.5*Shipping!$J$59))</f>
        <v>310425396.82539684</v>
      </c>
      <c r="CG82" s="28" t="str">
        <f>IF($E82="","No Port",((F82/24/Shipping!$J$44+F82/24/Shipping!$J$50+Shipping!$J$59+Shipping!$J$64)*(Shipping!$J$22+wacc_nl*Shipping!$J$19/365.25*1000000+Shipping!$J$35)+(F82/24/Shipping!$J$44*Shipping!$J$45+Shipping!$J$64*Shipping!$J$65)*IF(bunker_choice="HFO",$H82,IF(bunker_choice="hydrogen",$BD82*hfo_e_density_lhv/h2_e_density_lhv,(CB82+CD82)*1000000/CF82*hfo_e_density_lhv/FA_e_density_lhv))+(F82/24/Shipping!$J$50*Shipping!$J$51+Shipping!$J$59*Shipping!$J$60)*IF(bunker_choice="HFO",bunker_price_ROT,IF(bunker_choice="hydrogen",$BD82*hfo_e_density_lhv/h2_e_density_lhv,(CB82+CD82)*1000000/CF82*hfo_e_density_lhv/FA_e_density_lhv))+Shipping!$J$73+IF(G82="Panama",Shipping!$J$55,0)+IF(G82="Suez",Shipping!$J$56,0))/Shipping!$J$31*CF82/1000000+IF(inland_transport_to_port="hv dc grid",$BM82/100*1000*CI82,IF(inland_transport_to_port="pipeline",$BN82,0)))</f>
        <v>No Port</v>
      </c>
      <c r="CH82" s="28" t="str">
        <f t="shared" si="132"/>
        <v/>
      </c>
      <c r="CI82" s="29">
        <f>((Carriers!$P$18/Carriers!$P$23*alk_el_e_demand)+FA_e_demand)*(CF82+FA_st_ab_losses)/1000000+FA_st_e_demand*CF82/1000000</f>
        <v>1897.8881241622576</v>
      </c>
      <c r="CJ82" s="29">
        <f t="shared" si="103"/>
        <v>0.46563809523809524</v>
      </c>
      <c r="CK82" s="28" t="str">
        <f>IFERROR(CH82*1000000/Storage!$I$12,"")</f>
        <v/>
      </c>
      <c r="CL82" s="28" t="str">
        <f>IF($E82="","No Port",((F82/24/Shipping!$J$44+F82/24/Shipping!$J$50+Shipping!$J$59+Shipping!$J$64)*Carriers!$P$39*wacc_nl))</f>
        <v>No Port</v>
      </c>
      <c r="CM82" s="29">
        <f>H2_retrieval!$H$25*h2_demand_kt/1000+(co2_liq_e_demand+co2_st_e_demand*2)*Storage!$I$12*co2_density/FA_density/1000000</f>
        <v>94.204253879484654</v>
      </c>
      <c r="CN82" s="28" t="str">
        <f>IFERROR((((CB82+CD82+CG82)*(1+H2_retrieval!$H$34)+CL82)*1000000/H2_retrieval!$H$8)+h2_regen_fa,"")</f>
        <v/>
      </c>
      <c r="CO82" s="149">
        <f>(meoh_invest*(M82+1/meoh_lifetime)/meoh_prod+meoh_opex+meoh_e_demand*1000*$AU82/100+Carriers!$R$18/Carriers!$R$23*BD82+Carriers!$R$20/Carriers!$R$23*co2_liq_cost)*(CS82+meoh_st_ab_losses)/1000000</f>
        <v>84067.449481297692</v>
      </c>
      <c r="CP82" s="86">
        <f>(meoh_invest*(M82+1/meoh_lifetime)/meoh_prod+meoh_opex+meoh_e_demand*1000*$AU82/100+Carriers!$R$18/Carriers!$R$23*BD82+Carriers!$R$20/Carriers!$R$23*BP82)*(CS82+meoh_st_ab_losses)/1000000</f>
        <v>104695.20612830744</v>
      </c>
      <c r="CQ82" s="63">
        <f>meoh_st_nl_cost*meoh_st_nl_demand/1000000+(meoh_st_invest*(M82+1/meoh_st_lifetime+meoh_st_opex)/(Storage!$K$63/1000000)+meoh_st_e_demand*1000*$AU82/100)*(CS82+meoh_st_ab_losses)/1000000+co2_st_nl_cost*Storage!$K$12*co2_density/meoh_density/1000000+(co2_st_opex_lev+co2_st_invest_lev+co2_st_e_demand*1000*IFERROR(MIN(S82,AA82,AI82),S82)/100)*Storage!$K$12/1000000+co2_st_invest_lev*Storage!$K$12*co2_st_lifetime*M82/1000000+Carriers!$R$18/Carriers!$R$23*((CS82+meoh_st_ab_losses)/365.25*short_st_duration_hrs/24)*(h2_short_st_invest*(1/gh2_short_st_lifetime+$M82+h2_short_st_opex)+h2_short_st_e_demand*1000*$AU82/100)/1000000+Carriers!$R$20/Carriers!$R$23*((CF82+meoh_st_ab_losses)/365.25*short_st_duration_hrs/24)*(co2_short_st_invest*(1/co2_short_st_lifetime+$M82+co2_short_st_opex)+co2_short_st_e_demand*1000*$AU82/100)/1000000</f>
        <v>5704.3659766077099</v>
      </c>
      <c r="CR82" s="63">
        <f>meoh_st_nl_cost*meoh_st_nl_demand/1000000+(meoh_st_invest*(M82+1/meoh_st_lifetime+meoh_st_opex)/(Storage!$K$63/1000000)+meoh_st_e_demand*1000*$AU82/100)*(CS82+meoh_st_ab_losses)/1000000+Carriers!$R$18/Carriers!$R$23*((CS82+meoh_st_ab_losses)/365.25*short_st_duration_hrs/24)*(h2_short_st_invest*(1/gh2_short_st_lifetime+$M82+h2_short_st_opex)+h2_short_st_e_demand*1000*$AU82/100)/1000000+Carriers!$R$20/Carriers!$R$23*((CF82+meoh_st_ab_losses)/365.25*short_st_duration_hrs/24)*(co2_short_st_invest*(1/co2_short_st_lifetime+$M82+co2_short_st_opex)+co2_short_st_e_demand*1000*$AU82/100)/1000000</f>
        <v>2453.1904753599624</v>
      </c>
      <c r="CS82" s="63">
        <f>Storage!$K$57/((1-Shipping!$L$37)^($F82/24/Shipping!$L$44+0.5*Shipping!$L$59))</f>
        <v>108044444.44444443</v>
      </c>
      <c r="CT82" s="28" t="str">
        <f>IF($E82="","No Port",IF(AND(ship_choice="VLCC",G82="Panama"),"Ship cannot pass through Panama",IF(ship_choice="VLCC",((F82/24/Shipping!$AD$44+F82/24/Shipping!$AD$50+Shipping!$AD$59+Shipping!$AD$64)*(Shipping!$AD$22+wacc_nl*Shipping!$AD$19/365.25*1000000+Shipping!$AD$35)+(F82/24/Shipping!$AD$44*Shipping!$AD$45+Shipping!$AD$64*Shipping!$AD$65)*IF(bunker_choice="HFO",$H82,IF(bunker_choice="hydrogen",$BD82*hfo_e_density_lhv/h2_e_density_lhv,(CO82+CQ82)*1000000/CS82*hfo_e_density_lhv/meoh_e_density_lhv))+(F82/24/Shipping!$AD$50*Shipping!$AD$51+Shipping!$AD$59*Shipping!$AD$60)*IF(bunker_choice="HFO",bunker_price_ROT,IF(bunker_choice="hydrogen",$BD82*hfo_e_density_lhv/h2_e_density_lhv,(CO82+CQ82)*1000000/CS82*hfo_e_density_lhv/meoh_e_density_lhv))+Shipping!$AD$73+IF(G82="Panama",Shipping!$AD$55,0)+IF(G82="Suez",Shipping!$AD$56,0))/Shipping!$AD$31*CS82/1000000+IF(inland_transport_to_port="hv dc grid",$BM82/100*1000*CV82,IF(inland_transport_to_port="pipeline",$BN82,0)),((F82/24/Shipping!$L$44+F82/24/Shipping!$L$50+Shipping!$L$59+Shipping!$L$64)*(Shipping!$L$22+wacc_nl*Shipping!$L$19/365.25*1000000+Shipping!$L$35)+(F82/24/Shipping!$L$44*Shipping!$L$45+Shipping!$L$64*Shipping!$L$65)*IF(bunker_choice="HFO",$H82,IF(bunker_choice="hydrogen",$BD82*hfo_e_density_lhv/h2_e_density_lhv,(CO82+CQ82)*1000000/CS82*hfo_e_density_lhv/meoh_e_density_lhv))+(F82/24/Shipping!$L$50*Shipping!$L$51+Shipping!$L$59*Shipping!$L$60)*IF(bunker_choice="HFO",bunker_price_ROT,IF(bunker_choice="hydrogen",$BD82*hfo_e_density_lhv/h2_e_density_lhv,(CO82+CQ82)*1000000/CS82*hfo_e_density_lhv/meoh_e_density_lhv))+Shipping!$L$73+IF(G82="Panama",Shipping!$L$55,0)+IF(G82="Suez",Shipping!$L$56,0))/Shipping!$L$31*CS82/1000000+IF(inland_transport_to_port="hv dc grid",$BM82/100*1000*CV82,IF(inland_transport_to_port="pipeline",$BN82,0)))))</f>
        <v>No Port</v>
      </c>
      <c r="CU82" s="28" t="str">
        <f t="shared" si="133"/>
        <v/>
      </c>
      <c r="CV82" s="29">
        <f>((Carriers!$R$18/Carriers!$R$23*alk_el_e_demand)+meoh_e_demand)*(CS82+meoh_st_ab_losses)/1000000+meoh_st_e_demand*CS82/1000000</f>
        <v>1119.9789871111109</v>
      </c>
      <c r="CW82" s="29">
        <f t="shared" si="104"/>
        <v>0.16206666666666666</v>
      </c>
      <c r="CX82" s="28" t="str">
        <f>IFERROR(CU82*1000000/Storage!$K$12,"")</f>
        <v/>
      </c>
      <c r="CY82" s="28" t="str">
        <f>IF($E82="","No Port",((F82/24/Shipping!$L$44+F82/24/Shipping!$L$50+Shipping!$L$59+Shipping!$L$64)*Carriers!$R$39*wacc_nl))</f>
        <v>No Port</v>
      </c>
      <c r="CZ82" s="29">
        <f>H2_retrieval!$J$25*h2_demand_kt/1000+(co2_liq_e_demand+co2_st_e_demand*2)*Storage!$K$12*co2_density/meoh_density/1000000</f>
        <v>251.05079059698966</v>
      </c>
      <c r="DA82" s="28" t="str">
        <f>IFERROR((((CO82+CQ82+CT82)*(1+H2_retrieval!$J$34)+CY82)*1000000/H2_retrieval!$J$8)+h2_regen_meoh,"")</f>
        <v/>
      </c>
      <c r="DB82" s="149">
        <f>(DBT_invest*(M82+1/DBT_lifetime)/DBT_prod+DBT_opex+DBT_e_demand*1000*$AU82/100+Carriers!$T$18/Carriers!$T$23*BD82)*(DD82+DBT_st_ab_losses)/1000000</f>
        <v>56397.152097804385</v>
      </c>
      <c r="DC82" s="28">
        <f>2*(DBT_st_nl_cost*DBT_st_nl_demand/1000000+(DBT_st_invest*(M82+1/DBT_st_lifetime+DBT_st_opex)/(Storage!$M$63/1000000)+DBT_st_e_demand*1000*$AU82/100)*(DD82+DBT_st_ab_losses)/1000000)+Carriers!$T$18/Carriers!$T$23*((DD82+DBT_st_ab_losses)/365.25*short_st_duration_hrs/24)*(h2_short_st_invest*(1/gh2_short_st_lifetime+$M82+h2_short_st_opex)+h2_short_st_e_demand*1000*$AU82/100)/1000000</f>
        <v>4926.2866404505539</v>
      </c>
      <c r="DD82" s="63">
        <f>Storage!$M$57/((1-Shipping!$N$37)^($F82/24/Shipping!$N$44+0.5*Shipping!$N$59))</f>
        <v>219354838.70967743</v>
      </c>
      <c r="DE82" s="28" t="str">
        <f>IF($E82="","No Port",IF(AND(ship_choice="VLCC",G82="Panama"),"Ship cannot pass through Panama",IF(ship_choice="VLCC",((F82/24/Shipping!$AD$44+F82/24/Shipping!$AD$50+Shipping!$AD$59+Shipping!$AD$64)*(Shipping!$AD$22+wacc_nl*Shipping!$AD$19/365.25*1000000+Shipping!$AD$35)+(F82/24/Shipping!$AD$44*Shipping!$AD$45+Shipping!$AD$64*Shipping!$AD$65)*IF(bunker_choice="HFO",$H82,IF(bunker_choice="hydrogen",$BD82*hfo_e_density_lhv/h2_e_density_lhv,(DB82+DC82)*1000000/DD82*hfo_e_density_lhv/DBT_e_density_lhv))+(F82/24/Shipping!$AD$50*Shipping!$AD$51+Shipping!$AD$59*Shipping!$AD$60)*IF(bunker_choice="HFO",bunker_price_ROT,IF(bunker_choice="hydrogen",$BD82*hfo_e_density_lhv/h2_e_density_lhv,(DB82+DC82)*1000000/DD82*hfo_e_density_lhv/DBT_e_density_lhv))+Shipping!$AD$73+IF(G82="Panama",Shipping!$AD$55,0)+IF(G82="Suez",Shipping!$AD$56,0))/Shipping!$AD$31*DD82/1000000+IF(inland_transport_to_port="hv dc grid",$BM82/100*1000*DG82,IF(inland_transport_to_port="pipeline",$BN82,0)),((F82/24/Shipping!$N$44+F82/24/Shipping!$N$50+Shipping!$N$59+Shipping!$N$64)*(Shipping!$N$22+wacc_nl*Shipping!$N$19/365.25*1000000+Shipping!$N$35)+(F82/24/Shipping!$N$44*Shipping!$N$45+Shipping!$N$64*Shipping!$N$65)*IF(bunker_choice="HFO",$H82,IF(bunker_choice="hydrogen",$BD82*hfo_e_density_lhv/h2_e_density_lhv,(DB82+DC82)*1000000/DD82*hfo_e_density_lhv/DBT_e_density_lhv))+(F82/24/Shipping!$N$50*Shipping!$N$51+Shipping!$N$59*Shipping!$N$60)*IF(bunker_choice="HFO",bunker_price_ROT,IF(bunker_choice="hydrogen",$BD82*hfo_e_density_lhv/h2_e_density_lhv,(DB82+DC82)*1000000/DD82*hfo_e_density_lhv/DBT_e_density_lhv))+Shipping!$N$73+IF(G82="Panama",Shipping!$N$55,0)+IF(G82="Suez",Shipping!$N$56,0))/Shipping!$N$31*Shipping!$N$86/1000000+IF(inland_transport_to_port="hv dc grid",$BM82/100*1000*DG82,IF(inland_transport_to_port="pipeline",$BN82,0)))))</f>
        <v>No Port</v>
      </c>
      <c r="DF82" s="28" t="str">
        <f t="shared" si="82"/>
        <v/>
      </c>
      <c r="DG82" s="29">
        <f>((Carriers!$T$18/Carriers!$T$23*alk_el_e_demand)+DBT_e_demand)*(DD82+DBT_st_ab_losses)/1000000+DBT_st_e_demand*DD82/1000000</f>
        <v>703.88335483870969</v>
      </c>
      <c r="DH82" s="29">
        <f t="shared" si="105"/>
        <v>0.21935483870967742</v>
      </c>
      <c r="DI82" s="28" t="str">
        <f>IFERROR(DF82*1000000/Storage!$M$12,"")</f>
        <v/>
      </c>
      <c r="DJ82" s="28" t="str">
        <f>IF($E82="","No Port",((F82/24/Shipping!$N$44+F82/24/Shipping!$N$50+Shipping!$N$59+Shipping!$N$64)*Carriers!$T$39*wacc_nl))</f>
        <v>No Port</v>
      </c>
      <c r="DK82" s="100">
        <f>H2_retrieval!$L$25*h2_demand_kt/1000+(co2_liq_e_demand+co2_st_e_demand*2)*Storage!$M$12*co2_density/DBT_density/1000000</f>
        <v>206.61934861671787</v>
      </c>
      <c r="DL82" s="28" t="str">
        <f>IFERROR(((DF82*(1+H2_retrieval!$L$34)+DJ82)*1000000/H2_retrieval!$L$8)+h2_regen_lohc,"")</f>
        <v/>
      </c>
      <c r="DM82" s="149">
        <f t="shared" si="127"/>
        <v>60364.405310062408</v>
      </c>
      <c r="DN82" s="16">
        <f>2*(nabh4_st_nl_cost*nabh4_st_nl_demand/1000000+(nabh4_st_invest*(M82+1/nabh4_st_lifetime+nabh4_st_opex)/(Storage!$O$63/1000000)+nabh4_st_e_demand*1000*$AU82/100)*(DO82+nabh4_st_ab_losses)/1000000)+(h2_demand_kt*1000/365.25*short_st_duration_hrs/24)*(h2_short_st_invest*(1/gh2_short_st_lifetime+$M82+h2_short_st_opex)+h2_short_st_e_demand*1000*$AU82/100)/1000000</f>
        <v>1670.1343039217327</v>
      </c>
      <c r="DO82" s="63">
        <f>Storage!$O$57/((1-Shipping!$P$37)^($F82/24/Shipping!$P$44+0.5*Shipping!$P$59))</f>
        <v>63920000</v>
      </c>
      <c r="DP82" s="16" t="str">
        <f>IF($E82="","No Port",((F82/24/Shipping!$P$44+F82/24/Shipping!$P$50+Shipping!$P$59+Shipping!$P$64)*(Shipping!$P$22+wacc_nl*Shipping!$P$19/365.25*1000000+Shipping!$P$35)+(F82/24/Shipping!$P$44*Shipping!$P$45+Shipping!$P$64*Shipping!$P$65)*IF(bunker_choice="HFO",$H82,IF(bunker_choice="hydrogen",$BD82*hfo_e_density_lhv/h2_e_density_lhv,(DM82+DN82)*1000000/DO82*hfo_e_density_lhv/nabh4_e_density_lhv))+(F82/24/Shipping!$P$50*Shipping!$P$51+Shipping!$P$59*Shipping!$P$60)*IF(bunker_choice="HFO",bunker_price_ROT,IF(bunker_choice="hydrogen",$BD82*hfo_e_density_lhv/h2_e_density_lhv,(DM82+DN82)*1000000/DO82*hfo_e_density_lhv/nabh4_e_density_lhv))+Shipping!$P$73+IF(G82="Panama",Shipping!$P$55,0)+IF(G82="Suez",Shipping!$P$56,0))/Shipping!$P$31*(DO82+nabh4_st_ab_losses)/1000000+IF(inland_transport_to_port="hv dc grid",$BM82/100*1000*DR82,IF(inland_transport_to_port="pipeline",$BN82,0)))</f>
        <v>No Port</v>
      </c>
      <c r="DQ82" s="28" t="str">
        <f t="shared" si="60"/>
        <v/>
      </c>
      <c r="DR82" s="29">
        <f>((Carriers!$V$18/Carriers!$V$23*alk_el_e_demand)+nabh4_e_demand)*(DO82+nabh4_st_ab_losses)/1000000+nabh4_st_e_demand*DO82/1000000</f>
        <v>980.02139682539689</v>
      </c>
      <c r="DS82" s="28">
        <f t="shared" si="106"/>
        <v>3.1960000000000002</v>
      </c>
      <c r="DT82" s="28" t="str">
        <f>IFERROR(DQ82*1000000/Storage!$O$12,"")</f>
        <v/>
      </c>
      <c r="DU82" s="28" t="str">
        <f>IF($E82="","No Port",((F82/24/Shipping!$P$44+F82/24/Shipping!$P$50+Shipping!$P$59+Shipping!$P$64)*Carriers!$V$39*wacc_nl))</f>
        <v>No Port</v>
      </c>
      <c r="DV82" s="100">
        <f>H2_retrieval!$N$25*h2_demand_kt/1000+(co2_liq_e_demand+co2_st_e_demand*2)*Storage!$O$12*co2_density/nabh4_density/1000000</f>
        <v>18.783638728971958</v>
      </c>
      <c r="DW82" s="28" t="str">
        <f>IFERROR(((DQ82*(1+H2_retrieval!$N$34)+DU82)*1000000/H2_retrieval!$N$8)+h2_regen_nabh4,"")</f>
        <v/>
      </c>
      <c r="DX82" s="149">
        <f>(Dme_invest*(M82+1/Dme_lifetime)/Dme_prod+Dme_opex+Dme_e_demand*1000*$AU82/100+Carriers!$X$21/Carriers!$X$23*(CO82*1000000/CS82))*(EB82+Dme_st_ab_losses)/1000000</f>
        <v>117963.88893900723</v>
      </c>
      <c r="DY82" s="86">
        <f>(Dme_invest*(M82+1/Dme_lifetime)/Dme_prod+Dme_opex+Dme_e_demand*1000*$AU82/100+Carriers!$X$21/Carriers!$X$23*(CP82*1000000/CS82))*(EB82+Dme_st_ab_losses)/1000000</f>
        <v>145948.82402953197</v>
      </c>
      <c r="DZ82" s="63">
        <f>Dme_st_nl_cost*Dme_st_nl_demand/1000000+(Dme_st_invest*(M82+1/Dme_st_lifetime+Dme_st_opex)/(Storage!$Q$63/1000000)+Dme_st_e_demand*1000*$AU82/100)*(EB82+Dme_st_ab_losses)/1000000+co2_st_nl_cost*Storage!$Q$12*co2_density/Dme_density/1000000+(co2_st_opex_lev+co2_st_invest_lev+co2_st_e_demand*1000*$AU82/100)*Storage!$Q$12/1000000+co2_st_invest_lev*Storage!$Q$12*co2_st_lifetime*M82/1000000+(h2_demand_kt*1000/365.25*short_st_duration_hrs/24)*(h2_short_st_invest*(1/gh2_short_st_lifetime+$M82+h2_short_st_opex)+h2_short_st_e_demand*1000*$AU82/100)/1000000</f>
        <v>6839.0171173213066</v>
      </c>
      <c r="EA82" s="63">
        <f>Dme_st_nl_cost*Dme_st_nl_demand/1000000+(Dme_st_invest*(M82+1/Dme_st_lifetime+Dme_st_opex)/(Storage!$Q$63/1000000)+Dme_st_e_demand*1000*$AU82/100)*(EB82+Dme_st_ab_losses)/1000000+(h2_demand_kt*1000/365.25*short_st_duration_hrs/24)*(h2_short_st_invest*(1/gh2_short_st_lifetime+$M82+h2_short_st_opex)+h2_short_st_e_demand*1000*$AU82/100)/1000000</f>
        <v>3596.2712366697706</v>
      </c>
      <c r="EB82" s="63">
        <f>Storage!$Q$57/((1-Shipping!$R$37)^($F82/24/Shipping!$R$44+0.5*Shipping!$R$59))</f>
        <v>103547089.94708996</v>
      </c>
      <c r="EC82" s="153" t="str">
        <f>IF($E82="","No Port",IF(AND(ship_choice="VLCC",G82="Panama"),"Ship cannot pass through Panama",IF(ship_choice="VLCC",((F82/24/Shipping!$AD$44+F82/24/Shipping!$AD$50+Shipping!$AD$59+Shipping!$AD$64)*(Shipping!$AD$22+wacc_nl*Shipping!$AD$19/365.25*1000000+Shipping!$AD$35)+(F82/24/Shipping!$AD$44*Shipping!$AD$45+Shipping!$AD$64*Shipping!$AD$65)*IF(bunker_choice="HFO",$H82,IF(bunker_choice="hydrogen",$BD82*hfo_e_density_lhv/h2_e_density_lhv,(DX82+DZ82)*1000000/EB82*hfo_e_density_lhv/Dme_e_density_lhv))+(F82/24/Shipping!$AD$50*Shipping!$AD$51+Shipping!$AD$59*Shipping!$AD$60)*IF(bunker_choice="HFO",bunker_price_ROT,IF(bunker_choice="hydrogen",$BD82*hfo_e_density_lhv/h2_e_density_lhv,(DX82+DZ82)*1000000/EB82*hfo_e_density_lhv/Dme_e_density_lhv))+Shipping!$AD$73+IF(G82="Panama",Shipping!$AD$55,0)+IF(G82="Suez",Shipping!$AD$56,0))/Shipping!$AD$31*(EB82+Dme_st_ab_losses)/1000000+IF(inland_transport_to_port="hv dc grid",$BM82/100*1000*EE82,IF(inland_transport_to_port="pipeline",$BN82,0)),((F82/24/Shipping!$R$44+F82/24/Shipping!$R$50+Shipping!$R$59+Shipping!$R$64)*(Shipping!$R$22+wacc_nl*Shipping!$R$19/365.25*1000000+Shipping!$R$35)+(F82/24/Shipping!$R$44*Shipping!$R$45+Shipping!$R$64*Shipping!$R$65)*IF(bunker_choice="HFO",$H82,IF(bunker_choice="hydrogen",$BD82*hfo_e_density_lhv/h2_e_density_lhv,(DX82+DZ82)*1000000/EB82*hfo_e_density_lhv/Dme_e_density_lhv))+(F82/24/Shipping!$R$50*Shipping!$R$51+Shipping!$R$59*Shipping!$R$60)*IF(bunker_choice="HFO",bunker_price_ROT,IF(bunker_choice="hydrogen",$BD82*hfo_e_density_lhv/h2_e_density_lhv,(DX82+DZ82)*1000000/EB82*hfo_e_density_lhv/Dme_e_density_lhv))+Shipping!$R$73+IF(G82="Panama",Shipping!$R$55,0)+IF(G82="Suez",Shipping!$R$56,0))/Shipping!$R$31*(EB82+Dme_st_ab_losses)/1000000+IF(inland_transport_to_port="hv dc grid",$BM82/100*1000*EE82,IF(inland_transport_to_port="pipeline",$BN82,0)))))</f>
        <v>No Port</v>
      </c>
      <c r="ED82" s="28" t="str">
        <f t="shared" si="134"/>
        <v/>
      </c>
      <c r="EE82" s="29">
        <f>(Dme_e_demand)*(EB82+Dme_st_ab_losses)/1000000+Dme_st_e_demand*DZ82/1000000+$CV82*(Carriers!$X$21/Carriers!$X$23*EB82)/$CS82</f>
        <v>1550.216828557227</v>
      </c>
      <c r="EF82" s="29">
        <f t="shared" si="107"/>
        <v>1.0354708994708997</v>
      </c>
      <c r="EG82" s="28" t="str">
        <f>IFERROR(ED82*1000000/Storage!$Q$12,"")</f>
        <v/>
      </c>
      <c r="EH82" s="28" t="str">
        <f>IF($E82="","No Port",((F82/24/Shipping!$R$44+F82/24/Shipping!$R$50+Shipping!$R$59+Shipping!$R$64)*Carriers!$X$39*wacc_nl))</f>
        <v>No Port</v>
      </c>
      <c r="EI82" s="100">
        <f>H2_retrieval!$P$25*h2_demand_kt/1000+(co2_liq_e_demand+co2_st_e_demand*2)*Storage!$Q$12*co2_density/Dme_density/1000000</f>
        <v>252.45335899349112</v>
      </c>
      <c r="EJ82" s="28" t="str">
        <f>IFERROR((((DX82+DZ82+EC82)*(1+H2_retrieval!$P$34)+EH82)*1000000/H2_retrieval!$P$8)+h2_regen_dme,"")</f>
        <v/>
      </c>
      <c r="EK82" s="149">
        <f>(ome_invest*(M82+1/ome_lifetime)/ome_prod+ome_opex+ome_e_demand*1000*$AU82/100+Carriers!$Z$21/Carriers!$Z$23*(CO82*1000000/CS82))*(EO82+ome_st_ab_losses)/1000000</f>
        <v>256043.73246933622</v>
      </c>
      <c r="EL82" s="86">
        <f>(ome_invest*(M82+1/ome_lifetime)/ome_prod+ome_opex+ome_e_demand*1000*$AU82/100+Carriers!$Z$21/Carriers!$Z$23*(CP82*1000000/CS82))*(EO82+ome_st_ab_losses)/1000000</f>
        <v>314789.55885670107</v>
      </c>
      <c r="EM82" s="63">
        <f>ome_st_nl_cost*ome_st_nl_demand/1000000+(ome_st_invest*(M82+1/ome_st_lifetime+ome_st_opex)/(Storage!$S$63/1000000)+ome_st_e_demand*1000*$AU82/100)*(EO82+ome_st_ab_losses)/1000000+co2_st_nl_cost*Storage!$S$12*co2_density/ome_density/1000000+(co2_st_opex_lev+co2_st_invest_lev+co2_st_e_demand*1000*$AU82/100)*Storage!$S$12/1000000+co2_st_invest_lev*Storage!$S$12*co2_st_lifetime*M82/1000000+(h2_demand_kt*1000/365.25*short_st_duration_hrs/24)*(h2_short_st_invest*(1/gh2_short_st_lifetime+$M82+h2_short_st_opex)+h2_short_st_e_demand*1000*$AU82/100)/1000000</f>
        <v>5865.5330458378967</v>
      </c>
      <c r="EN82" s="63">
        <f>ome_st_nl_cost*ome_st_nl_demand/1000000+(ome_st_invest*(M82+1/ome_st_lifetime+ome_st_opex)/(Storage!$S$63/1000000)+ome_st_e_demand*1000*$AU82/100)*(EO82+ome_st_ab_losses)/1000000+(h2_demand_kt*1000/365.25*short_st_duration_hrs/24)*(h2_short_st_invest*(1/gh2_short_st_lifetime+$M82+h2_short_st_opex)+h2_short_st_e_demand*1000*$AU82/100)/1000000</f>
        <v>2187.1240814913826</v>
      </c>
      <c r="EO82" s="63">
        <f>Storage!$S$57/((1-Shipping!$T$37)^($F82/24/Shipping!$T$44+0.5*Shipping!$T$59))</f>
        <v>128282539.68253967</v>
      </c>
      <c r="EP82" s="28" t="str">
        <f>IF($E82="","No Port",IF(AND(ship_choice="VLCC",G82="Panama"),"Ship cannot pass through Panama",IF(ship_choice="VLCC",((F82/24/Shipping!$AD$44+F82/24/Shipping!$AD$50+Shipping!$AD$59+Shipping!$AD$64)*(Shipping!$AD$22+wacc_nl*Shipping!$AD$19/365.25*1000000+Shipping!$AD$35)+(F82/24/Shipping!$AD$44*Shipping!$AD$45+Shipping!$AD$64*Shipping!$AD$65)*IF(bunker_choice="HFO",$H82,IF(bunker_choice="hydrogen",$BD82*hfo_e_density_lhv/h2_e_density_lhv,(EK82+EM82)*1000000/EO82*hfo_e_density_lhv/Dme_e_density_lhv))+(F82/24/Shipping!$AD$50*Shipping!$AD$51+Shipping!$AD$59*Shipping!$AD$60)*IF(bunker_choice="HFO",bunker_price_ROT,IF(bunker_choice="hydrogen",$BD82*hfo_e_density_lhv/h2_e_density_lhv,(EK82+EM82)*1000000/EO82*hfo_e_density_lhv/ome_e_density_lhv))+Shipping!$AD$73+IF(G82="Panama",Shipping!$AD$55,0)+IF(G82="Suez",Shipping!$AD$56,0))/Shipping!$AD$31*(EO82+ome_st_ab_losses)/1000000+IF(inland_transport_to_port="hv dc grid",$BM82/100*1000*ER82,IF(inland_transport_to_port="pipeline",$BN82,0)),((F82/24/Shipping!$T$44+F82/24/Shipping!$T$50+Shipping!$T$59+Shipping!$T$64)*(Shipping!$T$22+wacc_nl*Shipping!$T$19/365.25*1000000+Shipping!$T$35)+(F82/24/Shipping!$T$44*Shipping!$T$45+Shipping!$T$64*Shipping!$T$65)*IF(bunker_choice="HFO",$H82,IF(bunker_choice="hydrogen",$BD82*hfo_e_density_lhv/h2_e_density_lhv,(EK82+EM82)*1000000/EO82*hfo_e_density_lhv/Dme_e_density_lhv))+(F82/24/Shipping!$T$50*Shipping!$T$51+Shipping!$T$59*Shipping!$T$60)*IF(bunker_choice="HFO",bunker_price_ROT,IF(bunker_choice="hydrogen",$BD82*hfo_e_density_lhv/h2_e_density_lhv,(EK82+EM82)*1000000/EO82*hfo_e_density_lhv/ome_e_density_lhv))+Shipping!$T$73+IF(G82="Panama",Shipping!$T$55,0)+IF(G82="Suez",Shipping!$T$56,0))/Shipping!$T$31*(EO82+ome_st_ab_losses)/1000000+IF(inland_transport_to_port="hv dc grid",$BM82/100*1000*ER82,IF(inland_transport_to_port="pipeline",$BN82,0)))))</f>
        <v>No Port</v>
      </c>
      <c r="EQ82" s="28" t="str">
        <f t="shared" si="135"/>
        <v/>
      </c>
      <c r="ER82" s="29">
        <f>(ome_e_demand)*(EO82+ome_st_ab_losses)/1000000+ome_st_e_demand*EM82/1000000+$CV82*(Carriers!$Z$21/Carriers!$Z$23*EO82)/$CS82</f>
        <v>3352.0814589390829</v>
      </c>
      <c r="ES82" s="29">
        <f t="shared" si="108"/>
        <v>0.1924238095238095</v>
      </c>
      <c r="ET82" s="28" t="str">
        <f>IFERROR(EQ82*1000000/Storage!$S$12,"")</f>
        <v/>
      </c>
      <c r="EU82" s="28" t="str">
        <f>IF($E82="","No Port",((F82/24/Shipping!$T$44+F82/24/Shipping!$T$50+Shipping!$T$59+Shipping!$T$64)*Carriers!$Z$39*wacc_nl))</f>
        <v>No Port</v>
      </c>
      <c r="EV82" s="100">
        <f>H2_retrieval!$R$25*h2_demand_kt/1000+(co2_liq_e_demand+co2_st_e_demand*2)*Storage!$S$12*co2_density/ome_density/1000000</f>
        <v>254.51942895252085</v>
      </c>
      <c r="EW82" s="28" t="str">
        <f>IFERROR((((EK82+EM82+EP82)*(1+H2_retrieval!$R$34)+EU82)*1000000/H2_retrieval!$R$8)+h2_regen_ome,"")</f>
        <v/>
      </c>
      <c r="EX82" s="149">
        <f>(sng_invest*(M82+1/sng_lifetime)/sng_prod+lng_invest*(M82+1/lng_lifetime)/lng_prod+sng_opex+lng_opex+(sng_e_demand+lng_e_demand)*1000*$AU82/100+Carriers!$AB$18/Carriers!$AB$23*BD82+Carriers!$AB$20/Carriers!$AB$23*co2_liq_cost)*(FB82+lng_st_ab_losses)/1000000</f>
        <v>89745.887150221723</v>
      </c>
      <c r="EY82" s="86">
        <f>(sng_invest*(M82+1/sng_lifetime)/sng_prod+lng_invest*(M82+1/lng_lifetime)/lng_prod+sng_opex+lng_opex+(sng_e_demand+lng_e_demand)*1000*$AU82/100+Carriers!$AB$18/Carriers!$AB$23*BD82+Carriers!$AB$20/Carriers!$AB$23*BP82)*(FB82+lng_st_ab_losses)/1000000</f>
        <v>104998.95129848948</v>
      </c>
      <c r="EZ82" s="63">
        <f>lng_st_nl_cost*lng_st_nl_demand/1000000+(lng_st_invest*(M82+1/lng_st_lifetime+lng_st_opex)/(Storage!$U$63/1000000)+lng_st_e_demand*1000*$AU82/100)*(FB82+lng_st_ab_losses)/1000000+co2_st_nl_cost*Storage!$U$12*co2_density/lng_density/1000000+(co2_st_opex_lev+co2_st_invest_lev+co2_st_e_demand*1000*$AU82/100)*Storage!$U$12/1000000+co2_st_invest_lev*Storage!$U$12*co2_st_lifetime*M82/1000000+Carriers!$AB$18/Carriers!$AB$23*((FB82+lng_st_ab_losses)/365.25*short_st_duration_hrs/24)*(h2_short_st_invest*(1/gh2_short_st_lifetime+$M82+h2_short_st_opex)+h2_short_st_e_demand*1000*$AU82/100)/1000000+Carriers!$AB$20/Carriers!$AB$23*((FB82+lng_st_ab_losses)/365.25*short_st_duration_hrs/24)*(co2_short_st_invest*(1/co2_short_st_lifetime+$M82+co2_short_st_opex)+co2_short_st_e_demand*1000*$AU82/100)/1000000</f>
        <v>7290.7330296195751</v>
      </c>
      <c r="FA82" s="63">
        <f>lng_st_nl_cost*lng_st_nl_demand/1000000+(lng_st_invest*(M82+1/lng_st_lifetime+lng_st_opex)/(Storage!$U$63/1000000)+lng_st_e_demand*1000*$AU82/100)*(FB82+lng_st_ab_losses)/1000000+Carriers!$AB$18/Carriers!$AB$23*((FB82+lng_st_ab_losses)/365.25*short_st_duration_hrs/24)*(h2_short_st_invest*(1/gh2_short_st_lifetime+$M82+h2_short_st_opex)+h2_short_st_e_demand*1000*$AU82/100)/1000000+Carriers!$AB$20/Carriers!$AB$23*((FB82+lng_st_ab_losses)/365.25*short_st_duration_hrs/24)*(co2_short_st_invest*(1/co2_short_st_lifetime+$M82+co2_short_st_opex)+co2_short_st_e_demand*1000*$AU82/100)/1000000</f>
        <v>5582.0866043380302</v>
      </c>
      <c r="FB82" s="63">
        <f>Storage!$U$57/((1-Shipping!$V$37)^($F82/24/Shipping!$V$44+0.5*Shipping!$V$59))</f>
        <v>40707231.50721889</v>
      </c>
      <c r="FC82" s="28" t="str">
        <f>IF($E82="","No Port",IF(G82="Panama","Ship cannot pass through Panama",((F82/24/Shipping!$V$44+F82/24/Shipping!$V$50+Shipping!$V$59+Shipping!$V$64)*(Shipping!$V$22+wacc_nl*Shipping!$V$19/365.25*1000000+Shipping!$V$35)+(F82/24/Shipping!$V$44*Shipping!$V$45+Shipping!$V$64*Shipping!$V$65)*IF(bunker_choice="HFO",$H82,IF(bunker_choice="hydrogen",$BD82*hfo_e_density_lhv/h2_e_density_lhv,(EX82+EZ82)*1000000/FB82*hfo_e_density_lhv/lng_e_density_lhv))+(F82/24/Shipping!$V$50*Shipping!$V$51+Shipping!$V$59*Shipping!$V$60)*IF(bunker_choice="HFO",bunker_price_ROT,IF(bunker_choice="hydrogen",$BD82*hfo_e_density_lhv/h2_e_density_lhv,(EX82+EZ82)*1000000/FB82*hfo_e_density_lhv/lng_e_density_lhv))+Shipping!$V$73+IF(G82="Panama",Shipping!$V$55,0)+IF(G82="Suez",Shipping!$V$56,0))/Shipping!$V$31*(FB82+lng_st_ab_losses)/1000000)+IF(inland_transport_to_port="hv dc grid",$BM82/100*1000*FE82,IF(inland_transport_to_port="pipeline",$BN82,0)))</f>
        <v>No Port</v>
      </c>
      <c r="FD82" s="28" t="str">
        <f t="shared" si="136"/>
        <v/>
      </c>
      <c r="FE82" s="29">
        <f>((Carriers!$AB$18/Carriers!$AB$23*alk_el_e_demand)+sng_e_demand+lng_e_demand)*(FB82+lng_st_ab_losses)/1000000+lng_st_e_demand*EZ82/1000000</f>
        <v>1091.7519048433098</v>
      </c>
      <c r="FF82" s="29">
        <f t="shared" si="109"/>
        <v>0.8126185861001558</v>
      </c>
      <c r="FG82" s="28" t="str">
        <f>IFERROR(FD82*1000000/Storage!$U$12,"")</f>
        <v/>
      </c>
      <c r="FH82" s="28" t="str">
        <f>IF($E82="","No Port",((F82/24/Shipping!$V$44+F82/24/Shipping!$V$50+Shipping!$V$59+Shipping!$V$64)*Carriers!$AB$39*wacc_nl))</f>
        <v>No Port</v>
      </c>
      <c r="FI82" s="100">
        <f>H2_retrieval!$T$25*h2_demand_kt/1000+(co2_liq_e_demand+co2_st_e_demand*2)*Storage!$U$12*co2_density/lng_density/1000000</f>
        <v>236.51371749646054</v>
      </c>
      <c r="FJ82" s="28" t="str">
        <f>IFERROR((((EX82+EZ82+FC82)*(1+H2_retrieval!$T$34)+FH82)*1000000/H2_retrieval!$T$8)+h2_regen_lng,"")</f>
        <v/>
      </c>
      <c r="FK82" s="149">
        <f>(lh2_invest*(M82+1/lh2_lifetime)/lh2_prod+lh2_opex+lh2_e_demand*1000*$AU82/100+Carriers!$AD$18/Carriers!$AD$23*BD82)*(FM82+lh2_st_ab_losses)/1000000</f>
        <v>69621.172426037578</v>
      </c>
      <c r="FL82" s="28">
        <f>lh2_st_nl_cost*lh2_st_nl_demand/1000000+(lh2_st_invest*(M82+1/lh2_st_lifetime+lh2_st_opex)/(Storage!$Y$63/1000000)+lh2_st_e_demand*1000*$AU82/100)*(FM82+lh2_st_ab_losses)/1000000+((FM82+lh2_st_ab_losses)/365.25*short_st_duration_hrs/24)*(h2_short_st_invest*(1/gh2_short_st_lifetime+$M82+h2_short_st_opex)+h2_short_st_e_demand*1000*$AU82/100)/1000000</f>
        <v>63637.531781862177</v>
      </c>
      <c r="FM82" s="63">
        <f>Storage!$Y$57/((1-Shipping!$Z$37)^($F82/24/Shipping!$Z$44+0.5*Shipping!$Z$59))</f>
        <v>13659984.090217989</v>
      </c>
      <c r="FN82" s="28" t="str">
        <f>IF($E82="","No Port",IF(G82="Panama","Ship cannot pass through Panama",((F82/24/Shipping!$Z$44+F82/24/Shipping!$Z$50+Shipping!$Z$59+Shipping!$Z$64)*(Shipping!$Z$22+wacc_nl*Shipping!$Z$19/365.25*1000000+Shipping!$Z$35)+(F82/24/Shipping!$Z$44*Shipping!$Z$45+Shipping!$Z$64*Shipping!$Z$65)*IF(bunker_choice="HFO",$H82,IF(bunker_choice="hydrogen",$BD82*hfo_e_density_lhv/h2_e_density_lhv,(FK82+FL82)*1000000/FM82*hfo_e_density_lhv/lh2_e_density_lhv))+(F82/24/Shipping!$Z$50*Shipping!$Z$51+Shipping!$Z$59*Shipping!$Z$60)*IF(bunker_choice="HFO",bunker_price_ROT,IF(bunker_choice="hydrogen",$BD82*hfo_e_density_lhv/h2_e_density_lhv,(FK82+FL82)*1000000/FM82*hfo_e_density_lhv/lh2_e_density_lhv))+Shipping!$Z$73+IF(G82="Panama",Shipping!$Z$55,0)+IF(G82="Suez",Shipping!$Z$56,0))/Shipping!$Z$31*(FM82+lh2_st_ab_losses)/1000000)+IF(inland_transport_to_port="hv dc grid",$BM82/100*1000*FP82,IF(inland_transport_to_port="pipeline",$BN82,0)))</f>
        <v>No Port</v>
      </c>
      <c r="FO82" s="28" t="str">
        <f t="shared" si="128"/>
        <v/>
      </c>
      <c r="FP82" s="29">
        <f>((Carriers!$AD$18/Carriers!$AD$23*alk_el_e_demand)+lh2_e_demand)*(FM82+lh2_st_ab_losses)/1000000+lh2_st_e_demand*FM82/1000000</f>
        <v>791.60233245091877</v>
      </c>
      <c r="FQ82" s="100">
        <f t="shared" si="110"/>
        <v>1.361902463475859</v>
      </c>
      <c r="FR82" s="28" t="str">
        <f>IFERROR(FO82*1000000/Storage!$Y$12,"")</f>
        <v/>
      </c>
      <c r="FS82" s="100">
        <f>H2_retrieval!$V$25*h2_demand_kt/1000</f>
        <v>8.16</v>
      </c>
      <c r="FT82" s="28" t="str">
        <f>IFERROR(FR82*(1+H2_retrieval!$V$34)/Carrier_properties!$U$7+H2_retrieval!$V$38,"")</f>
        <v/>
      </c>
      <c r="FU82" s="12"/>
      <c r="FV82" s="24">
        <f t="shared" si="129"/>
        <v>3.1104491962750767</v>
      </c>
      <c r="FW82" s="24" t="str">
        <f t="shared" si="92"/>
        <v/>
      </c>
      <c r="FX82" s="24" t="str">
        <f t="shared" si="93"/>
        <v/>
      </c>
      <c r="FY82" s="24">
        <f t="shared" si="130"/>
        <v>3.1104491962750767</v>
      </c>
      <c r="FZ82" s="28">
        <f t="shared" si="94"/>
        <v>3860.8238410438098</v>
      </c>
      <c r="GA82" s="28">
        <f t="shared" si="137"/>
        <v>867.5109569629517</v>
      </c>
      <c r="GB82" s="28">
        <f t="shared" si="138"/>
        <v>542.0743262478079</v>
      </c>
      <c r="GC82" s="28">
        <f t="shared" si="139"/>
        <v>969.00129078030352</v>
      </c>
      <c r="GD82" s="28">
        <f t="shared" si="140"/>
        <v>1409.4922812809928</v>
      </c>
      <c r="GE82" s="28">
        <f t="shared" si="141"/>
        <v>2453.8768848489403</v>
      </c>
      <c r="GF82" s="28">
        <f t="shared" si="142"/>
        <v>2579.3685153918982</v>
      </c>
      <c r="GG82" s="12"/>
      <c r="GH82" s="12"/>
      <c r="GI82" s="12"/>
      <c r="GJ82" s="12"/>
      <c r="GK82" s="12"/>
      <c r="GL82" s="12"/>
      <c r="GM82" s="12"/>
      <c r="GN82" s="12"/>
      <c r="GO82" s="12"/>
      <c r="GP82" s="12"/>
      <c r="GQ82" s="12"/>
      <c r="GR82" s="12"/>
      <c r="GS82" s="12"/>
      <c r="GT82" s="12"/>
      <c r="GU82" s="12"/>
      <c r="GV82" s="12"/>
      <c r="GW82" s="12"/>
      <c r="GX82" s="12"/>
      <c r="GY82" s="12"/>
      <c r="GZ82" s="12"/>
      <c r="HA82" s="12"/>
      <c r="HB82" s="12"/>
      <c r="HC82" s="12"/>
      <c r="HD82" s="12"/>
      <c r="HE82" s="12"/>
      <c r="HF82" s="12"/>
    </row>
    <row r="83" spans="1:214" x14ac:dyDescent="0.2">
      <c r="A83" s="40" t="s">
        <v>83</v>
      </c>
      <c r="B83" s="12">
        <v>3171</v>
      </c>
      <c r="C83" s="12">
        <v>0.9</v>
      </c>
      <c r="D83" s="12">
        <f t="shared" si="111"/>
        <v>9.9999999999999978E-2</v>
      </c>
      <c r="E83" s="12" t="s">
        <v>748</v>
      </c>
      <c r="F83" s="12">
        <v>3365</v>
      </c>
      <c r="G83" s="12"/>
      <c r="H83" s="16">
        <f t="shared" si="112"/>
        <v>382.75862068965517</v>
      </c>
      <c r="I83" s="16">
        <v>10230</v>
      </c>
      <c r="J83" s="16">
        <f t="shared" si="113"/>
        <v>57.064087968355182</v>
      </c>
      <c r="K83" s="27">
        <f t="shared" si="114"/>
        <v>68.476905562026218</v>
      </c>
      <c r="L83" s="103">
        <v>0.112</v>
      </c>
      <c r="M83" s="103">
        <f t="shared" si="115"/>
        <v>0.12063031936531146</v>
      </c>
      <c r="N83" s="122">
        <f t="shared" si="116"/>
        <v>0.9</v>
      </c>
      <c r="O83" s="46">
        <f t="shared" si="117"/>
        <v>40</v>
      </c>
      <c r="P83" s="70">
        <f t="array" ref="P83">SUMPRODUCT(IF(Solar_data!A$4:A$777=A83,Solar_data!C$4:C$777),IF(Solar_data!A$4:A$777=A83,Solar_data!I$4:I$777))/SUMIF(Solar_data!A$4:A$777,A83,Solar_data!I$4:I$777)</f>
        <v>1933.7362825637424</v>
      </c>
      <c r="Q83" s="16">
        <f t="array" ref="Q83">MAX(IF(Solar_data!$A$777:'Solar_data'!$A$4=Country_details!$A83,Solar_data!$C$4:'Solar_data'!$C$777))</f>
        <v>2098.75</v>
      </c>
      <c r="R83" s="16">
        <f t="array" ref="R83">MIN(IF(Solar_data!$A$777:'Solar_data'!$A$4=Country_details!A83,Solar_data!$C$4:'Solar_data'!$C$777))</f>
        <v>1733.75</v>
      </c>
      <c r="S83" s="24">
        <f t="shared" si="95"/>
        <v>2.2705071535560428</v>
      </c>
      <c r="T83" s="24">
        <f t="shared" si="96"/>
        <v>2.0919890709478719</v>
      </c>
      <c r="U83" s="24">
        <f t="shared" si="97"/>
        <v>2.5324078227263715</v>
      </c>
      <c r="V83" s="16">
        <f t="array" ref="V83">SUM(IF(Solar_data!$A$777:'Solar_data'!$A$4=Country_details!$A83,Solar_data!$I$4:'Solar_data'!$I$777))</f>
        <v>85.343604222764242</v>
      </c>
      <c r="W83" s="148"/>
      <c r="X83" s="16" t="str">
        <f>IFERROR(INDEX(Onshore_wind_data!$J$5:'Onshore_wind_data'!$J$221,MATCH(A83,Onshore_wind_data!$B$5:'Onshore_wind_data'!$B$221,0)),"")</f>
        <v/>
      </c>
      <c r="Y83" s="16" t="str">
        <f>IFERROR(INDEX(Onshore_wind_data!$K$5:'Onshore_wind_data'!$K$221,MATCH(A83,Onshore_wind_data!$B$5:'Onshore_wind_data'!$B$221,0)),"")</f>
        <v/>
      </c>
      <c r="Z83" s="16" t="str">
        <f>IFERROR(INDEX(Onshore_wind_data!$L$5:'Onshore_wind_data'!$L$221,MATCH(A83,Onshore_wind_data!$B$5:'Onshore_wind_data'!$B$221,0)),"")</f>
        <v/>
      </c>
      <c r="AA83" s="24" t="str">
        <f t="shared" si="118"/>
        <v/>
      </c>
      <c r="AB83" s="24" t="str">
        <f t="shared" si="119"/>
        <v/>
      </c>
      <c r="AC83" s="24" t="str">
        <f t="shared" si="120"/>
        <v/>
      </c>
      <c r="AD83" s="16">
        <f>IFERROR(INDEX(Onshore_wind_data!$I$5:'Onshore_wind_data'!$I$221,MATCH(A83,Onshore_wind_data!$B$5:'Onshore_wind_data'!$B$221,0)),"")</f>
        <v>0</v>
      </c>
      <c r="AE83" s="148"/>
      <c r="AF83" s="16" t="str">
        <f>INDEX(Offshore_wind_data!$AA$7:$AA$192,MATCH(Country_details!A83,Offshore_wind_data!$A$7:$A$192,0))</f>
        <v/>
      </c>
      <c r="AG83" s="16" t="str">
        <f>INDEX(Offshore_wind_data!$Y$7:$Y$192,MATCH(Country_details!A83,Offshore_wind_data!$A$7:$A$192,0))</f>
        <v/>
      </c>
      <c r="AH83" s="16" t="str">
        <f>INDEX(Offshore_wind_data!$Z$7:$Z$192,MATCH(Country_details!A83,Offshore_wind_data!$A$7:$A$192,0))</f>
        <v/>
      </c>
      <c r="AI83" s="24" t="str">
        <f t="shared" si="98"/>
        <v/>
      </c>
      <c r="AJ83" s="24" t="str">
        <f t="shared" si="99"/>
        <v/>
      </c>
      <c r="AK83" s="24" t="str">
        <f t="shared" si="100"/>
        <v/>
      </c>
      <c r="AL83" s="16">
        <f>INDEX(Offshore_wind_data!$W$7:$W$191,MATCH(A83,Offshore_wind_data!$A$7:$A$191,0))</f>
        <v>0</v>
      </c>
      <c r="AM83" s="148"/>
      <c r="AN83" s="12">
        <v>6.1</v>
      </c>
      <c r="AO83" s="12">
        <v>5.4</v>
      </c>
      <c r="AP83" s="34">
        <f>1.337*11.63</f>
        <v>15.54931</v>
      </c>
      <c r="AQ83" s="15">
        <f t="shared" si="101"/>
        <v>50</v>
      </c>
      <c r="AR83" s="12">
        <f t="shared" si="131"/>
        <v>270</v>
      </c>
      <c r="AS83" s="16">
        <f t="shared" si="121"/>
        <v>-184.65639577723576</v>
      </c>
      <c r="AT83" s="12"/>
      <c r="AU83" s="24">
        <f t="shared" si="122"/>
        <v>2.2705071535560428</v>
      </c>
      <c r="AV83" s="16">
        <f t="shared" si="123"/>
        <v>1933.7362825637424</v>
      </c>
      <c r="AW83" s="149">
        <f>HV_DC_Grid!$E$3/(1-AX83)*AU83/100*1000</f>
        <v>2451.5777915929102</v>
      </c>
      <c r="AX83" s="31">
        <f>(1-(1-HV_DC_Grid!$E$25)^(B83*C83*HV_DC_Grid!$E$8/1000))+(1-(1-HV_DC_Grid!$E$26)^(B83*D83*HV_DC_Grid!$E$8/1000))+HV_DC_Grid!$E$35*HV_DC_Grid!$E$28</f>
        <v>7.3858818046812477E-2</v>
      </c>
      <c r="AY83" s="28">
        <f>B83*nl_e_demand/IF(hv_dc_flh="electricity FLH",$AV83,hv_dc_custom)*1000*hv_dc_capacity_multiplier*hv_dc_length_multiplier*1000*(C83*hv_dc_overhead_invest*(hv_dc_overhead_opex+M83+1/hv_dc_lifetime)+D83*hv_dc_sea_invest*(hv_dc_sea_opex+M83+1/hv_dc_lifetime))/1000000+HV_DC_Grid!$E$10*1000*hv_dc_station_invest*hv_dc_station_number*(hv_dc_station_opex+M83+1/hv_dc_lifetime)/1000000</f>
        <v>3574.3317756350284</v>
      </c>
      <c r="AZ83" s="24">
        <f>(AW83+AY83)/(HV_DC_Grid!$E$3*1000)*100</f>
        <v>6.0259095672279379</v>
      </c>
      <c r="BA83" s="28">
        <f>MIN(((Carriers!$F$26+Carriers!$F$27)*(alk_el_opex+wacc_nl+1/alk_el_lifetime)+IF(hv_dc_flh="electricity FLH",$AV83,hv_dc_custom)*AZ83/100)/(IF(hv_dc_flh="electricity FLH",$AV83,hv_dc_custom)/alk_el_e_demand)*1000,((Carriers!$H$26+Carriers!$H$27)*(pem_el_opex+wacc_nl+1/pem_el_lifetime)+IF(hv_dc_flh="electricity FLH",$AV83,hv_dc_custom)*AZ83/100)/(IF(hv_dc_flh="electricity FLH",$AV83,hv_dc_custom)/pem_el_e_demand)*1000)</f>
        <v>3419.5561545521359</v>
      </c>
      <c r="BB83" s="12"/>
      <c r="BC83" s="12"/>
      <c r="BD83" s="149">
        <f>MIN(((Carriers!$F$26+Carriers!$F$27)*(alk_el_opex+M83+1/alk_el_lifetime)+$AV83*$AU83/100)/($AV83/alk_el_e_demand)*1000,((Carriers!$H$26+Carriers!$H$27)*(pem_el_opex+M83+1/pem_el_lifetime)+$AV83*$AU83/100)/($AV83/pem_el_e_demand)*1000)</f>
        <v>2876.8174209898561</v>
      </c>
      <c r="BE83" s="28">
        <f>Storage!$AC$50</f>
        <v>8.1664117557772418</v>
      </c>
      <c r="BF83" s="28">
        <f>((Pipeline!$D$22*Pipeline!$D$24*B83*(pipeline_opex+M83+1/pipeline_lifetime))*(Pipeline!$D$39/Pipeline!$D$3)+(Pipeline!$D$57*(pipeline_comp_opex+M83+1/pipeline_comp_lifetime)+Pipeline!$D$47*1000*Pipeline!$D$45*$AU83/100/1000000))*(Pipeline!$D$75/Pipeline!$D$45)</f>
        <v>6998.9856528419259</v>
      </c>
      <c r="BG83" s="28">
        <f>BD83+(BE83+BF83)/Storage!$AC$12*1000000</f>
        <v>3392.0491904455694</v>
      </c>
      <c r="BH83" s="28"/>
      <c r="BI83" s="28"/>
      <c r="BJ83" s="28">
        <f>IF($E83="","No Port",BK83*HV_DC_Grid!$E$3*$AU83/100*1000)</f>
        <v>34.794410162811452</v>
      </c>
      <c r="BK83" s="31">
        <f>IFERROR((1-(1-HV_DC_Grid!$E$25)^(K83*HV_DC_Grid!$E$8/1000))+HV_DC_Grid!$E$35*HV_DC_Grid!$E$28,"")</f>
        <v>1.5324510256801803E-2</v>
      </c>
      <c r="BL83" s="28">
        <f>IFERROR(K83*nl_e_demand/IF(hv_dc_flh="electricity FLH",$AV83,hv_dc_custom)*1000*hv_dc_capacity_multiplier*hv_dc_length_multiplier*1000*(hv_dc_overhead_invest*(hv_dc_overhead_opex+M83+1/hv_dc_lifetime))/1000000+HV_DC_Grid!$E$10*1000*hv_dc_station_invest*hv_dc_station_number*(hv_dc_station_opex+M83+1/hv_dc_lifetime)/1000000,"")</f>
        <v>467.13343968414893</v>
      </c>
      <c r="BM83" s="29">
        <f>IFERROR((BJ83+BL83)/(HV_DC_Grid!$E$3*1000)*100,"")</f>
        <v>0.50192784984696037</v>
      </c>
      <c r="BN83" s="28">
        <f>IFERROR(((Pipeline!$D$22*Pipeline!$D$24*K83*(pipeline_opex+M83+1/pipeline_lifetime))*(Pipeline!$D$39/Pipeline!$D$3)+(Pipeline!$D$57*(pipeline_comp_opex+M83+1/pipeline_comp_lifetime)+Pipeline!$D$47*1000*Pipeline!$D$45*S83/100/1000000))*(Pipeline!$D$75/Pipeline!$D$45),"")</f>
        <v>225.51678860468718</v>
      </c>
      <c r="BO83" s="28"/>
      <c r="BP83" s="150">
        <f t="shared" si="124"/>
        <v>109.30294902721397</v>
      </c>
      <c r="BQ83" s="34">
        <f t="shared" si="125"/>
        <v>32.772887743803473</v>
      </c>
      <c r="BR83" s="151">
        <f>(nh3_invest*(M83+1/nh3_lifetime)/nh3_prod+nh3_opex+nh3_e_demand*1000*$AU83/100+Carriers!$N$18/Carriers!$N$23*BD83+Carriers!$N$19/Carriers!$N$23*BQ83)*(BT83+nh3_st_ab_losses)/1000000</f>
        <v>51032.166130314596</v>
      </c>
      <c r="BS83" s="63">
        <f>nh3_st_nl_cost*nh3_st_nl_demand/1000000+(nh3_st_invest*(M83+1/nh3_st_lifetime+nh3_st_opex)/(Storage!$G$63/1000000)+nh3_st_e_demand*1000*$AU83/100)*(BT83+nh3_st_ab_losses)/1000000+Carriers!$N$18/Carriers!$N$23*((BT83+nh3_st_ab_losses)/365.25*short_st_duration_hrs/24)*(h2_short_st_invest*(1/gh2_short_st_lifetime+$M83+h2_short_st_opex)+h2_short_st_e_demand*1000*$AU83/100)/1000000+Carriers!$N$19/Carriers!$N$23*((BT83+nh3_st_ab_losses)/365.25*short_st_duration_hrs/24)*(n2_short_st_invest*(1/n2_short_st_lifetime+$M83+n2_short_st_opex)+n2_short_st_e_demand*1000*$AU83/100)/1000000</f>
        <v>3365.5960495793774</v>
      </c>
      <c r="BT83" s="63">
        <f>Storage!$G$57/((1-Shipping!$H$37)^(F83/24/Shipping!$H$44+0.5*Shipping!$H$59))</f>
        <v>78509077.406780839</v>
      </c>
      <c r="BU83" s="63">
        <f>IF($E83="","No Port",((F83/24/Shipping!$H$44+F83/24/Shipping!$H$50+Shipping!$H$59+Shipping!$H$64)*(Shipping!$H$22+wacc_nl*Shipping!$H$19/365.25*1000000+Shipping!$H$35)+(F83/24/Shipping!$H$44*Shipping!$H$45+Shipping!$H$64*Shipping!$H$65)*IF(bunker_choice="HFO",H83,IF(bunker_choice="hydrogen",BD83*hfo_e_density_lhv/h2_e_density_lhv,(BR83+BS83)*1000000/BT83*hfo_e_density_lhv/nh3_e_density_lhv))+(F83/24/Shipping!$H$50*Shipping!$H$51+Shipping!$H$59*Shipping!$H$60)*IF(bunker_choice="HFO",bunker_price_ROT,IF(bunker_choice="hydrogen",BD83*hfo_e_density_lhv/h2_e_density_lhv,(BR83+BS83)*1000000/BT83*hfo_e_density_lhv/nh3_e_density_lhv))+Shipping!$H$73+IF(G83="Panama",Shipping!$H$55,0)+IF(G83="Suez",Shipping!$H$56,0))/Shipping!$H$31*BT83/1000000+IF(inland_transport_to_port="hv dc grid",$BM83/100*1000*BW83,IF(inland_transport_to_port="pipeline",$BN83,0)))</f>
        <v>2581.2130341512739</v>
      </c>
      <c r="BV83" s="63">
        <f t="shared" si="126"/>
        <v>56978.975214045247</v>
      </c>
      <c r="BW83" s="33">
        <f>((Carriers!$N$18/Carriers!$N$23*alk_el_e_demand)+(Carriers!$N$19/Carriers!$N$23*n2_e_demand)+nh3_e_demand)*(BT83+nh3_st_ab_losses)/1000000+nh3_st_e_demand*BT83/1000000</f>
        <v>775.30116968399886</v>
      </c>
      <c r="BX83" s="33">
        <f t="shared" si="102"/>
        <v>0.76626754477640768</v>
      </c>
      <c r="BY83" s="63">
        <f>IFERROR(BV83*1000000/Storage!$G$12,"")</f>
        <v>744.21068632895776</v>
      </c>
      <c r="BZ83" s="63">
        <f>H2_retrieval!$F$25*h2_demand_kt/1000</f>
        <v>80</v>
      </c>
      <c r="CA83" s="63">
        <f>IFERROR(BY83*(1+H2_retrieval!$F$34)/Carrier_properties!$E$7+H2_retrieval!$F$38,"")</f>
        <v>4598.8565100882388</v>
      </c>
      <c r="CB83" s="149">
        <f>(FA_invest*(M83+1/FA_lifetime)/FA_prod+FA_opex+FA_e_demand*1000*$AU83/100+Carriers!$P$18/Carriers!$P$23*BD83+Carriers!$P$20/Carriers!$P$23*co2_liq_cost)*(CF83+FA_st_ab_losses)/1000000</f>
        <v>100111.71802612039</v>
      </c>
      <c r="CC83" s="86">
        <f>(FA_invest*(M83+1/FA_lifetime)/FA_prod+FA_opex+FA_e_demand*1000*$AU83/100+Carriers!$P$18/Carriers!$P$23*BD83+Carriers!$P$20/Carriers!$P$23*BP83)*(CF83+FA_st_ab_losses)/1000000</f>
        <v>126407.97488258245</v>
      </c>
      <c r="CD83" s="63">
        <f>FA_st_nl_cost*FA_st_nl_demand/1000000+(FA_st_invest*(M83+1/FA_st_lifetime+FA_st_opex)/(Storage!$I$63/1000000)+FA_st_e_demand*1000*$AU83/100)*(CF83+FA_st_ab_losses)/1000000+co2_st_nl_cost*Storage!$I$12*co2_density/FA_density/1000000+(co2_st_opex_lev+co2_st_invest_lev+co2_st_e_demand*1000*$AU83/100)*Storage!$I$12/1000000+co2_st_invest_lev*Storage!$I$12*co2_st_lifetime*M83/1000000+Carriers!$P$18/Carriers!$P$23*((CF83+FA_st_ab_losses)/365.25*short_st_duration_hrs/24)*(h2_short_st_invest*(1/gh2_short_st_lifetime+$M83+h2_short_st_opex)+h2_short_st_e_demand*1000*$AU83/100)/1000000+Carriers!$P$20/Carriers!$P$23*((CF83+FA_st_ab_losses)/365.25*short_st_duration_hrs/24)*(co2_short_st_invest*(1/co2_short_st_lifetime+$M83+co2_short_st_opex)+co2_short_st_e_demand*1000*$AU83/100)/1000000</f>
        <v>11508.992454923959</v>
      </c>
      <c r="CE83" s="63">
        <f>FA_st_nl_cost*FA_st_nl_demand/1000000+(FA_st_invest*(M83+1/FA_st_lifetime+FA_st_opex)/(Storage!$I$63/1000000)+FA_st_e_demand*1000*$AU83/100)*(CF83+FA_st_ab_losses)/1000000+Carriers!$P$18/Carriers!$P$23*((CF83+FA_st_ab_losses)/365.25*short_st_duration_hrs/24)*(h2_short_st_invest*(1/gh2_short_st_lifetime+$M83+h2_short_st_opex)+h2_short_st_e_demand*1000*$AU83/100)/1000000+Carriers!$P$20/Carriers!$P$23*((CF83+FA_st_ab_losses)/365.25*short_st_duration_hrs/24)*(co2_short_st_invest*(1/co2_short_st_lifetime+$M83+co2_short_st_opex)+co2_short_st_e_demand*1000*$AU83/100)/1000000</f>
        <v>5014.3343842375143</v>
      </c>
      <c r="CF83" s="63">
        <f>Storage!$I$57/((1-Shipping!$J$37)^($F83/24/Shipping!$J$44+0.5*Shipping!$J$59))</f>
        <v>310425396.82539684</v>
      </c>
      <c r="CG83" s="28">
        <f>IF($E83="","No Port",((F83/24/Shipping!$J$44+F83/24/Shipping!$J$50+Shipping!$J$59+Shipping!$J$64)*(Shipping!$J$22+wacc_nl*Shipping!$J$19/365.25*1000000+Shipping!$J$35)+(F83/24/Shipping!$J$44*Shipping!$J$45+Shipping!$J$64*Shipping!$J$65)*IF(bunker_choice="HFO",$H83,IF(bunker_choice="hydrogen",$BD83*hfo_e_density_lhv/h2_e_density_lhv,(CB83+CD83)*1000000/CF83*hfo_e_density_lhv/FA_e_density_lhv))+(F83/24/Shipping!$J$50*Shipping!$J$51+Shipping!$J$59*Shipping!$J$60)*IF(bunker_choice="HFO",bunker_price_ROT,IF(bunker_choice="hydrogen",$BD83*hfo_e_density_lhv/h2_e_density_lhv,(CB83+CD83)*1000000/CF83*hfo_e_density_lhv/FA_e_density_lhv))+Shipping!$J$73+IF(G83="Panama",Shipping!$J$55,0)+IF(G83="Suez",Shipping!$J$56,0))/Shipping!$J$31*CF83/1000000+IF(inland_transport_to_port="hv dc grid",$BM83/100*1000*CI83,IF(inland_transport_to_port="pipeline",$BN83,0)))</f>
        <v>10464.573332040922</v>
      </c>
      <c r="CH83" s="28">
        <f t="shared" si="132"/>
        <v>141886.88259886089</v>
      </c>
      <c r="CI83" s="29">
        <f>((Carriers!$P$18/Carriers!$P$23*alk_el_e_demand)+FA_e_demand)*(CF83+FA_st_ab_losses)/1000000+FA_st_e_demand*CF83/1000000</f>
        <v>1897.8881241622576</v>
      </c>
      <c r="CJ83" s="29">
        <f t="shared" si="103"/>
        <v>0.46563809523809524</v>
      </c>
      <c r="CK83" s="28">
        <f>IFERROR(CH83*1000000/Storage!$I$12,"")</f>
        <v>457.07240467398736</v>
      </c>
      <c r="CL83" s="28">
        <f>IF($E83="","No Port",((F83/24/Shipping!$J$44+F83/24/Shipping!$J$50+Shipping!$J$59+Shipping!$J$64)*Carriers!$P$39*wacc_nl))</f>
        <v>184.21231378471282</v>
      </c>
      <c r="CM83" s="29">
        <f>H2_retrieval!$H$25*h2_demand_kt/1000+(co2_liq_e_demand+co2_st_e_demand*2)*Storage!$I$12*co2_density/FA_density/1000000</f>
        <v>94.204253879484654</v>
      </c>
      <c r="CN83" s="28">
        <f>IFERROR((((CB83+CD83+CG83)*(1+H2_retrieval!$H$34)+CL83)*1000000/H2_retrieval!$H$8)+h2_regen_fa,"")</f>
        <v>9080.0914947426882</v>
      </c>
      <c r="CO83" s="149">
        <f>(meoh_invest*(M83+1/meoh_lifetime)/meoh_prod+meoh_opex+meoh_e_demand*1000*$AU83/100+Carriers!$R$18/Carriers!$R$23*BD83+Carriers!$R$20/Carriers!$R$23*co2_liq_cost)*(CS83+meoh_st_ab_losses)/1000000</f>
        <v>62914.237654546931</v>
      </c>
      <c r="CP83" s="86">
        <f>(meoh_invest*(M83+1/meoh_lifetime)/meoh_prod+meoh_opex+meoh_e_demand*1000*$AU83/100+Carriers!$R$18/Carriers!$R$23*BD83+Carriers!$R$20/Carriers!$R$23*BP83)*(CS83+meoh_st_ab_losses)/1000000</f>
        <v>78350.952243030581</v>
      </c>
      <c r="CQ83" s="63">
        <f>meoh_st_nl_cost*meoh_st_nl_demand/1000000+(meoh_st_invest*(M83+1/meoh_st_lifetime+meoh_st_opex)/(Storage!$K$63/1000000)+meoh_st_e_demand*1000*$AU83/100)*(CS83+meoh_st_ab_losses)/1000000+co2_st_nl_cost*Storage!$K$12*co2_density/meoh_density/1000000+(co2_st_opex_lev+co2_st_invest_lev+co2_st_e_demand*1000*IFERROR(MIN(S83,AA83,AI83),S83)/100)*Storage!$K$12/1000000+co2_st_invest_lev*Storage!$K$12*co2_st_lifetime*M83/1000000+Carriers!$R$18/Carriers!$R$23*((CS83+meoh_st_ab_losses)/365.25*short_st_duration_hrs/24)*(h2_short_st_invest*(1/gh2_short_st_lifetime+$M83+h2_short_st_opex)+h2_short_st_e_demand*1000*$AU83/100)/1000000+Carriers!$R$20/Carriers!$R$23*((CF83+meoh_st_ab_losses)/365.25*short_st_duration_hrs/24)*(co2_short_st_invest*(1/co2_short_st_lifetime+$M83+co2_short_st_opex)+co2_short_st_e_demand*1000*$AU83/100)/1000000</f>
        <v>4830.3793111394234</v>
      </c>
      <c r="CR83" s="63">
        <f>meoh_st_nl_cost*meoh_st_nl_demand/1000000+(meoh_st_invest*(M83+1/meoh_st_lifetime+meoh_st_opex)/(Storage!$K$63/1000000)+meoh_st_e_demand*1000*$AU83/100)*(CS83+meoh_st_ab_losses)/1000000+Carriers!$R$18/Carriers!$R$23*((CS83+meoh_st_ab_losses)/365.25*short_st_duration_hrs/24)*(h2_short_st_invest*(1/gh2_short_st_lifetime+$M83+h2_short_st_opex)+h2_short_st_e_demand*1000*$AU83/100)/1000000+Carriers!$R$20/Carriers!$R$23*((CF83+meoh_st_ab_losses)/365.25*short_st_duration_hrs/24)*(co2_short_st_invest*(1/co2_short_st_lifetime+$M83+co2_short_st_opex)+co2_short_st_e_demand*1000*$AU83/100)/1000000</f>
        <v>1970.8976141588382</v>
      </c>
      <c r="CS83" s="63">
        <f>Storage!$K$57/((1-Shipping!$L$37)^($F83/24/Shipping!$L$44+0.5*Shipping!$L$59))</f>
        <v>108044444.44444443</v>
      </c>
      <c r="CT83" s="28">
        <f>IF($E83="","No Port",IF(AND(ship_choice="VLCC",G83="Panama"),"Ship cannot pass through Panama",IF(ship_choice="VLCC",((F83/24/Shipping!$AD$44+F83/24/Shipping!$AD$50+Shipping!$AD$59+Shipping!$AD$64)*(Shipping!$AD$22+wacc_nl*Shipping!$AD$19/365.25*1000000+Shipping!$AD$35)+(F83/24/Shipping!$AD$44*Shipping!$AD$45+Shipping!$AD$64*Shipping!$AD$65)*IF(bunker_choice="HFO",$H83,IF(bunker_choice="hydrogen",$BD83*hfo_e_density_lhv/h2_e_density_lhv,(CO83+CQ83)*1000000/CS83*hfo_e_density_lhv/meoh_e_density_lhv))+(F83/24/Shipping!$AD$50*Shipping!$AD$51+Shipping!$AD$59*Shipping!$AD$60)*IF(bunker_choice="HFO",bunker_price_ROT,IF(bunker_choice="hydrogen",$BD83*hfo_e_density_lhv/h2_e_density_lhv,(CO83+CQ83)*1000000/CS83*hfo_e_density_lhv/meoh_e_density_lhv))+Shipping!$AD$73+IF(G83="Panama",Shipping!$AD$55,0)+IF(G83="Suez",Shipping!$AD$56,0))/Shipping!$AD$31*CS83/1000000+IF(inland_transport_to_port="hv dc grid",$BM83/100*1000*CV83,IF(inland_transport_to_port="pipeline",$BN83,0)),((F83/24/Shipping!$L$44+F83/24/Shipping!$L$50+Shipping!$L$59+Shipping!$L$64)*(Shipping!$L$22+wacc_nl*Shipping!$L$19/365.25*1000000+Shipping!$L$35)+(F83/24/Shipping!$L$44*Shipping!$L$45+Shipping!$L$64*Shipping!$L$65)*IF(bunker_choice="HFO",$H83,IF(bunker_choice="hydrogen",$BD83*hfo_e_density_lhv/h2_e_density_lhv,(CO83+CQ83)*1000000/CS83*hfo_e_density_lhv/meoh_e_density_lhv))+(F83/24/Shipping!$L$50*Shipping!$L$51+Shipping!$L$59*Shipping!$L$60)*IF(bunker_choice="HFO",bunker_price_ROT,IF(bunker_choice="hydrogen",$BD83*hfo_e_density_lhv/h2_e_density_lhv,(CO83+CQ83)*1000000/CS83*hfo_e_density_lhv/meoh_e_density_lhv))+Shipping!$L$73+IF(G83="Panama",Shipping!$L$55,0)+IF(G83="Suez",Shipping!$L$56,0))/Shipping!$L$31*CS83/1000000+IF(inland_transport_to_port="hv dc grid",$BM83/100*1000*CV83,IF(inland_transport_to_port="pipeline",$BN83,0)))))</f>
        <v>3576.9868433260604</v>
      </c>
      <c r="CU83" s="28">
        <f t="shared" si="133"/>
        <v>83898.836700515472</v>
      </c>
      <c r="CV83" s="29">
        <f>((Carriers!$R$18/Carriers!$R$23*alk_el_e_demand)+meoh_e_demand)*(CS83+meoh_st_ab_losses)/1000000+meoh_st_e_demand*CS83/1000000</f>
        <v>1119.9789871111109</v>
      </c>
      <c r="CW83" s="29">
        <f t="shared" si="104"/>
        <v>0.16206666666666666</v>
      </c>
      <c r="CX83" s="28">
        <f>IFERROR(CU83*1000000/Storage!$K$12,"")</f>
        <v>776.52152437745713</v>
      </c>
      <c r="CY83" s="28">
        <f>IF($E83="","No Port",((F83/24/Shipping!$L$44+F83/24/Shipping!$L$50+Shipping!$L$59+Shipping!$L$64)*Carriers!$R$39*wacc_nl))</f>
        <v>65.789326980209907</v>
      </c>
      <c r="CZ83" s="29">
        <f>H2_retrieval!$J$25*h2_demand_kt/1000+(co2_liq_e_demand+co2_st_e_demand*2)*Storage!$K$12*co2_density/meoh_density/1000000</f>
        <v>251.05079059698966</v>
      </c>
      <c r="DA83" s="28">
        <f>IFERROR((((CO83+CQ83+CT83)*(1+H2_retrieval!$J$34)+CY83)*1000000/H2_retrieval!$J$8)+h2_regen_meoh,"")</f>
        <v>6419.2015679014548</v>
      </c>
      <c r="DB83" s="149">
        <f>(DBT_invest*(M83+1/DBT_lifetime)/DBT_prod+DBT_opex+DBT_e_demand*1000*$AU83/100+Carriers!$T$18/Carriers!$T$23*BD83)*(DD83+DBT_st_ab_losses)/1000000</f>
        <v>42320.012063485628</v>
      </c>
      <c r="DC83" s="28">
        <f>2*(DBT_st_nl_cost*DBT_st_nl_demand/1000000+(DBT_st_invest*(M83+1/DBT_st_lifetime+DBT_st_opex)/(Storage!$M$63/1000000)+DBT_st_e_demand*1000*$AU83/100)*(DD83+DBT_st_ab_losses)/1000000)+Carriers!$T$18/Carriers!$T$23*((DD83+DBT_st_ab_losses)/365.25*short_st_duration_hrs/24)*(h2_short_st_invest*(1/gh2_short_st_lifetime+$M83+h2_short_st_opex)+h2_short_st_e_demand*1000*$AU83/100)/1000000</f>
        <v>4077.3659672791869</v>
      </c>
      <c r="DD83" s="63">
        <f>Storage!$M$57/((1-Shipping!$N$37)^($F83/24/Shipping!$N$44+0.5*Shipping!$N$59))</f>
        <v>219354838.70967743</v>
      </c>
      <c r="DE83" s="28">
        <f>IF($E83="","No Port",IF(AND(ship_choice="VLCC",G83="Panama"),"Ship cannot pass through Panama",IF(ship_choice="VLCC",((F83/24/Shipping!$AD$44+F83/24/Shipping!$AD$50+Shipping!$AD$59+Shipping!$AD$64)*(Shipping!$AD$22+wacc_nl*Shipping!$AD$19/365.25*1000000+Shipping!$AD$35)+(F83/24/Shipping!$AD$44*Shipping!$AD$45+Shipping!$AD$64*Shipping!$AD$65)*IF(bunker_choice="HFO",$H83,IF(bunker_choice="hydrogen",$BD83*hfo_e_density_lhv/h2_e_density_lhv,(DB83+DC83)*1000000/DD83*hfo_e_density_lhv/DBT_e_density_lhv))+(F83/24/Shipping!$AD$50*Shipping!$AD$51+Shipping!$AD$59*Shipping!$AD$60)*IF(bunker_choice="HFO",bunker_price_ROT,IF(bunker_choice="hydrogen",$BD83*hfo_e_density_lhv/h2_e_density_lhv,(DB83+DC83)*1000000/DD83*hfo_e_density_lhv/DBT_e_density_lhv))+Shipping!$AD$73+IF(G83="Panama",Shipping!$AD$55,0)+IF(G83="Suez",Shipping!$AD$56,0))/Shipping!$AD$31*DD83/1000000+IF(inland_transport_to_port="hv dc grid",$BM83/100*1000*DG83,IF(inland_transport_to_port="pipeline",$BN83,0)),((F83/24/Shipping!$N$44+F83/24/Shipping!$N$50+Shipping!$N$59+Shipping!$N$64)*(Shipping!$N$22+wacc_nl*Shipping!$N$19/365.25*1000000+Shipping!$N$35)+(F83/24/Shipping!$N$44*Shipping!$N$45+Shipping!$N$64*Shipping!$N$65)*IF(bunker_choice="HFO",$H83,IF(bunker_choice="hydrogen",$BD83*hfo_e_density_lhv/h2_e_density_lhv,(DB83+DC83)*1000000/DD83*hfo_e_density_lhv/DBT_e_density_lhv))+(F83/24/Shipping!$N$50*Shipping!$N$51+Shipping!$N$59*Shipping!$N$60)*IF(bunker_choice="HFO",bunker_price_ROT,IF(bunker_choice="hydrogen",$BD83*hfo_e_density_lhv/h2_e_density_lhv,(DB83+DC83)*1000000/DD83*hfo_e_density_lhv/DBT_e_density_lhv))+Shipping!$N$73+IF(G83="Panama",Shipping!$N$55,0)+IF(G83="Suez",Shipping!$N$56,0))/Shipping!$N$31*Shipping!$N$86/1000000+IF(inland_transport_to_port="hv dc grid",$BM83/100*1000*DG83,IF(inland_transport_to_port="pipeline",$BN83,0)))))</f>
        <v>6526.6109686207283</v>
      </c>
      <c r="DF83" s="28">
        <f t="shared" si="82"/>
        <v>52923.98899938554</v>
      </c>
      <c r="DG83" s="29">
        <f>((Carriers!$T$18/Carriers!$T$23*alk_el_e_demand)+DBT_e_demand)*(DD83+DBT_st_ab_losses)/1000000+DBT_st_e_demand*DD83/1000000</f>
        <v>703.88335483870969</v>
      </c>
      <c r="DH83" s="29">
        <f t="shared" si="105"/>
        <v>0.21935483870967742</v>
      </c>
      <c r="DI83" s="28">
        <f>IFERROR(DF83*1000000/Storage!$M$12,"")</f>
        <v>241.27112632072817</v>
      </c>
      <c r="DJ83" s="28">
        <f>IF($E83="","No Port",((F83/24/Shipping!$N$44+F83/24/Shipping!$N$50+Shipping!$N$59+Shipping!$N$64)*Carriers!$T$39*wacc_nl))</f>
        <v>4791.6528427490057</v>
      </c>
      <c r="DK83" s="100">
        <f>H2_retrieval!$L$25*h2_demand_kt/1000+(co2_liq_e_demand+co2_st_e_demand*2)*Storage!$M$12*co2_density/DBT_density/1000000</f>
        <v>206.61934861671787</v>
      </c>
      <c r="DL83" s="28">
        <f>IFERROR(((DF83*(1+H2_retrieval!$L$34)+DJ83)*1000000/H2_retrieval!$L$8)+h2_regen_lohc,"")</f>
        <v>4714.4469749133941</v>
      </c>
      <c r="DM83" s="149">
        <f t="shared" si="127"/>
        <v>47223.987530652761</v>
      </c>
      <c r="DN83" s="16">
        <f>2*(nabh4_st_nl_cost*nabh4_st_nl_demand/1000000+(nabh4_st_invest*(M83+1/nabh4_st_lifetime+nabh4_st_opex)/(Storage!$O$63/1000000)+nabh4_st_e_demand*1000*$AU83/100)*(DO83+nabh4_st_ab_losses)/1000000)+(h2_demand_kt*1000/365.25*short_st_duration_hrs/24)*(h2_short_st_invest*(1/gh2_short_st_lifetime+$M83+h2_short_st_opex)+h2_short_st_e_demand*1000*$AU83/100)/1000000</f>
        <v>1366.8151824419033</v>
      </c>
      <c r="DO83" s="63">
        <f>Storage!$O$57/((1-Shipping!$P$37)^($F83/24/Shipping!$P$44+0.5*Shipping!$P$59))</f>
        <v>63920000</v>
      </c>
      <c r="DP83" s="16">
        <f>IF($E83="","No Port",((F83/24/Shipping!$P$44+F83/24/Shipping!$P$50+Shipping!$P$59+Shipping!$P$64)*(Shipping!$P$22+wacc_nl*Shipping!$P$19/365.25*1000000+Shipping!$P$35)+(F83/24/Shipping!$P$44*Shipping!$P$45+Shipping!$P$64*Shipping!$P$65)*IF(bunker_choice="HFO",$H83,IF(bunker_choice="hydrogen",$BD83*hfo_e_density_lhv/h2_e_density_lhv,(DM83+DN83)*1000000/DO83*hfo_e_density_lhv/nabh4_e_density_lhv))+(F83/24/Shipping!$P$50*Shipping!$P$51+Shipping!$P$59*Shipping!$P$60)*IF(bunker_choice="HFO",bunker_price_ROT,IF(bunker_choice="hydrogen",$BD83*hfo_e_density_lhv/h2_e_density_lhv,(DM83+DN83)*1000000/DO83*hfo_e_density_lhv/nabh4_e_density_lhv))+Shipping!$P$73+IF(G83="Panama",Shipping!$P$55,0)+IF(G83="Suez",Shipping!$P$56,0))/Shipping!$P$31*(DO83+nabh4_st_ab_losses)/1000000+IF(inland_transport_to_port="hv dc grid",$BM83/100*1000*DR83,IF(inland_transport_to_port="pipeline",$BN83,0)))</f>
        <v>1829.7182176380081</v>
      </c>
      <c r="DQ83" s="28">
        <f t="shared" si="60"/>
        <v>50420.520930732673</v>
      </c>
      <c r="DR83" s="29">
        <f>((Carriers!$V$18/Carriers!$V$23*alk_el_e_demand)+nabh4_e_demand)*(DO83+nabh4_st_ab_losses)/1000000+nabh4_st_e_demand*DO83/1000000</f>
        <v>980.02139682539689</v>
      </c>
      <c r="DS83" s="28">
        <f t="shared" si="106"/>
        <v>3.1960000000000002</v>
      </c>
      <c r="DT83" s="28">
        <f>IFERROR(DQ83*1000000/Storage!$O$12,"")</f>
        <v>788.80664785251372</v>
      </c>
      <c r="DU83" s="28">
        <f>IF($E83="","No Port",((F83/24/Shipping!$P$44+F83/24/Shipping!$P$50+Shipping!$P$59+Shipping!$P$64)*Carriers!$V$39*wacc_nl))</f>
        <v>451.35952946570529</v>
      </c>
      <c r="DV83" s="100">
        <f>H2_retrieval!$N$25*h2_demand_kt/1000+(co2_liq_e_demand+co2_st_e_demand*2)*Storage!$O$12*co2_density/nabh4_density/1000000</f>
        <v>18.783638728971958</v>
      </c>
      <c r="DW83" s="28">
        <f>IFERROR(((DQ83*(1+H2_retrieval!$N$34)+DU83)*1000000/H2_retrieval!$N$8)+h2_regen_nabh4,"")</f>
        <v>3821.6014809515973</v>
      </c>
      <c r="DX83" s="149">
        <f>(Dme_invest*(M83+1/Dme_lifetime)/Dme_prod+Dme_opex+Dme_e_demand*1000*$AU83/100+Carriers!$X$21/Carriers!$X$23*(CO83*1000000/CS83))*(EB83+Dme_st_ab_losses)/1000000</f>
        <v>88330.9235122135</v>
      </c>
      <c r="DY83" s="86">
        <f>(Dme_invest*(M83+1/Dme_lifetime)/Dme_prod+Dme_opex+Dme_e_demand*1000*$AU83/100+Carriers!$X$21/Carriers!$X$23*(CP83*1000000/CS83))*(EB83+Dme_st_ab_losses)/1000000</f>
        <v>109273.35865735053</v>
      </c>
      <c r="DZ83" s="63">
        <f>Dme_st_nl_cost*Dme_st_nl_demand/1000000+(Dme_st_invest*(M83+1/Dme_st_lifetime+Dme_st_opex)/(Storage!$Q$63/1000000)+Dme_st_e_demand*1000*$AU83/100)*(EB83+Dme_st_ab_losses)/1000000+co2_st_nl_cost*Storage!$Q$12*co2_density/Dme_density/1000000+(co2_st_opex_lev+co2_st_invest_lev+co2_st_e_demand*1000*$AU83/100)*Storage!$Q$12/1000000+co2_st_invest_lev*Storage!$Q$12*co2_st_lifetime*M83/1000000+(h2_demand_kt*1000/365.25*short_st_duration_hrs/24)*(h2_short_st_invest*(1/gh2_short_st_lifetime+$M83+h2_short_st_opex)+h2_short_st_e_demand*1000*$AU83/100)/1000000</f>
        <v>5831.4564363170593</v>
      </c>
      <c r="EA83" s="63">
        <f>Dme_st_nl_cost*Dme_st_nl_demand/1000000+(Dme_st_invest*(M83+1/Dme_st_lifetime+Dme_st_opex)/(Storage!$Q$63/1000000)+Dme_st_e_demand*1000*$AU83/100)*(EB83+Dme_st_ab_losses)/1000000+(h2_demand_kt*1000/365.25*short_st_duration_hrs/24)*(h2_short_st_invest*(1/gh2_short_st_lifetime+$M83+h2_short_st_opex)+h2_short_st_e_demand*1000*$AU83/100)/1000000</f>
        <v>2964.1000890257951</v>
      </c>
      <c r="EB83" s="63">
        <f>Storage!$Q$57/((1-Shipping!$R$37)^($F83/24/Shipping!$R$44+0.5*Shipping!$R$59))</f>
        <v>103547089.94708996</v>
      </c>
      <c r="EC83" s="153">
        <f>IF($E83="","No Port",IF(AND(ship_choice="VLCC",G83="Panama"),"Ship cannot pass through Panama",IF(ship_choice="VLCC",((F83/24/Shipping!$AD$44+F83/24/Shipping!$AD$50+Shipping!$AD$59+Shipping!$AD$64)*(Shipping!$AD$22+wacc_nl*Shipping!$AD$19/365.25*1000000+Shipping!$AD$35)+(F83/24/Shipping!$AD$44*Shipping!$AD$45+Shipping!$AD$64*Shipping!$AD$65)*IF(bunker_choice="HFO",$H83,IF(bunker_choice="hydrogen",$BD83*hfo_e_density_lhv/h2_e_density_lhv,(DX83+DZ83)*1000000/EB83*hfo_e_density_lhv/Dme_e_density_lhv))+(F83/24/Shipping!$AD$50*Shipping!$AD$51+Shipping!$AD$59*Shipping!$AD$60)*IF(bunker_choice="HFO",bunker_price_ROT,IF(bunker_choice="hydrogen",$BD83*hfo_e_density_lhv/h2_e_density_lhv,(DX83+DZ83)*1000000/EB83*hfo_e_density_lhv/Dme_e_density_lhv))+Shipping!$AD$73+IF(G83="Panama",Shipping!$AD$55,0)+IF(G83="Suez",Shipping!$AD$56,0))/Shipping!$AD$31*(EB83+Dme_st_ab_losses)/1000000+IF(inland_transport_to_port="hv dc grid",$BM83/100*1000*EE83,IF(inland_transport_to_port="pipeline",$BN83,0)),((F83/24/Shipping!$R$44+F83/24/Shipping!$R$50+Shipping!$R$59+Shipping!$R$64)*(Shipping!$R$22+wacc_nl*Shipping!$R$19/365.25*1000000+Shipping!$R$35)+(F83/24/Shipping!$R$44*Shipping!$R$45+Shipping!$R$64*Shipping!$R$65)*IF(bunker_choice="HFO",$H83,IF(bunker_choice="hydrogen",$BD83*hfo_e_density_lhv/h2_e_density_lhv,(DX83+DZ83)*1000000/EB83*hfo_e_density_lhv/Dme_e_density_lhv))+(F83/24/Shipping!$R$50*Shipping!$R$51+Shipping!$R$59*Shipping!$R$60)*IF(bunker_choice="HFO",bunker_price_ROT,IF(bunker_choice="hydrogen",$BD83*hfo_e_density_lhv/h2_e_density_lhv,(DX83+DZ83)*1000000/EB83*hfo_e_density_lhv/Dme_e_density_lhv))+Shipping!$R$73+IF(G83="Panama",Shipping!$R$55,0)+IF(G83="Suez",Shipping!$R$56,0))/Shipping!$R$31*(EB83+Dme_st_ab_losses)/1000000+IF(inland_transport_to_port="hv dc grid",$BM83/100*1000*EE83,IF(inland_transport_to_port="pipeline",$BN83,0)))))</f>
        <v>3626.886142280362</v>
      </c>
      <c r="ED83" s="28">
        <f t="shared" si="134"/>
        <v>115864.34488865669</v>
      </c>
      <c r="EE83" s="29">
        <f>(Dme_e_demand)*(EB83+Dme_st_ab_losses)/1000000+Dme_st_e_demand*DZ83/1000000+$CV83*(Carriers!$X$21/Carriers!$X$23*EB83)/$CS83</f>
        <v>1550.2168184816203</v>
      </c>
      <c r="EF83" s="29">
        <f t="shared" si="107"/>
        <v>1.0354708994708997</v>
      </c>
      <c r="EG83" s="28">
        <f>IFERROR(ED83*1000000/Storage!$Q$12,"")</f>
        <v>1118.9531733616132</v>
      </c>
      <c r="EH83" s="28">
        <f>IF($E83="","No Port",((F83/24/Shipping!$R$44+F83/24/Shipping!$R$50+Shipping!$R$59+Shipping!$R$64)*Carriers!$X$39*wacc_nl))</f>
        <v>67.844607425372203</v>
      </c>
      <c r="EI83" s="100">
        <f>H2_retrieval!$P$25*h2_demand_kt/1000+(co2_liq_e_demand+co2_st_e_demand*2)*Storage!$Q$12*co2_density/Dme_density/1000000</f>
        <v>252.45335899349112</v>
      </c>
      <c r="EJ83" s="28">
        <f>IFERROR((((DX83+DZ83+EC83)*(1+H2_retrieval!$P$34)+EH83)*1000000/H2_retrieval!$P$8)+h2_regen_dme,"")</f>
        <v>8365.5043298311375</v>
      </c>
      <c r="EK83" s="149">
        <f>(ome_invest*(M83+1/ome_lifetime)/ome_prod+ome_opex+ome_e_demand*1000*$AU83/100+Carriers!$Z$21/Carriers!$Z$23*(CO83*1000000/CS83))*(EO83+ome_st_ab_losses)/1000000</f>
        <v>191792.90077054853</v>
      </c>
      <c r="EL83" s="86">
        <f>(ome_invest*(M83+1/ome_lifetime)/ome_prod+ome_opex+ome_e_demand*1000*$AU83/100+Carriers!$Z$21/Carriers!$Z$23*(CP83*1000000/CS83))*(EO83+ome_st_ab_losses)/1000000</f>
        <v>235755.14885814267</v>
      </c>
      <c r="EM83" s="63">
        <f>ome_st_nl_cost*ome_st_nl_demand/1000000+(ome_st_invest*(M83+1/ome_st_lifetime+ome_st_opex)/(Storage!$S$63/1000000)+ome_st_e_demand*1000*$AU83/100)*(EO83+ome_st_ab_losses)/1000000+co2_st_nl_cost*Storage!$S$12*co2_density/ome_density/1000000+(co2_st_opex_lev+co2_st_invest_lev+co2_st_e_demand*1000*$AU83/100)*Storage!$S$12/1000000+co2_st_invest_lev*Storage!$S$12*co2_st_lifetime*M83/1000000+(h2_demand_kt*1000/365.25*short_st_duration_hrs/24)*(h2_short_st_invest*(1/gh2_short_st_lifetime+$M83+h2_short_st_opex)+h2_short_st_e_demand*1000*$AU83/100)/1000000</f>
        <v>4991.9822503429177</v>
      </c>
      <c r="EN83" s="63">
        <f>ome_st_nl_cost*ome_st_nl_demand/1000000+(ome_st_invest*(M83+1/ome_st_lifetime+ome_st_opex)/(Storage!$S$63/1000000)+ome_st_e_demand*1000*$AU83/100)*(EO83+ome_st_ab_losses)/1000000+(h2_demand_kt*1000/365.25*short_st_duration_hrs/24)*(h2_short_st_invest*(1/gh2_short_st_lifetime+$M83+h2_short_st_opex)+h2_short_st_e_demand*1000*$AU83/100)/1000000</f>
        <v>1778.6363093445793</v>
      </c>
      <c r="EO83" s="63">
        <f>Storage!$S$57/((1-Shipping!$T$37)^($F83/24/Shipping!$T$44+0.5*Shipping!$T$59))</f>
        <v>128282539.68253967</v>
      </c>
      <c r="EP83" s="28">
        <f>IF($E83="","No Port",IF(AND(ship_choice="VLCC",G83="Panama"),"Ship cannot pass through Panama",IF(ship_choice="VLCC",((F83/24/Shipping!$AD$44+F83/24/Shipping!$AD$50+Shipping!$AD$59+Shipping!$AD$64)*(Shipping!$AD$22+wacc_nl*Shipping!$AD$19/365.25*1000000+Shipping!$AD$35)+(F83/24/Shipping!$AD$44*Shipping!$AD$45+Shipping!$AD$64*Shipping!$AD$65)*IF(bunker_choice="HFO",$H83,IF(bunker_choice="hydrogen",$BD83*hfo_e_density_lhv/h2_e_density_lhv,(EK83+EM83)*1000000/EO83*hfo_e_density_lhv/Dme_e_density_lhv))+(F83/24/Shipping!$AD$50*Shipping!$AD$51+Shipping!$AD$59*Shipping!$AD$60)*IF(bunker_choice="HFO",bunker_price_ROT,IF(bunker_choice="hydrogen",$BD83*hfo_e_density_lhv/h2_e_density_lhv,(EK83+EM83)*1000000/EO83*hfo_e_density_lhv/ome_e_density_lhv))+Shipping!$AD$73+IF(G83="Panama",Shipping!$AD$55,0)+IF(G83="Suez",Shipping!$AD$56,0))/Shipping!$AD$31*(EO83+ome_st_ab_losses)/1000000+IF(inland_transport_to_port="hv dc grid",$BM83/100*1000*ER83,IF(inland_transport_to_port="pipeline",$BN83,0)),((F83/24/Shipping!$T$44+F83/24/Shipping!$T$50+Shipping!$T$59+Shipping!$T$64)*(Shipping!$T$22+wacc_nl*Shipping!$T$19/365.25*1000000+Shipping!$T$35)+(F83/24/Shipping!$T$44*Shipping!$T$45+Shipping!$T$64*Shipping!$T$65)*IF(bunker_choice="HFO",$H83,IF(bunker_choice="hydrogen",$BD83*hfo_e_density_lhv/h2_e_density_lhv,(EK83+EM83)*1000000/EO83*hfo_e_density_lhv/Dme_e_density_lhv))+(F83/24/Shipping!$T$50*Shipping!$T$51+Shipping!$T$59*Shipping!$T$60)*IF(bunker_choice="HFO",bunker_price_ROT,IF(bunker_choice="hydrogen",$BD83*hfo_e_density_lhv/h2_e_density_lhv,(EK83+EM83)*1000000/EO83*hfo_e_density_lhv/ome_e_density_lhv))+Shipping!$T$73+IF(G83="Panama",Shipping!$T$55,0)+IF(G83="Suez",Shipping!$T$56,0))/Shipping!$T$31*(EO83+ome_st_ab_losses)/1000000+IF(inland_transport_to_port="hv dc grid",$BM83/100*1000*ER83,IF(inland_transport_to_port="pipeline",$BN83,0)))))</f>
        <v>3982.1809446307684</v>
      </c>
      <c r="EQ83" s="28">
        <f t="shared" si="135"/>
        <v>241515.96611211801</v>
      </c>
      <c r="ER83" s="29">
        <f>(ome_e_demand)*(EO83+ome_st_ab_losses)/1000000+ome_st_e_demand*EM83/1000000+$CV83*(Carriers!$Z$21/Carriers!$Z$23*EO83)/$CS83</f>
        <v>3352.0814576287567</v>
      </c>
      <c r="ES83" s="29">
        <f t="shared" si="108"/>
        <v>0.1924238095238095</v>
      </c>
      <c r="ET83" s="28">
        <f>IFERROR(EQ83*1000000/Storage!$S$12,"")</f>
        <v>1882.6877508801797</v>
      </c>
      <c r="EU83" s="28">
        <f>IF($E83="","No Port",((F83/24/Shipping!$T$44+F83/24/Shipping!$T$50+Shipping!$T$59+Shipping!$T$64)*Carriers!$Z$39*wacc_nl))</f>
        <v>78.112502613366118</v>
      </c>
      <c r="EV83" s="100">
        <f>H2_retrieval!$R$25*h2_demand_kt/1000+(co2_liq_e_demand+co2_st_e_demand*2)*Storage!$S$12*co2_density/ome_density/1000000</f>
        <v>254.51942895252085</v>
      </c>
      <c r="EW83" s="28">
        <f>IFERROR((((EK83+EM83+EP83)*(1+H2_retrieval!$R$34)+EU83)*1000000/H2_retrieval!$R$8)+h2_regen_ome,"")</f>
        <v>15938.156224676673</v>
      </c>
      <c r="EX83" s="149">
        <f>(sng_invest*(M83+1/sng_lifetime)/sng_prod+lng_invest*(M83+1/lng_lifetime)/lng_prod+sng_opex+lng_opex+(sng_e_demand+lng_e_demand)*1000*$AU83/100+Carriers!$AB$18/Carriers!$AB$23*BD83+Carriers!$AB$20/Carriers!$AB$23*co2_liq_cost)*(FB83+lng_st_ab_losses)/1000000</f>
        <v>68086.567335931322</v>
      </c>
      <c r="EY83" s="86">
        <f>(sng_invest*(M83+1/sng_lifetime)/sng_prod+lng_invest*(M83+1/lng_lifetime)/lng_prod+sng_opex+lng_opex+(sng_e_demand+lng_e_demand)*1000*$AU83/100+Carriers!$AB$18/Carriers!$AB$23*BD83+Carriers!$AB$20/Carriers!$AB$23*BP83)*(FB83+lng_st_ab_losses)/1000000</f>
        <v>79625.243236444279</v>
      </c>
      <c r="EZ83" s="63">
        <f>lng_st_nl_cost*lng_st_nl_demand/1000000+(lng_st_invest*(M83+1/lng_st_lifetime+lng_st_opex)/(Storage!$U$63/1000000)+lng_st_e_demand*1000*$AU83/100)*(FB83+lng_st_ab_losses)/1000000+co2_st_nl_cost*Storage!$U$12*co2_density/lng_density/1000000+(co2_st_opex_lev+co2_st_invest_lev+co2_st_e_demand*1000*$AU83/100)*Storage!$U$12/1000000+co2_st_invest_lev*Storage!$U$12*co2_st_lifetime*M83/1000000+Carriers!$AB$18/Carriers!$AB$23*((FB83+lng_st_ab_losses)/365.25*short_st_duration_hrs/24)*(h2_short_st_invest*(1/gh2_short_st_lifetime+$M83+h2_short_st_opex)+h2_short_st_e_demand*1000*$AU83/100)/1000000+Carriers!$AB$20/Carriers!$AB$23*((FB83+lng_st_ab_losses)/365.25*short_st_duration_hrs/24)*(co2_short_st_invest*(1/co2_short_st_lifetime+$M83+co2_short_st_opex)+co2_short_st_e_demand*1000*$AU83/100)/1000000</f>
        <v>6198.0328267594405</v>
      </c>
      <c r="FA83" s="63">
        <f>lng_st_nl_cost*lng_st_nl_demand/1000000+(lng_st_invest*(M83+1/lng_st_lifetime+lng_st_opex)/(Storage!$U$63/1000000)+lng_st_e_demand*1000*$AU83/100)*(FB83+lng_st_ab_losses)/1000000+Carriers!$AB$18/Carriers!$AB$23*((FB83+lng_st_ab_losses)/365.25*short_st_duration_hrs/24)*(h2_short_st_invest*(1/gh2_short_st_lifetime+$M83+h2_short_st_opex)+h2_short_st_e_demand*1000*$AU83/100)/1000000+Carriers!$AB$20/Carriers!$AB$23*((FB83+lng_st_ab_losses)/365.25*short_st_duration_hrs/24)*(co2_short_st_invest*(1/co2_short_st_lifetime+$M83+co2_short_st_opex)+co2_short_st_e_demand*1000*$AU83/100)/1000000</f>
        <v>4636.5161421416851</v>
      </c>
      <c r="FB83" s="63">
        <f>Storage!$U$57/((1-Shipping!$V$37)^($F83/24/Shipping!$V$44+0.5*Shipping!$V$59))</f>
        <v>41150293.784123242</v>
      </c>
      <c r="FC83" s="28">
        <f>IF($E83="","No Port",IF(G83="Panama","Ship cannot pass through Panama",((F83/24/Shipping!$V$44+F83/24/Shipping!$V$50+Shipping!$V$59+Shipping!$V$64)*(Shipping!$V$22+wacc_nl*Shipping!$V$19/365.25*1000000+Shipping!$V$35)+(F83/24/Shipping!$V$44*Shipping!$V$45+Shipping!$V$64*Shipping!$V$65)*IF(bunker_choice="HFO",$H83,IF(bunker_choice="hydrogen",$BD83*hfo_e_density_lhv/h2_e_density_lhv,(EX83+EZ83)*1000000/FB83*hfo_e_density_lhv/lng_e_density_lhv))+(F83/24/Shipping!$V$50*Shipping!$V$51+Shipping!$V$59*Shipping!$V$60)*IF(bunker_choice="HFO",bunker_price_ROT,IF(bunker_choice="hydrogen",$BD83*hfo_e_density_lhv/h2_e_density_lhv,(EX83+EZ83)*1000000/FB83*hfo_e_density_lhv/lng_e_density_lhv))+Shipping!$V$73+IF(G83="Panama",Shipping!$V$55,0)+IF(G83="Suez",Shipping!$V$56,0))/Shipping!$V$31*(FB83+lng_st_ab_losses)/1000000)+IF(inland_transport_to_port="hv dc grid",$BM83/100*1000*FE83,IF(inland_transport_to_port="pipeline",$BN83,0)))</f>
        <v>1485.1340496587093</v>
      </c>
      <c r="FD83" s="28">
        <f t="shared" si="136"/>
        <v>85746.893428244672</v>
      </c>
      <c r="FE83" s="29">
        <f>((Carriers!$AB$18/Carriers!$AB$23*alk_el_e_demand)+sng_e_demand+lng_e_demand)*(FB83+lng_st_ab_losses)/1000000+lng_st_e_demand*EZ83/1000000</f>
        <v>1103.6209907740681</v>
      </c>
      <c r="FF83" s="29">
        <f t="shared" si="109"/>
        <v>0.8126185861001558</v>
      </c>
      <c r="FG83" s="28">
        <f>IFERROR(FD83*1000000/Storage!$U$12,"")</f>
        <v>2112.8184785589074</v>
      </c>
      <c r="FH83" s="28">
        <f>IF($E83="","No Port",((F83/24/Shipping!$V$44+F83/24/Shipping!$V$50+Shipping!$V$59+Shipping!$V$64)*Carriers!$AB$39*wacc_nl))</f>
        <v>23.197790970362611</v>
      </c>
      <c r="FI83" s="100">
        <f>H2_retrieval!$T$25*h2_demand_kt/1000+(co2_liq_e_demand+co2_st_e_demand*2)*Storage!$U$12*co2_density/lng_density/1000000</f>
        <v>236.51371749646054</v>
      </c>
      <c r="FJ83" s="28">
        <f>IFERROR((((EX83+EZ83+FC83)*(1+H2_retrieval!$T$34)+FH83)*1000000/H2_retrieval!$T$8)+h2_regen_lng,"")</f>
        <v>6743.1382493225738</v>
      </c>
      <c r="FK83" s="149">
        <f>(lh2_invest*(M83+1/lh2_lifetime)/lh2_prod+lh2_opex+lh2_e_demand*1000*$AU83/100+Carriers!$AD$18/Carriers!$AD$23*BD83)*(FM83+lh2_st_ab_losses)/1000000</f>
        <v>52895.04933793901</v>
      </c>
      <c r="FL83" s="28">
        <f>lh2_st_nl_cost*lh2_st_nl_demand/1000000+(lh2_st_invest*(M83+1/lh2_st_lifetime+lh2_st_opex)/(Storage!$Y$63/1000000)+lh2_st_e_demand*1000*$AU83/100)*(FM83+lh2_st_ab_losses)/1000000+((FM83+lh2_st_ab_losses)/365.25*short_st_duration_hrs/24)*(h2_short_st_invest*(1/gh2_short_st_lifetime+$M83+h2_short_st_opex)+h2_short_st_e_demand*1000*$AU83/100)/1000000</f>
        <v>53959.547922172213</v>
      </c>
      <c r="FM83" s="63">
        <f>Storage!$Y$57/((1-Shipping!$Z$37)^($F83/24/Shipping!$Z$44+0.5*Shipping!$Z$59))</f>
        <v>13898733.112681789</v>
      </c>
      <c r="FN83" s="28">
        <f>IF($E83="","No Port",IF(G83="Panama","Ship cannot pass through Panama",((F83/24/Shipping!$Z$44+F83/24/Shipping!$Z$50+Shipping!$Z$59+Shipping!$Z$64)*(Shipping!$Z$22+wacc_nl*Shipping!$Z$19/365.25*1000000+Shipping!$Z$35)+(F83/24/Shipping!$Z$44*Shipping!$Z$45+Shipping!$Z$64*Shipping!$Z$65)*IF(bunker_choice="HFO",$H83,IF(bunker_choice="hydrogen",$BD83*hfo_e_density_lhv/h2_e_density_lhv,(FK83+FL83)*1000000/FM83*hfo_e_density_lhv/lh2_e_density_lhv))+(F83/24/Shipping!$Z$50*Shipping!$Z$51+Shipping!$Z$59*Shipping!$Z$60)*IF(bunker_choice="HFO",bunker_price_ROT,IF(bunker_choice="hydrogen",$BD83*hfo_e_density_lhv/h2_e_density_lhv,(FK83+FL83)*1000000/FM83*hfo_e_density_lhv/lh2_e_density_lhv))+Shipping!$Z$73+IF(G83="Panama",Shipping!$Z$55,0)+IF(G83="Suez",Shipping!$Z$56,0))/Shipping!$Z$31*(FM83+lh2_st_ab_losses)/1000000)+IF(inland_transport_to_port="hv dc grid",$BM83/100*1000*FP83,IF(inland_transport_to_port="pipeline",$BN83,0)))</f>
        <v>2510.9020305712961</v>
      </c>
      <c r="FO83" s="28">
        <f t="shared" si="128"/>
        <v>109365.49929068251</v>
      </c>
      <c r="FP83" s="29">
        <f>((Carriers!$AD$18/Carriers!$AD$23*alk_el_e_demand)+lh2_e_demand)*(FM83+lh2_st_ab_losses)/1000000+lh2_st_e_demand*FM83/1000000</f>
        <v>805.41873838089873</v>
      </c>
      <c r="FQ83" s="100">
        <f t="shared" si="110"/>
        <v>1.361902463475859</v>
      </c>
      <c r="FR83" s="28">
        <f>IFERROR(FO83*1000000/Storage!$Y$12,"")</f>
        <v>8041.5808301972438</v>
      </c>
      <c r="FS83" s="100">
        <f>H2_retrieval!$V$25*h2_demand_kt/1000</f>
        <v>8.16</v>
      </c>
      <c r="FT83" s="28">
        <f>IFERROR(FR83*(1+H2_retrieval!$V$34)/Carrier_properties!$U$7+H2_retrieval!$V$38,"")</f>
        <v>8073.5495560657109</v>
      </c>
      <c r="FU83" s="12"/>
      <c r="FV83" s="24">
        <f t="shared" si="129"/>
        <v>2.2705071535560428</v>
      </c>
      <c r="FW83" s="24" t="str">
        <f t="shared" si="92"/>
        <v/>
      </c>
      <c r="FX83" s="24" t="str">
        <f t="shared" si="93"/>
        <v/>
      </c>
      <c r="FY83" s="24">
        <f t="shared" si="130"/>
        <v>2.2705071535560428</v>
      </c>
      <c r="FZ83" s="28">
        <f t="shared" si="94"/>
        <v>2876.8174209898561</v>
      </c>
      <c r="GA83" s="28">
        <f t="shared" si="137"/>
        <v>650.01612317898594</v>
      </c>
      <c r="GB83" s="28">
        <f t="shared" si="138"/>
        <v>407.20886942662878</v>
      </c>
      <c r="GC83" s="28">
        <f t="shared" si="139"/>
        <v>725.17335477918061</v>
      </c>
      <c r="GD83" s="28">
        <f t="shared" si="140"/>
        <v>1055.3011070923051</v>
      </c>
      <c r="GE83" s="28">
        <f t="shared" si="141"/>
        <v>1837.7804917299352</v>
      </c>
      <c r="GF83" s="28">
        <f t="shared" si="142"/>
        <v>1934.9860211001842</v>
      </c>
      <c r="GG83" s="12"/>
      <c r="GH83" s="12"/>
      <c r="GI83" s="12"/>
      <c r="GJ83" s="12"/>
      <c r="GK83" s="12"/>
      <c r="GL83" s="12"/>
      <c r="GM83" s="12"/>
      <c r="GN83" s="12"/>
      <c r="GO83" s="12"/>
      <c r="GP83" s="12"/>
      <c r="GQ83" s="12"/>
      <c r="GR83" s="12"/>
      <c r="GS83" s="12"/>
      <c r="GT83" s="12"/>
      <c r="GU83" s="12"/>
      <c r="GV83" s="12"/>
      <c r="GW83" s="12"/>
      <c r="GX83" s="12"/>
      <c r="GY83" s="12"/>
      <c r="GZ83" s="12"/>
      <c r="HA83" s="12"/>
      <c r="HB83" s="12"/>
      <c r="HC83" s="12"/>
      <c r="HD83" s="12"/>
      <c r="HE83" s="12"/>
      <c r="HF83" s="12"/>
    </row>
    <row r="84" spans="1:214" x14ac:dyDescent="0.2">
      <c r="A84" s="40" t="s">
        <v>84</v>
      </c>
      <c r="B84" s="12">
        <v>5258</v>
      </c>
      <c r="C84" s="12">
        <v>0.9</v>
      </c>
      <c r="D84" s="12">
        <f t="shared" si="111"/>
        <v>9.9999999999999978E-2</v>
      </c>
      <c r="E84" s="12" t="s">
        <v>749</v>
      </c>
      <c r="F84" s="12">
        <v>3264</v>
      </c>
      <c r="G84" s="12"/>
      <c r="H84" s="16">
        <f t="shared" si="112"/>
        <v>382.75862068965517</v>
      </c>
      <c r="I84" s="16">
        <v>96320</v>
      </c>
      <c r="J84" s="16">
        <f t="shared" si="113"/>
        <v>175.09885275815691</v>
      </c>
      <c r="K84" s="27">
        <f t="shared" si="114"/>
        <v>210.11862330978829</v>
      </c>
      <c r="L84" s="103">
        <v>0.14499999999999999</v>
      </c>
      <c r="M84" s="103">
        <f t="shared" si="115"/>
        <v>0.14396484314446753</v>
      </c>
      <c r="N84" s="122">
        <f t="shared" si="116"/>
        <v>0.9</v>
      </c>
      <c r="O84" s="46">
        <f t="shared" si="117"/>
        <v>40</v>
      </c>
      <c r="P84" s="70">
        <f t="array" ref="P84">SUMPRODUCT(IF(Solar_data!A$4:A$777=A84,Solar_data!C$4:C$777),IF(Solar_data!A$4:A$777=A84,Solar_data!I$4:I$777))/SUMIF(Solar_data!A$4:A$777,A84,Solar_data!I$4:I$777)</f>
        <v>1736.8582017046456</v>
      </c>
      <c r="Q84" s="16">
        <f t="array" ref="Q84">MAX(IF(Solar_data!$A$777:'Solar_data'!$A$4=Country_details!$A84,Solar_data!$C$4:'Solar_data'!$C$777))</f>
        <v>1916.25</v>
      </c>
      <c r="R84" s="16">
        <f t="array" ref="R84">MIN(IF(Solar_data!$A$777:'Solar_data'!$A$4=Country_details!A84,Solar_data!$C$4:'Solar_data'!$C$777))</f>
        <v>1551.25</v>
      </c>
      <c r="S84" s="24">
        <f t="shared" si="95"/>
        <v>2.8950966603646733</v>
      </c>
      <c r="T84" s="24">
        <f t="shared" si="96"/>
        <v>2.624069082469465</v>
      </c>
      <c r="U84" s="24">
        <f t="shared" si="97"/>
        <v>3.2414971018740446</v>
      </c>
      <c r="V84" s="16">
        <f t="array" ref="V84">SUM(IF(Solar_data!$A$777:'Solar_data'!$A$4=Country_details!$A84,Solar_data!$I$4:'Solar_data'!$I$777))</f>
        <v>665.4071554406496</v>
      </c>
      <c r="W84" s="148"/>
      <c r="X84" s="16" t="str">
        <f>IFERROR(INDEX(Onshore_wind_data!$J$5:'Onshore_wind_data'!$J$221,MATCH(A84,Onshore_wind_data!$B$5:'Onshore_wind_data'!$B$221,0)),"")</f>
        <v/>
      </c>
      <c r="Y84" s="16" t="str">
        <f>IFERROR(INDEX(Onshore_wind_data!$K$5:'Onshore_wind_data'!$K$221,MATCH(A84,Onshore_wind_data!$B$5:'Onshore_wind_data'!$B$221,0)),"")</f>
        <v/>
      </c>
      <c r="Z84" s="16" t="str">
        <f>IFERROR(INDEX(Onshore_wind_data!$L$5:'Onshore_wind_data'!$L$221,MATCH(A84,Onshore_wind_data!$B$5:'Onshore_wind_data'!$B$221,0)),"")</f>
        <v/>
      </c>
      <c r="AA84" s="24" t="str">
        <f t="shared" si="118"/>
        <v/>
      </c>
      <c r="AB84" s="24" t="str">
        <f t="shared" si="119"/>
        <v/>
      </c>
      <c r="AC84" s="24" t="str">
        <f t="shared" si="120"/>
        <v/>
      </c>
      <c r="AD84" s="16">
        <f>IFERROR(INDEX(Onshore_wind_data!$I$5:'Onshore_wind_data'!$I$221,MATCH(A84,Onshore_wind_data!$B$5:'Onshore_wind_data'!$B$221,0)),"")</f>
        <v>0</v>
      </c>
      <c r="AE84" s="148"/>
      <c r="AF84" s="16" t="str">
        <f>INDEX(Offshore_wind_data!$AA$7:$AA$192,MATCH(Country_details!A84,Offshore_wind_data!$A$7:$A$192,0))</f>
        <v/>
      </c>
      <c r="AG84" s="16" t="str">
        <f>INDEX(Offshore_wind_data!$Y$7:$Y$192,MATCH(Country_details!A84,Offshore_wind_data!$A$7:$A$192,0))</f>
        <v/>
      </c>
      <c r="AH84" s="16" t="str">
        <f>INDEX(Offshore_wind_data!$Z$7:$Z$192,MATCH(Country_details!A84,Offshore_wind_data!$A$7:$A$192,0))</f>
        <v/>
      </c>
      <c r="AI84" s="24" t="str">
        <f t="shared" si="98"/>
        <v/>
      </c>
      <c r="AJ84" s="24" t="str">
        <f t="shared" si="99"/>
        <v/>
      </c>
      <c r="AK84" s="24" t="str">
        <f t="shared" si="100"/>
        <v/>
      </c>
      <c r="AL84" s="16">
        <f>INDEX(Offshore_wind_data!$W$7:$W$191,MATCH(A84,Offshore_wind_data!$A$7:$A$191,0))</f>
        <v>0</v>
      </c>
      <c r="AM84" s="148"/>
      <c r="AN84" s="12">
        <v>4.7</v>
      </c>
      <c r="AO84" s="12">
        <v>9.8000000000000007</v>
      </c>
      <c r="AP84" s="34"/>
      <c r="AQ84" s="15">
        <f t="shared" si="101"/>
        <v>50</v>
      </c>
      <c r="AR84" s="12">
        <f t="shared" si="131"/>
        <v>490.00000000000006</v>
      </c>
      <c r="AS84" s="16">
        <f t="shared" si="121"/>
        <v>175.40715544064955</v>
      </c>
      <c r="AT84" s="12"/>
      <c r="AU84" s="24">
        <f t="shared" si="122"/>
        <v>2.8950966603646733</v>
      </c>
      <c r="AV84" s="16">
        <f t="shared" si="123"/>
        <v>1736.8582017046456</v>
      </c>
      <c r="AW84" s="149">
        <f>HV_DC_Grid!$E$3/(1-AX84)*AU84/100*1000</f>
        <v>3258.9554150960194</v>
      </c>
      <c r="AX84" s="31">
        <f>(1-(1-HV_DC_Grid!$E$25)^(B84*C84*HV_DC_Grid!$E$8/1000))+(1-(1-HV_DC_Grid!$E$26)^(B84*D84*HV_DC_Grid!$E$8/1000))+HV_DC_Grid!$E$35*HV_DC_Grid!$E$28</f>
        <v>0.11164889002343879</v>
      </c>
      <c r="AY84" s="28">
        <f>B84*nl_e_demand/IF(hv_dc_flh="electricity FLH",$AV84,hv_dc_custom)*1000*hv_dc_capacity_multiplier*hv_dc_length_multiplier*1000*(C84*hv_dc_overhead_invest*(hv_dc_overhead_opex+M84+1/hv_dc_lifetime)+D84*hv_dc_sea_invest*(hv_dc_sea_opex+M84+1/hv_dc_lifetime))/1000000+HV_DC_Grid!$E$10*1000*hv_dc_station_invest*hv_dc_station_number*(hv_dc_station_opex+M84+1/hv_dc_lifetime)/1000000</f>
        <v>6516.9538757929031</v>
      </c>
      <c r="AZ84" s="24">
        <f>(AW84+AY84)/(HV_DC_Grid!$E$3*1000)*100</f>
        <v>9.7759092908889222</v>
      </c>
      <c r="BA84" s="28">
        <f>MIN(((Carriers!$F$26+Carriers!$F$27)*(alk_el_opex+wacc_nl+1/alk_el_lifetime)+IF(hv_dc_flh="electricity FLH",$AV84,hv_dc_custom)*AZ84/100)/(IF(hv_dc_flh="electricity FLH",$AV84,hv_dc_custom)/alk_el_e_demand)*1000,((Carriers!$H$26+Carriers!$H$27)*(pem_el_opex+wacc_nl+1/pem_el_lifetime)+IF(hv_dc_flh="electricity FLH",$AV84,hv_dc_custom)*AZ84/100)/(IF(hv_dc_flh="electricity FLH",$AV84,hv_dc_custom)/pem_el_e_demand)*1000)</f>
        <v>5345.9310125967831</v>
      </c>
      <c r="BB84" s="12"/>
      <c r="BC84" s="12"/>
      <c r="BD84" s="149">
        <f>MIN(((Carriers!$F$26+Carriers!$F$27)*(alk_el_opex+M84+1/alk_el_lifetime)+$AV84*$AU84/100)/($AV84/alk_el_e_demand)*1000,((Carriers!$H$26+Carriers!$H$27)*(pem_el_opex+M84+1/pem_el_lifetime)+$AV84*$AU84/100)/($AV84/pem_el_e_demand)*1000)</f>
        <v>3633.1074402197487</v>
      </c>
      <c r="BE84" s="28">
        <f>Storage!$AC$50</f>
        <v>8.1664117557772418</v>
      </c>
      <c r="BF84" s="28">
        <f>((Pipeline!$D$22*Pipeline!$D$24*B84*(pipeline_opex+M84+1/pipeline_lifetime))*(Pipeline!$D$39/Pipeline!$D$3)+(Pipeline!$D$57*(pipeline_comp_opex+M84+1/pipeline_comp_lifetime)+Pipeline!$D$47*1000*Pipeline!$D$45*$AU84/100/1000000))*(Pipeline!$D$75/Pipeline!$D$45)</f>
        <v>13017.148182098857</v>
      </c>
      <c r="BG84" s="28">
        <f>BD84+(BE84+BF84)/Storage!$AC$12*1000000</f>
        <v>4590.8511603561192</v>
      </c>
      <c r="BH84" s="28"/>
      <c r="BI84" s="28"/>
      <c r="BJ84" s="28">
        <f>IF($E84="","No Port",BK84*HV_DC_Grid!$E$3*$AU84/100*1000)</f>
        <v>52.281512963344049</v>
      </c>
      <c r="BK84" s="31">
        <f>IFERROR((1-(1-HV_DC_Grid!$E$25)^(K84*HV_DC_Grid!$E$8/1000))+HV_DC_Grid!$E$35*HV_DC_Grid!$E$28,"")</f>
        <v>1.8058641591869526E-2</v>
      </c>
      <c r="BL84" s="28">
        <f>IFERROR(K84*nl_e_demand/IF(hv_dc_flh="electricity FLH",$AV84,hv_dc_custom)*1000*hv_dc_capacity_multiplier*hv_dc_length_multiplier*1000*(hv_dc_overhead_invest*(hv_dc_overhead_opex+M84+1/hv_dc_lifetime))/1000000+HV_DC_Grid!$E$10*1000*hv_dc_station_invest*hv_dc_station_number*(hv_dc_station_opex+M84+1/hv_dc_lifetime)/1000000,"")</f>
        <v>671.0154952226959</v>
      </c>
      <c r="BM84" s="29">
        <f>IFERROR((BJ84+BL84)/(HV_DC_Grid!$E$3*1000)*100,"")</f>
        <v>0.72329700818603992</v>
      </c>
      <c r="BN84" s="28">
        <f>IFERROR(((Pipeline!$D$22*Pipeline!$D$24*K84*(pipeline_opex+M84+1/pipeline_lifetime))*(Pipeline!$D$39/Pipeline!$D$3)+(Pipeline!$D$57*(pipeline_comp_opex+M84+1/pipeline_comp_lifetime)+Pipeline!$D$47*1000*Pipeline!$D$45*S84/100/1000000))*(Pipeline!$D$75/Pipeline!$D$45),"")</f>
        <v>611.21122528777664</v>
      </c>
      <c r="BO84" s="28"/>
      <c r="BP84" s="150">
        <f t="shared" si="124"/>
        <v>124.40545320423948</v>
      </c>
      <c r="BQ84" s="34">
        <f t="shared" si="125"/>
        <v>37.111508021500661</v>
      </c>
      <c r="BR84" s="151">
        <f>(nh3_invest*(M84+1/nh3_lifetime)/nh3_prod+nh3_opex+nh3_e_demand*1000*$AU84/100+Carriers!$N$18/Carriers!$N$23*BD84+Carriers!$N$19/Carriers!$N$23*BQ84)*(BT84+nh3_st_ab_losses)/1000000</f>
        <v>63029.919049278542</v>
      </c>
      <c r="BS84" s="63">
        <f>nh3_st_nl_cost*nh3_st_nl_demand/1000000+(nh3_st_invest*(M84+1/nh3_st_lifetime+nh3_st_opex)/(Storage!$G$63/1000000)+nh3_st_e_demand*1000*$AU84/100)*(BT84+nh3_st_ab_losses)/1000000+Carriers!$N$18/Carriers!$N$23*((BT84+nh3_st_ab_losses)/365.25*short_st_duration_hrs/24)*(h2_short_st_invest*(1/gh2_short_st_lifetime+$M84+h2_short_st_opex)+h2_short_st_e_demand*1000*$AU84/100)/1000000+Carriers!$N$19/Carriers!$N$23*((BT84+nh3_st_ab_losses)/365.25*short_st_duration_hrs/24)*(n2_short_st_invest*(1/n2_short_st_lifetime+$M84+n2_short_st_opex)+n2_short_st_e_demand*1000*$AU84/100)/1000000</f>
        <v>3645.4023262304399</v>
      </c>
      <c r="BT84" s="63">
        <f>Storage!$G$57/((1-Shipping!$H$37)^(F84/24/Shipping!$H$44+0.5*Shipping!$H$59))</f>
        <v>78458983.819061875</v>
      </c>
      <c r="BU84" s="63">
        <f>IF($E84="","No Port",((F84/24/Shipping!$H$44+F84/24/Shipping!$H$50+Shipping!$H$59+Shipping!$H$64)*(Shipping!$H$22+wacc_nl*Shipping!$H$19/365.25*1000000+Shipping!$H$35)+(F84/24/Shipping!$H$44*Shipping!$H$45+Shipping!$H$64*Shipping!$H$65)*IF(bunker_choice="HFO",H84,IF(bunker_choice="hydrogen",BD84*hfo_e_density_lhv/h2_e_density_lhv,(BR84+BS84)*1000000/BT84*hfo_e_density_lhv/nh3_e_density_lhv))+(F84/24/Shipping!$H$50*Shipping!$H$51+Shipping!$H$59*Shipping!$H$60)*IF(bunker_choice="HFO",bunker_price_ROT,IF(bunker_choice="hydrogen",BD84*hfo_e_density_lhv/h2_e_density_lhv,(BR84+BS84)*1000000/BT84*hfo_e_density_lhv/nh3_e_density_lhv))+Shipping!$H$73+IF(G84="Panama",Shipping!$H$55,0)+IF(G84="Suez",Shipping!$H$56,0))/Shipping!$H$31*BT84/1000000+IF(inland_transport_to_port="hv dc grid",$BM84/100*1000*BW84,IF(inland_transport_to_port="pipeline",$BN84,0)))</f>
        <v>3124.685123145593</v>
      </c>
      <c r="BV84" s="63">
        <f t="shared" si="126"/>
        <v>69800.006498654577</v>
      </c>
      <c r="BW84" s="33">
        <f>((Carriers!$N$18/Carriers!$N$23*alk_el_e_demand)+(Carriers!$N$19/Carriers!$N$23*n2_e_demand)+nh3_e_demand)*(BT84+nh3_st_ab_losses)/1000000+nh3_st_e_demand*BT84/1000000</f>
        <v>774.80688139287827</v>
      </c>
      <c r="BX84" s="33">
        <f t="shared" si="102"/>
        <v>0.76626754477640768</v>
      </c>
      <c r="BY84" s="63">
        <f>IFERROR(BV84*1000000/Storage!$G$12,"")</f>
        <v>911.66804153621968</v>
      </c>
      <c r="BZ84" s="63">
        <f>H2_retrieval!$F$25*h2_demand_kt/1000</f>
        <v>80</v>
      </c>
      <c r="CA84" s="63">
        <f>IFERROR(BY84*(1+H2_retrieval!$F$34)/Carrier_properties!$E$7+H2_retrieval!$F$38,"")</f>
        <v>5541.579398662454</v>
      </c>
      <c r="CB84" s="149">
        <f>(FA_invest*(M84+1/FA_lifetime)/FA_prod+FA_opex+FA_e_demand*1000*$AU84/100+Carriers!$P$18/Carriers!$P$23*BD84+Carriers!$P$20/Carriers!$P$23*co2_liq_cost)*(CF84+FA_st_ab_losses)/1000000</f>
        <v>122684.72180465836</v>
      </c>
      <c r="CC84" s="86">
        <f>(FA_invest*(M84+1/FA_lifetime)/FA_prod+FA_opex+FA_e_demand*1000*$AU84/100+Carriers!$P$18/Carriers!$P$23*BD84+Carriers!$P$20/Carriers!$P$23*BP84)*(CF84+FA_st_ab_losses)/1000000</f>
        <v>152872.49178681138</v>
      </c>
      <c r="CD84" s="63">
        <f>FA_st_nl_cost*FA_st_nl_demand/1000000+(FA_st_invest*(M84+1/FA_st_lifetime+FA_st_opex)/(Storage!$I$63/1000000)+FA_st_e_demand*1000*$AU84/100)*(CF84+FA_st_ab_losses)/1000000+co2_st_nl_cost*Storage!$I$12*co2_density/FA_density/1000000+(co2_st_opex_lev+co2_st_invest_lev+co2_st_e_demand*1000*$AU84/100)*Storage!$I$12/1000000+co2_st_invest_lev*Storage!$I$12*co2_st_lifetime*M84/1000000+Carriers!$P$18/Carriers!$P$23*((CF84+FA_st_ab_losses)/365.25*short_st_duration_hrs/24)*(h2_short_st_invest*(1/gh2_short_st_lifetime+$M84+h2_short_st_opex)+h2_short_st_e_demand*1000*$AU84/100)/1000000+Carriers!$P$20/Carriers!$P$23*((CF84+FA_st_ab_losses)/365.25*short_st_duration_hrs/24)*(co2_short_st_invest*(1/co2_short_st_lifetime+$M84+co2_short_st_opex)+co2_short_st_e_demand*1000*$AU84/100)/1000000</f>
        <v>12457.639954428938</v>
      </c>
      <c r="CE84" s="63">
        <f>FA_st_nl_cost*FA_st_nl_demand/1000000+(FA_st_invest*(M84+1/FA_st_lifetime+FA_st_opex)/(Storage!$I$63/1000000)+FA_st_e_demand*1000*$AU84/100)*(CF84+FA_st_ab_losses)/1000000+Carriers!$P$18/Carriers!$P$23*((CF84+FA_st_ab_losses)/365.25*short_st_duration_hrs/24)*(h2_short_st_invest*(1/gh2_short_st_lifetime+$M84+h2_short_st_opex)+h2_short_st_e_demand*1000*$AU84/100)/1000000+Carriers!$P$20/Carriers!$P$23*((CF84+FA_st_ab_losses)/365.25*short_st_duration_hrs/24)*(co2_short_st_invest*(1/co2_short_st_lifetime+$M84+co2_short_st_opex)+co2_short_st_e_demand*1000*$AU84/100)/1000000</f>
        <v>5429.410824498631</v>
      </c>
      <c r="CF84" s="63">
        <f>Storage!$I$57/((1-Shipping!$J$37)^($F84/24/Shipping!$J$44+0.5*Shipping!$J$59))</f>
        <v>310425396.82539684</v>
      </c>
      <c r="CG84" s="28">
        <f>IF($E84="","No Port",((F84/24/Shipping!$J$44+F84/24/Shipping!$J$50+Shipping!$J$59+Shipping!$J$64)*(Shipping!$J$22+wacc_nl*Shipping!$J$19/365.25*1000000+Shipping!$J$35)+(F84/24/Shipping!$J$44*Shipping!$J$45+Shipping!$J$64*Shipping!$J$65)*IF(bunker_choice="HFO",$H84,IF(bunker_choice="hydrogen",$BD84*hfo_e_density_lhv/h2_e_density_lhv,(CB84+CD84)*1000000/CF84*hfo_e_density_lhv/FA_e_density_lhv))+(F84/24/Shipping!$J$50*Shipping!$J$51+Shipping!$J$59*Shipping!$J$60)*IF(bunker_choice="HFO",bunker_price_ROT,IF(bunker_choice="hydrogen",$BD84*hfo_e_density_lhv/h2_e_density_lhv,(CB84+CD84)*1000000/CF84*hfo_e_density_lhv/FA_e_density_lhv))+Shipping!$J$73+IF(G84="Panama",Shipping!$J$55,0)+IF(G84="Suez",Shipping!$J$56,0))/Shipping!$J$31*CF84/1000000+IF(inland_transport_to_port="hv dc grid",$BM84/100*1000*CI84,IF(inland_transport_to_port="pipeline",$BN84,0)))</f>
        <v>11898.182039227035</v>
      </c>
      <c r="CH84" s="28">
        <f t="shared" si="132"/>
        <v>170200.08465053706</v>
      </c>
      <c r="CI84" s="29">
        <f>((Carriers!$P$18/Carriers!$P$23*alk_el_e_demand)+FA_e_demand)*(CF84+FA_st_ab_losses)/1000000+FA_st_e_demand*CF84/1000000</f>
        <v>1897.8881241622576</v>
      </c>
      <c r="CJ84" s="29">
        <f t="shared" si="103"/>
        <v>0.46563809523809524</v>
      </c>
      <c r="CK84" s="28">
        <f>IFERROR(CH84*1000000/Storage!$I$12,"")</f>
        <v>548.28015488136271</v>
      </c>
      <c r="CL84" s="28">
        <f>IF($E84="","No Port",((F84/24/Shipping!$J$44+F84/24/Shipping!$J$50+Shipping!$J$59+Shipping!$J$64)*Carriers!$P$39*wacc_nl))</f>
        <v>180.02661216665743</v>
      </c>
      <c r="CM84" s="29">
        <f>H2_retrieval!$H$25*h2_demand_kt/1000+(co2_liq_e_demand+co2_st_e_demand*2)*Storage!$I$12*co2_density/FA_density/1000000</f>
        <v>94.204253879484654</v>
      </c>
      <c r="CN84" s="28">
        <f>IFERROR((((CB84+CD84+CG84)*(1+H2_retrieval!$H$34)+CL84)*1000000/H2_retrieval!$H$8)+h2_regen_fa,"")</f>
        <v>10914.72930971409</v>
      </c>
      <c r="CO84" s="149">
        <f>(meoh_invest*(M84+1/meoh_lifetime)/meoh_prod+meoh_opex+meoh_e_demand*1000*$AU84/100+Carriers!$R$18/Carriers!$R$23*BD84+Carriers!$R$20/Carriers!$R$23*co2_liq_cost)*(CS84+meoh_st_ab_losses)/1000000</f>
        <v>79077.201577495071</v>
      </c>
      <c r="CP84" s="86">
        <f>(meoh_invest*(M84+1/meoh_lifetime)/meoh_prod+meoh_opex+meoh_e_demand*1000*$AU84/100+Carriers!$R$18/Carriers!$R$23*BD84+Carriers!$R$20/Carriers!$R$23*BP84)*(CS84+meoh_st_ab_losses)/1000000</f>
        <v>96798.354508915989</v>
      </c>
      <c r="CQ84" s="63">
        <f>meoh_st_nl_cost*meoh_st_nl_demand/1000000+(meoh_st_invest*(M84+1/meoh_st_lifetime+meoh_st_opex)/(Storage!$K$63/1000000)+meoh_st_e_demand*1000*$AU84/100)*(CS84+meoh_st_ab_losses)/1000000+co2_st_nl_cost*Storage!$K$12*co2_density/meoh_density/1000000+(co2_st_opex_lev+co2_st_invest_lev+co2_st_e_demand*1000*IFERROR(MIN(S84,AA84,AI84),S84)/100)*Storage!$K$12/1000000+co2_st_invest_lev*Storage!$K$12*co2_st_lifetime*M84/1000000+Carriers!$R$18/Carriers!$R$23*((CS84+meoh_st_ab_losses)/365.25*short_st_duration_hrs/24)*(h2_short_st_invest*(1/gh2_short_st_lifetime+$M84+h2_short_st_opex)+h2_short_st_e_demand*1000*$AU84/100)/1000000+Carriers!$R$20/Carriers!$R$23*((CF84+meoh_st_ab_losses)/365.25*short_st_duration_hrs/24)*(co2_short_st_invest*(1/co2_short_st_lifetime+$M84+co2_short_st_opex)+co2_short_st_e_demand*1000*$AU84/100)/1000000</f>
        <v>5206.1623588814955</v>
      </c>
      <c r="CR84" s="63">
        <f>meoh_st_nl_cost*meoh_st_nl_demand/1000000+(meoh_st_invest*(M84+1/meoh_st_lifetime+meoh_st_opex)/(Storage!$K$63/1000000)+meoh_st_e_demand*1000*$AU84/100)*(CS84+meoh_st_ab_losses)/1000000+Carriers!$R$18/Carriers!$R$23*((CS84+meoh_st_ab_losses)/365.25*short_st_duration_hrs/24)*(h2_short_st_invest*(1/gh2_short_st_lifetime+$M84+h2_short_st_opex)+h2_short_st_e_demand*1000*$AU84/100)/1000000+Carriers!$R$20/Carriers!$R$23*((CF84+meoh_st_ab_losses)/365.25*short_st_duration_hrs/24)*(co2_short_st_invest*(1/co2_short_st_lifetime+$M84+co2_short_st_opex)+co2_short_st_e_demand*1000*$AU84/100)/1000000</f>
        <v>2160.9697334227794</v>
      </c>
      <c r="CS84" s="63">
        <f>Storage!$K$57/((1-Shipping!$L$37)^($F84/24/Shipping!$L$44+0.5*Shipping!$L$59))</f>
        <v>108044444.44444443</v>
      </c>
      <c r="CT84" s="28">
        <f>IF($E84="","No Port",IF(AND(ship_choice="VLCC",G84="Panama"),"Ship cannot pass through Panama",IF(ship_choice="VLCC",((F84/24/Shipping!$AD$44+F84/24/Shipping!$AD$50+Shipping!$AD$59+Shipping!$AD$64)*(Shipping!$AD$22+wacc_nl*Shipping!$AD$19/365.25*1000000+Shipping!$AD$35)+(F84/24/Shipping!$AD$44*Shipping!$AD$45+Shipping!$AD$64*Shipping!$AD$65)*IF(bunker_choice="HFO",$H84,IF(bunker_choice="hydrogen",$BD84*hfo_e_density_lhv/h2_e_density_lhv,(CO84+CQ84)*1000000/CS84*hfo_e_density_lhv/meoh_e_density_lhv))+(F84/24/Shipping!$AD$50*Shipping!$AD$51+Shipping!$AD$59*Shipping!$AD$60)*IF(bunker_choice="HFO",bunker_price_ROT,IF(bunker_choice="hydrogen",$BD84*hfo_e_density_lhv/h2_e_density_lhv,(CO84+CQ84)*1000000/CS84*hfo_e_density_lhv/meoh_e_density_lhv))+Shipping!$AD$73+IF(G84="Panama",Shipping!$AD$55,0)+IF(G84="Suez",Shipping!$AD$56,0))/Shipping!$AD$31*CS84/1000000+IF(inland_transport_to_port="hv dc grid",$BM84/100*1000*CV84,IF(inland_transport_to_port="pipeline",$BN84,0)),((F84/24/Shipping!$L$44+F84/24/Shipping!$L$50+Shipping!$L$59+Shipping!$L$64)*(Shipping!$L$22+wacc_nl*Shipping!$L$19/365.25*1000000+Shipping!$L$35)+(F84/24/Shipping!$L$44*Shipping!$L$45+Shipping!$L$64*Shipping!$L$65)*IF(bunker_choice="HFO",$H84,IF(bunker_choice="hydrogen",$BD84*hfo_e_density_lhv/h2_e_density_lhv,(CO84+CQ84)*1000000/CS84*hfo_e_density_lhv/meoh_e_density_lhv))+(F84/24/Shipping!$L$50*Shipping!$L$51+Shipping!$L$59*Shipping!$L$60)*IF(bunker_choice="HFO",bunker_price_ROT,IF(bunker_choice="hydrogen",$BD84*hfo_e_density_lhv/h2_e_density_lhv,(CO84+CQ84)*1000000/CS84*hfo_e_density_lhv/meoh_e_density_lhv))+Shipping!$L$73+IF(G84="Panama",Shipping!$L$55,0)+IF(G84="Suez",Shipping!$L$56,0))/Shipping!$L$31*CS84/1000000+IF(inland_transport_to_port="hv dc grid",$BM84/100*1000*CV84,IF(inland_transport_to_port="pipeline",$BN84,0)))))</f>
        <v>4314.8376846574611</v>
      </c>
      <c r="CU84" s="28">
        <f t="shared" si="133"/>
        <v>103274.16192699622</v>
      </c>
      <c r="CV84" s="29">
        <f>((Carriers!$R$18/Carriers!$R$23*alk_el_e_demand)+meoh_e_demand)*(CS84+meoh_st_ab_losses)/1000000+meoh_st_e_demand*CS84/1000000</f>
        <v>1119.9789871111109</v>
      </c>
      <c r="CW84" s="29">
        <f t="shared" si="104"/>
        <v>0.16206666666666666</v>
      </c>
      <c r="CX84" s="28">
        <f>IFERROR(CU84*1000000/Storage!$K$12,"")</f>
        <v>955.84888661349873</v>
      </c>
      <c r="CY84" s="28">
        <f>IF($E84="","No Port",((F84/24/Shipping!$L$44+F84/24/Shipping!$L$50+Shipping!$L$59+Shipping!$L$64)*Carriers!$R$39*wacc_nl))</f>
        <v>64.28224555018015</v>
      </c>
      <c r="CZ84" s="29">
        <f>H2_retrieval!$J$25*h2_demand_kt/1000+(co2_liq_e_demand+co2_st_e_demand*2)*Storage!$K$12*co2_density/meoh_density/1000000</f>
        <v>251.05079059698966</v>
      </c>
      <c r="DA84" s="28">
        <f>IFERROR((((CO84+CQ84+CT84)*(1+H2_retrieval!$J$34)+CY84)*1000000/H2_retrieval!$J$8)+h2_regen_meoh,"")</f>
        <v>7689.4288275037788</v>
      </c>
      <c r="DB84" s="149">
        <f>(DBT_invest*(M84+1/DBT_lifetime)/DBT_prod+DBT_opex+DBT_e_demand*1000*$AU84/100+Carriers!$T$18/Carriers!$T$23*BD84)*(DD84+DBT_st_ab_losses)/1000000</f>
        <v>52893.280498207234</v>
      </c>
      <c r="DC84" s="28">
        <f>2*(DBT_st_nl_cost*DBT_st_nl_demand/1000000+(DBT_st_invest*(M84+1/DBT_st_lifetime+DBT_st_opex)/(Storage!$M$63/1000000)+DBT_st_e_demand*1000*$AU84/100)*(DD84+DBT_st_ab_losses)/1000000)+Carriers!$T$18/Carriers!$T$23*((DD84+DBT_st_ab_losses)/365.25*short_st_duration_hrs/24)*(h2_short_st_invest*(1/gh2_short_st_lifetime+$M84+h2_short_st_opex)+h2_short_st_e_demand*1000*$AU84/100)/1000000</f>
        <v>4412.1666666250367</v>
      </c>
      <c r="DD84" s="63">
        <f>Storage!$M$57/((1-Shipping!$N$37)^($F84/24/Shipping!$N$44+0.5*Shipping!$N$59))</f>
        <v>219354838.70967743</v>
      </c>
      <c r="DE84" s="28">
        <f>IF($E84="","No Port",IF(AND(ship_choice="VLCC",G84="Panama"),"Ship cannot pass through Panama",IF(ship_choice="VLCC",((F84/24/Shipping!$AD$44+F84/24/Shipping!$AD$50+Shipping!$AD$59+Shipping!$AD$64)*(Shipping!$AD$22+wacc_nl*Shipping!$AD$19/365.25*1000000+Shipping!$AD$35)+(F84/24/Shipping!$AD$44*Shipping!$AD$45+Shipping!$AD$64*Shipping!$AD$65)*IF(bunker_choice="HFO",$H84,IF(bunker_choice="hydrogen",$BD84*hfo_e_density_lhv/h2_e_density_lhv,(DB84+DC84)*1000000/DD84*hfo_e_density_lhv/DBT_e_density_lhv))+(F84/24/Shipping!$AD$50*Shipping!$AD$51+Shipping!$AD$59*Shipping!$AD$60)*IF(bunker_choice="HFO",bunker_price_ROT,IF(bunker_choice="hydrogen",$BD84*hfo_e_density_lhv/h2_e_density_lhv,(DB84+DC84)*1000000/DD84*hfo_e_density_lhv/DBT_e_density_lhv))+Shipping!$AD$73+IF(G84="Panama",Shipping!$AD$55,0)+IF(G84="Suez",Shipping!$AD$56,0))/Shipping!$AD$31*DD84/1000000+IF(inland_transport_to_port="hv dc grid",$BM84/100*1000*DG84,IF(inland_transport_to_port="pipeline",$BN84,0)),((F84/24/Shipping!$N$44+F84/24/Shipping!$N$50+Shipping!$N$59+Shipping!$N$64)*(Shipping!$N$22+wacc_nl*Shipping!$N$19/365.25*1000000+Shipping!$N$35)+(F84/24/Shipping!$N$44*Shipping!$N$45+Shipping!$N$64*Shipping!$N$65)*IF(bunker_choice="HFO",$H84,IF(bunker_choice="hydrogen",$BD84*hfo_e_density_lhv/h2_e_density_lhv,(DB84+DC84)*1000000/DD84*hfo_e_density_lhv/DBT_e_density_lhv))+(F84/24/Shipping!$N$50*Shipping!$N$51+Shipping!$N$59*Shipping!$N$60)*IF(bunker_choice="HFO",bunker_price_ROT,IF(bunker_choice="hydrogen",$BD84*hfo_e_density_lhv/h2_e_density_lhv,(DB84+DC84)*1000000/DD84*hfo_e_density_lhv/DBT_e_density_lhv))+Shipping!$N$73+IF(G84="Panama",Shipping!$N$55,0)+IF(G84="Suez",Shipping!$N$56,0))/Shipping!$N$31*Shipping!$N$86/1000000+IF(inland_transport_to_port="hv dc grid",$BM84/100*1000*DG84,IF(inland_transport_to_port="pipeline",$BN84,0)))))</f>
        <v>7605.7365730989814</v>
      </c>
      <c r="DF84" s="28">
        <f t="shared" si="82"/>
        <v>64911.183737931256</v>
      </c>
      <c r="DG84" s="29">
        <f>((Carriers!$T$18/Carriers!$T$23*alk_el_e_demand)+DBT_e_demand)*(DD84+DBT_st_ab_losses)/1000000+DBT_st_e_demand*DD84/1000000</f>
        <v>703.88335483870969</v>
      </c>
      <c r="DH84" s="29">
        <f t="shared" si="105"/>
        <v>0.21935483870967742</v>
      </c>
      <c r="DI84" s="28">
        <f>IFERROR(DF84*1000000/Storage!$M$12,"")</f>
        <v>295.9186317464513</v>
      </c>
      <c r="DJ84" s="28">
        <f>IF($E84="","No Port",((F84/24/Shipping!$N$44+F84/24/Shipping!$N$50+Shipping!$N$59+Shipping!$N$64)*Carriers!$T$39*wacc_nl))</f>
        <v>4681.8871505018633</v>
      </c>
      <c r="DK84" s="100">
        <f>H2_retrieval!$L$25*h2_demand_kt/1000+(co2_liq_e_demand+co2_st_e_demand*2)*Storage!$M$12*co2_density/DBT_density/1000000</f>
        <v>206.61934861671787</v>
      </c>
      <c r="DL84" s="28">
        <f>IFERROR(((DF84*(1+H2_retrieval!$L$34)+DJ84)*1000000/H2_retrieval!$L$8)+h2_regen_lohc,"")</f>
        <v>5587.7873459647599</v>
      </c>
      <c r="DM84" s="149">
        <f t="shared" si="127"/>
        <v>55264.142047018715</v>
      </c>
      <c r="DN84" s="16">
        <f>2*(nabh4_st_nl_cost*nabh4_st_nl_demand/1000000+(nabh4_st_invest*(M84+1/nabh4_st_lifetime+nabh4_st_opex)/(Storage!$O$63/1000000)+nabh4_st_e_demand*1000*$AU84/100)*(DO84+nabh4_st_ab_losses)/1000000)+(h2_demand_kt*1000/365.25*short_st_duration_hrs/24)*(h2_short_st_invest*(1/gh2_short_st_lifetime+$M84+h2_short_st_opex)+h2_short_st_e_demand*1000*$AU84/100)/1000000</f>
        <v>1504.8115391525814</v>
      </c>
      <c r="DO84" s="63">
        <f>Storage!$O$57/((1-Shipping!$P$37)^($F84/24/Shipping!$P$44+0.5*Shipping!$P$59))</f>
        <v>63920000</v>
      </c>
      <c r="DP84" s="16">
        <f>IF($E84="","No Port",((F84/24/Shipping!$P$44+F84/24/Shipping!$P$50+Shipping!$P$59+Shipping!$P$64)*(Shipping!$P$22+wacc_nl*Shipping!$P$19/365.25*1000000+Shipping!$P$35)+(F84/24/Shipping!$P$44*Shipping!$P$45+Shipping!$P$64*Shipping!$P$65)*IF(bunker_choice="HFO",$H84,IF(bunker_choice="hydrogen",$BD84*hfo_e_density_lhv/h2_e_density_lhv,(DM84+DN84)*1000000/DO84*hfo_e_density_lhv/nabh4_e_density_lhv))+(F84/24/Shipping!$P$50*Shipping!$P$51+Shipping!$P$59*Shipping!$P$60)*IF(bunker_choice="HFO",bunker_price_ROT,IF(bunker_choice="hydrogen",$BD84*hfo_e_density_lhv/h2_e_density_lhv,(DM84+DN84)*1000000/DO84*hfo_e_density_lhv/nabh4_e_density_lhv))+Shipping!$P$73+IF(G84="Panama",Shipping!$P$55,0)+IF(G84="Suez",Shipping!$P$56,0))/Shipping!$P$31*(DO84+nabh4_st_ab_losses)/1000000+IF(inland_transport_to_port="hv dc grid",$BM84/100*1000*DR84,IF(inland_transport_to_port="pipeline",$BN84,0)))</f>
        <v>2434.6095685369992</v>
      </c>
      <c r="DQ84" s="28">
        <f t="shared" si="60"/>
        <v>59203.563154708296</v>
      </c>
      <c r="DR84" s="29">
        <f>((Carriers!$V$18/Carriers!$V$23*alk_el_e_demand)+nabh4_e_demand)*(DO84+nabh4_st_ab_losses)/1000000+nabh4_st_e_demand*DO84/1000000</f>
        <v>980.02139682539689</v>
      </c>
      <c r="DS84" s="28">
        <f t="shared" si="106"/>
        <v>3.1960000000000002</v>
      </c>
      <c r="DT84" s="28">
        <f>IFERROR(DQ84*1000000/Storage!$O$12,"")</f>
        <v>926.21344109368431</v>
      </c>
      <c r="DU84" s="28">
        <f>IF($E84="","No Port",((F84/24/Shipping!$P$44+F84/24/Shipping!$P$50+Shipping!$P$59+Shipping!$P$64)*Carriers!$V$39*wacc_nl))</f>
        <v>441.53340701969154</v>
      </c>
      <c r="DV84" s="100">
        <f>H2_retrieval!$N$25*h2_demand_kt/1000+(co2_liq_e_demand+co2_st_e_demand*2)*Storage!$O$12*co2_density/nabh4_density/1000000</f>
        <v>18.783638728971958</v>
      </c>
      <c r="DW84" s="28">
        <f>IFERROR(((DQ84*(1+H2_retrieval!$N$34)+DU84)*1000000/H2_retrieval!$N$8)+h2_regen_nabh4,"")</f>
        <v>4479.6071387463853</v>
      </c>
      <c r="DX84" s="149">
        <f>(Dme_invest*(M84+1/Dme_lifetime)/Dme_prod+Dme_opex+Dme_e_demand*1000*$AU84/100+Carriers!$X$21/Carriers!$X$23*(CO84*1000000/CS84))*(EB84+Dme_st_ab_losses)/1000000</f>
        <v>110720.30721499355</v>
      </c>
      <c r="DY84" s="86">
        <f>(Dme_invest*(M84+1/Dme_lifetime)/Dme_prod+Dme_opex+Dme_e_demand*1000*$AU84/100+Carriers!$X$21/Carriers!$X$23*(CP84*1000000/CS84))*(EB84+Dme_st_ab_losses)/1000000</f>
        <v>134761.95764754151</v>
      </c>
      <c r="DZ84" s="63">
        <f>Dme_st_nl_cost*Dme_st_nl_demand/1000000+(Dme_st_invest*(M84+1/Dme_st_lifetime+Dme_st_opex)/(Storage!$Q$63/1000000)+Dme_st_e_demand*1000*$AU84/100)*(EB84+Dme_st_ab_losses)/1000000+co2_st_nl_cost*Storage!$Q$12*co2_density/Dme_density/1000000+(co2_st_opex_lev+co2_st_invest_lev+co2_st_e_demand*1000*$AU84/100)*Storage!$Q$12/1000000+co2_st_invest_lev*Storage!$Q$12*co2_st_lifetime*M84/1000000+(h2_demand_kt*1000/365.25*short_st_duration_hrs/24)*(h2_short_st_invest*(1/gh2_short_st_lifetime+$M84+h2_short_st_opex)+h2_short_st_e_demand*1000*$AU84/100)/1000000</f>
        <v>6260.8468268249289</v>
      </c>
      <c r="EA84" s="63">
        <f>Dme_st_nl_cost*Dme_st_nl_demand/1000000+(Dme_st_invest*(M84+1/Dme_st_lifetime+Dme_st_opex)/(Storage!$Q$63/1000000)+Dme_st_e_demand*1000*$AU84/100)*(EB84+Dme_st_ab_losses)/1000000+(h2_demand_kt*1000/365.25*short_st_duration_hrs/24)*(h2_short_st_invest*(1/gh2_short_st_lifetime+$M84+h2_short_st_opex)+h2_short_st_e_demand*1000*$AU84/100)/1000000</f>
        <v>3215.5097761836601</v>
      </c>
      <c r="EB84" s="63">
        <f>Storage!$Q$57/((1-Shipping!$R$37)^($F84/24/Shipping!$R$44+0.5*Shipping!$R$59))</f>
        <v>103547089.94708996</v>
      </c>
      <c r="EC84" s="153">
        <f>IF($E84="","No Port",IF(AND(ship_choice="VLCC",G84="Panama"),"Ship cannot pass through Panama",IF(ship_choice="VLCC",((F84/24/Shipping!$AD$44+F84/24/Shipping!$AD$50+Shipping!$AD$59+Shipping!$AD$64)*(Shipping!$AD$22+wacc_nl*Shipping!$AD$19/365.25*1000000+Shipping!$AD$35)+(F84/24/Shipping!$AD$44*Shipping!$AD$45+Shipping!$AD$64*Shipping!$AD$65)*IF(bunker_choice="HFO",$H84,IF(bunker_choice="hydrogen",$BD84*hfo_e_density_lhv/h2_e_density_lhv,(DX84+DZ84)*1000000/EB84*hfo_e_density_lhv/Dme_e_density_lhv))+(F84/24/Shipping!$AD$50*Shipping!$AD$51+Shipping!$AD$59*Shipping!$AD$60)*IF(bunker_choice="HFO",bunker_price_ROT,IF(bunker_choice="hydrogen",$BD84*hfo_e_density_lhv/h2_e_density_lhv,(DX84+DZ84)*1000000/EB84*hfo_e_density_lhv/Dme_e_density_lhv))+Shipping!$AD$73+IF(G84="Panama",Shipping!$AD$55,0)+IF(G84="Suez",Shipping!$AD$56,0))/Shipping!$AD$31*(EB84+Dme_st_ab_losses)/1000000+IF(inland_transport_to_port="hv dc grid",$BM84/100*1000*EE84,IF(inland_transport_to_port="pipeline",$BN84,0)),((F84/24/Shipping!$R$44+F84/24/Shipping!$R$50+Shipping!$R$59+Shipping!$R$64)*(Shipping!$R$22+wacc_nl*Shipping!$R$19/365.25*1000000+Shipping!$R$35)+(F84/24/Shipping!$R$44*Shipping!$R$45+Shipping!$R$64*Shipping!$R$65)*IF(bunker_choice="HFO",$H84,IF(bunker_choice="hydrogen",$BD84*hfo_e_density_lhv/h2_e_density_lhv,(DX84+DZ84)*1000000/EB84*hfo_e_density_lhv/Dme_e_density_lhv))+(F84/24/Shipping!$R$50*Shipping!$R$51+Shipping!$R$59*Shipping!$R$60)*IF(bunker_choice="HFO",bunker_price_ROT,IF(bunker_choice="hydrogen",$BD84*hfo_e_density_lhv/h2_e_density_lhv,(DX84+DZ84)*1000000/EB84*hfo_e_density_lhv/Dme_e_density_lhv))+Shipping!$R$73+IF(G84="Panama",Shipping!$R$55,0)+IF(G84="Suez",Shipping!$R$56,0))/Shipping!$R$31*(EB84+Dme_st_ab_losses)/1000000+IF(inland_transport_to_port="hv dc grid",$BM84/100*1000*EE84,IF(inland_transport_to_port="pipeline",$BN84,0)))))</f>
        <v>4288.9387750968099</v>
      </c>
      <c r="ED84" s="28">
        <f t="shared" si="134"/>
        <v>142266.40619882199</v>
      </c>
      <c r="EE84" s="29">
        <f>(Dme_e_demand)*(EB84+Dme_st_ab_losses)/1000000+Dme_st_e_demand*DZ84/1000000+$CV84*(Carriers!$X$21/Carriers!$X$23*EB84)/$CS84</f>
        <v>1550.2168227755242</v>
      </c>
      <c r="EF84" s="29">
        <f t="shared" si="107"/>
        <v>1.0354708994708997</v>
      </c>
      <c r="EG84" s="28">
        <f>IFERROR(ED84*1000000/Storage!$Q$12,"")</f>
        <v>1373.929545209978</v>
      </c>
      <c r="EH84" s="28">
        <f>IF($E84="","No Port",((F84/24/Shipping!$R$44+F84/24/Shipping!$R$50+Shipping!$R$59+Shipping!$R$64)*Carriers!$X$39*wacc_nl))</f>
        <v>66.256734841147647</v>
      </c>
      <c r="EI84" s="100">
        <f>H2_retrieval!$P$25*h2_demand_kt/1000+(co2_liq_e_demand+co2_st_e_demand*2)*Storage!$Q$12*co2_density/Dme_density/1000000</f>
        <v>252.45335899349112</v>
      </c>
      <c r="EJ84" s="28">
        <f>IFERROR((((DX84+DZ84+EC84)*(1+H2_retrieval!$P$34)+EH84)*1000000/H2_retrieval!$P$8)+h2_regen_dme,"")</f>
        <v>10091.9189514135</v>
      </c>
      <c r="EK84" s="149">
        <f>(ome_invest*(M84+1/ome_lifetime)/ome_prod+ome_opex+ome_e_demand*1000*$AU84/100+Carriers!$Z$21/Carriers!$Z$23*(CO84*1000000/CS84))*(EO84+ome_st_ab_losses)/1000000</f>
        <v>239876.94639313713</v>
      </c>
      <c r="EL84" s="86">
        <f>(ome_invest*(M84+1/ome_lifetime)/ome_prod+ome_opex+ome_e_demand*1000*$AU84/100+Carriers!$Z$21/Carriers!$Z$23*(CP84*1000000/CS84))*(EO84+ome_st_ab_losses)/1000000</f>
        <v>290345.05067165574</v>
      </c>
      <c r="EM84" s="63">
        <f>ome_st_nl_cost*ome_st_nl_demand/1000000+(ome_st_invest*(M84+1/ome_st_lifetime+ome_st_opex)/(Storage!$S$63/1000000)+ome_st_e_demand*1000*$AU84/100)*(EO84+ome_st_ab_losses)/1000000+co2_st_nl_cost*Storage!$S$12*co2_density/ome_density/1000000+(co2_st_opex_lev+co2_st_invest_lev+co2_st_e_demand*1000*$AU84/100)*Storage!$S$12/1000000+co2_st_invest_lev*Storage!$S$12*co2_st_lifetime*M84/1000000+(h2_demand_kt*1000/365.25*short_st_duration_hrs/24)*(h2_short_st_invest*(1/gh2_short_st_lifetime+$M84+h2_short_st_opex)+h2_short_st_e_demand*1000*$AU84/100)/1000000</f>
        <v>5373.5270917264452</v>
      </c>
      <c r="EN84" s="63">
        <f>ome_st_nl_cost*ome_st_nl_demand/1000000+(ome_st_invest*(M84+1/ome_st_lifetime+ome_st_opex)/(Storage!$S$63/1000000)+ome_st_e_demand*1000*$AU84/100)*(EO84+ome_st_ab_losses)/1000000+(h2_demand_kt*1000/365.25*short_st_duration_hrs/24)*(h2_short_st_invest*(1/gh2_short_st_lifetime+$M84+h2_short_st_opex)+h2_short_st_e_demand*1000*$AU84/100)/1000000</f>
        <v>1939.6842091734015</v>
      </c>
      <c r="EO84" s="63">
        <f>Storage!$S$57/((1-Shipping!$T$37)^($F84/24/Shipping!$T$44+0.5*Shipping!$T$59))</f>
        <v>128282539.68253967</v>
      </c>
      <c r="EP84" s="28">
        <f>IF($E84="","No Port",IF(AND(ship_choice="VLCC",G84="Panama"),"Ship cannot pass through Panama",IF(ship_choice="VLCC",((F84/24/Shipping!$AD$44+F84/24/Shipping!$AD$50+Shipping!$AD$59+Shipping!$AD$64)*(Shipping!$AD$22+wacc_nl*Shipping!$AD$19/365.25*1000000+Shipping!$AD$35)+(F84/24/Shipping!$AD$44*Shipping!$AD$45+Shipping!$AD$64*Shipping!$AD$65)*IF(bunker_choice="HFO",$H84,IF(bunker_choice="hydrogen",$BD84*hfo_e_density_lhv/h2_e_density_lhv,(EK84+EM84)*1000000/EO84*hfo_e_density_lhv/Dme_e_density_lhv))+(F84/24/Shipping!$AD$50*Shipping!$AD$51+Shipping!$AD$59*Shipping!$AD$60)*IF(bunker_choice="HFO",bunker_price_ROT,IF(bunker_choice="hydrogen",$BD84*hfo_e_density_lhv/h2_e_density_lhv,(EK84+EM84)*1000000/EO84*hfo_e_density_lhv/ome_e_density_lhv))+Shipping!$AD$73+IF(G84="Panama",Shipping!$AD$55,0)+IF(G84="Suez",Shipping!$AD$56,0))/Shipping!$AD$31*(EO84+ome_st_ab_losses)/1000000+IF(inland_transport_to_port="hv dc grid",$BM84/100*1000*ER84,IF(inland_transport_to_port="pipeline",$BN84,0)),((F84/24/Shipping!$T$44+F84/24/Shipping!$T$50+Shipping!$T$59+Shipping!$T$64)*(Shipping!$T$22+wacc_nl*Shipping!$T$19/365.25*1000000+Shipping!$T$35)+(F84/24/Shipping!$T$44*Shipping!$T$45+Shipping!$T$64*Shipping!$T$65)*IF(bunker_choice="HFO",$H84,IF(bunker_choice="hydrogen",$BD84*hfo_e_density_lhv/h2_e_density_lhv,(EK84+EM84)*1000000/EO84*hfo_e_density_lhv/Dme_e_density_lhv))+(F84/24/Shipping!$T$50*Shipping!$T$51+Shipping!$T$59*Shipping!$T$60)*IF(bunker_choice="HFO",bunker_price_ROT,IF(bunker_choice="hydrogen",$BD84*hfo_e_density_lhv/h2_e_density_lhv,(EK84+EM84)*1000000/EO84*hfo_e_density_lhv/ome_e_density_lhv))+Shipping!$T$73+IF(G84="Panama",Shipping!$T$55,0)+IF(G84="Suez",Shipping!$T$56,0))/Shipping!$T$31*(EO84+ome_st_ab_losses)/1000000+IF(inland_transport_to_port="hv dc grid",$BM84/100*1000*ER84,IF(inland_transport_to_port="pipeline",$BN84,0)))))</f>
        <v>4771.7641441141704</v>
      </c>
      <c r="EQ84" s="28">
        <f t="shared" si="135"/>
        <v>297056.49902494333</v>
      </c>
      <c r="ER84" s="29">
        <f>(ome_e_demand)*(EO84+ome_st_ab_losses)/1000000+ome_st_e_demand*EM84/1000000+$CV84*(Carriers!$Z$21/Carriers!$Z$23*EO84)/$CS84</f>
        <v>3352.0814582010739</v>
      </c>
      <c r="ES84" s="29">
        <f t="shared" si="108"/>
        <v>0.1924238095238095</v>
      </c>
      <c r="ET84" s="28">
        <f>IFERROR(EQ84*1000000/Storage!$S$12,"")</f>
        <v>2315.6424854081311</v>
      </c>
      <c r="EU84" s="28">
        <f>IF($E84="","No Port",((F84/24/Shipping!$T$44+F84/24/Shipping!$T$50+Shipping!$T$59+Shipping!$T$64)*Carriers!$Z$39*wacc_nl))</f>
        <v>76.323125710678426</v>
      </c>
      <c r="EV84" s="100">
        <f>H2_retrieval!$R$25*h2_demand_kt/1000+(co2_liq_e_demand+co2_st_e_demand*2)*Storage!$S$12*co2_density/ome_density/1000000</f>
        <v>254.51942895252085</v>
      </c>
      <c r="EW84" s="28">
        <f>IFERROR((((EK84+EM84+EP84)*(1+H2_retrieval!$R$34)+EU84)*1000000/H2_retrieval!$R$8)+h2_regen_ome,"")</f>
        <v>19559.728598687911</v>
      </c>
      <c r="EX84" s="149">
        <f>(sng_invest*(M84+1/sng_lifetime)/sng_prod+lng_invest*(M84+1/lng_lifetime)/lng_prod+sng_opex+lng_opex+(sng_e_demand+lng_e_demand)*1000*$AU84/100+Carriers!$AB$18/Carriers!$AB$23*BD84+Carriers!$AB$20/Carriers!$AB$23*co2_liq_cost)*(FB84+lng_st_ab_losses)/1000000</f>
        <v>84727.906671493183</v>
      </c>
      <c r="EY84" s="86">
        <f>(sng_invest*(M84+1/sng_lifetime)/sng_prod+lng_invest*(M84+1/lng_lifetime)/lng_prod+sng_opex+lng_opex+(sng_e_demand+lng_e_demand)*1000*$AU84/100+Carriers!$AB$18/Carriers!$AB$23*BD84+Carriers!$AB$20/Carriers!$AB$23*BP84)*(FB84+lng_st_ab_losses)/1000000</f>
        <v>97969.862147625769</v>
      </c>
      <c r="EZ84" s="63">
        <f>lng_st_nl_cost*lng_st_nl_demand/1000000+(lng_st_invest*(M84+1/lng_st_lifetime+lng_st_opex)/(Storage!$U$63/1000000)+lng_st_e_demand*1000*$AU84/100)*(FB84+lng_st_ab_losses)/1000000+co2_st_nl_cost*Storage!$U$12*co2_density/lng_density/1000000+(co2_st_opex_lev+co2_st_invest_lev+co2_st_e_demand*1000*$AU84/100)*Storage!$U$12/1000000+co2_st_invest_lev*Storage!$U$12*co2_st_lifetime*M84/1000000+Carriers!$AB$18/Carriers!$AB$23*((FB84+lng_st_ab_losses)/365.25*short_st_duration_hrs/24)*(h2_short_st_invest*(1/gh2_short_st_lifetime+$M84+h2_short_st_opex)+h2_short_st_e_demand*1000*$AU84/100)/1000000+Carriers!$AB$20/Carriers!$AB$23*((FB84+lng_st_ab_losses)/365.25*short_st_duration_hrs/24)*(co2_short_st_invest*(1/co2_short_st_lifetime+$M84+co2_short_st_opex)+co2_short_st_e_demand*1000*$AU84/100)/1000000</f>
        <v>6657.4998684941102</v>
      </c>
      <c r="FA84" s="63">
        <f>lng_st_nl_cost*lng_st_nl_demand/1000000+(lng_st_invest*(M84+1/lng_st_lifetime+lng_st_opex)/(Storage!$U$63/1000000)+lng_st_e_demand*1000*$AU84/100)*(FB84+lng_st_ab_losses)/1000000+Carriers!$AB$18/Carriers!$AB$23*((FB84+lng_st_ab_losses)/365.25*short_st_duration_hrs/24)*(h2_short_st_invest*(1/gh2_short_st_lifetime+$M84+h2_short_st_opex)+h2_short_st_e_demand*1000*$AU84/100)/1000000+Carriers!$AB$20/Carriers!$AB$23*((FB84+lng_st_ab_losses)/365.25*short_st_duration_hrs/24)*(co2_short_st_invest*(1/co2_short_st_lifetime+$M84+co2_short_st_opex)+co2_short_st_e_demand*1000*$AU84/100)/1000000</f>
        <v>5026.2256323201327</v>
      </c>
      <c r="FB84" s="63">
        <f>Storage!$U$57/((1-Shipping!$V$37)^($F84/24/Shipping!$V$44+0.5*Shipping!$V$59))</f>
        <v>41136925.394563526</v>
      </c>
      <c r="FC84" s="28">
        <f>IF($E84="","No Port",IF(G84="Panama","Ship cannot pass through Panama",((F84/24/Shipping!$V$44+F84/24/Shipping!$V$50+Shipping!$V$59+Shipping!$V$64)*(Shipping!$V$22+wacc_nl*Shipping!$V$19/365.25*1000000+Shipping!$V$35)+(F84/24/Shipping!$V$44*Shipping!$V$45+Shipping!$V$64*Shipping!$V$65)*IF(bunker_choice="HFO",$H84,IF(bunker_choice="hydrogen",$BD84*hfo_e_density_lhv/h2_e_density_lhv,(EX84+EZ84)*1000000/FB84*hfo_e_density_lhv/lng_e_density_lhv))+(F84/24/Shipping!$V$50*Shipping!$V$51+Shipping!$V$59*Shipping!$V$60)*IF(bunker_choice="HFO",bunker_price_ROT,IF(bunker_choice="hydrogen",$BD84*hfo_e_density_lhv/h2_e_density_lhv,(EX84+EZ84)*1000000/FB84*hfo_e_density_lhv/lng_e_density_lhv))+Shipping!$V$73+IF(G84="Panama",Shipping!$V$55,0)+IF(G84="Suez",Shipping!$V$56,0))/Shipping!$V$31*(FB84+lng_st_ab_losses)/1000000)+IF(inland_transport_to_port="hv dc grid",$BM84/100*1000*FE84,IF(inland_transport_to_port="pipeline",$BN84,0)))</f>
        <v>1998.2720467609511</v>
      </c>
      <c r="FD84" s="28">
        <f t="shared" si="136"/>
        <v>104994.35982670684</v>
      </c>
      <c r="FE84" s="29">
        <f>((Carriers!$AB$18/Carriers!$AB$23*alk_el_e_demand)+sng_e_demand+lng_e_demand)*(FB84+lng_st_ab_losses)/1000000+lng_st_e_demand*EZ84/1000000</f>
        <v>1103.2628768171514</v>
      </c>
      <c r="FF84" s="29">
        <f t="shared" si="109"/>
        <v>0.8126185861001558</v>
      </c>
      <c r="FG84" s="28">
        <f>IFERROR(FD84*1000000/Storage!$U$12,"")</f>
        <v>2587.0794231392879</v>
      </c>
      <c r="FH84" s="28">
        <f>IF($E84="","No Port",((F84/24/Shipping!$V$44+F84/24/Shipping!$V$50+Shipping!$V$59+Shipping!$V$64)*Carriers!$AB$39*wacc_nl))</f>
        <v>22.680737325130089</v>
      </c>
      <c r="FI84" s="100">
        <f>H2_retrieval!$T$25*h2_demand_kt/1000+(co2_liq_e_demand+co2_st_e_demand*2)*Storage!$U$12*co2_density/lng_density/1000000</f>
        <v>236.51371749646054</v>
      </c>
      <c r="FJ84" s="28">
        <f>IFERROR((((EX84+EZ84+FC84)*(1+H2_retrieval!$T$34)+FH84)*1000000/H2_retrieval!$T$8)+h2_regen_lng,"")</f>
        <v>8038.2431993779819</v>
      </c>
      <c r="FK84" s="149">
        <f>(lh2_invest*(M84+1/lh2_lifetime)/lh2_prod+lh2_opex+lh2_e_demand*1000*$AU84/100+Carriers!$AD$18/Carriers!$AD$23*BD84)*(FM84+lh2_st_ab_losses)/1000000</f>
        <v>65317.513580282866</v>
      </c>
      <c r="FL84" s="28">
        <f>lh2_st_nl_cost*lh2_st_nl_demand/1000000+(lh2_st_invest*(M84+1/lh2_st_lifetime+lh2_st_opex)/(Storage!$Y$63/1000000)+lh2_st_e_demand*1000*$AU84/100)*(FM84+lh2_st_ab_losses)/1000000+((FM84+lh2_st_ab_losses)/365.25*short_st_duration_hrs/24)*(h2_short_st_invest*(1/gh2_short_st_lifetime+$M84+h2_short_st_opex)+h2_short_st_e_demand*1000*$AU84/100)/1000000</f>
        <v>58028.526207757903</v>
      </c>
      <c r="FM84" s="63">
        <f>Storage!$Y$57/((1-Shipping!$Z$37)^($F84/24/Shipping!$Z$44+0.5*Shipping!$Z$59))</f>
        <v>13891506.71164991</v>
      </c>
      <c r="FN84" s="28">
        <f>IF($E84="","No Port",IF(G84="Panama","Ship cannot pass through Panama",((F84/24/Shipping!$Z$44+F84/24/Shipping!$Z$50+Shipping!$Z$59+Shipping!$Z$64)*(Shipping!$Z$22+wacc_nl*Shipping!$Z$19/365.25*1000000+Shipping!$Z$35)+(F84/24/Shipping!$Z$44*Shipping!$Z$45+Shipping!$Z$64*Shipping!$Z$65)*IF(bunker_choice="HFO",$H84,IF(bunker_choice="hydrogen",$BD84*hfo_e_density_lhv/h2_e_density_lhv,(FK84+FL84)*1000000/FM84*hfo_e_density_lhv/lh2_e_density_lhv))+(F84/24/Shipping!$Z$50*Shipping!$Z$51+Shipping!$Z$59*Shipping!$Z$60)*IF(bunker_choice="HFO",bunker_price_ROT,IF(bunker_choice="hydrogen",$BD84*hfo_e_density_lhv/h2_e_density_lhv,(FK84+FL84)*1000000/FM84*hfo_e_density_lhv/lh2_e_density_lhv))+Shipping!$Z$73+IF(G84="Panama",Shipping!$Z$55,0)+IF(G84="Suez",Shipping!$Z$56,0))/Shipping!$Z$31*(FM84+lh2_st_ab_losses)/1000000)+IF(inland_transport_to_port="hv dc grid",$BM84/100*1000*FP84,IF(inland_transport_to_port="pipeline",$BN84,0)))</f>
        <v>3030.5753449654976</v>
      </c>
      <c r="FO84" s="28">
        <f t="shared" si="128"/>
        <v>126376.61513300627</v>
      </c>
      <c r="FP84" s="29">
        <f>((Carriers!$AD$18/Carriers!$AD$23*alk_el_e_demand)+lh2_e_demand)*(FM84+lh2_st_ab_losses)/1000000+lh2_st_e_demand*FM84/1000000</f>
        <v>805.00054655318388</v>
      </c>
      <c r="FQ84" s="100">
        <f t="shared" si="110"/>
        <v>1.361902463475859</v>
      </c>
      <c r="FR84" s="28">
        <f>IFERROR(FO84*1000000/Storage!$Y$12,"")</f>
        <v>9292.3981715445789</v>
      </c>
      <c r="FS84" s="100">
        <f>H2_retrieval!$V$25*h2_demand_kt/1000</f>
        <v>8.16</v>
      </c>
      <c r="FT84" s="28">
        <f>IFERROR(FR84*(1+H2_retrieval!$V$34)/Carrier_properties!$U$7+H2_retrieval!$V$38,"")</f>
        <v>9324.3668974130469</v>
      </c>
      <c r="FU84" s="12"/>
      <c r="FV84" s="24">
        <f t="shared" si="129"/>
        <v>2.8950966603646733</v>
      </c>
      <c r="FW84" s="24" t="str">
        <f t="shared" si="92"/>
        <v/>
      </c>
      <c r="FX84" s="24" t="str">
        <f t="shared" si="93"/>
        <v/>
      </c>
      <c r="FY84" s="24">
        <f t="shared" si="130"/>
        <v>2.8950966603646733</v>
      </c>
      <c r="FZ84" s="28">
        <f t="shared" si="94"/>
        <v>3633.1074402197487</v>
      </c>
      <c r="GA84" s="28">
        <f t="shared" si="137"/>
        <v>803.34865405133132</v>
      </c>
      <c r="GB84" s="28">
        <f t="shared" si="138"/>
        <v>492.46129134465332</v>
      </c>
      <c r="GC84" s="28">
        <f t="shared" si="139"/>
        <v>895.91237204879053</v>
      </c>
      <c r="GD84" s="28">
        <f t="shared" si="140"/>
        <v>1301.4557697024763</v>
      </c>
      <c r="GE84" s="28">
        <f t="shared" si="141"/>
        <v>2263.3247781823748</v>
      </c>
      <c r="GF84" s="28">
        <f t="shared" si="142"/>
        <v>2381.5552865935147</v>
      </c>
      <c r="GG84" s="12"/>
      <c r="GH84" s="12"/>
      <c r="GI84" s="12"/>
      <c r="GJ84" s="12"/>
      <c r="GK84" s="12"/>
      <c r="GL84" s="12"/>
      <c r="GM84" s="12"/>
      <c r="GN84" s="12"/>
      <c r="GO84" s="12"/>
      <c r="GP84" s="12"/>
      <c r="GQ84" s="12"/>
      <c r="GR84" s="12"/>
      <c r="GS84" s="12"/>
      <c r="GT84" s="12"/>
      <c r="GU84" s="12"/>
      <c r="GV84" s="12"/>
      <c r="GW84" s="12"/>
      <c r="GX84" s="12"/>
      <c r="GY84" s="12"/>
      <c r="GZ84" s="12"/>
      <c r="HA84" s="12"/>
      <c r="HB84" s="12"/>
      <c r="HC84" s="12"/>
      <c r="HD84" s="12"/>
      <c r="HE84" s="12"/>
      <c r="HF84" s="12"/>
    </row>
    <row r="85" spans="1:214" x14ac:dyDescent="0.2">
      <c r="A85" s="40" t="s">
        <v>85</v>
      </c>
      <c r="B85" s="12">
        <v>3038</v>
      </c>
      <c r="C85" s="12">
        <v>0.9</v>
      </c>
      <c r="D85" s="12">
        <f t="shared" si="111"/>
        <v>9.9999999999999978E-2</v>
      </c>
      <c r="E85" s="12" t="s">
        <v>750</v>
      </c>
      <c r="F85" s="12">
        <v>2435</v>
      </c>
      <c r="G85" s="12"/>
      <c r="H85" s="16">
        <f t="shared" si="112"/>
        <v>382.75862068965517</v>
      </c>
      <c r="I85" s="16">
        <v>1759540</v>
      </c>
      <c r="J85" s="16">
        <f t="shared" si="113"/>
        <v>748.38424431292447</v>
      </c>
      <c r="K85" s="27">
        <f t="shared" si="114"/>
        <v>898.06109317550931</v>
      </c>
      <c r="L85" s="103">
        <v>8.3000000000000004E-2</v>
      </c>
      <c r="M85" s="103">
        <f t="shared" si="115"/>
        <v>0.10012422271090159</v>
      </c>
      <c r="N85" s="122">
        <f t="shared" si="116"/>
        <v>0.75</v>
      </c>
      <c r="O85" s="46">
        <f t="shared" si="117"/>
        <v>40</v>
      </c>
      <c r="P85" s="70">
        <f t="array" ref="P85">SUMPRODUCT(IF(Solar_data!A$4:A$777=A85,Solar_data!C$4:C$777),IF(Solar_data!A$4:A$777=A85,Solar_data!I$4:I$777))/SUMIF(Solar_data!A$4:A$777,A85,Solar_data!I$4:I$777)</f>
        <v>2457.8916919063427</v>
      </c>
      <c r="Q85" s="16">
        <f t="array" ref="Q85">MAX(IF(Solar_data!$A$777:'Solar_data'!$A$4=Country_details!$A85,Solar_data!$C$4:'Solar_data'!$C$777))</f>
        <v>2646.25</v>
      </c>
      <c r="R85" s="16">
        <f t="array" ref="R85">MIN(IF(Solar_data!$A$777:'Solar_data'!$A$4=Country_details!A85,Solar_data!$C$4:'Solar_data'!$C$777))</f>
        <v>1916.25</v>
      </c>
      <c r="S85" s="24">
        <f t="shared" si="95"/>
        <v>1.8699255626487159</v>
      </c>
      <c r="T85" s="24">
        <f t="shared" si="96"/>
        <v>1.7368255096523653</v>
      </c>
      <c r="U85" s="24">
        <f t="shared" si="97"/>
        <v>2.3984733228532664</v>
      </c>
      <c r="V85" s="16">
        <f t="array" ref="V85">SUM(IF(Solar_data!$A$777:'Solar_data'!$A$4=Country_details!$A85,Solar_data!$I$4:'Solar_data'!$I$777))</f>
        <v>13447.925318952659</v>
      </c>
      <c r="W85" s="148"/>
      <c r="X85" s="16" t="str">
        <f>IFERROR(INDEX(Onshore_wind_data!$J$5:'Onshore_wind_data'!$J$221,MATCH(A85,Onshore_wind_data!$B$5:'Onshore_wind_data'!$B$221,0)),"")</f>
        <v/>
      </c>
      <c r="Y85" s="16" t="str">
        <f>IFERROR(INDEX(Onshore_wind_data!$K$5:'Onshore_wind_data'!$K$221,MATCH(A85,Onshore_wind_data!$B$5:'Onshore_wind_data'!$B$221,0)),"")</f>
        <v/>
      </c>
      <c r="Z85" s="16" t="str">
        <f>IFERROR(INDEX(Onshore_wind_data!$L$5:'Onshore_wind_data'!$L$221,MATCH(A85,Onshore_wind_data!$B$5:'Onshore_wind_data'!$B$221,0)),"")</f>
        <v/>
      </c>
      <c r="AA85" s="24" t="str">
        <f t="shared" si="118"/>
        <v/>
      </c>
      <c r="AB85" s="24" t="str">
        <f t="shared" si="119"/>
        <v/>
      </c>
      <c r="AC85" s="24" t="str">
        <f t="shared" si="120"/>
        <v/>
      </c>
      <c r="AD85" s="16">
        <f>IFERROR(INDEX(Onshore_wind_data!$I$5:'Onshore_wind_data'!$I$221,MATCH(A85,Onshore_wind_data!$B$5:'Onshore_wind_data'!$B$221,0)),"")</f>
        <v>0</v>
      </c>
      <c r="AE85" s="148"/>
      <c r="AF85" s="16">
        <f>INDEX(Offshore_wind_data!$AA$7:$AA$192,MATCH(Country_details!A85,Offshore_wind_data!$A$7:$A$192,0))</f>
        <v>3325.8778825235681</v>
      </c>
      <c r="AG85" s="16">
        <f>INDEX(Offshore_wind_data!$Y$7:$Y$192,MATCH(Country_details!A85,Offshore_wind_data!$A$7:$A$192,0))</f>
        <v>3504</v>
      </c>
      <c r="AH85" s="16">
        <f>INDEX(Offshore_wind_data!$Z$7:$Z$192,MATCH(Country_details!A85,Offshore_wind_data!$A$7:$A$192,0))</f>
        <v>3153.6</v>
      </c>
      <c r="AI85" s="24">
        <f t="shared" si="98"/>
        <v>7.1612344231515674</v>
      </c>
      <c r="AJ85" s="24">
        <f t="shared" si="99"/>
        <v>6.7972006790885331</v>
      </c>
      <c r="AK85" s="24">
        <f t="shared" si="100"/>
        <v>7.5524451989872592</v>
      </c>
      <c r="AL85" s="16">
        <f>INDEX(Offshore_wind_data!$W$7:$W$191,MATCH(A85,Offshore_wind_data!$A$7:$A$191,0))</f>
        <v>91.727711999999997</v>
      </c>
      <c r="AM85" s="148"/>
      <c r="AN85" s="12">
        <v>6.4</v>
      </c>
      <c r="AO85" s="12">
        <v>8.1</v>
      </c>
      <c r="AP85" s="34">
        <f>2.711*11.63</f>
        <v>31.528929999999999</v>
      </c>
      <c r="AQ85" s="15">
        <f t="shared" si="101"/>
        <v>50</v>
      </c>
      <c r="AR85" s="12">
        <f t="shared" si="131"/>
        <v>405</v>
      </c>
      <c r="AS85" s="16">
        <f t="shared" si="121"/>
        <v>13134.653030952659</v>
      </c>
      <c r="AT85" s="12"/>
      <c r="AU85" s="24">
        <f t="shared" si="122"/>
        <v>1.8699255626487159</v>
      </c>
      <c r="AV85" s="16">
        <f t="shared" si="123"/>
        <v>2457.8916919063427</v>
      </c>
      <c r="AW85" s="149">
        <f>HV_DC_Grid!$E$3/(1-AX85)*AU85/100*1000</f>
        <v>2013.7215428038378</v>
      </c>
      <c r="AX85" s="31">
        <f>(1-(1-HV_DC_Grid!$E$25)^(B85*C85*HV_DC_Grid!$E$8/1000))+(1-(1-HV_DC_Grid!$E$26)^(B85*D85*HV_DC_Grid!$E$8/1000))+HV_DC_Grid!$E$35*HV_DC_Grid!$E$28</f>
        <v>7.1408075594655104E-2</v>
      </c>
      <c r="AY85" s="28">
        <f>B85*nl_e_demand/IF(hv_dc_flh="electricity FLH",$AV85,hv_dc_custom)*1000*hv_dc_capacity_multiplier*hv_dc_length_multiplier*1000*(C85*hv_dc_overhead_invest*(hv_dc_overhead_opex+M85+1/hv_dc_lifetime)+D85*hv_dc_sea_invest*(hv_dc_sea_opex+M85+1/hv_dc_lifetime))/1000000+HV_DC_Grid!$E$10*1000*hv_dc_station_invest*hv_dc_station_number*(hv_dc_station_opex+M85+1/hv_dc_lifetime)/1000000</f>
        <v>2981.8301424921024</v>
      </c>
      <c r="AZ85" s="24">
        <f>(AW85+AY85)/(HV_DC_Grid!$E$3*1000)*100</f>
        <v>4.9955516852959398</v>
      </c>
      <c r="BA85" s="28">
        <f>MIN(((Carriers!$F$26+Carriers!$F$27)*(alk_el_opex+wacc_nl+1/alk_el_lifetime)+IF(hv_dc_flh="electricity FLH",$AV85,hv_dc_custom)*AZ85/100)/(IF(hv_dc_flh="electricity FLH",$AV85,hv_dc_custom)/alk_el_e_demand)*1000,((Carriers!$H$26+Carriers!$H$27)*(pem_el_opex+wacc_nl+1/pem_el_lifetime)+IF(hv_dc_flh="electricity FLH",$AV85,hv_dc_custom)*AZ85/100)/(IF(hv_dc_flh="electricity FLH",$AV85,hv_dc_custom)/pem_el_e_demand)*1000)</f>
        <v>2890.2613106036683</v>
      </c>
      <c r="BB85" s="12"/>
      <c r="BC85" s="12"/>
      <c r="BD85" s="149">
        <f>MIN(((Carriers!$F$26+Carriers!$F$27)*(alk_el_opex+M85+1/alk_el_lifetime)+$AV85*$AU85/100)/($AV85/alk_el_e_demand)*1000,((Carriers!$H$26+Carriers!$H$27)*(pem_el_opex+M85+1/pem_el_lifetime)+$AV85*$AU85/100)/($AV85/pem_el_e_demand)*1000)</f>
        <v>2156.2742652679217</v>
      </c>
      <c r="BE85" s="28">
        <f>Storage!$AC$50</f>
        <v>8.1664117557772418</v>
      </c>
      <c r="BF85" s="28">
        <f>((Pipeline!$D$22*Pipeline!$D$24*B85*(pipeline_opex+M85+1/pipeline_lifetime))*(Pipeline!$D$39/Pipeline!$D$3)+(Pipeline!$D$57*(pipeline_comp_opex+M85+1/pipeline_comp_lifetime)+Pipeline!$D$47*1000*Pipeline!$D$45*$AU85/100/1000000))*(Pipeline!$D$75/Pipeline!$D$45)</f>
        <v>5963.5096104661434</v>
      </c>
      <c r="BG85" s="28">
        <f>BD85+(BE85+BF85)/Storage!$AC$12*1000000</f>
        <v>2595.3680904312982</v>
      </c>
      <c r="BH85" s="28"/>
      <c r="BI85" s="28"/>
      <c r="BJ85" s="28">
        <f>IF($E85="","No Port",BK85*HV_DC_Grid!$E$3*$AU85/100*1000)</f>
        <v>58.401525361005348</v>
      </c>
      <c r="BK85" s="31">
        <f>IFERROR((1-(1-HV_DC_Grid!$E$25)^(K85*HV_DC_Grid!$E$8/1000))+HV_DC_Grid!$E$35*HV_DC_Grid!$E$28,"")</f>
        <v>3.1232005448538089E-2</v>
      </c>
      <c r="BL85" s="28">
        <f>IFERROR(K85*nl_e_demand/IF(hv_dc_flh="electricity FLH",$AV85,hv_dc_custom)*1000*hv_dc_capacity_multiplier*hv_dc_length_multiplier*1000*(hv_dc_overhead_invest*(hv_dc_overhead_opex+M85+1/hv_dc_lifetime))/1000000+HV_DC_Grid!$E$10*1000*hv_dc_station_invest*hv_dc_station_number*(hv_dc_station_opex+M85+1/hv_dc_lifetime)/1000000,"")</f>
        <v>997.45492977342451</v>
      </c>
      <c r="BM85" s="29">
        <f>IFERROR((BJ85+BL85)/(HV_DC_Grid!$E$3*1000)*100,"")</f>
        <v>1.0558564551344298</v>
      </c>
      <c r="BN85" s="28">
        <f>IFERROR(((Pipeline!$D$22*Pipeline!$D$24*K85*(pipeline_opex+M85+1/pipeline_lifetime))*(Pipeline!$D$39/Pipeline!$D$3)+(Pipeline!$D$57*(pipeline_comp_opex+M85+1/pipeline_comp_lifetime)+Pipeline!$D$47*1000*Pipeline!$D$45*S85/100/1000000))*(Pipeline!$D$75/Pipeline!$D$45),"")</f>
        <v>1807.6643832067221</v>
      </c>
      <c r="BO85" s="28"/>
      <c r="BP85" s="150">
        <f t="shared" si="124"/>
        <v>96.84670195001874</v>
      </c>
      <c r="BQ85" s="34">
        <f t="shared" si="125"/>
        <v>29.120591841851905</v>
      </c>
      <c r="BR85" s="151">
        <f>(nh3_invest*(M85+1/nh3_lifetime)/nh3_prod+nh3_opex+nh3_e_demand*1000*$AU85/100+Carriers!$N$18/Carriers!$N$23*BD85+Carriers!$N$19/Carriers!$N$23*BQ85)*(BT85+nh3_st_ab_losses)/1000000</f>
        <v>39524.996275469064</v>
      </c>
      <c r="BS85" s="63">
        <f>nh3_st_nl_cost*nh3_st_nl_demand/1000000+(nh3_st_invest*(M85+1/nh3_st_lifetime+nh3_st_opex)/(Storage!$G$63/1000000)+nh3_st_e_demand*1000*$AU85/100)*(BT85+nh3_st_ab_losses)/1000000+Carriers!$N$18/Carriers!$N$23*((BT85+nh3_st_ab_losses)/365.25*short_st_duration_hrs/24)*(h2_short_st_invest*(1/gh2_short_st_lifetime+$M85+h2_short_st_opex)+h2_short_st_e_demand*1000*$AU85/100)/1000000+Carriers!$N$19/Carriers!$N$23*((BT85+nh3_st_ab_losses)/365.25*short_st_duration_hrs/24)*(n2_short_st_invest*(1/n2_short_st_lifetime+$M85+n2_short_st_opex)+n2_short_st_e_demand*1000*$AU85/100)/1000000</f>
        <v>3108.3237066215993</v>
      </c>
      <c r="BT85" s="63">
        <f>Storage!$G$57/((1-Shipping!$H$37)^(F85/24/Shipping!$H$44+0.5*Shipping!$H$59))</f>
        <v>78049025.608294889</v>
      </c>
      <c r="BU85" s="63">
        <f>IF($E85="","No Port",((F85/24/Shipping!$H$44+F85/24/Shipping!$H$50+Shipping!$H$59+Shipping!$H$64)*(Shipping!$H$22+wacc_nl*Shipping!$H$19/365.25*1000000+Shipping!$H$35)+(F85/24/Shipping!$H$44*Shipping!$H$45+Shipping!$H$64*Shipping!$H$65)*IF(bunker_choice="HFO",H85,IF(bunker_choice="hydrogen",BD85*hfo_e_density_lhv/h2_e_density_lhv,(BR85+BS85)*1000000/BT85*hfo_e_density_lhv/nh3_e_density_lhv))+(F85/24/Shipping!$H$50*Shipping!$H$51+Shipping!$H$59*Shipping!$H$60)*IF(bunker_choice="HFO",bunker_price_ROT,IF(bunker_choice="hydrogen",BD85*hfo_e_density_lhv/h2_e_density_lhv,(BR85+BS85)*1000000/BT85*hfo_e_density_lhv/nh3_e_density_lhv))+Shipping!$H$73+IF(G85="Panama",Shipping!$H$55,0)+IF(G85="Suez",Shipping!$H$56,0))/Shipping!$H$31*BT85/1000000+IF(inland_transport_to_port="hv dc grid",$BM85/100*1000*BW85,IF(inland_transport_to_port="pipeline",$BN85,0)))</f>
        <v>3472.6507001672908</v>
      </c>
      <c r="BV85" s="63">
        <f t="shared" si="126"/>
        <v>46105.970682257961</v>
      </c>
      <c r="BW85" s="33">
        <f>((Carriers!$N$18/Carriers!$N$23*alk_el_e_demand)+(Carriers!$N$19/Carriers!$N$23*n2_e_demand)+nh3_e_demand)*(BT85+nh3_st_ab_losses)/1000000+nh3_st_e_demand*BT85/1000000</f>
        <v>770.76170210630448</v>
      </c>
      <c r="BX85" s="33">
        <f t="shared" si="102"/>
        <v>0.76626754477640768</v>
      </c>
      <c r="BY85" s="63">
        <f>IFERROR(BV85*1000000/Storage!$G$12,"")</f>
        <v>602.19679199930567</v>
      </c>
      <c r="BZ85" s="63">
        <f>H2_retrieval!$F$25*h2_demand_kt/1000</f>
        <v>80</v>
      </c>
      <c r="CA85" s="63">
        <f>IFERROR(BY85*(1+H2_retrieval!$F$34)/Carrier_properties!$E$7+H2_retrieval!$F$38,"")</f>
        <v>3799.3708827509381</v>
      </c>
      <c r="CB85" s="149">
        <f>(FA_invest*(M85+1/FA_lifetime)/FA_prod+FA_opex+FA_e_demand*1000*$AU85/100+Carriers!$P$18/Carriers!$P$23*BD85+Carriers!$P$20/Carriers!$P$23*co2_liq_cost)*(CF85+FA_st_ab_losses)/1000000</f>
        <v>80663.008554694869</v>
      </c>
      <c r="CC85" s="86">
        <f>(FA_invest*(M85+1/FA_lifetime)/FA_prod+FA_opex+FA_e_demand*1000*$AU85/100+Carriers!$P$18/Carriers!$P$23*BD85+Carriers!$P$20/Carriers!$P$23*BP85)*(CF85+FA_st_ab_losses)/1000000</f>
        <v>103749.62226657865</v>
      </c>
      <c r="CD85" s="63">
        <f>FA_st_nl_cost*FA_st_nl_demand/1000000+(FA_st_invest*(M85+1/FA_st_lifetime+FA_st_opex)/(Storage!$I$63/1000000)+FA_st_e_demand*1000*$AU85/100)*(CF85+FA_st_ab_losses)/1000000+co2_st_nl_cost*Storage!$I$12*co2_density/FA_density/1000000+(co2_st_opex_lev+co2_st_invest_lev+co2_st_e_demand*1000*$AU85/100)*Storage!$I$12/1000000+co2_st_invest_lev*Storage!$I$12*co2_st_lifetime*M85/1000000+Carriers!$P$18/Carriers!$P$23*((CF85+FA_st_ab_losses)/365.25*short_st_duration_hrs/24)*(h2_short_st_invest*(1/gh2_short_st_lifetime+$M85+h2_short_st_opex)+h2_short_st_e_demand*1000*$AU85/100)/1000000+Carriers!$P$20/Carriers!$P$23*((CF85+FA_st_ab_losses)/365.25*short_st_duration_hrs/24)*(co2_short_st_invest*(1/co2_short_st_lifetime+$M85+co2_short_st_opex)+co2_short_st_e_demand*1000*$AU85/100)/1000000</f>
        <v>10722.096548210842</v>
      </c>
      <c r="CE85" s="63">
        <f>FA_st_nl_cost*FA_st_nl_demand/1000000+(FA_st_invest*(M85+1/FA_st_lifetime+FA_st_opex)/(Storage!$I$63/1000000)+FA_st_e_demand*1000*$AU85/100)*(CF85+FA_st_ab_losses)/1000000+Carriers!$P$18/Carriers!$P$23*((CF85+FA_st_ab_losses)/365.25*short_st_duration_hrs/24)*(h2_short_st_invest*(1/gh2_short_st_lifetime+$M85+h2_short_st_opex)+h2_short_st_e_demand*1000*$AU85/100)/1000000+Carriers!$P$20/Carriers!$P$23*((CF85+FA_st_ab_losses)/365.25*short_st_duration_hrs/24)*(co2_short_st_invest*(1/co2_short_st_lifetime+$M85+co2_short_st_opex)+co2_short_st_e_demand*1000*$AU85/100)/1000000</f>
        <v>4650.2981404322882</v>
      </c>
      <c r="CF85" s="63">
        <f>Storage!$I$57/((1-Shipping!$J$37)^($F85/24/Shipping!$J$44+0.5*Shipping!$J$59))</f>
        <v>310425396.82539684</v>
      </c>
      <c r="CG85" s="28">
        <f>IF($E85="","No Port",((F85/24/Shipping!$J$44+F85/24/Shipping!$J$50+Shipping!$J$59+Shipping!$J$64)*(Shipping!$J$22+wacc_nl*Shipping!$J$19/365.25*1000000+Shipping!$J$35)+(F85/24/Shipping!$J$44*Shipping!$J$45+Shipping!$J$64*Shipping!$J$65)*IF(bunker_choice="HFO",$H85,IF(bunker_choice="hydrogen",$BD85*hfo_e_density_lhv/h2_e_density_lhv,(CB85+CD85)*1000000/CF85*hfo_e_density_lhv/FA_e_density_lhv))+(F85/24/Shipping!$J$50*Shipping!$J$51+Shipping!$J$59*Shipping!$J$60)*IF(bunker_choice="HFO",bunker_price_ROT,IF(bunker_choice="hydrogen",$BD85*hfo_e_density_lhv/h2_e_density_lhv,(CB85+CD85)*1000000/CF85*hfo_e_density_lhv/FA_e_density_lhv))+Shipping!$J$73+IF(G85="Panama",Shipping!$J$55,0)+IF(G85="Suez",Shipping!$J$56,0))/Shipping!$J$31*CF85/1000000+IF(inland_transport_to_port="hv dc grid",$BM85/100*1000*CI85,IF(inland_transport_to_port="pipeline",$BN85,0)))</f>
        <v>8756.5353489775971</v>
      </c>
      <c r="CH85" s="28">
        <f t="shared" si="132"/>
        <v>117156.45575598854</v>
      </c>
      <c r="CI85" s="29">
        <f>((Carriers!$P$18/Carriers!$P$23*alk_el_e_demand)+FA_e_demand)*(CF85+FA_st_ab_losses)/1000000+FA_st_e_demand*CF85/1000000</f>
        <v>1897.8881241622576</v>
      </c>
      <c r="CJ85" s="29">
        <f t="shared" si="103"/>
        <v>0.46563809523809524</v>
      </c>
      <c r="CK85" s="28">
        <f>IFERROR(CH85*1000000/Storage!$I$12,"")</f>
        <v>377.406156049419</v>
      </c>
      <c r="CL85" s="28">
        <f>IF($E85="","No Port",((F85/24/Shipping!$J$44+F85/24/Shipping!$J$50+Shipping!$J$59+Shipping!$J$64)*Carriers!$P$39*wacc_nl))</f>
        <v>145.67070482638144</v>
      </c>
      <c r="CM85" s="29">
        <f>H2_retrieval!$H$25*h2_demand_kt/1000+(co2_liq_e_demand+co2_st_e_demand*2)*Storage!$I$12*co2_density/FA_density/1000000</f>
        <v>94.204253879484654</v>
      </c>
      <c r="CN85" s="28">
        <f>IFERROR((((CB85+CD85+CG85)*(1+H2_retrieval!$H$34)+CL85)*1000000/H2_retrieval!$H$8)+h2_regen_fa,"")</f>
        <v>7463.7543645838441</v>
      </c>
      <c r="CO85" s="149">
        <f>(meoh_invest*(M85+1/meoh_lifetime)/meoh_prod+meoh_opex+meoh_e_demand*1000*$AU85/100+Carriers!$R$18/Carriers!$R$23*BD85+Carriers!$R$20/Carriers!$R$23*co2_liq_cost)*(CS85+meoh_st_ab_losses)/1000000</f>
        <v>47616.351184186671</v>
      </c>
      <c r="CP85" s="86">
        <f>(meoh_invest*(M85+1/meoh_lifetime)/meoh_prod+meoh_opex+meoh_e_demand*1000*$AU85/100+Carriers!$R$18/Carriers!$R$23*BD85+Carriers!$R$20/Carriers!$R$23*BP85)*(CS85+meoh_st_ab_losses)/1000000</f>
        <v>61168.906159224709</v>
      </c>
      <c r="CQ85" s="63">
        <f>meoh_st_nl_cost*meoh_st_nl_demand/1000000+(meoh_st_invest*(M85+1/meoh_st_lifetime+meoh_st_opex)/(Storage!$K$63/1000000)+meoh_st_e_demand*1000*$AU85/100)*(CS85+meoh_st_ab_losses)/1000000+co2_st_nl_cost*Storage!$K$12*co2_density/meoh_density/1000000+(co2_st_opex_lev+co2_st_invest_lev+co2_st_e_demand*1000*IFERROR(MIN(S85,AA85,AI85),S85)/100)*Storage!$K$12/1000000+co2_st_invest_lev*Storage!$K$12*co2_st_lifetime*M85/1000000+Carriers!$R$18/Carriers!$R$23*((CS85+meoh_st_ab_losses)/365.25*short_st_duration_hrs/24)*(h2_short_st_invest*(1/gh2_short_st_lifetime+$M85+h2_short_st_opex)+h2_short_st_e_demand*1000*$AU85/100)/1000000+Carriers!$R$20/Carriers!$R$23*((CF85+meoh_st_ab_losses)/365.25*short_st_duration_hrs/24)*(co2_short_st_invest*(1/co2_short_st_lifetime+$M85+co2_short_st_opex)+co2_short_st_e_demand*1000*$AU85/100)/1000000</f>
        <v>4516.4707112207534</v>
      </c>
      <c r="CR85" s="63">
        <f>meoh_st_nl_cost*meoh_st_nl_demand/1000000+(meoh_st_invest*(M85+1/meoh_st_lifetime+meoh_st_opex)/(Storage!$K$63/1000000)+meoh_st_e_demand*1000*$AU85/100)*(CS85+meoh_st_ab_losses)/1000000+Carriers!$R$18/Carriers!$R$23*((CS85+meoh_st_ab_losses)/365.25*short_st_duration_hrs/24)*(h2_short_st_invest*(1/gh2_short_st_lifetime+$M85+h2_short_st_opex)+h2_short_st_e_demand*1000*$AU85/100)/1000000+Carriers!$R$20/Carriers!$R$23*((CF85+meoh_st_ab_losses)/365.25*short_st_duration_hrs/24)*(co2_short_st_invest*(1/co2_short_st_lifetime+$M85+co2_short_st_opex)+co2_short_st_e_demand*1000*$AU85/100)/1000000</f>
        <v>1804.1665255652035</v>
      </c>
      <c r="CS85" s="63">
        <f>Storage!$K$57/((1-Shipping!$L$37)^($F85/24/Shipping!$L$44+0.5*Shipping!$L$59))</f>
        <v>108044444.44444443</v>
      </c>
      <c r="CT85" s="28">
        <f>IF($E85="","No Port",IF(AND(ship_choice="VLCC",G85="Panama"),"Ship cannot pass through Panama",IF(ship_choice="VLCC",((F85/24/Shipping!$AD$44+F85/24/Shipping!$AD$50+Shipping!$AD$59+Shipping!$AD$64)*(Shipping!$AD$22+wacc_nl*Shipping!$AD$19/365.25*1000000+Shipping!$AD$35)+(F85/24/Shipping!$AD$44*Shipping!$AD$45+Shipping!$AD$64*Shipping!$AD$65)*IF(bunker_choice="HFO",$H85,IF(bunker_choice="hydrogen",$BD85*hfo_e_density_lhv/h2_e_density_lhv,(CO85+CQ85)*1000000/CS85*hfo_e_density_lhv/meoh_e_density_lhv))+(F85/24/Shipping!$AD$50*Shipping!$AD$51+Shipping!$AD$59*Shipping!$AD$60)*IF(bunker_choice="HFO",bunker_price_ROT,IF(bunker_choice="hydrogen",$BD85*hfo_e_density_lhv/h2_e_density_lhv,(CO85+CQ85)*1000000/CS85*hfo_e_density_lhv/meoh_e_density_lhv))+Shipping!$AD$73+IF(G85="Panama",Shipping!$AD$55,0)+IF(G85="Suez",Shipping!$AD$56,0))/Shipping!$AD$31*CS85/1000000+IF(inland_transport_to_port="hv dc grid",$BM85/100*1000*CV85,IF(inland_transport_to_port="pipeline",$BN85,0)),((F85/24/Shipping!$L$44+F85/24/Shipping!$L$50+Shipping!$L$59+Shipping!$L$64)*(Shipping!$L$22+wacc_nl*Shipping!$L$19/365.25*1000000+Shipping!$L$35)+(F85/24/Shipping!$L$44*Shipping!$L$45+Shipping!$L$64*Shipping!$L$65)*IF(bunker_choice="HFO",$H85,IF(bunker_choice="hydrogen",$BD85*hfo_e_density_lhv/h2_e_density_lhv,(CO85+CQ85)*1000000/CS85*hfo_e_density_lhv/meoh_e_density_lhv))+(F85/24/Shipping!$L$50*Shipping!$L$51+Shipping!$L$59*Shipping!$L$60)*IF(bunker_choice="HFO",bunker_price_ROT,IF(bunker_choice="hydrogen",$BD85*hfo_e_density_lhv/h2_e_density_lhv,(CO85+CQ85)*1000000/CS85*hfo_e_density_lhv/meoh_e_density_lhv))+Shipping!$L$73+IF(G85="Panama",Shipping!$L$55,0)+IF(G85="Suez",Shipping!$L$56,0))/Shipping!$L$31*CS85/1000000+IF(inland_transport_to_port="hv dc grid",$BM85/100*1000*CV85,IF(inland_transport_to_port="pipeline",$BN85,0)))))</f>
        <v>4074.0714220372615</v>
      </c>
      <c r="CU85" s="28">
        <f t="shared" si="133"/>
        <v>67047.144106827182</v>
      </c>
      <c r="CV85" s="29">
        <f>((Carriers!$R$18/Carriers!$R$23*alk_el_e_demand)+meoh_e_demand)*(CS85+meoh_st_ab_losses)/1000000+meoh_st_e_demand*CS85/1000000</f>
        <v>1119.9789871111109</v>
      </c>
      <c r="CW85" s="29">
        <f t="shared" si="104"/>
        <v>0.16206666666666666</v>
      </c>
      <c r="CX85" s="28">
        <f>IFERROR(CU85*1000000/Storage!$K$12,"")</f>
        <v>620.55151888260457</v>
      </c>
      <c r="CY85" s="28">
        <f>IF($E85="","No Port",((F85/24/Shipping!$L$44+F85/24/Shipping!$L$50+Shipping!$L$59+Shipping!$L$64)*Carriers!$R$39*wacc_nl))</f>
        <v>51.912240545282444</v>
      </c>
      <c r="CZ85" s="29">
        <f>H2_retrieval!$J$25*h2_demand_kt/1000+(co2_liq_e_demand+co2_st_e_demand*2)*Storage!$K$12*co2_density/meoh_density/1000000</f>
        <v>251.05079059698966</v>
      </c>
      <c r="DA85" s="28">
        <f>IFERROR((((CO85+CQ85+CT85)*(1+H2_retrieval!$J$34)+CY85)*1000000/H2_retrieval!$J$8)+h2_regen_meoh,"")</f>
        <v>5306.8054224600837</v>
      </c>
      <c r="DB85" s="149">
        <f>(DBT_invest*(M85+1/DBT_lifetime)/DBT_prod+DBT_opex+DBT_e_demand*1000*$AU85/100+Carriers!$T$18/Carriers!$T$23*BD85)*(DD85+DBT_st_ab_losses)/1000000</f>
        <v>32275.239090704938</v>
      </c>
      <c r="DC85" s="28">
        <f>2*(DBT_st_nl_cost*DBT_st_nl_demand/1000000+(DBT_st_invest*(M85+1/DBT_st_lifetime+DBT_st_opex)/(Storage!$M$63/1000000)+DBT_st_e_demand*1000*$AU85/100)*(DD85+DBT_st_ab_losses)/1000000)+Carriers!$T$18/Carriers!$T$23*((DD85+DBT_st_ab_losses)/365.25*short_st_duration_hrs/24)*(h2_short_st_invest*(1/gh2_short_st_lifetime+$M85+h2_short_st_opex)+h2_short_st_e_demand*1000*$AU85/100)/1000000</f>
        <v>3783.7996184010808</v>
      </c>
      <c r="DD85" s="63">
        <f>Storage!$M$57/((1-Shipping!$N$37)^($F85/24/Shipping!$N$44+0.5*Shipping!$N$59))</f>
        <v>219354838.70967743</v>
      </c>
      <c r="DE85" s="28">
        <f>IF($E85="","No Port",IF(AND(ship_choice="VLCC",G85="Panama"),"Ship cannot pass through Panama",IF(ship_choice="VLCC",((F85/24/Shipping!$AD$44+F85/24/Shipping!$AD$50+Shipping!$AD$59+Shipping!$AD$64)*(Shipping!$AD$22+wacc_nl*Shipping!$AD$19/365.25*1000000+Shipping!$AD$35)+(F85/24/Shipping!$AD$44*Shipping!$AD$45+Shipping!$AD$64*Shipping!$AD$65)*IF(bunker_choice="HFO",$H85,IF(bunker_choice="hydrogen",$BD85*hfo_e_density_lhv/h2_e_density_lhv,(DB85+DC85)*1000000/DD85*hfo_e_density_lhv/DBT_e_density_lhv))+(F85/24/Shipping!$AD$50*Shipping!$AD$51+Shipping!$AD$59*Shipping!$AD$60)*IF(bunker_choice="HFO",bunker_price_ROT,IF(bunker_choice="hydrogen",$BD85*hfo_e_density_lhv/h2_e_density_lhv,(DB85+DC85)*1000000/DD85*hfo_e_density_lhv/DBT_e_density_lhv))+Shipping!$AD$73+IF(G85="Panama",Shipping!$AD$55,0)+IF(G85="Suez",Shipping!$AD$56,0))/Shipping!$AD$31*DD85/1000000+IF(inland_transport_to_port="hv dc grid",$BM85/100*1000*DG85,IF(inland_transport_to_port="pipeline",$BN85,0)),((F85/24/Shipping!$N$44+F85/24/Shipping!$N$50+Shipping!$N$59+Shipping!$N$64)*(Shipping!$N$22+wacc_nl*Shipping!$N$19/365.25*1000000+Shipping!$N$35)+(F85/24/Shipping!$N$44*Shipping!$N$45+Shipping!$N$64*Shipping!$N$65)*IF(bunker_choice="HFO",$H85,IF(bunker_choice="hydrogen",$BD85*hfo_e_density_lhv/h2_e_density_lhv,(DB85+DC85)*1000000/DD85*hfo_e_density_lhv/DBT_e_density_lhv))+(F85/24/Shipping!$N$50*Shipping!$N$51+Shipping!$N$59*Shipping!$N$60)*IF(bunker_choice="HFO",bunker_price_ROT,IF(bunker_choice="hydrogen",$BD85*hfo_e_density_lhv/h2_e_density_lhv,(DB85+DC85)*1000000/DD85*hfo_e_density_lhv/DBT_e_density_lhv))+Shipping!$N$73+IF(G85="Panama",Shipping!$N$55,0)+IF(G85="Suez",Shipping!$N$56,0))/Shipping!$N$31*Shipping!$N$86/1000000+IF(inland_transport_to_port="hv dc grid",$BM85/100*1000*DG85,IF(inland_transport_to_port="pipeline",$BN85,0)))))</f>
        <v>6038.3979074070767</v>
      </c>
      <c r="DF85" s="28">
        <f t="shared" si="82"/>
        <v>42097.436616513092</v>
      </c>
      <c r="DG85" s="29">
        <f>((Carriers!$T$18/Carriers!$T$23*alk_el_e_demand)+DBT_e_demand)*(DD85+DBT_st_ab_losses)/1000000+DBT_st_e_demand*DD85/1000000</f>
        <v>703.88335483870969</v>
      </c>
      <c r="DH85" s="29">
        <f t="shared" si="105"/>
        <v>0.21935483870967742</v>
      </c>
      <c r="DI85" s="28">
        <f>IFERROR(DF85*1000000/Storage!$M$12,"")</f>
        <v>191.91478457528027</v>
      </c>
      <c r="DJ85" s="28">
        <f>IF($E85="","No Port",((F85/24/Shipping!$N$44+F85/24/Shipping!$N$50+Shipping!$N$59+Shipping!$N$64)*Carriers!$T$39*wacc_nl))</f>
        <v>3780.9390428495785</v>
      </c>
      <c r="DK85" s="100">
        <f>H2_retrieval!$L$25*h2_demand_kt/1000+(co2_liq_e_demand+co2_st_e_demand*2)*Storage!$M$12*co2_density/DBT_density/1000000</f>
        <v>206.61934861671787</v>
      </c>
      <c r="DL85" s="28">
        <f>IFERROR(((DF85*(1+H2_retrieval!$L$34)+DJ85)*1000000/H2_retrieval!$L$8)+h2_regen_lohc,"")</f>
        <v>3844.0597555919321</v>
      </c>
      <c r="DM85" s="149">
        <f t="shared" si="127"/>
        <v>41607.030208067939</v>
      </c>
      <c r="DN85" s="16">
        <f>2*(nabh4_st_nl_cost*nabh4_st_nl_demand/1000000+(nabh4_st_invest*(M85+1/nabh4_st_lifetime+nabh4_st_opex)/(Storage!$O$63/1000000)+nabh4_st_e_demand*1000*$AU85/100)*(DO85+nabh4_st_ab_losses)/1000000)+(h2_demand_kt*1000/365.25*short_st_duration_hrs/24)*(h2_short_st_invest*(1/gh2_short_st_lifetime+$M85+h2_short_st_opex)+h2_short_st_e_demand*1000*$AU85/100)/1000000</f>
        <v>1255.0268396811828</v>
      </c>
      <c r="DO85" s="63">
        <f>Storage!$O$57/((1-Shipping!$P$37)^($F85/24/Shipping!$P$44+0.5*Shipping!$P$59))</f>
        <v>63920000</v>
      </c>
      <c r="DP85" s="16">
        <f>IF($E85="","No Port",((F85/24/Shipping!$P$44+F85/24/Shipping!$P$50+Shipping!$P$59+Shipping!$P$64)*(Shipping!$P$22+wacc_nl*Shipping!$P$19/365.25*1000000+Shipping!$P$35)+(F85/24/Shipping!$P$44*Shipping!$P$45+Shipping!$P$64*Shipping!$P$65)*IF(bunker_choice="HFO",$H85,IF(bunker_choice="hydrogen",$BD85*hfo_e_density_lhv/h2_e_density_lhv,(DM85+DN85)*1000000/DO85*hfo_e_density_lhv/nabh4_e_density_lhv))+(F85/24/Shipping!$P$50*Shipping!$P$51+Shipping!$P$59*Shipping!$P$60)*IF(bunker_choice="HFO",bunker_price_ROT,IF(bunker_choice="hydrogen",$BD85*hfo_e_density_lhv/h2_e_density_lhv,(DM85+DN85)*1000000/DO85*hfo_e_density_lhv/nabh4_e_density_lhv))+Shipping!$P$73+IF(G85="Panama",Shipping!$P$55,0)+IF(G85="Suez",Shipping!$P$56,0))/Shipping!$P$31*(DO85+nabh4_st_ab_losses)/1000000+IF(inland_transport_to_port="hv dc grid",$BM85/100*1000*DR85,IF(inland_transport_to_port="pipeline",$BN85,0)))</f>
        <v>2856.1063201219013</v>
      </c>
      <c r="DQ85" s="28">
        <f t="shared" si="60"/>
        <v>45718.16336787102</v>
      </c>
      <c r="DR85" s="29">
        <f>((Carriers!$V$18/Carriers!$V$23*alk_el_e_demand)+nabh4_e_demand)*(DO85+nabh4_st_ab_losses)/1000000+nabh4_st_e_demand*DO85/1000000</f>
        <v>980.02139682539689</v>
      </c>
      <c r="DS85" s="28">
        <f t="shared" si="106"/>
        <v>3.1960000000000002</v>
      </c>
      <c r="DT85" s="28">
        <f>IFERROR(DQ85*1000000/Storage!$O$12,"")</f>
        <v>715.24035306431506</v>
      </c>
      <c r="DU85" s="28">
        <f>IF($E85="","No Port",((F85/24/Shipping!$P$44+F85/24/Shipping!$P$50+Shipping!$P$59+Shipping!$P$64)*Carriers!$V$39*wacc_nl))</f>
        <v>360.881372289539</v>
      </c>
      <c r="DV85" s="100">
        <f>H2_retrieval!$N$25*h2_demand_kt/1000+(co2_liq_e_demand+co2_st_e_demand*2)*Storage!$O$12*co2_density/nabh4_density/1000000</f>
        <v>18.783638728971958</v>
      </c>
      <c r="DW85" s="28">
        <f>IFERROR(((DQ85*(1+H2_retrieval!$N$34)+DU85)*1000000/H2_retrieval!$N$8)+h2_regen_nabh4,"")</f>
        <v>3462.2718580622554</v>
      </c>
      <c r="DX85" s="149">
        <f>(Dme_invest*(M85+1/Dme_lifetime)/Dme_prod+Dme_opex+Dme_e_demand*1000*$AU85/100+Carriers!$X$21/Carriers!$X$23*(CO85*1000000/CS85))*(EB85+Dme_st_ab_losses)/1000000</f>
        <v>67218.580770350105</v>
      </c>
      <c r="DY85" s="86">
        <f>(Dme_invest*(M85+1/Dme_lifetime)/Dme_prod+Dme_opex+Dme_e_demand*1000*$AU85/100+Carriers!$X$21/Carriers!$X$23*(CP85*1000000/CS85))*(EB85+Dme_st_ab_losses)/1000000</f>
        <v>85604.844375131739</v>
      </c>
      <c r="DZ85" s="63">
        <f>Dme_st_nl_cost*Dme_st_nl_demand/1000000+(Dme_st_invest*(M85+1/Dme_st_lifetime+Dme_st_opex)/(Storage!$Q$63/1000000)+Dme_st_e_demand*1000*$AU85/100)*(EB85+Dme_st_ab_losses)/1000000+co2_st_nl_cost*Storage!$Q$12*co2_density/Dme_density/1000000+(co2_st_opex_lev+co2_st_invest_lev+co2_st_e_demand*1000*$AU85/100)*Storage!$Q$12/1000000+co2_st_invest_lev*Storage!$Q$12*co2_st_lifetime*M85/1000000+(h2_demand_kt*1000/365.25*short_st_duration_hrs/24)*(h2_short_st_invest*(1/gh2_short_st_lifetime+$M85+h2_short_st_opex)+h2_short_st_e_demand*1000*$AU85/100)/1000000</f>
        <v>5471.0080902686304</v>
      </c>
      <c r="EA85" s="63">
        <f>Dme_st_nl_cost*Dme_st_nl_demand/1000000+(Dme_st_invest*(M85+1/Dme_st_lifetime+Dme_st_opex)/(Storage!$Q$63/1000000)+Dme_st_e_demand*1000*$AU85/100)*(EB85+Dme_st_ab_losses)/1000000+(h2_demand_kt*1000/365.25*short_st_duration_hrs/24)*(h2_short_st_invest*(1/gh2_short_st_lifetime+$M85+h2_short_st_opex)+h2_short_st_e_demand*1000*$AU85/100)/1000000</f>
        <v>2744.702984267225</v>
      </c>
      <c r="EB85" s="63">
        <f>Storage!$Q$57/((1-Shipping!$R$37)^($F85/24/Shipping!$R$44+0.5*Shipping!$R$59))</f>
        <v>103547089.94708996</v>
      </c>
      <c r="EC85" s="153">
        <f>IF($E85="","No Port",IF(AND(ship_choice="VLCC",G85="Panama"),"Ship cannot pass through Panama",IF(ship_choice="VLCC",((F85/24/Shipping!$AD$44+F85/24/Shipping!$AD$50+Shipping!$AD$59+Shipping!$AD$64)*(Shipping!$AD$22+wacc_nl*Shipping!$AD$19/365.25*1000000+Shipping!$AD$35)+(F85/24/Shipping!$AD$44*Shipping!$AD$45+Shipping!$AD$64*Shipping!$AD$65)*IF(bunker_choice="HFO",$H85,IF(bunker_choice="hydrogen",$BD85*hfo_e_density_lhv/h2_e_density_lhv,(DX85+DZ85)*1000000/EB85*hfo_e_density_lhv/Dme_e_density_lhv))+(F85/24/Shipping!$AD$50*Shipping!$AD$51+Shipping!$AD$59*Shipping!$AD$60)*IF(bunker_choice="HFO",bunker_price_ROT,IF(bunker_choice="hydrogen",$BD85*hfo_e_density_lhv/h2_e_density_lhv,(DX85+DZ85)*1000000/EB85*hfo_e_density_lhv/Dme_e_density_lhv))+Shipping!$AD$73+IF(G85="Panama",Shipping!$AD$55,0)+IF(G85="Suez",Shipping!$AD$56,0))/Shipping!$AD$31*(EB85+Dme_st_ab_losses)/1000000+IF(inland_transport_to_port="hv dc grid",$BM85/100*1000*EE85,IF(inland_transport_to_port="pipeline",$BN85,0)),((F85/24/Shipping!$R$44+F85/24/Shipping!$R$50+Shipping!$R$59+Shipping!$R$64)*(Shipping!$R$22+wacc_nl*Shipping!$R$19/365.25*1000000+Shipping!$R$35)+(F85/24/Shipping!$R$44*Shipping!$R$45+Shipping!$R$64*Shipping!$R$65)*IF(bunker_choice="HFO",$H85,IF(bunker_choice="hydrogen",$BD85*hfo_e_density_lhv/h2_e_density_lhv,(DX85+DZ85)*1000000/EB85*hfo_e_density_lhv/Dme_e_density_lhv))+(F85/24/Shipping!$R$50*Shipping!$R$51+Shipping!$R$59*Shipping!$R$60)*IF(bunker_choice="HFO",bunker_price_ROT,IF(bunker_choice="hydrogen",$BD85*hfo_e_density_lhv/h2_e_density_lhv,(DX85+DZ85)*1000000/EB85*hfo_e_density_lhv/Dme_e_density_lhv))+Shipping!$R$73+IF(G85="Panama",Shipping!$R$55,0)+IF(G85="Suez",Shipping!$R$56,0))/Shipping!$R$31*(EB85+Dme_st_ab_losses)/1000000+IF(inland_transport_to_port="hv dc grid",$BM85/100*1000*EE85,IF(inland_transport_to_port="pipeline",$BN85,0)))))</f>
        <v>4178.3484447602395</v>
      </c>
      <c r="ED85" s="28">
        <f t="shared" si="134"/>
        <v>92527.895804159198</v>
      </c>
      <c r="EE85" s="29">
        <f>(Dme_e_demand)*(EB85+Dme_st_ab_losses)/1000000+Dme_st_e_demand*DZ85/1000000+$CV85*(Carriers!$X$21/Carriers!$X$23*EB85)/$CS85</f>
        <v>1550.2168148771368</v>
      </c>
      <c r="EF85" s="29">
        <f t="shared" si="107"/>
        <v>1.0354708994708997</v>
      </c>
      <c r="EG85" s="28">
        <f>IFERROR(ED85*1000000/Storage!$Q$12,"")</f>
        <v>893.58277332022271</v>
      </c>
      <c r="EH85" s="28">
        <f>IF($E85="","No Port",((F85/24/Shipping!$R$44+F85/24/Shipping!$R$50+Shipping!$R$59+Shipping!$R$64)*Carriers!$X$39*wacc_nl))</f>
        <v>53.223602441918487</v>
      </c>
      <c r="EI85" s="100">
        <f>H2_retrieval!$P$25*h2_demand_kt/1000+(co2_liq_e_demand+co2_st_e_demand*2)*Storage!$Q$12*co2_density/Dme_density/1000000</f>
        <v>252.45335899349112</v>
      </c>
      <c r="EJ85" s="28">
        <f>IFERROR((((DX85+DZ85+EC85)*(1+H2_retrieval!$P$34)+EH85)*1000000/H2_retrieval!$P$8)+h2_regen_dme,"")</f>
        <v>6826.0962570064767</v>
      </c>
      <c r="EK85" s="149">
        <f>(ome_invest*(M85+1/ome_lifetime)/ome_prod+ome_opex+ome_e_demand*1000*$AU85/100+Carriers!$Z$21/Carriers!$Z$23*(CO85*1000000/CS85))*(EO85+ome_st_ab_losses)/1000000</f>
        <v>146662.39584971679</v>
      </c>
      <c r="EL85" s="86">
        <f>(ome_invest*(M85+1/ome_lifetime)/ome_prod+ome_opex+ome_e_demand*1000*$AU85/100+Carriers!$Z$21/Carriers!$Z$23*(CP85*1000000/CS85))*(EO85+ome_st_ab_losses)/1000000</f>
        <v>185258.74228199909</v>
      </c>
      <c r="EM85" s="63">
        <f>ome_st_nl_cost*ome_st_nl_demand/1000000+(ome_st_invest*(M85+1/ome_st_lifetime+ome_st_opex)/(Storage!$S$63/1000000)+ome_st_e_demand*1000*$AU85/100)*(EO85+ome_st_ab_losses)/1000000+co2_st_nl_cost*Storage!$S$12*co2_density/ome_density/1000000+(co2_st_opex_lev+co2_st_invest_lev+co2_st_e_demand*1000*$AU85/100)*Storage!$S$12/1000000+co2_st_invest_lev*Storage!$S$12*co2_st_lifetime*M85/1000000+(h2_demand_kt*1000/365.25*short_st_duration_hrs/24)*(h2_short_st_invest*(1/gh2_short_st_lifetime+$M85+h2_short_st_opex)+h2_short_st_e_demand*1000*$AU85/100)/1000000</f>
        <v>4675.9967869217917</v>
      </c>
      <c r="EN85" s="63">
        <f>ome_st_nl_cost*ome_st_nl_demand/1000000+(ome_st_invest*(M85+1/ome_st_lifetime+ome_st_opex)/(Storage!$S$63/1000000)+ome_st_e_demand*1000*$AU85/100)*(EO85+ome_st_ab_losses)/1000000+(h2_demand_kt*1000/365.25*short_st_duration_hrs/24)*(h2_short_st_invest*(1/gh2_short_st_lifetime+$M85+h2_short_st_opex)+h2_short_st_e_demand*1000*$AU85/100)/1000000</f>
        <v>1637.3965724067716</v>
      </c>
      <c r="EO85" s="63">
        <f>Storage!$S$57/((1-Shipping!$T$37)^($F85/24/Shipping!$T$44+0.5*Shipping!$T$59))</f>
        <v>128282539.68253967</v>
      </c>
      <c r="EP85" s="28">
        <f>IF($E85="","No Port",IF(AND(ship_choice="VLCC",G85="Panama"),"Ship cannot pass through Panama",IF(ship_choice="VLCC",((F85/24/Shipping!$AD$44+F85/24/Shipping!$AD$50+Shipping!$AD$59+Shipping!$AD$64)*(Shipping!$AD$22+wacc_nl*Shipping!$AD$19/365.25*1000000+Shipping!$AD$35)+(F85/24/Shipping!$AD$44*Shipping!$AD$45+Shipping!$AD$64*Shipping!$AD$65)*IF(bunker_choice="HFO",$H85,IF(bunker_choice="hydrogen",$BD85*hfo_e_density_lhv/h2_e_density_lhv,(EK85+EM85)*1000000/EO85*hfo_e_density_lhv/Dme_e_density_lhv))+(F85/24/Shipping!$AD$50*Shipping!$AD$51+Shipping!$AD$59*Shipping!$AD$60)*IF(bunker_choice="HFO",bunker_price_ROT,IF(bunker_choice="hydrogen",$BD85*hfo_e_density_lhv/h2_e_density_lhv,(EK85+EM85)*1000000/EO85*hfo_e_density_lhv/ome_e_density_lhv))+Shipping!$AD$73+IF(G85="Panama",Shipping!$AD$55,0)+IF(G85="Suez",Shipping!$AD$56,0))/Shipping!$AD$31*(EO85+ome_st_ab_losses)/1000000+IF(inland_transport_to_port="hv dc grid",$BM85/100*1000*ER85,IF(inland_transport_to_port="pipeline",$BN85,0)),((F85/24/Shipping!$T$44+F85/24/Shipping!$T$50+Shipping!$T$59+Shipping!$T$64)*(Shipping!$T$22+wacc_nl*Shipping!$T$19/365.25*1000000+Shipping!$T$35)+(F85/24/Shipping!$T$44*Shipping!$T$45+Shipping!$T$64*Shipping!$T$65)*IF(bunker_choice="HFO",$H85,IF(bunker_choice="hydrogen",$BD85*hfo_e_density_lhv/h2_e_density_lhv,(EK85+EM85)*1000000/EO85*hfo_e_density_lhv/Dme_e_density_lhv))+(F85/24/Shipping!$T$50*Shipping!$T$51+Shipping!$T$59*Shipping!$T$60)*IF(bunker_choice="HFO",bunker_price_ROT,IF(bunker_choice="hydrogen",$BD85*hfo_e_density_lhv/h2_e_density_lhv,(EK85+EM85)*1000000/EO85*hfo_e_density_lhv/ome_e_density_lhv))+Shipping!$T$73+IF(G85="Panama",Shipping!$T$55,0)+IF(G85="Suez",Shipping!$T$56,0))/Shipping!$T$31*(EO85+ome_st_ab_losses)/1000000+IF(inland_transport_to_port="hv dc grid",$BM85/100*1000*ER85,IF(inland_transport_to_port="pipeline",$BN85,0)))))</f>
        <v>4338.4270702525118</v>
      </c>
      <c r="EQ85" s="28">
        <f t="shared" si="135"/>
        <v>191234.56592465838</v>
      </c>
      <c r="ER85" s="29">
        <f>(ome_e_demand)*(EO85+ome_st_ab_losses)/1000000+ome_st_e_demand*EM85/1000000+$CV85*(Carriers!$Z$21/Carriers!$Z$23*EO85)/$CS85</f>
        <v>3352.0814571547785</v>
      </c>
      <c r="ES85" s="29">
        <f t="shared" si="108"/>
        <v>0.1924238095238095</v>
      </c>
      <c r="ET85" s="28">
        <f>IFERROR(EQ85*1000000/Storage!$S$12,"")</f>
        <v>1490.7294975442944</v>
      </c>
      <c r="EU85" s="28">
        <f>IF($E85="","No Port",((F85/24/Shipping!$T$44+F85/24/Shipping!$T$50+Shipping!$T$59+Shipping!$T$64)*Carriers!$Z$39*wacc_nl))</f>
        <v>61.636061826241935</v>
      </c>
      <c r="EV85" s="100">
        <f>H2_retrieval!$R$25*h2_demand_kt/1000+(co2_liq_e_demand+co2_st_e_demand*2)*Storage!$S$12*co2_density/ome_density/1000000</f>
        <v>254.51942895252085</v>
      </c>
      <c r="EW85" s="28">
        <f>IFERROR((((EK85+EM85+EP85)*(1+H2_retrieval!$R$34)+EU85)*1000000/H2_retrieval!$R$8)+h2_regen_ome,"")</f>
        <v>12621.485585013566</v>
      </c>
      <c r="EX85" s="149">
        <f>(sng_invest*(M85+1/sng_lifetime)/sng_prod+lng_invest*(M85+1/lng_lifetime)/lng_prod+sng_opex+lng_opex+(sng_e_demand+lng_e_demand)*1000*$AU85/100+Carriers!$AB$18/Carriers!$AB$23*BD85+Carriers!$AB$20/Carriers!$AB$23*co2_liq_cost)*(FB85+lng_st_ab_losses)/1000000</f>
        <v>52181.193269236879</v>
      </c>
      <c r="EY85" s="86">
        <f>(sng_invest*(M85+1/sng_lifetime)/sng_prod+lng_invest*(M85+1/lng_lifetime)/lng_prod+sng_opex+lng_opex+(sng_e_demand+lng_e_demand)*1000*$AU85/100+Carriers!$AB$18/Carriers!$AB$23*BD85+Carriers!$AB$20/Carriers!$AB$23*BP85)*(FB85+lng_st_ab_losses)/1000000</f>
        <v>62281.264046070573</v>
      </c>
      <c r="EZ85" s="63">
        <f>lng_st_nl_cost*lng_st_nl_demand/1000000+(lng_st_invest*(M85+1/lng_st_lifetime+lng_st_opex)/(Storage!$U$63/1000000)+lng_st_e_demand*1000*$AU85/100)*(FB85+lng_st_ab_losses)/1000000+co2_st_nl_cost*Storage!$U$12*co2_density/lng_density/1000000+(co2_st_opex_lev+co2_st_invest_lev+co2_st_e_demand*1000*$AU85/100)*Storage!$U$12/1000000+co2_st_invest_lev*Storage!$U$12*co2_st_lifetime*M85/1000000+Carriers!$AB$18/Carriers!$AB$23*((FB85+lng_st_ab_losses)/365.25*short_st_duration_hrs/24)*(h2_short_st_invest*(1/gh2_short_st_lifetime+$M85+h2_short_st_opex)+h2_short_st_e_demand*1000*$AU85/100)/1000000+Carriers!$AB$20/Carriers!$AB$23*((FB85+lng_st_ab_losses)/365.25*short_st_duration_hrs/24)*(co2_short_st_invest*(1/co2_short_st_lifetime+$M85+co2_short_st_opex)+co2_short_st_e_demand*1000*$AU85/100)/1000000</f>
        <v>5792.6024382140695</v>
      </c>
      <c r="FA85" s="63">
        <f>lng_st_nl_cost*lng_st_nl_demand/1000000+(lng_st_invest*(M85+1/lng_st_lifetime+lng_st_opex)/(Storage!$U$63/1000000)+lng_st_e_demand*1000*$AU85/100)*(FB85+lng_st_ab_losses)/1000000+Carriers!$AB$18/Carriers!$AB$23*((FB85+lng_st_ab_losses)/365.25*short_st_duration_hrs/24)*(h2_short_st_invest*(1/gh2_short_st_lifetime+$M85+h2_short_st_opex)+h2_short_st_e_demand*1000*$AU85/100)/1000000+Carriers!$AB$20/Carriers!$AB$23*((FB85+lng_st_ab_losses)/365.25*short_st_duration_hrs/24)*(co2_short_st_invest*(1/co2_short_st_lifetime+$M85+co2_short_st_opex)+co2_short_st_e_demand*1000*$AU85/100)/1000000</f>
        <v>4286.3692143937287</v>
      </c>
      <c r="FB85" s="63">
        <f>Storage!$U$57/((1-Shipping!$V$37)^($F85/24/Shipping!$V$44+0.5*Shipping!$V$59))</f>
        <v>41027362.699549407</v>
      </c>
      <c r="FC85" s="28">
        <f>IF($E85="","No Port",IF(G85="Panama","Ship cannot pass through Panama",((F85/24/Shipping!$V$44+F85/24/Shipping!$V$50+Shipping!$V$59+Shipping!$V$64)*(Shipping!$V$22+wacc_nl*Shipping!$V$19/365.25*1000000+Shipping!$V$35)+(F85/24/Shipping!$V$44*Shipping!$V$45+Shipping!$V$64*Shipping!$V$65)*IF(bunker_choice="HFO",$H85,IF(bunker_choice="hydrogen",$BD85*hfo_e_density_lhv/h2_e_density_lhv,(EX85+EZ85)*1000000/FB85*hfo_e_density_lhv/lng_e_density_lhv))+(F85/24/Shipping!$V$50*Shipping!$V$51+Shipping!$V$59*Shipping!$V$60)*IF(bunker_choice="HFO",bunker_price_ROT,IF(bunker_choice="hydrogen",$BD85*hfo_e_density_lhv/h2_e_density_lhv,(EX85+EZ85)*1000000/FB85*hfo_e_density_lhv/lng_e_density_lhv))+Shipping!$V$73+IF(G85="Panama",Shipping!$V$55,0)+IF(G85="Suez",Shipping!$V$56,0))/Shipping!$V$31*(FB85+lng_st_ab_losses)/1000000)+IF(inland_transport_to_port="hv dc grid",$BM85/100*1000*FE85,IF(inland_transport_to_port="pipeline",$BN85,0)))</f>
        <v>2669.9906703317965</v>
      </c>
      <c r="FD85" s="28">
        <f t="shared" si="136"/>
        <v>69237.623930796093</v>
      </c>
      <c r="FE85" s="29">
        <f>((Carriers!$AB$18/Carriers!$AB$23*alk_el_e_demand)+sng_e_demand+lng_e_demand)*(FB85+lng_st_ab_losses)/1000000+lng_st_e_demand*EZ85/1000000</f>
        <v>1100.327806132583</v>
      </c>
      <c r="FF85" s="29">
        <f t="shared" si="109"/>
        <v>0.8126185861001558</v>
      </c>
      <c r="FG85" s="28">
        <f>IFERROR(FD85*1000000/Storage!$U$12,"")</f>
        <v>1706.0271854036898</v>
      </c>
      <c r="FH85" s="28">
        <f>IF($E85="","No Port",((F85/24/Shipping!$V$44+F85/24/Shipping!$V$50+Shipping!$V$59+Shipping!$V$64)*Carriers!$AB$39*wacc_nl))</f>
        <v>18.436801959805781</v>
      </c>
      <c r="FI85" s="100">
        <f>H2_retrieval!$T$25*h2_demand_kt/1000+(co2_liq_e_demand+co2_st_e_demand*2)*Storage!$U$12*co2_density/lng_density/1000000</f>
        <v>236.51371749646054</v>
      </c>
      <c r="FJ85" s="28">
        <f>IFERROR((((EX85+EZ85+FC85)*(1+H2_retrieval!$T$34)+FH85)*1000000/H2_retrieval!$T$8)+h2_regen_lng,"")</f>
        <v>5630.5861299418912</v>
      </c>
      <c r="FK85" s="149">
        <f>(lh2_invest*(M85+1/lh2_lifetime)/lh2_prod+lh2_opex+lh2_e_demand*1000*$AU85/100+Carriers!$AD$18/Carriers!$AD$23*BD85)*(FM85+lh2_st_ab_losses)/1000000</f>
        <v>41105.226590153106</v>
      </c>
      <c r="FL85" s="28">
        <f>lh2_st_nl_cost*lh2_st_nl_demand/1000000+(lh2_st_invest*(M85+1/lh2_st_lifetime+lh2_st_opex)/(Storage!$Y$63/1000000)+lh2_st_e_demand*1000*$AU85/100)*(FM85+lh2_st_ab_losses)/1000000+((FM85+lh2_st_ab_losses)/365.25*short_st_duration_hrs/24)*(h2_short_st_invest*(1/gh2_short_st_lifetime+$M85+h2_short_st_opex)+h2_short_st_e_demand*1000*$AU85/100)/1000000</f>
        <v>50237.33064267318</v>
      </c>
      <c r="FM85" s="63">
        <f>Storage!$Y$57/((1-Shipping!$Z$37)^($F85/24/Shipping!$Z$44+0.5*Shipping!$Z$59))</f>
        <v>13832334.789260153</v>
      </c>
      <c r="FN85" s="28">
        <f>IF($E85="","No Port",IF(G85="Panama","Ship cannot pass through Panama",((F85/24/Shipping!$Z$44+F85/24/Shipping!$Z$50+Shipping!$Z$59+Shipping!$Z$64)*(Shipping!$Z$22+wacc_nl*Shipping!$Z$19/365.25*1000000+Shipping!$Z$35)+(F85/24/Shipping!$Z$44*Shipping!$Z$45+Shipping!$Z$64*Shipping!$Z$65)*IF(bunker_choice="HFO",$H85,IF(bunker_choice="hydrogen",$BD85*hfo_e_density_lhv/h2_e_density_lhv,(FK85+FL85)*1000000/FM85*hfo_e_density_lhv/lh2_e_density_lhv))+(F85/24/Shipping!$Z$50*Shipping!$Z$51+Shipping!$Z$59*Shipping!$Z$60)*IF(bunker_choice="HFO",bunker_price_ROT,IF(bunker_choice="hydrogen",$BD85*hfo_e_density_lhv/h2_e_density_lhv,(FK85+FL85)*1000000/FM85*hfo_e_density_lhv/lh2_e_density_lhv))+Shipping!$Z$73+IF(G85="Panama",Shipping!$Z$55,0)+IF(G85="Suez",Shipping!$Z$56,0))/Shipping!$Z$31*(FM85+lh2_st_ab_losses)/1000000)+IF(inland_transport_to_port="hv dc grid",$BM85/100*1000*FP85,IF(inland_transport_to_port="pipeline",$BN85,0)))</f>
        <v>3452.6854514294787</v>
      </c>
      <c r="FO85" s="28">
        <f t="shared" si="128"/>
        <v>94795.242684255762</v>
      </c>
      <c r="FP85" s="29">
        <f>((Carriers!$AD$18/Carriers!$AD$23*alk_el_e_demand)+lh2_e_demand)*(FM85+lh2_st_ab_losses)/1000000+lh2_st_e_demand*FM85/1000000</f>
        <v>801.57626740448882</v>
      </c>
      <c r="FQ85" s="100">
        <f t="shared" si="110"/>
        <v>1.361902463475859</v>
      </c>
      <c r="FR85" s="28">
        <f>IFERROR(FO85*1000000/Storage!$Y$12,"")</f>
        <v>6970.2384326658657</v>
      </c>
      <c r="FS85" s="100">
        <f>H2_retrieval!$V$25*h2_demand_kt/1000</f>
        <v>8.16</v>
      </c>
      <c r="FT85" s="28">
        <f>IFERROR(FR85*(1+H2_retrieval!$V$34)/Carrier_properties!$U$7+H2_retrieval!$V$38,"")</f>
        <v>7002.2071585343328</v>
      </c>
      <c r="FU85" s="12"/>
      <c r="FV85" s="24">
        <f t="shared" si="129"/>
        <v>1.8699255626487159</v>
      </c>
      <c r="FW85" s="24" t="str">
        <f t="shared" si="92"/>
        <v/>
      </c>
      <c r="FX85" s="24">
        <f t="shared" si="93"/>
        <v>7.1612344231515674</v>
      </c>
      <c r="FY85" s="24">
        <f t="shared" si="130"/>
        <v>1.8699255626487159</v>
      </c>
      <c r="FZ85" s="28">
        <f t="shared" si="94"/>
        <v>2156.2742652679217</v>
      </c>
      <c r="GA85" s="28">
        <f t="shared" si="137"/>
        <v>506.41242433740808</v>
      </c>
      <c r="GB85" s="28">
        <f t="shared" si="138"/>
        <v>334.21757152471031</v>
      </c>
      <c r="GC85" s="28">
        <f t="shared" si="139"/>
        <v>566.14577893153273</v>
      </c>
      <c r="GD85" s="28">
        <f t="shared" si="140"/>
        <v>826.72380671319434</v>
      </c>
      <c r="GE85" s="28">
        <f t="shared" si="141"/>
        <v>1444.1462005699154</v>
      </c>
      <c r="GF85" s="28">
        <f t="shared" si="142"/>
        <v>1518.0421052692864</v>
      </c>
      <c r="GG85" s="12"/>
      <c r="GH85" s="12"/>
      <c r="GI85" s="12"/>
      <c r="GJ85" s="12"/>
      <c r="GK85" s="12"/>
      <c r="GL85" s="12"/>
      <c r="GM85" s="12"/>
      <c r="GN85" s="12"/>
      <c r="GO85" s="12"/>
      <c r="GP85" s="12"/>
      <c r="GQ85" s="12"/>
      <c r="GR85" s="12"/>
      <c r="GS85" s="12"/>
      <c r="GT85" s="12"/>
      <c r="GU85" s="12"/>
      <c r="GV85" s="12"/>
      <c r="GW85" s="12"/>
      <c r="GX85" s="12"/>
      <c r="GY85" s="12"/>
      <c r="GZ85" s="12"/>
      <c r="HA85" s="12"/>
      <c r="HB85" s="12"/>
      <c r="HC85" s="12"/>
      <c r="HD85" s="12"/>
      <c r="HE85" s="12"/>
      <c r="HF85" s="12"/>
    </row>
    <row r="86" spans="1:214" x14ac:dyDescent="0.2">
      <c r="A86" s="154" t="s">
        <v>237</v>
      </c>
      <c r="B86" s="12">
        <v>1705</v>
      </c>
      <c r="C86" s="12">
        <v>1</v>
      </c>
      <c r="D86" s="12">
        <f t="shared" si="111"/>
        <v>0</v>
      </c>
      <c r="E86" s="12"/>
      <c r="F86" s="12"/>
      <c r="G86" s="12"/>
      <c r="H86" s="16">
        <f t="shared" si="112"/>
        <v>382.75862068965517</v>
      </c>
      <c r="I86" s="16">
        <v>25430</v>
      </c>
      <c r="J86" s="16">
        <f t="shared" si="113"/>
        <v>89.97010840081164</v>
      </c>
      <c r="K86" s="16" t="str">
        <f t="shared" si="114"/>
        <v/>
      </c>
      <c r="L86" s="103">
        <v>0.114</v>
      </c>
      <c r="M86" s="103">
        <f t="shared" si="115"/>
        <v>0.12204453292768455</v>
      </c>
      <c r="N86" s="122">
        <f t="shared" si="116"/>
        <v>0.9</v>
      </c>
      <c r="O86" s="46">
        <f t="shared" si="117"/>
        <v>40</v>
      </c>
      <c r="P86" s="70">
        <f t="array" ref="P86">SUMPRODUCT(IF(Solar_data!A$4:A$777=A86,Solar_data!C$4:C$777),IF(Solar_data!A$4:A$777=A86,Solar_data!I$4:I$777))/SUMIF(Solar_data!A$4:A$777,A86,Solar_data!I$4:I$777)</f>
        <v>1640.2462990374484</v>
      </c>
      <c r="Q86" s="16">
        <f t="array" ref="Q86">MAX(IF(Solar_data!$A$777:'Solar_data'!$A$4=Country_details!$A86,Solar_data!$C$4:'Solar_data'!$C$777))</f>
        <v>1733.75</v>
      </c>
      <c r="R86" s="16">
        <f t="array" ref="R86">MIN(IF(Solar_data!$A$777:'Solar_data'!$A$4=Country_details!A86,Solar_data!$C$4:'Solar_data'!$C$777))</f>
        <v>1551.25</v>
      </c>
      <c r="S86" s="24">
        <f t="shared" si="95"/>
        <v>2.7003366725813831</v>
      </c>
      <c r="T86" s="24">
        <f t="shared" si="96"/>
        <v>2.5547035232050241</v>
      </c>
      <c r="U86" s="24">
        <f t="shared" si="97"/>
        <v>2.8552568788762041</v>
      </c>
      <c r="V86" s="16">
        <f t="array" ref="V86">SUM(IF(Solar_data!$A$777:'Solar_data'!$A$4=Country_details!$A86,Solar_data!$I$4:'Solar_data'!$I$777))</f>
        <v>166.57524882149659</v>
      </c>
      <c r="W86" s="148"/>
      <c r="X86" s="16" t="str">
        <f>IFERROR(INDEX(Onshore_wind_data!$J$5:'Onshore_wind_data'!$J$221,MATCH(A86,Onshore_wind_data!$B$5:'Onshore_wind_data'!$B$221,0)),"")</f>
        <v/>
      </c>
      <c r="Y86" s="16" t="str">
        <f>IFERROR(INDEX(Onshore_wind_data!$K$5:'Onshore_wind_data'!$K$221,MATCH(A86,Onshore_wind_data!$B$5:'Onshore_wind_data'!$B$221,0)),"")</f>
        <v/>
      </c>
      <c r="Z86" s="16" t="str">
        <f>IFERROR(INDEX(Onshore_wind_data!$L$5:'Onshore_wind_data'!$L$221,MATCH(A86,Onshore_wind_data!$B$5:'Onshore_wind_data'!$B$221,0)),"")</f>
        <v/>
      </c>
      <c r="AA86" s="24" t="str">
        <f t="shared" si="118"/>
        <v/>
      </c>
      <c r="AB86" s="24" t="str">
        <f t="shared" si="119"/>
        <v/>
      </c>
      <c r="AC86" s="24" t="str">
        <f t="shared" si="120"/>
        <v/>
      </c>
      <c r="AD86" s="16">
        <f>IFERROR(INDEX(Onshore_wind_data!$I$5:'Onshore_wind_data'!$I$221,MATCH(A86,Onshore_wind_data!$B$5:'Onshore_wind_data'!$B$221,0)),"")</f>
        <v>0</v>
      </c>
      <c r="AE86" s="148"/>
      <c r="AF86" s="16" t="str">
        <f>INDEX(Offshore_wind_data!$AA$7:$AA$192,MATCH(Country_details!A86,Offshore_wind_data!$A$7:$A$192,0))</f>
        <v/>
      </c>
      <c r="AG86" s="16" t="str">
        <f>INDEX(Offshore_wind_data!$Y$7:$Y$192,MATCH(Country_details!A86,Offshore_wind_data!$A$7:$A$192,0))</f>
        <v/>
      </c>
      <c r="AH86" s="16" t="str">
        <f>INDEX(Offshore_wind_data!$Z$7:$Z$192,MATCH(Country_details!A86,Offshore_wind_data!$A$7:$A$192,0))</f>
        <v/>
      </c>
      <c r="AI86" s="24" t="str">
        <f t="shared" si="98"/>
        <v/>
      </c>
      <c r="AJ86" s="24" t="str">
        <f t="shared" si="99"/>
        <v/>
      </c>
      <c r="AK86" s="24" t="str">
        <f t="shared" si="100"/>
        <v/>
      </c>
      <c r="AL86" s="16">
        <f>INDEX(Offshore_wind_data!$W$7:$W$191,MATCH(A86,Offshore_wind_data!$A$7:$A$191,0))</f>
        <v>0</v>
      </c>
      <c r="AM86" s="148"/>
      <c r="AN86" s="12">
        <v>2.1</v>
      </c>
      <c r="AO86" s="12">
        <v>1.9</v>
      </c>
      <c r="AP86" s="34">
        <f>1.349*11.63</f>
        <v>15.688870000000001</v>
      </c>
      <c r="AQ86" s="15">
        <f t="shared" si="101"/>
        <v>50</v>
      </c>
      <c r="AR86" s="12">
        <f t="shared" si="131"/>
        <v>95</v>
      </c>
      <c r="AS86" s="16">
        <f t="shared" si="121"/>
        <v>71.575248821496587</v>
      </c>
      <c r="AT86" s="12"/>
      <c r="AU86" s="24">
        <f t="shared" si="122"/>
        <v>2.7003366725813831</v>
      </c>
      <c r="AV86" s="16">
        <f t="shared" si="123"/>
        <v>1640.2462990374484</v>
      </c>
      <c r="AW86" s="149">
        <f>HV_DC_Grid!$E$3/(1-AX86)*AU86/100*1000</f>
        <v>2831.9134089430868</v>
      </c>
      <c r="AX86" s="31">
        <f>(1-(1-HV_DC_Grid!$E$25)^(B86*C86*HV_DC_Grid!$E$8/1000))+(1-(1-HV_DC_Grid!$E$26)^(B86*D86*HV_DC_Grid!$E$8/1000))+HV_DC_Grid!$E$35*HV_DC_Grid!$E$28</f>
        <v>4.64621326154213E-2</v>
      </c>
      <c r="AY86" s="28">
        <f>B86*nl_e_demand/IF(hv_dc_flh="electricity FLH",$AV86,hv_dc_custom)*1000*hv_dc_capacity_multiplier*hv_dc_length_multiplier*1000*(C86*hv_dc_overhead_invest*(hv_dc_overhead_opex+M86+1/hv_dc_lifetime)+D86*hv_dc_sea_invest*(hv_dc_sea_opex+M86+1/hv_dc_lifetime))/1000000+HV_DC_Grid!$E$10*1000*hv_dc_station_invest*hv_dc_station_number*(hv_dc_station_opex+M86+1/hv_dc_lifetime)/1000000</f>
        <v>1828.3752701572748</v>
      </c>
      <c r="AZ86" s="24">
        <f>(AW86+AY86)/(HV_DC_Grid!$E$3*1000)*100</f>
        <v>4.6602886791003622</v>
      </c>
      <c r="BA86" s="28">
        <f>MIN(((Carriers!$F$26+Carriers!$F$27)*(alk_el_opex+wacc_nl+1/alk_el_lifetime)+IF(hv_dc_flh="electricity FLH",$AV86,hv_dc_custom)*AZ86/100)/(IF(hv_dc_flh="electricity FLH",$AV86,hv_dc_custom)/alk_el_e_demand)*1000,((Carriers!$H$26+Carriers!$H$27)*(pem_el_opex+wacc_nl+1/pem_el_lifetime)+IF(hv_dc_flh="electricity FLH",$AV86,hv_dc_custom)*AZ86/100)/(IF(hv_dc_flh="electricity FLH",$AV86,hv_dc_custom)/pem_el_e_demand)*1000)</f>
        <v>2718.0367043209999</v>
      </c>
      <c r="BB86" s="12"/>
      <c r="BC86" s="12"/>
      <c r="BD86" s="149">
        <f>MIN(((Carriers!$F$26+Carriers!$F$27)*(alk_el_opex+M86+1/alk_el_lifetime)+$AV86*$AU86/100)/($AV86/alk_el_e_demand)*1000,((Carriers!$H$26+Carriers!$H$27)*(pem_el_opex+M86+1/pem_el_lifetime)+$AV86*$AU86/100)/($AV86/pem_el_e_demand)*1000)</f>
        <v>3419.1756704504969</v>
      </c>
      <c r="BE86" s="28">
        <f>Storage!$AC$50</f>
        <v>8.1664117557772418</v>
      </c>
      <c r="BF86" s="28">
        <f>((Pipeline!$D$22*Pipeline!$D$24*B86*(pipeline_opex+M86+1/pipeline_lifetime))*(Pipeline!$D$39/Pipeline!$D$3)+(Pipeline!$D$57*(pipeline_comp_opex+M86+1/pipeline_comp_lifetime)+Pipeline!$D$47*1000*Pipeline!$D$45*$AU86/100/1000000))*(Pipeline!$D$75/Pipeline!$D$45)</f>
        <v>3838.7161918125162</v>
      </c>
      <c r="BG86" s="28">
        <f>BD86+(BE86+BF86)/Storage!$AC$12*1000000</f>
        <v>3702.0346854187537</v>
      </c>
      <c r="BH86" s="28"/>
      <c r="BI86" s="28"/>
      <c r="BJ86" s="28" t="str">
        <f>IF($E86="","No Port",BK86*HV_DC_Grid!$E$3*$AU86/100*1000)</f>
        <v>No Port</v>
      </c>
      <c r="BK86" s="31" t="str">
        <f>IFERROR((1-(1-HV_DC_Grid!$E$25)^(K86*HV_DC_Grid!$E$8/1000))+HV_DC_Grid!$E$35*HV_DC_Grid!$E$28,"")</f>
        <v/>
      </c>
      <c r="BL86" s="28" t="str">
        <f>IFERROR(K86*nl_e_demand/IF(hv_dc_flh="electricity FLH",$AV86,hv_dc_custom)*1000*hv_dc_capacity_multiplier*hv_dc_length_multiplier*1000*(hv_dc_overhead_invest*(hv_dc_overhead_opex+M86+1/hv_dc_lifetime))/1000000+HV_DC_Grid!$E$10*1000*hv_dc_station_invest*hv_dc_station_number*(hv_dc_station_opex+M86+1/hv_dc_lifetime)/1000000,"")</f>
        <v/>
      </c>
      <c r="BM86" s="29" t="str">
        <f>IFERROR((BJ86+BL86)/(HV_DC_Grid!$E$3*1000)*100,"")</f>
        <v/>
      </c>
      <c r="BN86" s="28" t="str">
        <f>IFERROR(((Pipeline!$D$22*Pipeline!$D$24*K86*(pipeline_opex+M86+1/pipeline_lifetime))*(Pipeline!$D$39/Pipeline!$D$3)+(Pipeline!$D$57*(pipeline_comp_opex+M86+1/pipeline_comp_lifetime)+Pipeline!$D$47*1000*Pipeline!$D$45*S86/100/1000000))*(Pipeline!$D$75/Pipeline!$D$45),"")</f>
        <v/>
      </c>
      <c r="BO86" s="28"/>
      <c r="BP86" s="150">
        <f t="shared" si="124"/>
        <v>112.3741181630399</v>
      </c>
      <c r="BQ86" s="34">
        <f t="shared" si="125"/>
        <v>33.459873546348405</v>
      </c>
      <c r="BR86" s="151">
        <f>(nh3_invest*(M86+1/nh3_lifetime)/nh3_prod+nh3_opex+nh3_e_demand*1000*$AU86/100+Carriers!$N$18/Carriers!$N$23*BD86+Carriers!$N$19/Carriers!$N$23*BQ86)*(BT86+nh3_st_ab_losses)/1000000</f>
        <v>57679.429998990308</v>
      </c>
      <c r="BS86" s="63">
        <f>nh3_st_nl_cost*nh3_st_nl_demand/1000000+(nh3_st_invest*(M86+1/nh3_st_lifetime+nh3_st_opex)/(Storage!$G$63/1000000)+nh3_st_e_demand*1000*$AU86/100)*(BT86+nh3_st_ab_losses)/1000000+Carriers!$N$18/Carriers!$N$23*((BT86+nh3_st_ab_losses)/365.25*short_st_duration_hrs/24)*(h2_short_st_invest*(1/gh2_short_st_lifetime+$M86+h2_short_st_opex)+h2_short_st_e_demand*1000*$AU86/100)/1000000+Carriers!$N$19/Carriers!$N$23*((BT86+nh3_st_ab_losses)/365.25*short_st_duration_hrs/24)*(n2_short_st_invest*(1/n2_short_st_lifetime+$M86+n2_short_st_opex)+n2_short_st_e_demand*1000*$AU86/100)/1000000</f>
        <v>3339.9747964704029</v>
      </c>
      <c r="BT86" s="63">
        <f>Storage!$G$57/((1-Shipping!$H$37)^(F86/24/Shipping!$H$44+0.5*Shipping!$H$59))</f>
        <v>76857210.785724297</v>
      </c>
      <c r="BU86" s="63" t="str">
        <f>IF($E86="","No Port",((F86/24/Shipping!$H$44+F86/24/Shipping!$H$50+Shipping!$H$59+Shipping!$H$64)*(Shipping!$H$22+wacc_nl*Shipping!$H$19/365.25*1000000+Shipping!$H$35)+(F86/24/Shipping!$H$44*Shipping!$H$45+Shipping!$H$64*Shipping!$H$65)*IF(bunker_choice="HFO",H86,IF(bunker_choice="hydrogen",BD86*hfo_e_density_lhv/h2_e_density_lhv,(BR86+BS86)*1000000/BT86*hfo_e_density_lhv/nh3_e_density_lhv))+(F86/24/Shipping!$H$50*Shipping!$H$51+Shipping!$H$59*Shipping!$H$60)*IF(bunker_choice="HFO",bunker_price_ROT,IF(bunker_choice="hydrogen",BD86*hfo_e_density_lhv/h2_e_density_lhv,(BR86+BS86)*1000000/BT86*hfo_e_density_lhv/nh3_e_density_lhv))+Shipping!$H$73+IF(G86="Panama",Shipping!$H$55,0)+IF(G86="Suez",Shipping!$H$56,0))/Shipping!$H$31*BT86/1000000+IF(inland_transport_to_port="hv dc grid",$BM86/100*1000*BW86,IF(inland_transport_to_port="pipeline",$BN86,0)))</f>
        <v>No Port</v>
      </c>
      <c r="BV86" s="63" t="str">
        <f t="shared" si="126"/>
        <v/>
      </c>
      <c r="BW86" s="33">
        <f>((Carriers!$N$18/Carriers!$N$23*alk_el_e_demand)+(Carriers!$N$19/Carriers!$N$23*n2_e_demand)+nh3_e_demand)*(BT86+nh3_st_ab_losses)/1000000+nh3_st_e_demand*BT86/1000000</f>
        <v>759.00171168026975</v>
      </c>
      <c r="BX86" s="33">
        <f t="shared" si="102"/>
        <v>0.76626754477640768</v>
      </c>
      <c r="BY86" s="63" t="str">
        <f>IFERROR(BV86*1000000/Storage!$G$12,"")</f>
        <v/>
      </c>
      <c r="BZ86" s="63">
        <f>H2_retrieval!$F$25*h2_demand_kt/1000</f>
        <v>80</v>
      </c>
      <c r="CA86" s="63" t="str">
        <f>IFERROR(BY86*(1+H2_retrieval!$F$34)/Carrier_properties!$E$7+H2_retrieval!$F$38,"")</f>
        <v/>
      </c>
      <c r="CB86" s="149">
        <f>(FA_invest*(M86+1/FA_lifetime)/FA_prod+FA_opex+FA_e_demand*1000*$AU86/100+Carriers!$P$18/Carriers!$P$23*BD86+Carriers!$P$20/Carriers!$P$23*co2_liq_cost)*(CF86+FA_st_ab_losses)/1000000</f>
        <v>114336.95521385477</v>
      </c>
      <c r="CC86" s="86">
        <f>(FA_invest*(M86+1/FA_lifetime)/FA_prod+FA_opex+FA_e_demand*1000*$AU86/100+Carriers!$P$18/Carriers!$P$23*BD86+Carriers!$P$20/Carriers!$P$23*BP86)*(CF86+FA_st_ab_losses)/1000000</f>
        <v>141424.57056710601</v>
      </c>
      <c r="CD86" s="63">
        <f>FA_st_nl_cost*FA_st_nl_demand/1000000+(FA_st_invest*(M86+1/FA_st_lifetime+FA_st_opex)/(Storage!$I$63/1000000)+FA_st_e_demand*1000*$AU86/100)*(CF86+FA_st_ab_losses)/1000000+co2_st_nl_cost*Storage!$I$12*co2_density/FA_density/1000000+(co2_st_opex_lev+co2_st_invest_lev+co2_st_e_demand*1000*$AU86/100)*Storage!$I$12/1000000+co2_st_invest_lev*Storage!$I$12*co2_st_lifetime*M86/1000000+Carriers!$P$18/Carriers!$P$23*((CF86+FA_st_ab_losses)/365.25*short_st_duration_hrs/24)*(h2_short_st_invest*(1/gh2_short_st_lifetime+$M86+h2_short_st_opex)+h2_short_st_e_demand*1000*$AU86/100)/1000000+Carriers!$P$20/Carriers!$P$23*((CF86+FA_st_ab_losses)/365.25*short_st_duration_hrs/24)*(co2_short_st_invest*(1/co2_short_st_lifetime+$M86+co2_short_st_opex)+co2_short_st_e_demand*1000*$AU86/100)/1000000</f>
        <v>11690.089358941297</v>
      </c>
      <c r="CE86" s="63">
        <f>FA_st_nl_cost*FA_st_nl_demand/1000000+(FA_st_invest*(M86+1/FA_st_lifetime+FA_st_opex)/(Storage!$I$63/1000000)+FA_st_e_demand*1000*$AU86/100)*(CF86+FA_st_ab_losses)/1000000+Carriers!$P$18/Carriers!$P$23*((CF86+FA_st_ab_losses)/365.25*short_st_duration_hrs/24)*(h2_short_st_invest*(1/gh2_short_st_lifetime+$M86+h2_short_st_opex)+h2_short_st_e_demand*1000*$AU86/100)/1000000+Carriers!$P$20/Carriers!$P$23*((CF86+FA_st_ab_losses)/365.25*short_st_duration_hrs/24)*(co2_short_st_invest*(1/co2_short_st_lifetime+$M86+co2_short_st_opex)+co2_short_st_e_demand*1000*$AU86/100)/1000000</f>
        <v>5041.4144641690036</v>
      </c>
      <c r="CF86" s="63">
        <f>Storage!$I$57/((1-Shipping!$J$37)^($F86/24/Shipping!$J$44+0.5*Shipping!$J$59))</f>
        <v>310425396.82539684</v>
      </c>
      <c r="CG86" s="28" t="str">
        <f>IF($E86="","No Port",((F86/24/Shipping!$J$44+F86/24/Shipping!$J$50+Shipping!$J$59+Shipping!$J$64)*(Shipping!$J$22+wacc_nl*Shipping!$J$19/365.25*1000000+Shipping!$J$35)+(F86/24/Shipping!$J$44*Shipping!$J$45+Shipping!$J$64*Shipping!$J$65)*IF(bunker_choice="HFO",$H86,IF(bunker_choice="hydrogen",$BD86*hfo_e_density_lhv/h2_e_density_lhv,(CB86+CD86)*1000000/CF86*hfo_e_density_lhv/FA_e_density_lhv))+(F86/24/Shipping!$J$50*Shipping!$J$51+Shipping!$J$59*Shipping!$J$60)*IF(bunker_choice="HFO",bunker_price_ROT,IF(bunker_choice="hydrogen",$BD86*hfo_e_density_lhv/h2_e_density_lhv,(CB86+CD86)*1000000/CF86*hfo_e_density_lhv/FA_e_density_lhv))+Shipping!$J$73+IF(G86="Panama",Shipping!$J$55,0)+IF(G86="Suez",Shipping!$J$56,0))/Shipping!$J$31*CF86/1000000+IF(inland_transport_to_port="hv dc grid",$BM86/100*1000*CI86,IF(inland_transport_to_port="pipeline",$BN86,0)))</f>
        <v>No Port</v>
      </c>
      <c r="CH86" s="28" t="str">
        <f t="shared" si="132"/>
        <v/>
      </c>
      <c r="CI86" s="29">
        <f>((Carriers!$P$18/Carriers!$P$23*alk_el_e_demand)+FA_e_demand)*(CF86+FA_st_ab_losses)/1000000+FA_st_e_demand*CF86/1000000</f>
        <v>1897.8881241622576</v>
      </c>
      <c r="CJ86" s="29">
        <f t="shared" si="103"/>
        <v>0.46563809523809524</v>
      </c>
      <c r="CK86" s="28" t="str">
        <f>IFERROR(CH86*1000000/Storage!$I$12,"")</f>
        <v/>
      </c>
      <c r="CL86" s="28" t="str">
        <f>IF($E86="","No Port",((F86/24/Shipping!$J$44+F86/24/Shipping!$J$50+Shipping!$J$59+Shipping!$J$64)*Carriers!$P$39*wacc_nl))</f>
        <v>No Port</v>
      </c>
      <c r="CM86" s="29">
        <f>H2_retrieval!$H$25*h2_demand_kt/1000+(co2_liq_e_demand+co2_st_e_demand*2)*Storage!$I$12*co2_density/FA_density/1000000</f>
        <v>94.204253879484654</v>
      </c>
      <c r="CN86" s="28" t="str">
        <f>IFERROR((((CB86+CD86+CG86)*(1+H2_retrieval!$H$34)+CL86)*1000000/H2_retrieval!$H$8)+h2_regen_fa,"")</f>
        <v/>
      </c>
      <c r="CO86" s="149">
        <f>(meoh_invest*(M86+1/meoh_lifetime)/meoh_prod+meoh_opex+meoh_e_demand*1000*$AU86/100+Carriers!$R$18/Carriers!$R$23*BD86+Carriers!$R$20/Carriers!$R$23*co2_liq_cost)*(CS86+meoh_st_ab_losses)/1000000</f>
        <v>74438.163623127155</v>
      </c>
      <c r="CP86" s="86">
        <f>(meoh_invest*(M86+1/meoh_lifetime)/meoh_prod+meoh_opex+meoh_e_demand*1000*$AU86/100+Carriers!$R$18/Carriers!$R$23*BD86+Carriers!$R$20/Carriers!$R$23*BP86)*(CS86+meoh_st_ab_losses)/1000000</f>
        <v>90339.430079916128</v>
      </c>
      <c r="CQ86" s="63">
        <f>meoh_st_nl_cost*meoh_st_nl_demand/1000000+(meoh_st_invest*(M86+1/meoh_st_lifetime+meoh_st_opex)/(Storage!$K$63/1000000)+meoh_st_e_demand*1000*$AU86/100)*(CS86+meoh_st_ab_losses)/1000000+co2_st_nl_cost*Storage!$K$12*co2_density/meoh_density/1000000+(co2_st_opex_lev+co2_st_invest_lev+co2_st_e_demand*1000*IFERROR(MIN(S86,AA86,AI86),S86)/100)*Storage!$K$12/1000000+co2_st_invest_lev*Storage!$K$12*co2_st_lifetime*M86/1000000+Carriers!$R$18/Carriers!$R$23*((CS86+meoh_st_ab_losses)/365.25*short_st_duration_hrs/24)*(h2_short_st_invest*(1/gh2_short_st_lifetime+$M86+h2_short_st_opex)+h2_short_st_e_demand*1000*$AU86/100)/1000000+Carriers!$R$20/Carriers!$R$23*((CF86+meoh_st_ab_losses)/365.25*short_st_duration_hrs/24)*(co2_short_st_invest*(1/co2_short_st_lifetime+$M86+co2_short_st_opex)+co2_short_st_e_demand*1000*$AU86/100)/1000000</f>
        <v>4896.3030146120655</v>
      </c>
      <c r="CR86" s="63">
        <f>meoh_st_nl_cost*meoh_st_nl_demand/1000000+(meoh_st_invest*(M86+1/meoh_st_lifetime+meoh_st_opex)/(Storage!$K$63/1000000)+meoh_st_e_demand*1000*$AU86/100)*(CS86+meoh_st_ab_losses)/1000000+Carriers!$R$18/Carriers!$R$23*((CS86+meoh_st_ab_losses)/365.25*short_st_duration_hrs/24)*(h2_short_st_invest*(1/gh2_short_st_lifetime+$M86+h2_short_st_opex)+h2_short_st_e_demand*1000*$AU86/100)/1000000+Carriers!$R$20/Carriers!$R$23*((CF86+meoh_st_ab_losses)/365.25*short_st_duration_hrs/24)*(co2_short_st_invest*(1/co2_short_st_lifetime+$M86+co2_short_st_opex)+co2_short_st_e_demand*1000*$AU86/100)/1000000</f>
        <v>1983.2153228783734</v>
      </c>
      <c r="CS86" s="63">
        <f>Storage!$K$57/((1-Shipping!$L$37)^($F86/24/Shipping!$L$44+0.5*Shipping!$L$59))</f>
        <v>108044444.44444443</v>
      </c>
      <c r="CT86" s="28" t="str">
        <f>IF($E86="","No Port",IF(AND(ship_choice="VLCC",G86="Panama"),"Ship cannot pass through Panama",IF(ship_choice="VLCC",((F86/24/Shipping!$AD$44+F86/24/Shipping!$AD$50+Shipping!$AD$59+Shipping!$AD$64)*(Shipping!$AD$22+wacc_nl*Shipping!$AD$19/365.25*1000000+Shipping!$AD$35)+(F86/24/Shipping!$AD$44*Shipping!$AD$45+Shipping!$AD$64*Shipping!$AD$65)*IF(bunker_choice="HFO",$H86,IF(bunker_choice="hydrogen",$BD86*hfo_e_density_lhv/h2_e_density_lhv,(CO86+CQ86)*1000000/CS86*hfo_e_density_lhv/meoh_e_density_lhv))+(F86/24/Shipping!$AD$50*Shipping!$AD$51+Shipping!$AD$59*Shipping!$AD$60)*IF(bunker_choice="HFO",bunker_price_ROT,IF(bunker_choice="hydrogen",$BD86*hfo_e_density_lhv/h2_e_density_lhv,(CO86+CQ86)*1000000/CS86*hfo_e_density_lhv/meoh_e_density_lhv))+Shipping!$AD$73+IF(G86="Panama",Shipping!$AD$55,0)+IF(G86="Suez",Shipping!$AD$56,0))/Shipping!$AD$31*CS86/1000000+IF(inland_transport_to_port="hv dc grid",$BM86/100*1000*CV86,IF(inland_transport_to_port="pipeline",$BN86,0)),((F86/24/Shipping!$L$44+F86/24/Shipping!$L$50+Shipping!$L$59+Shipping!$L$64)*(Shipping!$L$22+wacc_nl*Shipping!$L$19/365.25*1000000+Shipping!$L$35)+(F86/24/Shipping!$L$44*Shipping!$L$45+Shipping!$L$64*Shipping!$L$65)*IF(bunker_choice="HFO",$H86,IF(bunker_choice="hydrogen",$BD86*hfo_e_density_lhv/h2_e_density_lhv,(CO86+CQ86)*1000000/CS86*hfo_e_density_lhv/meoh_e_density_lhv))+(F86/24/Shipping!$L$50*Shipping!$L$51+Shipping!$L$59*Shipping!$L$60)*IF(bunker_choice="HFO",bunker_price_ROT,IF(bunker_choice="hydrogen",$BD86*hfo_e_density_lhv/h2_e_density_lhv,(CO86+CQ86)*1000000/CS86*hfo_e_density_lhv/meoh_e_density_lhv))+Shipping!$L$73+IF(G86="Panama",Shipping!$L$55,0)+IF(G86="Suez",Shipping!$L$56,0))/Shipping!$L$31*CS86/1000000+IF(inland_transport_to_port="hv dc grid",$BM86/100*1000*CV86,IF(inland_transport_to_port="pipeline",$BN86,0)))))</f>
        <v>No Port</v>
      </c>
      <c r="CU86" s="28" t="str">
        <f t="shared" si="133"/>
        <v/>
      </c>
      <c r="CV86" s="29">
        <f>((Carriers!$R$18/Carriers!$R$23*alk_el_e_demand)+meoh_e_demand)*(CS86+meoh_st_ab_losses)/1000000+meoh_st_e_demand*CS86/1000000</f>
        <v>1119.9789871111109</v>
      </c>
      <c r="CW86" s="29">
        <f t="shared" si="104"/>
        <v>0.16206666666666666</v>
      </c>
      <c r="CX86" s="28" t="str">
        <f>IFERROR(CU86*1000000/Storage!$K$12,"")</f>
        <v/>
      </c>
      <c r="CY86" s="28" t="str">
        <f>IF($E86="","No Port",((F86/24/Shipping!$L$44+F86/24/Shipping!$L$50+Shipping!$L$59+Shipping!$L$64)*Carriers!$R$39*wacc_nl))</f>
        <v>No Port</v>
      </c>
      <c r="CZ86" s="29">
        <f>H2_retrieval!$J$25*h2_demand_kt/1000+(co2_liq_e_demand+co2_st_e_demand*2)*Storage!$K$12*co2_density/meoh_density/1000000</f>
        <v>251.05079059698966</v>
      </c>
      <c r="DA86" s="28" t="str">
        <f>IFERROR((((CO86+CQ86+CT86)*(1+H2_retrieval!$J$34)+CY86)*1000000/H2_retrieval!$J$8)+h2_regen_meoh,"")</f>
        <v/>
      </c>
      <c r="DB86" s="149">
        <f>(DBT_invest*(M86+1/DBT_lifetime)/DBT_prod+DBT_opex+DBT_e_demand*1000*$AU86/100+Carriers!$T$18/Carriers!$T$23*BD86)*(DD86+DBT_st_ab_losses)/1000000</f>
        <v>49733.246297499965</v>
      </c>
      <c r="DC86" s="28">
        <f>2*(DBT_st_nl_cost*DBT_st_nl_demand/1000000+(DBT_st_invest*(M86+1/DBT_st_lifetime+DBT_st_opex)/(Storage!$M$63/1000000)+DBT_st_e_demand*1000*$AU86/100)*(DD86+DBT_st_ab_losses)/1000000)+Carriers!$T$18/Carriers!$T$23*((DD86+DBT_st_ab_losses)/365.25*short_st_duration_hrs/24)*(h2_short_st_invest*(1/gh2_short_st_lifetime+$M86+h2_short_st_opex)+h2_short_st_e_demand*1000*$AU86/100)/1000000</f>
        <v>4099.3814187274356</v>
      </c>
      <c r="DD86" s="63">
        <f>Storage!$M$57/((1-Shipping!$N$37)^($F86/24/Shipping!$N$44+0.5*Shipping!$N$59))</f>
        <v>219354838.70967743</v>
      </c>
      <c r="DE86" s="28" t="str">
        <f>IF($E86="","No Port",IF(AND(ship_choice="VLCC",G86="Panama"),"Ship cannot pass through Panama",IF(ship_choice="VLCC",((F86/24/Shipping!$AD$44+F86/24/Shipping!$AD$50+Shipping!$AD$59+Shipping!$AD$64)*(Shipping!$AD$22+wacc_nl*Shipping!$AD$19/365.25*1000000+Shipping!$AD$35)+(F86/24/Shipping!$AD$44*Shipping!$AD$45+Shipping!$AD$64*Shipping!$AD$65)*IF(bunker_choice="HFO",$H86,IF(bunker_choice="hydrogen",$BD86*hfo_e_density_lhv/h2_e_density_lhv,(DB86+DC86)*1000000/DD86*hfo_e_density_lhv/DBT_e_density_lhv))+(F86/24/Shipping!$AD$50*Shipping!$AD$51+Shipping!$AD$59*Shipping!$AD$60)*IF(bunker_choice="HFO",bunker_price_ROT,IF(bunker_choice="hydrogen",$BD86*hfo_e_density_lhv/h2_e_density_lhv,(DB86+DC86)*1000000/DD86*hfo_e_density_lhv/DBT_e_density_lhv))+Shipping!$AD$73+IF(G86="Panama",Shipping!$AD$55,0)+IF(G86="Suez",Shipping!$AD$56,0))/Shipping!$AD$31*DD86/1000000+IF(inland_transport_to_port="hv dc grid",$BM86/100*1000*DG86,IF(inland_transport_to_port="pipeline",$BN86,0)),((F86/24/Shipping!$N$44+F86/24/Shipping!$N$50+Shipping!$N$59+Shipping!$N$64)*(Shipping!$N$22+wacc_nl*Shipping!$N$19/365.25*1000000+Shipping!$N$35)+(F86/24/Shipping!$N$44*Shipping!$N$45+Shipping!$N$64*Shipping!$N$65)*IF(bunker_choice="HFO",$H86,IF(bunker_choice="hydrogen",$BD86*hfo_e_density_lhv/h2_e_density_lhv,(DB86+DC86)*1000000/DD86*hfo_e_density_lhv/DBT_e_density_lhv))+(F86/24/Shipping!$N$50*Shipping!$N$51+Shipping!$N$59*Shipping!$N$60)*IF(bunker_choice="HFO",bunker_price_ROT,IF(bunker_choice="hydrogen",$BD86*hfo_e_density_lhv/h2_e_density_lhv,(DB86+DC86)*1000000/DD86*hfo_e_density_lhv/DBT_e_density_lhv))+Shipping!$N$73+IF(G86="Panama",Shipping!$N$55,0)+IF(G86="Suez",Shipping!$N$56,0))/Shipping!$N$31*Shipping!$N$86/1000000+IF(inland_transport_to_port="hv dc grid",$BM86/100*1000*DG86,IF(inland_transport_to_port="pipeline",$BN86,0)))))</f>
        <v>No Port</v>
      </c>
      <c r="DF86" s="28" t="str">
        <f t="shared" si="82"/>
        <v/>
      </c>
      <c r="DG86" s="29">
        <f>((Carriers!$T$18/Carriers!$T$23*alk_el_e_demand)+DBT_e_demand)*(DD86+DBT_st_ab_losses)/1000000+DBT_st_e_demand*DD86/1000000</f>
        <v>703.88335483870969</v>
      </c>
      <c r="DH86" s="29">
        <f t="shared" si="105"/>
        <v>0.21935483870967742</v>
      </c>
      <c r="DI86" s="28" t="str">
        <f>IFERROR(DF86*1000000/Storage!$M$12,"")</f>
        <v/>
      </c>
      <c r="DJ86" s="28" t="str">
        <f>IF($E86="","No Port",((F86/24/Shipping!$N$44+F86/24/Shipping!$N$50+Shipping!$N$59+Shipping!$N$64)*Carriers!$T$39*wacc_nl))</f>
        <v>No Port</v>
      </c>
      <c r="DK86" s="100">
        <f>H2_retrieval!$L$25*h2_demand_kt/1000+(co2_liq_e_demand+co2_st_e_demand*2)*Storage!$M$12*co2_density/DBT_density/1000000</f>
        <v>206.61934861671787</v>
      </c>
      <c r="DL86" s="28" t="str">
        <f>IFERROR(((DF86*(1+H2_retrieval!$L$34)+DJ86)*1000000/H2_retrieval!$L$8)+h2_regen_lohc,"")</f>
        <v/>
      </c>
      <c r="DM86" s="149">
        <f t="shared" si="127"/>
        <v>51540.186925723683</v>
      </c>
      <c r="DN86" s="16">
        <f>2*(nabh4_st_nl_cost*nabh4_st_nl_demand/1000000+(nabh4_st_invest*(M86+1/nabh4_st_lifetime+nabh4_st_opex)/(Storage!$O$63/1000000)+nabh4_st_e_demand*1000*$AU86/100)*(DO86+nabh4_st_ab_losses)/1000000)+(h2_demand_kt*1000/365.25*short_st_duration_hrs/24)*(h2_short_st_invest*(1/gh2_short_st_lifetime+$M86+h2_short_st_opex)+h2_short_st_e_demand*1000*$AU86/100)/1000000</f>
        <v>1400.2385440014066</v>
      </c>
      <c r="DO86" s="63">
        <f>Storage!$O$57/((1-Shipping!$P$37)^($F86/24/Shipping!$P$44+0.5*Shipping!$P$59))</f>
        <v>63920000</v>
      </c>
      <c r="DP86" s="16" t="str">
        <f>IF($E86="","No Port",((F86/24/Shipping!$P$44+F86/24/Shipping!$P$50+Shipping!$P$59+Shipping!$P$64)*(Shipping!$P$22+wacc_nl*Shipping!$P$19/365.25*1000000+Shipping!$P$35)+(F86/24/Shipping!$P$44*Shipping!$P$45+Shipping!$P$64*Shipping!$P$65)*IF(bunker_choice="HFO",$H86,IF(bunker_choice="hydrogen",$BD86*hfo_e_density_lhv/h2_e_density_lhv,(DM86+DN86)*1000000/DO86*hfo_e_density_lhv/nabh4_e_density_lhv))+(F86/24/Shipping!$P$50*Shipping!$P$51+Shipping!$P$59*Shipping!$P$60)*IF(bunker_choice="HFO",bunker_price_ROT,IF(bunker_choice="hydrogen",$BD86*hfo_e_density_lhv/h2_e_density_lhv,(DM86+DN86)*1000000/DO86*hfo_e_density_lhv/nabh4_e_density_lhv))+Shipping!$P$73+IF(G86="Panama",Shipping!$P$55,0)+IF(G86="Suez",Shipping!$P$56,0))/Shipping!$P$31*(DO86+nabh4_st_ab_losses)/1000000+IF(inland_transport_to_port="hv dc grid",$BM86/100*1000*DR86,IF(inland_transport_to_port="pipeline",$BN86,0)))</f>
        <v>No Port</v>
      </c>
      <c r="DQ86" s="28" t="str">
        <f t="shared" si="60"/>
        <v/>
      </c>
      <c r="DR86" s="29">
        <f>((Carriers!$V$18/Carriers!$V$23*alk_el_e_demand)+nabh4_e_demand)*(DO86+nabh4_st_ab_losses)/1000000+nabh4_st_e_demand*DO86/1000000</f>
        <v>980.02139682539689</v>
      </c>
      <c r="DS86" s="28">
        <f t="shared" si="106"/>
        <v>3.1960000000000002</v>
      </c>
      <c r="DT86" s="28" t="str">
        <f>IFERROR(DQ86*1000000/Storage!$O$12,"")</f>
        <v/>
      </c>
      <c r="DU86" s="28" t="str">
        <f>IF($E86="","No Port",((F86/24/Shipping!$P$44+F86/24/Shipping!$P$50+Shipping!$P$59+Shipping!$P$64)*Carriers!$V$39*wacc_nl))</f>
        <v>No Port</v>
      </c>
      <c r="DV86" s="100">
        <f>H2_retrieval!$N$25*h2_demand_kt/1000+(co2_liq_e_demand+co2_st_e_demand*2)*Storage!$O$12*co2_density/nabh4_density/1000000</f>
        <v>18.783638728971958</v>
      </c>
      <c r="DW86" s="28" t="str">
        <f>IFERROR(((DQ86*(1+H2_retrieval!$N$34)+DU86)*1000000/H2_retrieval!$N$8)+h2_regen_nabh4,"")</f>
        <v/>
      </c>
      <c r="DX86" s="149">
        <f>(Dme_invest*(M86+1/Dme_lifetime)/Dme_prod+Dme_opex+Dme_e_demand*1000*$AU86/100+Carriers!$X$21/Carriers!$X$23*(CO86*1000000/CS86))*(EB86+Dme_st_ab_losses)/1000000</f>
        <v>104118.44525890669</v>
      </c>
      <c r="DY86" s="86">
        <f>(Dme_invest*(M86+1/Dme_lifetime)/Dme_prod+Dme_opex+Dme_e_demand*1000*$AU86/100+Carriers!$X$21/Carriers!$X$23*(CP86*1000000/CS86))*(EB86+Dme_st_ab_losses)/1000000</f>
        <v>125691.12120546364</v>
      </c>
      <c r="DZ86" s="63">
        <f>Dme_st_nl_cost*Dme_st_nl_demand/1000000+(Dme_st_invest*(M86+1/Dme_st_lifetime+Dme_st_opex)/(Storage!$Q$63/1000000)+Dme_st_e_demand*1000*$AU86/100)*(EB86+Dme_st_ab_losses)/1000000+co2_st_nl_cost*Storage!$Q$12*co2_density/Dme_density/1000000+(co2_st_opex_lev+co2_st_invest_lev+co2_st_e_demand*1000*$AU86/100)*Storage!$Q$12/1000000+co2_st_invest_lev*Storage!$Q$12*co2_st_lifetime*M86/1000000+(h2_demand_kt*1000/365.25*short_st_duration_hrs/24)*(h2_short_st_invest*(1/gh2_short_st_lifetime+$M86+h2_short_st_opex)+h2_short_st_e_demand*1000*$AU86/100)/1000000</f>
        <v>5902.1349551931853</v>
      </c>
      <c r="EA86" s="63">
        <f>Dme_st_nl_cost*Dme_st_nl_demand/1000000+(Dme_st_invest*(M86+1/Dme_st_lifetime+Dme_st_opex)/(Storage!$Q$63/1000000)+Dme_st_e_demand*1000*$AU86/100)*(EB86+Dme_st_ab_losses)/1000000+(h2_demand_kt*1000/365.25*short_st_duration_hrs/24)*(h2_short_st_invest*(1/gh2_short_st_lifetime+$M86+h2_short_st_opex)+h2_short_st_e_demand*1000*$AU86/100)/1000000</f>
        <v>2983.403964911764</v>
      </c>
      <c r="EB86" s="63">
        <f>Storage!$Q$57/((1-Shipping!$R$37)^($F86/24/Shipping!$R$44+0.5*Shipping!$R$59))</f>
        <v>103547089.94708996</v>
      </c>
      <c r="EC86" s="153" t="str">
        <f>IF($E86="","No Port",IF(AND(ship_choice="VLCC",G86="Panama"),"Ship cannot pass through Panama",IF(ship_choice="VLCC",((F86/24/Shipping!$AD$44+F86/24/Shipping!$AD$50+Shipping!$AD$59+Shipping!$AD$64)*(Shipping!$AD$22+wacc_nl*Shipping!$AD$19/365.25*1000000+Shipping!$AD$35)+(F86/24/Shipping!$AD$44*Shipping!$AD$45+Shipping!$AD$64*Shipping!$AD$65)*IF(bunker_choice="HFO",$H86,IF(bunker_choice="hydrogen",$BD86*hfo_e_density_lhv/h2_e_density_lhv,(DX86+DZ86)*1000000/EB86*hfo_e_density_lhv/Dme_e_density_lhv))+(F86/24/Shipping!$AD$50*Shipping!$AD$51+Shipping!$AD$59*Shipping!$AD$60)*IF(bunker_choice="HFO",bunker_price_ROT,IF(bunker_choice="hydrogen",$BD86*hfo_e_density_lhv/h2_e_density_lhv,(DX86+DZ86)*1000000/EB86*hfo_e_density_lhv/Dme_e_density_lhv))+Shipping!$AD$73+IF(G86="Panama",Shipping!$AD$55,0)+IF(G86="Suez",Shipping!$AD$56,0))/Shipping!$AD$31*(EB86+Dme_st_ab_losses)/1000000+IF(inland_transport_to_port="hv dc grid",$BM86/100*1000*EE86,IF(inland_transport_to_port="pipeline",$BN86,0)),((F86/24/Shipping!$R$44+F86/24/Shipping!$R$50+Shipping!$R$59+Shipping!$R$64)*(Shipping!$R$22+wacc_nl*Shipping!$R$19/365.25*1000000+Shipping!$R$35)+(F86/24/Shipping!$R$44*Shipping!$R$45+Shipping!$R$64*Shipping!$R$65)*IF(bunker_choice="HFO",$H86,IF(bunker_choice="hydrogen",$BD86*hfo_e_density_lhv/h2_e_density_lhv,(DX86+DZ86)*1000000/EB86*hfo_e_density_lhv/Dme_e_density_lhv))+(F86/24/Shipping!$R$50*Shipping!$R$51+Shipping!$R$59*Shipping!$R$60)*IF(bunker_choice="HFO",bunker_price_ROT,IF(bunker_choice="hydrogen",$BD86*hfo_e_density_lhv/h2_e_density_lhv,(DX86+DZ86)*1000000/EB86*hfo_e_density_lhv/Dme_e_density_lhv))+Shipping!$R$73+IF(G86="Panama",Shipping!$R$55,0)+IF(G86="Suez",Shipping!$R$56,0))/Shipping!$R$31*(EB86+Dme_st_ab_losses)/1000000+IF(inland_transport_to_port="hv dc grid",$BM86/100*1000*EE86,IF(inland_transport_to_port="pipeline",$BN86,0)))))</f>
        <v>No Port</v>
      </c>
      <c r="ED86" s="28" t="str">
        <f t="shared" si="134"/>
        <v/>
      </c>
      <c r="EE86" s="29">
        <f>(Dme_e_demand)*(EB86+Dme_st_ab_losses)/1000000+Dme_st_e_demand*DZ86/1000000+$CV86*(Carriers!$X$21/Carriers!$X$23*EB86)/$CS86</f>
        <v>1550.2168191884055</v>
      </c>
      <c r="EF86" s="29">
        <f t="shared" si="107"/>
        <v>1.0354708994708997</v>
      </c>
      <c r="EG86" s="28" t="str">
        <f>IFERROR(ED86*1000000/Storage!$Q$12,"")</f>
        <v/>
      </c>
      <c r="EH86" s="28" t="str">
        <f>IF($E86="","No Port",((F86/24/Shipping!$R$44+F86/24/Shipping!$R$50+Shipping!$R$59+Shipping!$R$64)*Carriers!$X$39*wacc_nl))</f>
        <v>No Port</v>
      </c>
      <c r="EI86" s="100">
        <f>H2_retrieval!$P$25*h2_demand_kt/1000+(co2_liq_e_demand+co2_st_e_demand*2)*Storage!$Q$12*co2_density/Dme_density/1000000</f>
        <v>252.45335899349112</v>
      </c>
      <c r="EJ86" s="28" t="str">
        <f>IFERROR((((DX86+DZ86+EC86)*(1+H2_retrieval!$P$34)+EH86)*1000000/H2_retrieval!$P$8)+h2_regen_dme,"")</f>
        <v/>
      </c>
      <c r="EK86" s="149">
        <f>(ome_invest*(M86+1/ome_lifetime)/ome_prod+ome_opex+ome_e_demand*1000*$AU86/100+Carriers!$Z$21/Carriers!$Z$23*(CO86*1000000/CS86))*(EO86+ome_st_ab_losses)/1000000</f>
        <v>225373.29202788317</v>
      </c>
      <c r="EL86" s="86">
        <f>(ome_invest*(M86+1/ome_lifetime)/ome_prod+ome_opex+ome_e_demand*1000*$AU86/100+Carriers!$Z$21/Carriers!$Z$23*(CP86*1000000/CS86))*(EO86+ome_st_ab_losses)/1000000</f>
        <v>270658.53824224387</v>
      </c>
      <c r="EM86" s="63">
        <f>ome_st_nl_cost*ome_st_nl_demand/1000000+(ome_st_invest*(M86+1/ome_st_lifetime+ome_st_opex)/(Storage!$S$63/1000000)+ome_st_e_demand*1000*$AU86/100)*(EO86+ome_st_ab_losses)/1000000+co2_st_nl_cost*Storage!$S$12*co2_density/ome_density/1000000+(co2_st_opex_lev+co2_st_invest_lev+co2_st_e_demand*1000*$AU86/100)*Storage!$S$12/1000000+co2_st_invest_lev*Storage!$S$12*co2_st_lifetime*M86/1000000+(h2_demand_kt*1000/365.25*short_st_duration_hrs/24)*(h2_short_st_invest*(1/gh2_short_st_lifetime+$M86+h2_short_st_opex)+h2_short_st_e_demand*1000*$AU86/100)/1000000</f>
        <v>5066.148926247698</v>
      </c>
      <c r="EN86" s="63">
        <f>ome_st_nl_cost*ome_st_nl_demand/1000000+(ome_st_invest*(M86+1/ome_st_lifetime+ome_st_opex)/(Storage!$S$63/1000000)+ome_st_e_demand*1000*$AU86/100)*(EO86+ome_st_ab_losses)/1000000+(h2_demand_kt*1000/365.25*short_st_duration_hrs/24)*(h2_short_st_invest*(1/gh2_short_st_lifetime+$M86+h2_short_st_opex)+h2_short_st_e_demand*1000*$AU86/100)/1000000</f>
        <v>1789.1559075629771</v>
      </c>
      <c r="EO86" s="63">
        <f>Storage!$S$57/((1-Shipping!$T$37)^($F86/24/Shipping!$T$44+0.5*Shipping!$T$59))</f>
        <v>128282539.68253967</v>
      </c>
      <c r="EP86" s="28" t="str">
        <f>IF($E86="","No Port",IF(AND(ship_choice="VLCC",G86="Panama"),"Ship cannot pass through Panama",IF(ship_choice="VLCC",((F86/24/Shipping!$AD$44+F86/24/Shipping!$AD$50+Shipping!$AD$59+Shipping!$AD$64)*(Shipping!$AD$22+wacc_nl*Shipping!$AD$19/365.25*1000000+Shipping!$AD$35)+(F86/24/Shipping!$AD$44*Shipping!$AD$45+Shipping!$AD$64*Shipping!$AD$65)*IF(bunker_choice="HFO",$H86,IF(bunker_choice="hydrogen",$BD86*hfo_e_density_lhv/h2_e_density_lhv,(EK86+EM86)*1000000/EO86*hfo_e_density_lhv/Dme_e_density_lhv))+(F86/24/Shipping!$AD$50*Shipping!$AD$51+Shipping!$AD$59*Shipping!$AD$60)*IF(bunker_choice="HFO",bunker_price_ROT,IF(bunker_choice="hydrogen",$BD86*hfo_e_density_lhv/h2_e_density_lhv,(EK86+EM86)*1000000/EO86*hfo_e_density_lhv/ome_e_density_lhv))+Shipping!$AD$73+IF(G86="Panama",Shipping!$AD$55,0)+IF(G86="Suez",Shipping!$AD$56,0))/Shipping!$AD$31*(EO86+ome_st_ab_losses)/1000000+IF(inland_transport_to_port="hv dc grid",$BM86/100*1000*ER86,IF(inland_transport_to_port="pipeline",$BN86,0)),((F86/24/Shipping!$T$44+F86/24/Shipping!$T$50+Shipping!$T$59+Shipping!$T$64)*(Shipping!$T$22+wacc_nl*Shipping!$T$19/365.25*1000000+Shipping!$T$35)+(F86/24/Shipping!$T$44*Shipping!$T$45+Shipping!$T$64*Shipping!$T$65)*IF(bunker_choice="HFO",$H86,IF(bunker_choice="hydrogen",$BD86*hfo_e_density_lhv/h2_e_density_lhv,(EK86+EM86)*1000000/EO86*hfo_e_density_lhv/Dme_e_density_lhv))+(F86/24/Shipping!$T$50*Shipping!$T$51+Shipping!$T$59*Shipping!$T$60)*IF(bunker_choice="HFO",bunker_price_ROT,IF(bunker_choice="hydrogen",$BD86*hfo_e_density_lhv/h2_e_density_lhv,(EK86+EM86)*1000000/EO86*hfo_e_density_lhv/ome_e_density_lhv))+Shipping!$T$73+IF(G86="Panama",Shipping!$T$55,0)+IF(G86="Suez",Shipping!$T$56,0))/Shipping!$T$31*(EO86+ome_st_ab_losses)/1000000+IF(inland_transport_to_port="hv dc grid",$BM86/100*1000*ER86,IF(inland_transport_to_port="pipeline",$BN86,0)))))</f>
        <v>No Port</v>
      </c>
      <c r="EQ86" s="28" t="str">
        <f t="shared" si="135"/>
        <v/>
      </c>
      <c r="ER86" s="29">
        <f>(ome_e_demand)*(EO86+ome_st_ab_losses)/1000000+ome_st_e_demand*EM86/1000000+$CV86*(Carriers!$Z$21/Carriers!$Z$23*EO86)/$CS86</f>
        <v>3352.081457740007</v>
      </c>
      <c r="ES86" s="29">
        <f t="shared" si="108"/>
        <v>0.1924238095238095</v>
      </c>
      <c r="ET86" s="28" t="str">
        <f>IFERROR(EQ86*1000000/Storage!$S$12,"")</f>
        <v/>
      </c>
      <c r="EU86" s="28" t="str">
        <f>IF($E86="","No Port",((F86/24/Shipping!$T$44+F86/24/Shipping!$T$50+Shipping!$T$59+Shipping!$T$64)*Carriers!$Z$39*wacc_nl))</f>
        <v>No Port</v>
      </c>
      <c r="EV86" s="100">
        <f>H2_retrieval!$R$25*h2_demand_kt/1000+(co2_liq_e_demand+co2_st_e_demand*2)*Storage!$S$12*co2_density/ome_density/1000000</f>
        <v>254.51942895252085</v>
      </c>
      <c r="EW86" s="28" t="str">
        <f>IFERROR((((EK86+EM86+EP86)*(1+H2_retrieval!$R$34)+EU86)*1000000/H2_retrieval!$R$8)+h2_regen_ome,"")</f>
        <v/>
      </c>
      <c r="EX86" s="149">
        <f>(sng_invest*(M86+1/sng_lifetime)/sng_prod+lng_invest*(M86+1/lng_lifetime)/lng_prod+sng_opex+lng_opex+(sng_e_demand+lng_e_demand)*1000*$AU86/100+Carriers!$AB$18/Carriers!$AB$23*BD86+Carriers!$AB$20/Carriers!$AB$23*co2_liq_cost)*(FB86+lng_st_ab_losses)/1000000</f>
        <v>78683.675553563837</v>
      </c>
      <c r="EY86" s="86">
        <f>(sng_invest*(M86+1/sng_lifetime)/sng_prod+lng_invest*(M86+1/lng_lifetime)/lng_prod+sng_opex+lng_opex+(sng_e_demand+lng_e_demand)*1000*$AU86/100+Carriers!$AB$18/Carriers!$AB$23*BD86+Carriers!$AB$20/Carriers!$AB$23*BP86)*(FB86+lng_st_ab_losses)/1000000</f>
        <v>90441.766433468627</v>
      </c>
      <c r="EZ86" s="63">
        <f>lng_st_nl_cost*lng_st_nl_demand/1000000+(lng_st_invest*(M86+1/lng_st_lifetime+lng_st_opex)/(Storage!$U$63/1000000)+lng_st_e_demand*1000*$AU86/100)*(FB86+lng_st_ab_losses)/1000000+co2_st_nl_cost*Storage!$U$12*co2_density/lng_density/1000000+(co2_st_opex_lev+co2_st_invest_lev+co2_st_e_demand*1000*$AU86/100)*Storage!$U$12/1000000+co2_st_invest_lev*Storage!$U$12*co2_st_lifetime*M86/1000000+Carriers!$AB$18/Carriers!$AB$23*((FB86+lng_st_ab_losses)/365.25*short_st_duration_hrs/24)*(h2_short_st_invest*(1/gh2_short_st_lifetime+$M86+h2_short_st_opex)+h2_short_st_e_demand*1000*$AU86/100)/1000000+Carriers!$AB$20/Carriers!$AB$23*((FB86+lng_st_ab_losses)/365.25*short_st_duration_hrs/24)*(co2_short_st_invest*(1/co2_short_st_lifetime+$M86+co2_short_st_opex)+co2_short_st_e_demand*1000*$AU86/100)/1000000</f>
        <v>6212.5208904081446</v>
      </c>
      <c r="FA86" s="63">
        <f>lng_st_nl_cost*lng_st_nl_demand/1000000+(lng_st_invest*(M86+1/lng_st_lifetime+lng_st_opex)/(Storage!$U$63/1000000)+lng_st_e_demand*1000*$AU86/100)*(FB86+lng_st_ab_losses)/1000000+Carriers!$AB$18/Carriers!$AB$23*((FB86+lng_st_ab_losses)/365.25*short_st_duration_hrs/24)*(h2_short_st_invest*(1/gh2_short_st_lifetime+$M86+h2_short_st_opex)+h2_short_st_e_demand*1000*$AU86/100)/1000000+Carriers!$AB$20/Carriers!$AB$23*((FB86+lng_st_ab_losses)/365.25*short_st_duration_hrs/24)*(co2_short_st_invest*(1/co2_short_st_lifetime+$M86+co2_short_st_opex)+co2_short_st_e_demand*1000*$AU86/100)/1000000</f>
        <v>4630.868487481529</v>
      </c>
      <c r="FB86" s="63">
        <f>Storage!$U$57/((1-Shipping!$V$37)^($F86/24/Shipping!$V$44+0.5*Shipping!$V$59))</f>
        <v>40707231.50721889</v>
      </c>
      <c r="FC86" s="28" t="str">
        <f>IF($E86="","No Port",IF(G86="Panama","Ship cannot pass through Panama",((F86/24/Shipping!$V$44+F86/24/Shipping!$V$50+Shipping!$V$59+Shipping!$V$64)*(Shipping!$V$22+wacc_nl*Shipping!$V$19/365.25*1000000+Shipping!$V$35)+(F86/24/Shipping!$V$44*Shipping!$V$45+Shipping!$V$64*Shipping!$V$65)*IF(bunker_choice="HFO",$H86,IF(bunker_choice="hydrogen",$BD86*hfo_e_density_lhv/h2_e_density_lhv,(EX86+EZ86)*1000000/FB86*hfo_e_density_lhv/lng_e_density_lhv))+(F86/24/Shipping!$V$50*Shipping!$V$51+Shipping!$V$59*Shipping!$V$60)*IF(bunker_choice="HFO",bunker_price_ROT,IF(bunker_choice="hydrogen",$BD86*hfo_e_density_lhv/h2_e_density_lhv,(EX86+EZ86)*1000000/FB86*hfo_e_density_lhv/lng_e_density_lhv))+Shipping!$V$73+IF(G86="Panama",Shipping!$V$55,0)+IF(G86="Suez",Shipping!$V$56,0))/Shipping!$V$31*(FB86+lng_st_ab_losses)/1000000)+IF(inland_transport_to_port="hv dc grid",$BM86/100*1000*FE86,IF(inland_transport_to_port="pipeline",$BN86,0)))</f>
        <v>No Port</v>
      </c>
      <c r="FD86" s="28" t="str">
        <f t="shared" si="136"/>
        <v/>
      </c>
      <c r="FE86" s="29">
        <f>((Carriers!$AB$18/Carriers!$AB$23*alk_el_e_demand)+sng_e_demand+lng_e_demand)*(FB86+lng_st_ab_losses)/1000000+lng_st_e_demand*EZ86/1000000</f>
        <v>1091.7518832790672</v>
      </c>
      <c r="FF86" s="29">
        <f t="shared" si="109"/>
        <v>0.8126185861001558</v>
      </c>
      <c r="FG86" s="28" t="str">
        <f>IFERROR(FD86*1000000/Storage!$U$12,"")</f>
        <v/>
      </c>
      <c r="FH86" s="28" t="str">
        <f>IF($E86="","No Port",((F86/24/Shipping!$V$44+F86/24/Shipping!$V$50+Shipping!$V$59+Shipping!$V$64)*Carriers!$AB$39*wacc_nl))</f>
        <v>No Port</v>
      </c>
      <c r="FI86" s="100">
        <f>H2_retrieval!$T$25*h2_demand_kt/1000+(co2_liq_e_demand+co2_st_e_demand*2)*Storage!$U$12*co2_density/lng_density/1000000</f>
        <v>236.51371749646054</v>
      </c>
      <c r="FJ86" s="28" t="str">
        <f>IFERROR((((EX86+EZ86+FC86)*(1+H2_retrieval!$T$34)+FH86)*1000000/H2_retrieval!$T$8)+h2_regen_lng,"")</f>
        <v/>
      </c>
      <c r="FK86" s="149">
        <f>(lh2_invest*(M86+1/lh2_lifetime)/lh2_prod+lh2_opex+lh2_e_demand*1000*$AU86/100+Carriers!$AD$18/Carriers!$AD$23*BD86)*(FM86+lh2_st_ab_losses)/1000000</f>
        <v>59864.749067060831</v>
      </c>
      <c r="FL86" s="28">
        <f>lh2_st_nl_cost*lh2_st_nl_demand/1000000+(lh2_st_invest*(M86+1/lh2_st_lifetime+lh2_st_opex)/(Storage!$Y$63/1000000)+lh2_st_e_demand*1000*$AU86/100)*(FM86+lh2_st_ab_losses)/1000000+((FM86+lh2_st_ab_losses)/365.25*short_st_duration_hrs/24)*(h2_short_st_invest*(1/gh2_short_st_lifetime+$M86+h2_short_st_opex)+h2_short_st_e_demand*1000*$AU86/100)/1000000</f>
        <v>53670.900716050382</v>
      </c>
      <c r="FM86" s="63">
        <f>Storage!$Y$57/((1-Shipping!$Z$37)^($F86/24/Shipping!$Z$44+0.5*Shipping!$Z$59))</f>
        <v>13659984.090217989</v>
      </c>
      <c r="FN86" s="28" t="str">
        <f>IF($E86="","No Port",IF(G86="Panama","Ship cannot pass through Panama",((F86/24/Shipping!$Z$44+F86/24/Shipping!$Z$50+Shipping!$Z$59+Shipping!$Z$64)*(Shipping!$Z$22+wacc_nl*Shipping!$Z$19/365.25*1000000+Shipping!$Z$35)+(F86/24/Shipping!$Z$44*Shipping!$Z$45+Shipping!$Z$64*Shipping!$Z$65)*IF(bunker_choice="HFO",$H86,IF(bunker_choice="hydrogen",$BD86*hfo_e_density_lhv/h2_e_density_lhv,(FK86+FL86)*1000000/FM86*hfo_e_density_lhv/lh2_e_density_lhv))+(F86/24/Shipping!$Z$50*Shipping!$Z$51+Shipping!$Z$59*Shipping!$Z$60)*IF(bunker_choice="HFO",bunker_price_ROT,IF(bunker_choice="hydrogen",$BD86*hfo_e_density_lhv/h2_e_density_lhv,(FK86+FL86)*1000000/FM86*hfo_e_density_lhv/lh2_e_density_lhv))+Shipping!$Z$73+IF(G86="Panama",Shipping!$Z$55,0)+IF(G86="Suez",Shipping!$Z$56,0))/Shipping!$Z$31*(FM86+lh2_st_ab_losses)/1000000)+IF(inland_transport_to_port="hv dc grid",$BM86/100*1000*FP86,IF(inland_transport_to_port="pipeline",$BN86,0)))</f>
        <v>No Port</v>
      </c>
      <c r="FO86" s="28" t="str">
        <f t="shared" si="128"/>
        <v/>
      </c>
      <c r="FP86" s="29">
        <f>((Carriers!$AD$18/Carriers!$AD$23*alk_el_e_demand)+lh2_e_demand)*(FM86+lh2_st_ab_losses)/1000000+lh2_st_e_demand*FM86/1000000</f>
        <v>791.60233245091877</v>
      </c>
      <c r="FQ86" s="100">
        <f t="shared" si="110"/>
        <v>1.361902463475859</v>
      </c>
      <c r="FR86" s="28" t="str">
        <f>IFERROR(FO86*1000000/Storage!$Y$12,"")</f>
        <v/>
      </c>
      <c r="FS86" s="100">
        <f>H2_retrieval!$V$25*h2_demand_kt/1000</f>
        <v>8.16</v>
      </c>
      <c r="FT86" s="28" t="str">
        <f>IFERROR(FR86*(1+H2_retrieval!$V$34)/Carrier_properties!$U$7+H2_retrieval!$V$38,"")</f>
        <v/>
      </c>
      <c r="FU86" s="12"/>
      <c r="FV86" s="24">
        <f t="shared" si="129"/>
        <v>2.7003366725813831</v>
      </c>
      <c r="FW86" s="24" t="str">
        <f t="shared" si="92"/>
        <v/>
      </c>
      <c r="FX86" s="24" t="str">
        <f t="shared" si="93"/>
        <v/>
      </c>
      <c r="FY86" s="24">
        <f t="shared" si="130"/>
        <v>2.7003366725813831</v>
      </c>
      <c r="FZ86" s="28">
        <f t="shared" si="94"/>
        <v>3419.1756704504969</v>
      </c>
      <c r="GA86" s="28">
        <f t="shared" si="137"/>
        <v>750.47519171361694</v>
      </c>
      <c r="GB86" s="28">
        <f t="shared" si="138"/>
        <v>455.58311920803396</v>
      </c>
      <c r="GC86" s="28">
        <f t="shared" si="139"/>
        <v>836.13211715265857</v>
      </c>
      <c r="GD86" s="28">
        <f t="shared" si="140"/>
        <v>1213.8546942235532</v>
      </c>
      <c r="GE86" s="28">
        <f t="shared" si="141"/>
        <v>2109.8626431316493</v>
      </c>
      <c r="GF86" s="28">
        <f t="shared" si="142"/>
        <v>2221.7616645688609</v>
      </c>
      <c r="GG86" s="12"/>
      <c r="GH86" s="12"/>
      <c r="GI86" s="12"/>
      <c r="GJ86" s="12"/>
      <c r="GK86" s="12"/>
      <c r="GL86" s="12"/>
      <c r="GM86" s="12"/>
      <c r="GN86" s="12"/>
      <c r="GO86" s="12"/>
      <c r="GP86" s="12"/>
      <c r="GQ86" s="12"/>
      <c r="GR86" s="12"/>
      <c r="GS86" s="12"/>
      <c r="GT86" s="12"/>
      <c r="GU86" s="12"/>
      <c r="GV86" s="12"/>
      <c r="GW86" s="12"/>
      <c r="GX86" s="12"/>
      <c r="GY86" s="12"/>
      <c r="GZ86" s="12"/>
      <c r="HA86" s="12"/>
      <c r="HB86" s="12"/>
      <c r="HC86" s="12"/>
      <c r="HD86" s="12"/>
      <c r="HE86" s="12"/>
      <c r="HF86" s="12"/>
    </row>
    <row r="87" spans="1:214" x14ac:dyDescent="0.2">
      <c r="A87" s="40" t="s">
        <v>86</v>
      </c>
      <c r="B87" s="12">
        <v>8849</v>
      </c>
      <c r="C87" s="12">
        <v>0.8</v>
      </c>
      <c r="D87" s="12">
        <f t="shared" si="111"/>
        <v>0.19999999999999996</v>
      </c>
      <c r="E87" s="12" t="s">
        <v>751</v>
      </c>
      <c r="F87" s="12">
        <v>6858</v>
      </c>
      <c r="G87" s="12" t="s">
        <v>692</v>
      </c>
      <c r="H87" s="16">
        <f t="shared" si="112"/>
        <v>382.75862068965517</v>
      </c>
      <c r="I87" s="16">
        <v>581800</v>
      </c>
      <c r="J87" s="16">
        <f t="shared" si="113"/>
        <v>430.34020470057112</v>
      </c>
      <c r="K87" s="27">
        <f t="shared" si="114"/>
        <v>516.40824564068532</v>
      </c>
      <c r="L87" s="103">
        <v>0.28999999999999998</v>
      </c>
      <c r="M87" s="103">
        <f t="shared" si="115"/>
        <v>0.24649532641651692</v>
      </c>
      <c r="N87" s="122">
        <f t="shared" si="116"/>
        <v>0.8</v>
      </c>
      <c r="O87" s="46">
        <f t="shared" si="117"/>
        <v>40</v>
      </c>
      <c r="P87" s="70">
        <f t="array" ref="P87">SUMPRODUCT(IF(Solar_data!A$4:A$777=A87,Solar_data!C$4:C$777),IF(Solar_data!A$4:A$777=A87,Solar_data!I$4:I$777))/SUMIF(Solar_data!A$4:A$777,A87,Solar_data!I$4:I$777)</f>
        <v>2166.3467197013329</v>
      </c>
      <c r="Q87" s="16">
        <f t="array" ref="Q87">MAX(IF(Solar_data!$A$777:'Solar_data'!$A$4=Country_details!$A87,Solar_data!$C$4:'Solar_data'!$C$777))</f>
        <v>2463.75</v>
      </c>
      <c r="R87" s="16">
        <f t="array" ref="R87">MIN(IF(Solar_data!$A$777:'Solar_data'!$A$4=Country_details!A87,Solar_data!$C$4:'Solar_data'!$C$777))</f>
        <v>1733.75</v>
      </c>
      <c r="S87" s="24">
        <f t="shared" si="95"/>
        <v>4.066630335389001</v>
      </c>
      <c r="T87" s="24">
        <f t="shared" si="96"/>
        <v>3.575740755883468</v>
      </c>
      <c r="U87" s="24">
        <f t="shared" si="97"/>
        <v>5.0813158109922965</v>
      </c>
      <c r="V87" s="16">
        <f t="array" ref="V87">SUM(IF(Solar_data!$A$777:'Solar_data'!$A$4=Country_details!$A87,Solar_data!$I$4:'Solar_data'!$I$777))</f>
        <v>4571.1155275898309</v>
      </c>
      <c r="W87" s="148"/>
      <c r="X87" s="16" t="str">
        <f>IFERROR(INDEX(Onshore_wind_data!$J$5:'Onshore_wind_data'!$J$221,MATCH(A87,Onshore_wind_data!$B$5:'Onshore_wind_data'!$B$221,0)),"")</f>
        <v/>
      </c>
      <c r="Y87" s="16" t="str">
        <f>IFERROR(INDEX(Onshore_wind_data!$K$5:'Onshore_wind_data'!$K$221,MATCH(A87,Onshore_wind_data!$B$5:'Onshore_wind_data'!$B$221,0)),"")</f>
        <v/>
      </c>
      <c r="Z87" s="16" t="str">
        <f>IFERROR(INDEX(Onshore_wind_data!$L$5:'Onshore_wind_data'!$L$221,MATCH(A87,Onshore_wind_data!$B$5:'Onshore_wind_data'!$B$221,0)),"")</f>
        <v/>
      </c>
      <c r="AA87" s="24" t="str">
        <f t="shared" si="118"/>
        <v/>
      </c>
      <c r="AB87" s="24" t="str">
        <f t="shared" si="119"/>
        <v/>
      </c>
      <c r="AC87" s="24" t="str">
        <f t="shared" si="120"/>
        <v/>
      </c>
      <c r="AD87" s="16">
        <f>IFERROR(INDEX(Onshore_wind_data!$I$5:'Onshore_wind_data'!$I$221,MATCH(A87,Onshore_wind_data!$B$5:'Onshore_wind_data'!$B$221,0)),"")</f>
        <v>0</v>
      </c>
      <c r="AE87" s="148"/>
      <c r="AF87" s="16">
        <f>INDEX(Offshore_wind_data!$AA$7:$AA$192,MATCH(Country_details!A87,Offshore_wind_data!$A$7:$A$192,0))</f>
        <v>3933.2972641433303</v>
      </c>
      <c r="AG87" s="16">
        <f>INDEX(Offshore_wind_data!$Y$7:$Y$192,MATCH(Country_details!A87,Offshore_wind_data!$A$7:$A$192,0))</f>
        <v>4204.8</v>
      </c>
      <c r="AH87" s="16">
        <f>INDEX(Offshore_wind_data!$Z$7:$Z$192,MATCH(Country_details!A87,Offshore_wind_data!$A$7:$A$192,0))</f>
        <v>3153.6</v>
      </c>
      <c r="AI87" s="24">
        <f t="shared" si="98"/>
        <v>11.265191192703538</v>
      </c>
      <c r="AJ87" s="24">
        <f t="shared" si="99"/>
        <v>10.537801012726495</v>
      </c>
      <c r="AK87" s="24">
        <f t="shared" si="100"/>
        <v>14.050401350301994</v>
      </c>
      <c r="AL87" s="16">
        <f>INDEX(Offshore_wind_data!$W$7:$W$191,MATCH(A87,Offshore_wind_data!$A$7:$A$191,0))</f>
        <v>974.74972800000012</v>
      </c>
      <c r="AM87" s="148"/>
      <c r="AN87" s="12">
        <v>25.6</v>
      </c>
      <c r="AO87" s="12">
        <v>53.8</v>
      </c>
      <c r="AP87" s="34"/>
      <c r="AQ87" s="15">
        <f t="shared" si="101"/>
        <v>50</v>
      </c>
      <c r="AR87" s="12">
        <f t="shared" si="131"/>
        <v>2690</v>
      </c>
      <c r="AS87" s="16">
        <f t="shared" si="121"/>
        <v>2855.8652555898307</v>
      </c>
      <c r="AT87" s="12"/>
      <c r="AU87" s="24">
        <f t="shared" si="122"/>
        <v>4.066630335389001</v>
      </c>
      <c r="AV87" s="16">
        <f t="shared" si="123"/>
        <v>2166.3467197013329</v>
      </c>
      <c r="AW87" s="149">
        <f>HV_DC_Grid!$E$3/(1-AX87)*AU87/100*1000</f>
        <v>4933.56572223077</v>
      </c>
      <c r="AX87" s="31">
        <f>(1-(1-HV_DC_Grid!$E$25)^(B87*C87*HV_DC_Grid!$E$8/1000))+(1-(1-HV_DC_Grid!$E$26)^(B87*D87*HV_DC_Grid!$E$8/1000))+HV_DC_Grid!$E$35*HV_DC_Grid!$E$28</f>
        <v>0.17572186845212912</v>
      </c>
      <c r="AY87" s="28">
        <f>B87*nl_e_demand/IF(hv_dc_flh="electricity FLH",$AV87,hv_dc_custom)*1000*hv_dc_capacity_multiplier*hv_dc_length_multiplier*1000*(C87*hv_dc_overhead_invest*(hv_dc_overhead_opex+M87+1/hv_dc_lifetime)+D87*hv_dc_sea_invest*(hv_dc_sea_opex+M87+1/hv_dc_lifetime))/1000000+HV_DC_Grid!$E$10*1000*hv_dc_station_invest*hv_dc_station_number*(hv_dc_station_opex+M87+1/hv_dc_lifetime)/1000000</f>
        <v>19752.744740691971</v>
      </c>
      <c r="AZ87" s="24">
        <f>(AW87+AY87)/(HV_DC_Grid!$E$3*1000)*100</f>
        <v>24.686310462922741</v>
      </c>
      <c r="BA87" s="28">
        <f>MIN(((Carriers!$F$26+Carriers!$F$27)*(alk_el_opex+wacc_nl+1/alk_el_lifetime)+IF(hv_dc_flh="electricity FLH",$AV87,hv_dc_custom)*AZ87/100)/(IF(hv_dc_flh="electricity FLH",$AV87,hv_dc_custom)/alk_el_e_demand)*1000,((Carriers!$H$26+Carriers!$H$27)*(pem_el_opex+wacc_nl+1/pem_el_lifetime)+IF(hv_dc_flh="electricity FLH",$AV87,hv_dc_custom)*AZ87/100)/(IF(hv_dc_flh="electricity FLH",$AV87,hv_dc_custom)/pem_el_e_demand)*1000)</f>
        <v>12842.620055862388</v>
      </c>
      <c r="BB87" s="12"/>
      <c r="BC87" s="12"/>
      <c r="BD87" s="149">
        <f>MIN(((Carriers!$F$26+Carriers!$F$27)*(alk_el_opex+M87+1/alk_el_lifetime)+$AV87*$AU87/100)/($AV87/alk_el_e_demand)*1000,((Carriers!$H$26+Carriers!$H$27)*(pem_el_opex+M87+1/pem_el_lifetime)+$AV87*$AU87/100)/($AV87/pem_el_e_demand)*1000)</f>
        <v>4660.4374352663244</v>
      </c>
      <c r="BE87" s="28">
        <f>Storage!$AC$50</f>
        <v>8.1664117557772418</v>
      </c>
      <c r="BF87" s="28">
        <f>((Pipeline!$D$22*Pipeline!$D$24*B87*(pipeline_opex+M87+1/pipeline_lifetime))*(Pipeline!$D$39/Pipeline!$D$3)+(Pipeline!$D$57*(pipeline_comp_opex+M87+1/pipeline_comp_lifetime)+Pipeline!$D$47*1000*Pipeline!$D$45*$AU87/100/1000000))*(Pipeline!$D$75/Pipeline!$D$45)</f>
        <v>32552.471493671303</v>
      </c>
      <c r="BG87" s="28">
        <f>BD87+(BE87+BF87)/Storage!$AC$12*1000000</f>
        <v>7054.6019871359622</v>
      </c>
      <c r="BH87" s="28"/>
      <c r="BI87" s="28"/>
      <c r="BJ87" s="28">
        <f>IF($E87="","No Port",BK87*HV_DC_Grid!$E$3*$AU87/100*1000)</f>
        <v>97.377207322573668</v>
      </c>
      <c r="BK87" s="31">
        <f>IFERROR((1-(1-HV_DC_Grid!$E$25)^(K87*HV_DC_Grid!$E$8/1000))+HV_DC_Grid!$E$35*HV_DC_Grid!$E$28,"")</f>
        <v>2.3945428841950264E-2</v>
      </c>
      <c r="BL87" s="28">
        <f>IFERROR(K87*nl_e_demand/IF(hv_dc_flh="electricity FLH",$AV87,hv_dc_custom)*1000*hv_dc_capacity_multiplier*hv_dc_length_multiplier*1000*(hv_dc_overhead_invest*(hv_dc_overhead_opex+M87+1/hv_dc_lifetime))/1000000+HV_DC_Grid!$E$10*1000*hv_dc_station_invest*hv_dc_station_number*(hv_dc_station_opex+M87+1/hv_dc_lifetime)/1000000,"")</f>
        <v>1510.6828222414583</v>
      </c>
      <c r="BM87" s="29">
        <f>IFERROR((BJ87+BL87)/(HV_DC_Grid!$E$3*1000)*100,"")</f>
        <v>1.6080600295640317</v>
      </c>
      <c r="BN87" s="28">
        <f>IFERROR(((Pipeline!$D$22*Pipeline!$D$24*K87*(pipeline_opex+M87+1/pipeline_lifetime))*(Pipeline!$D$39/Pipeline!$D$3)+(Pipeline!$D$57*(pipeline_comp_opex+M87+1/pipeline_comp_lifetime)+Pipeline!$D$47*1000*Pipeline!$D$45*S87/100/1000000))*(Pipeline!$D$75/Pipeline!$D$45),"")</f>
        <v>2025.8428442598167</v>
      </c>
      <c r="BO87" s="28"/>
      <c r="BP87" s="150">
        <f t="shared" si="124"/>
        <v>182.11413005289796</v>
      </c>
      <c r="BQ87" s="34">
        <f t="shared" si="125"/>
        <v>54.473607037880917</v>
      </c>
      <c r="BR87" s="151">
        <f>(nh3_invest*(M87+1/nh3_lifetime)/nh3_prod+nh3_opex+nh3_e_demand*1000*$AU87/100+Carriers!$N$18/Carriers!$N$23*BD87+Carriers!$N$19/Carriers!$N$23*BQ87)*(BT87+nh3_st_ab_losses)/1000000</f>
        <v>84864.290682023697</v>
      </c>
      <c r="BS87" s="63">
        <f>nh3_st_nl_cost*nh3_st_nl_demand/1000000+(nh3_st_invest*(M87+1/nh3_st_lifetime+nh3_st_opex)/(Storage!$G$63/1000000)+nh3_st_e_demand*1000*$AU87/100)*(BT87+nh3_st_ab_losses)/1000000+Carriers!$N$18/Carriers!$N$23*((BT87+nh3_st_ab_losses)/365.25*short_st_duration_hrs/24)*(h2_short_st_invest*(1/gh2_short_st_lifetime+$M87+h2_short_st_opex)+h2_short_st_e_demand*1000*$AU87/100)/1000000+Carriers!$N$19/Carriers!$N$23*((BT87+nh3_st_ab_losses)/365.25*short_st_duration_hrs/24)*(n2_short_st_invest*(1/n2_short_st_lifetime+$M87+n2_short_st_opex)+n2_short_st_e_demand*1000*$AU87/100)/1000000</f>
        <v>4952.4512018571668</v>
      </c>
      <c r="BT87" s="63">
        <f>Storage!$G$57/((1-Shipping!$H$37)^(F87/24/Shipping!$H$44+0.5*Shipping!$H$59))</f>
        <v>80261343.395934612</v>
      </c>
      <c r="BU87" s="63">
        <f>IF($E87="","No Port",((F87/24/Shipping!$H$44+F87/24/Shipping!$H$50+Shipping!$H$59+Shipping!$H$64)*(Shipping!$H$22+wacc_nl*Shipping!$H$19/365.25*1000000+Shipping!$H$35)+(F87/24/Shipping!$H$44*Shipping!$H$45+Shipping!$H$64*Shipping!$H$65)*IF(bunker_choice="HFO",H87,IF(bunker_choice="hydrogen",BD87*hfo_e_density_lhv/h2_e_density_lhv,(BR87+BS87)*1000000/BT87*hfo_e_density_lhv/nh3_e_density_lhv))+(F87/24/Shipping!$H$50*Shipping!$H$51+Shipping!$H$59*Shipping!$H$60)*IF(bunker_choice="HFO",bunker_price_ROT,IF(bunker_choice="hydrogen",BD87*hfo_e_density_lhv/h2_e_density_lhv,(BR87+BS87)*1000000/BT87*hfo_e_density_lhv/nh3_e_density_lhv))+Shipping!$H$73+IF(G87="Panama",Shipping!$H$55,0)+IF(G87="Suez",Shipping!$H$56,0))/Shipping!$H$31*BT87/1000000+IF(inland_transport_to_port="hv dc grid",$BM87/100*1000*BW87,IF(inland_transport_to_port="pipeline",$BN87,0)))</f>
        <v>8067.1750015071248</v>
      </c>
      <c r="BV87" s="63">
        <f t="shared" si="126"/>
        <v>97883.916885387996</v>
      </c>
      <c r="BW87" s="33">
        <f>((Carriers!$N$18/Carriers!$N$23*alk_el_e_demand)+(Carriers!$N$19/Carriers!$N$23*n2_e_demand)+nh3_e_demand)*(BT87+nh3_st_ab_losses)/1000000+nh3_st_e_demand*BT87/1000000</f>
        <v>792.59129803788937</v>
      </c>
      <c r="BX87" s="33">
        <f t="shared" si="102"/>
        <v>0.76626754477640768</v>
      </c>
      <c r="BY87" s="63">
        <f>IFERROR(BV87*1000000/Storage!$G$12,"")</f>
        <v>1278.4760816106211</v>
      </c>
      <c r="BZ87" s="63">
        <f>H2_retrieval!$F$25*h2_demand_kt/1000</f>
        <v>80</v>
      </c>
      <c r="CA87" s="63">
        <f>IFERROR(BY87*(1+H2_retrieval!$F$34)/Carrier_properties!$E$7+H2_retrieval!$F$38,"")</f>
        <v>7606.5728094516771</v>
      </c>
      <c r="CB87" s="149">
        <f>(FA_invest*(M87+1/FA_lifetime)/FA_prod+FA_opex+FA_e_demand*1000*$AU87/100+Carriers!$P$18/Carriers!$P$23*BD87+Carriers!$P$20/Carriers!$P$23*co2_liq_cost)*(CF87+FA_st_ab_losses)/1000000</f>
        <v>164706.84786948297</v>
      </c>
      <c r="CC87" s="86">
        <f>(FA_invest*(M87+1/FA_lifetime)/FA_prod+FA_opex+FA_e_demand*1000*$AU87/100+Carriers!$P$18/Carriers!$P$23*BD87+Carriers!$P$20/Carriers!$P$23*BP87)*(CF87+FA_st_ab_losses)/1000000</f>
        <v>209764.60701306543</v>
      </c>
      <c r="CD87" s="63">
        <f>FA_st_nl_cost*FA_st_nl_demand/1000000+(FA_st_invest*(M87+1/FA_st_lifetime+FA_st_opex)/(Storage!$I$63/1000000)+FA_st_e_demand*1000*$AU87/100)*(CF87+FA_st_ab_losses)/1000000+co2_st_nl_cost*Storage!$I$12*co2_density/FA_density/1000000+(co2_st_opex_lev+co2_st_invest_lev+co2_st_e_demand*1000*$AU87/100)*Storage!$I$12/1000000+co2_st_invest_lev*Storage!$I$12*co2_st_lifetime*M87/1000000+Carriers!$P$18/Carriers!$P$23*((CF87+FA_st_ab_losses)/365.25*short_st_duration_hrs/24)*(h2_short_st_invest*(1/gh2_short_st_lifetime+$M87+h2_short_st_opex)+h2_short_st_e_demand*1000*$AU87/100)/1000000+Carriers!$P$20/Carriers!$P$23*((CF87+FA_st_ab_losses)/365.25*short_st_duration_hrs/24)*(co2_short_st_invest*(1/co2_short_st_lifetime+$M87+co2_short_st_opex)+co2_short_st_e_demand*1000*$AU87/100)/1000000</f>
        <v>16129.959166908535</v>
      </c>
      <c r="CE87" s="63">
        <f>FA_st_nl_cost*FA_st_nl_demand/1000000+(FA_st_invest*(M87+1/FA_st_lifetime+FA_st_opex)/(Storage!$I$63/1000000)+FA_st_e_demand*1000*$AU87/100)*(CF87+FA_st_ab_losses)/1000000+Carriers!$P$18/Carriers!$P$23*((CF87+FA_st_ab_losses)/365.25*short_st_duration_hrs/24)*(h2_short_st_invest*(1/gh2_short_st_lifetime+$M87+h2_short_st_opex)+h2_short_st_e_demand*1000*$AU87/100)/1000000+Carriers!$P$20/Carriers!$P$23*((CF87+FA_st_ab_losses)/365.25*short_st_duration_hrs/24)*(co2_short_st_invest*(1/co2_short_st_lifetime+$M87+co2_short_st_opex)+co2_short_st_e_demand*1000*$AU87/100)/1000000</f>
        <v>7245.5114130668135</v>
      </c>
      <c r="CF87" s="63">
        <f>Storage!$I$57/((1-Shipping!$J$37)^($F87/24/Shipping!$J$44+0.5*Shipping!$J$59))</f>
        <v>310425396.82539684</v>
      </c>
      <c r="CG87" s="28">
        <f>IF($E87="","No Port",((F87/24/Shipping!$J$44+F87/24/Shipping!$J$50+Shipping!$J$59+Shipping!$J$64)*(Shipping!$J$22+wacc_nl*Shipping!$J$19/365.25*1000000+Shipping!$J$35)+(F87/24/Shipping!$J$44*Shipping!$J$45+Shipping!$J$64*Shipping!$J$65)*IF(bunker_choice="HFO",$H87,IF(bunker_choice="hydrogen",$BD87*hfo_e_density_lhv/h2_e_density_lhv,(CB87+CD87)*1000000/CF87*hfo_e_density_lhv/FA_e_density_lhv))+(F87/24/Shipping!$J$50*Shipping!$J$51+Shipping!$J$59*Shipping!$J$60)*IF(bunker_choice="HFO",bunker_price_ROT,IF(bunker_choice="hydrogen",$BD87*hfo_e_density_lhv/h2_e_density_lhv,(CB87+CD87)*1000000/CF87*hfo_e_density_lhv/FA_e_density_lhv))+Shipping!$J$73+IF(G87="Panama",Shipping!$J$55,0)+IF(G87="Suez",Shipping!$J$56,0))/Shipping!$J$31*CF87/1000000+IF(inland_transport_to_port="hv dc grid",$BM87/100*1000*CI87,IF(inland_transport_to_port="pipeline",$BN87,0)))</f>
        <v>29830.698593717629</v>
      </c>
      <c r="CH87" s="28">
        <f t="shared" si="132"/>
        <v>246840.81701984987</v>
      </c>
      <c r="CI87" s="29">
        <f>((Carriers!$P$18/Carriers!$P$23*alk_el_e_demand)+FA_e_demand)*(CF87+FA_st_ab_losses)/1000000+FA_st_e_demand*CF87/1000000</f>
        <v>1897.8881241622576</v>
      </c>
      <c r="CJ87" s="29">
        <f t="shared" si="103"/>
        <v>0.46563809523809524</v>
      </c>
      <c r="CK87" s="28">
        <f>IFERROR(CH87*1000000/Storage!$I$12,"")</f>
        <v>795.16953040633143</v>
      </c>
      <c r="CL87" s="28">
        <f>IF($E87="","No Port",((F87/24/Shipping!$J$44+F87/24/Shipping!$J$50+Shipping!$J$59+Shipping!$J$64)*Carriers!$P$39*wacc_nl))</f>
        <v>328.97128162498313</v>
      </c>
      <c r="CM87" s="29">
        <f>H2_retrieval!$H$25*h2_demand_kt/1000+(co2_liq_e_demand+co2_st_e_demand*2)*Storage!$I$12*co2_density/FA_density/1000000</f>
        <v>94.204253879484654</v>
      </c>
      <c r="CN87" s="28">
        <f>IFERROR((((CB87+CD87+CG87)*(1+H2_retrieval!$H$34)+CL87)*1000000/H2_retrieval!$H$8)+h2_regen_fa,"")</f>
        <v>15604.134199512113</v>
      </c>
      <c r="CO87" s="149">
        <f>(meoh_invest*(M87+1/meoh_lifetime)/meoh_prod+meoh_opex+meoh_e_demand*1000*$AU87/100+Carriers!$R$18/Carriers!$R$23*BD87+Carriers!$R$20/Carriers!$R$23*co2_liq_cost)*(CS87+meoh_st_ab_losses)/1000000</f>
        <v>101458.98739506482</v>
      </c>
      <c r="CP87" s="86">
        <f>(meoh_invest*(M87+1/meoh_lifetime)/meoh_prod+meoh_opex+meoh_e_demand*1000*$AU87/100+Carriers!$R$18/Carriers!$R$23*BD87+Carriers!$R$20/Carriers!$R$23*BP87)*(CS87+meoh_st_ab_losses)/1000000</f>
        <v>127909.28302811792</v>
      </c>
      <c r="CQ87" s="63">
        <f>meoh_st_nl_cost*meoh_st_nl_demand/1000000+(meoh_st_invest*(M87+1/meoh_st_lifetime+meoh_st_opex)/(Storage!$K$63/1000000)+meoh_st_e_demand*1000*$AU87/100)*(CS87+meoh_st_ab_losses)/1000000+co2_st_nl_cost*Storage!$K$12*co2_density/meoh_density/1000000+(co2_st_opex_lev+co2_st_invest_lev+co2_st_e_demand*1000*IFERROR(MIN(S87,AA87,AI87),S87)/100)*Storage!$K$12/1000000+co2_st_invest_lev*Storage!$K$12*co2_st_lifetime*M87/1000000+Carriers!$R$18/Carriers!$R$23*((CS87+meoh_st_ab_losses)/365.25*short_st_duration_hrs/24)*(h2_short_st_invest*(1/gh2_short_st_lifetime+$M87+h2_short_st_opex)+h2_short_st_e_demand*1000*$AU87/100)/1000000+Carriers!$R$20/Carriers!$R$23*((CF87+meoh_st_ab_losses)/365.25*short_st_duration_hrs/24)*(co2_short_st_invest*(1/co2_short_st_lifetime+$M87+co2_short_st_opex)+co2_short_st_e_demand*1000*$AU87/100)/1000000</f>
        <v>6684.1870452866406</v>
      </c>
      <c r="CR87" s="63">
        <f>meoh_st_nl_cost*meoh_st_nl_demand/1000000+(meoh_st_invest*(M87+1/meoh_st_lifetime+meoh_st_opex)/(Storage!$K$63/1000000)+meoh_st_e_demand*1000*$AU87/100)*(CS87+meoh_st_ab_losses)/1000000+Carriers!$R$18/Carriers!$R$23*((CS87+meoh_st_ab_losses)/365.25*short_st_duration_hrs/24)*(h2_short_st_invest*(1/gh2_short_st_lifetime+$M87+h2_short_st_opex)+h2_short_st_e_demand*1000*$AU87/100)/1000000+Carriers!$R$20/Carriers!$R$23*((CF87+meoh_st_ab_losses)/365.25*short_st_duration_hrs/24)*(co2_short_st_invest*(1/co2_short_st_lifetime+$M87+co2_short_st_opex)+co2_short_st_e_demand*1000*$AU87/100)/1000000</f>
        <v>2992.9322353580596</v>
      </c>
      <c r="CS87" s="63">
        <f>Storage!$K$57/((1-Shipping!$L$37)^($F87/24/Shipping!$L$44+0.5*Shipping!$L$59))</f>
        <v>108044444.44444443</v>
      </c>
      <c r="CT87" s="28">
        <f>IF($E87="","No Port",IF(AND(ship_choice="VLCC",G87="Panama"),"Ship cannot pass through Panama",IF(ship_choice="VLCC",((F87/24/Shipping!$AD$44+F87/24/Shipping!$AD$50+Shipping!$AD$59+Shipping!$AD$64)*(Shipping!$AD$22+wacc_nl*Shipping!$AD$19/365.25*1000000+Shipping!$AD$35)+(F87/24/Shipping!$AD$44*Shipping!$AD$45+Shipping!$AD$64*Shipping!$AD$65)*IF(bunker_choice="HFO",$H87,IF(bunker_choice="hydrogen",$BD87*hfo_e_density_lhv/h2_e_density_lhv,(CO87+CQ87)*1000000/CS87*hfo_e_density_lhv/meoh_e_density_lhv))+(F87/24/Shipping!$AD$50*Shipping!$AD$51+Shipping!$AD$59*Shipping!$AD$60)*IF(bunker_choice="HFO",bunker_price_ROT,IF(bunker_choice="hydrogen",$BD87*hfo_e_density_lhv/h2_e_density_lhv,(CO87+CQ87)*1000000/CS87*hfo_e_density_lhv/meoh_e_density_lhv))+Shipping!$AD$73+IF(G87="Panama",Shipping!$AD$55,0)+IF(G87="Suez",Shipping!$AD$56,0))/Shipping!$AD$31*CS87/1000000+IF(inland_transport_to_port="hv dc grid",$BM87/100*1000*CV87,IF(inland_transport_to_port="pipeline",$BN87,0)),((F87/24/Shipping!$L$44+F87/24/Shipping!$L$50+Shipping!$L$59+Shipping!$L$64)*(Shipping!$L$22+wacc_nl*Shipping!$L$19/365.25*1000000+Shipping!$L$35)+(F87/24/Shipping!$L$44*Shipping!$L$45+Shipping!$L$64*Shipping!$L$65)*IF(bunker_choice="HFO",$H87,IF(bunker_choice="hydrogen",$BD87*hfo_e_density_lhv/h2_e_density_lhv,(CO87+CQ87)*1000000/CS87*hfo_e_density_lhv/meoh_e_density_lhv))+(F87/24/Shipping!$L$50*Shipping!$L$51+Shipping!$L$59*Shipping!$L$60)*IF(bunker_choice="HFO",bunker_price_ROT,IF(bunker_choice="hydrogen",$BD87*hfo_e_density_lhv/h2_e_density_lhv,(CO87+CQ87)*1000000/CS87*hfo_e_density_lhv/meoh_e_density_lhv))+Shipping!$L$73+IF(G87="Panama",Shipping!$L$55,0)+IF(G87="Suez",Shipping!$L$56,0))/Shipping!$L$31*CS87/1000000+IF(inland_transport_to_port="hv dc grid",$BM87/100*1000*CV87,IF(inland_transport_to_port="pipeline",$BN87,0)))))</f>
        <v>11277.624706266512</v>
      </c>
      <c r="CU87" s="28">
        <f t="shared" si="133"/>
        <v>142179.83996974249</v>
      </c>
      <c r="CV87" s="29">
        <f>((Carriers!$R$18/Carriers!$R$23*alk_el_e_demand)+meoh_e_demand)*(CS87+meoh_st_ab_losses)/1000000+meoh_st_e_demand*CS87/1000000</f>
        <v>1119.9789871111109</v>
      </c>
      <c r="CW87" s="29">
        <f t="shared" si="104"/>
        <v>0.16206666666666666</v>
      </c>
      <c r="CX87" s="28">
        <f>IFERROR(CU87*1000000/Storage!$K$12,"")</f>
        <v>1315.9384612584149</v>
      </c>
      <c r="CY87" s="28">
        <f>IF($E87="","No Port",((F87/24/Shipping!$L$44+F87/24/Shipping!$L$50+Shipping!$L$59+Shipping!$L$64)*Carriers!$R$39*wacc_nl))</f>
        <v>117.91046990193212</v>
      </c>
      <c r="CZ87" s="29">
        <f>H2_retrieval!$J$25*h2_demand_kt/1000+(co2_liq_e_demand+co2_st_e_demand*2)*Storage!$K$12*co2_density/meoh_density/1000000</f>
        <v>251.05079059698966</v>
      </c>
      <c r="DA87" s="28">
        <f>IFERROR((((CO87+CQ87+CT87)*(1+H2_retrieval!$J$34)+CY87)*1000000/H2_retrieval!$J$8)+h2_regen_meoh,"")</f>
        <v>9959.7395444108133</v>
      </c>
      <c r="DB87" s="149">
        <f>(DBT_invest*(M87+1/DBT_lifetime)/DBT_prod+DBT_opex+DBT_e_demand*1000*$AU87/100+Carriers!$T$18/Carriers!$T$23*BD87)*(DD87+DBT_st_ab_losses)/1000000</f>
        <v>68050.063951907505</v>
      </c>
      <c r="DC87" s="28">
        <f>2*(DBT_st_nl_cost*DBT_st_nl_demand/1000000+(DBT_st_invest*(M87+1/DBT_st_lifetime+DBT_st_opex)/(Storage!$M$63/1000000)+DBT_st_e_demand*1000*$AU87/100)*(DD87+DBT_st_ab_losses)/1000000)+Carriers!$T$18/Carriers!$T$23*((DD87+DBT_st_ab_losses)/365.25*short_st_duration_hrs/24)*(h2_short_st_invest*(1/gh2_short_st_lifetime+$M87+h2_short_st_opex)+h2_short_st_e_demand*1000*$AU87/100)/1000000</f>
        <v>5876.3407729188802</v>
      </c>
      <c r="DD87" s="63">
        <f>Storage!$M$57/((1-Shipping!$N$37)^($F87/24/Shipping!$N$44+0.5*Shipping!$N$59))</f>
        <v>219354838.70967743</v>
      </c>
      <c r="DE87" s="28">
        <f>IF($E87="","No Port",IF(AND(ship_choice="VLCC",G87="Panama"),"Ship cannot pass through Panama",IF(ship_choice="VLCC",((F87/24/Shipping!$AD$44+F87/24/Shipping!$AD$50+Shipping!$AD$59+Shipping!$AD$64)*(Shipping!$AD$22+wacc_nl*Shipping!$AD$19/365.25*1000000+Shipping!$AD$35)+(F87/24/Shipping!$AD$44*Shipping!$AD$45+Shipping!$AD$64*Shipping!$AD$65)*IF(bunker_choice="HFO",$H87,IF(bunker_choice="hydrogen",$BD87*hfo_e_density_lhv/h2_e_density_lhv,(DB87+DC87)*1000000/DD87*hfo_e_density_lhv/DBT_e_density_lhv))+(F87/24/Shipping!$AD$50*Shipping!$AD$51+Shipping!$AD$59*Shipping!$AD$60)*IF(bunker_choice="HFO",bunker_price_ROT,IF(bunker_choice="hydrogen",$BD87*hfo_e_density_lhv/h2_e_density_lhv,(DB87+DC87)*1000000/DD87*hfo_e_density_lhv/DBT_e_density_lhv))+Shipping!$AD$73+IF(G87="Panama",Shipping!$AD$55,0)+IF(G87="Suez",Shipping!$AD$56,0))/Shipping!$AD$31*DD87/1000000+IF(inland_transport_to_port="hv dc grid",$BM87/100*1000*DG87,IF(inland_transport_to_port="pipeline",$BN87,0)),((F87/24/Shipping!$N$44+F87/24/Shipping!$N$50+Shipping!$N$59+Shipping!$N$64)*(Shipping!$N$22+wacc_nl*Shipping!$N$19/365.25*1000000+Shipping!$N$35)+(F87/24/Shipping!$N$44*Shipping!$N$45+Shipping!$N$64*Shipping!$N$65)*IF(bunker_choice="HFO",$H87,IF(bunker_choice="hydrogen",$BD87*hfo_e_density_lhv/h2_e_density_lhv,(DB87+DC87)*1000000/DD87*hfo_e_density_lhv/DBT_e_density_lhv))+(F87/24/Shipping!$N$50*Shipping!$N$51+Shipping!$N$59*Shipping!$N$60)*IF(bunker_choice="HFO",bunker_price_ROT,IF(bunker_choice="hydrogen",$BD87*hfo_e_density_lhv/h2_e_density_lhv,(DB87+DC87)*1000000/DD87*hfo_e_density_lhv/DBT_e_density_lhv))+Shipping!$N$73+IF(G87="Panama",Shipping!$N$55,0)+IF(G87="Suez",Shipping!$N$56,0))/Shipping!$N$31*Shipping!$N$86/1000000+IF(inland_transport_to_port="hv dc grid",$BM87/100*1000*DG87,IF(inland_transport_to_port="pipeline",$BN87,0)))))</f>
        <v>19602.217222542778</v>
      </c>
      <c r="DF87" s="28">
        <f t="shared" si="82"/>
        <v>93528.62194736916</v>
      </c>
      <c r="DG87" s="29">
        <f>((Carriers!$T$18/Carriers!$T$23*alk_el_e_demand)+DBT_e_demand)*(DD87+DBT_st_ab_losses)/1000000+DBT_st_e_demand*DD87/1000000</f>
        <v>703.88335483870969</v>
      </c>
      <c r="DH87" s="29">
        <f t="shared" si="105"/>
        <v>0.21935483870967742</v>
      </c>
      <c r="DI87" s="28">
        <f>IFERROR(DF87*1000000/Storage!$M$12,"")</f>
        <v>426.38048240712408</v>
      </c>
      <c r="DJ87" s="28">
        <f>IF($E87="","No Port",((F87/24/Shipping!$N$44+F87/24/Shipping!$N$50+Shipping!$N$59+Shipping!$N$64)*Carriers!$T$39*wacc_nl))</f>
        <v>8587.8069320486829</v>
      </c>
      <c r="DK87" s="100">
        <f>H2_retrieval!$L$25*h2_demand_kt/1000+(co2_liq_e_demand+co2_st_e_demand*2)*Storage!$M$12*co2_density/DBT_density/1000000</f>
        <v>206.61934861671787</v>
      </c>
      <c r="DL87" s="28">
        <f>IFERROR(((DF87*(1+H2_retrieval!$L$34)+DJ87)*1000000/H2_retrieval!$L$8)+h2_regen_lohc,"")</f>
        <v>7979.2107276548131</v>
      </c>
      <c r="DM87" s="149">
        <f t="shared" si="127"/>
        <v>75227.853554992456</v>
      </c>
      <c r="DN87" s="16">
        <f>2*(nabh4_st_nl_cost*nabh4_st_nl_demand/1000000+(nabh4_st_invest*(M87+1/nabh4_st_lifetime+nabh4_st_opex)/(Storage!$O$63/1000000)+nabh4_st_e_demand*1000*$AU87/100)*(DO87+nabh4_st_ab_losses)/1000000)+(h2_demand_kt*1000/365.25*short_st_duration_hrs/24)*(h2_short_st_invest*(1/gh2_short_st_lifetime+$M87+h2_short_st_opex)+h2_short_st_e_demand*1000*$AU87/100)/1000000</f>
        <v>2010.6014903328687</v>
      </c>
      <c r="DO87" s="63">
        <f>Storage!$O$57/((1-Shipping!$P$37)^($F87/24/Shipping!$P$44+0.5*Shipping!$P$59))</f>
        <v>63920000</v>
      </c>
      <c r="DP87" s="16">
        <f>IF($E87="","No Port",((F87/24/Shipping!$P$44+F87/24/Shipping!$P$50+Shipping!$P$59+Shipping!$P$64)*(Shipping!$P$22+wacc_nl*Shipping!$P$19/365.25*1000000+Shipping!$P$35)+(F87/24/Shipping!$P$44*Shipping!$P$45+Shipping!$P$64*Shipping!$P$65)*IF(bunker_choice="HFO",$H87,IF(bunker_choice="hydrogen",$BD87*hfo_e_density_lhv/h2_e_density_lhv,(DM87+DN87)*1000000/DO87*hfo_e_density_lhv/nabh4_e_density_lhv))+(F87/24/Shipping!$P$50*Shipping!$P$51+Shipping!$P$59*Shipping!$P$60)*IF(bunker_choice="HFO",bunker_price_ROT,IF(bunker_choice="hydrogen",$BD87*hfo_e_density_lhv/h2_e_density_lhv,(DM87+DN87)*1000000/DO87*hfo_e_density_lhv/nabh4_e_density_lhv))+Shipping!$P$73+IF(G87="Panama",Shipping!$P$55,0)+IF(G87="Suez",Shipping!$P$56,0))/Shipping!$P$31*(DO87+nabh4_st_ab_losses)/1000000+IF(inland_transport_to_port="hv dc grid",$BM87/100*1000*DR87,IF(inland_transport_to_port="pipeline",$BN87,0)))</f>
        <v>6557.1556234210475</v>
      </c>
      <c r="DQ87" s="28">
        <f t="shared" si="60"/>
        <v>83795.610668746376</v>
      </c>
      <c r="DR87" s="29">
        <f>((Carriers!$V$18/Carriers!$V$23*alk_el_e_demand)+nabh4_e_demand)*(DO87+nabh4_st_ab_losses)/1000000+nabh4_st_e_demand*DO87/1000000</f>
        <v>980.02139682539689</v>
      </c>
      <c r="DS87" s="28">
        <f t="shared" si="106"/>
        <v>3.1960000000000002</v>
      </c>
      <c r="DT87" s="28">
        <f>IFERROR(DQ87*1000000/Storage!$O$12,"")</f>
        <v>1310.945098071752</v>
      </c>
      <c r="DU87" s="28">
        <f>IF($E87="","No Port",((F87/24/Shipping!$P$44+F87/24/Shipping!$P$50+Shipping!$P$59+Shipping!$P$64)*Carriers!$V$39*wacc_nl))</f>
        <v>791.18770475210192</v>
      </c>
      <c r="DV87" s="100">
        <f>H2_retrieval!$N$25*h2_demand_kt/1000+(co2_liq_e_demand+co2_st_e_demand*2)*Storage!$O$12*co2_density/nabh4_density/1000000</f>
        <v>18.783638728971958</v>
      </c>
      <c r="DW87" s="28">
        <f>IFERROR(((DQ87*(1+H2_retrieval!$N$34)+DU87)*1000000/H2_retrieval!$N$8)+h2_regen_nabh4,"")</f>
        <v>6349.720577132508</v>
      </c>
      <c r="DX87" s="149">
        <f>(Dme_invest*(M87+1/Dme_lifetime)/Dme_prod+Dme_opex+Dme_e_demand*1000*$AU87/100+Carriers!$X$21/Carriers!$X$23*(CO87*1000000/CS87))*(EB87+Dme_st_ab_losses)/1000000</f>
        <v>142610.05510505219</v>
      </c>
      <c r="DY87" s="86">
        <f>(Dme_invest*(M87+1/Dme_lifetime)/Dme_prod+Dme_opex+Dme_e_demand*1000*$AU87/100+Carriers!$X$21/Carriers!$X$23*(CP87*1000000/CS87))*(EB87+Dme_st_ab_losses)/1000000</f>
        <v>178494.21929619234</v>
      </c>
      <c r="DZ87" s="63">
        <f>Dme_st_nl_cost*Dme_st_nl_demand/1000000+(Dme_st_invest*(M87+1/Dme_st_lifetime+Dme_st_opex)/(Storage!$Q$63/1000000)+Dme_st_e_demand*1000*$AU87/100)*(EB87+Dme_st_ab_losses)/1000000+co2_st_nl_cost*Storage!$Q$12*co2_density/Dme_density/1000000+(co2_st_opex_lev+co2_st_invest_lev+co2_st_e_demand*1000*$AU87/100)*Storage!$Q$12/1000000+co2_st_invest_lev*Storage!$Q$12*co2_st_lifetime*M87/1000000+(h2_demand_kt*1000/365.25*short_st_duration_hrs/24)*(h2_short_st_invest*(1/gh2_short_st_lifetime+$M87+h2_short_st_opex)+h2_short_st_e_demand*1000*$AU87/100)/1000000</f>
        <v>7968.3762836565802</v>
      </c>
      <c r="EA87" s="63">
        <f>Dme_st_nl_cost*Dme_st_nl_demand/1000000+(Dme_st_invest*(M87+1/Dme_st_lifetime+Dme_st_opex)/(Storage!$Q$63/1000000)+Dme_st_e_demand*1000*$AU87/100)*(EB87+Dme_st_ab_losses)/1000000+(h2_demand_kt*1000/365.25*short_st_duration_hrs/24)*(h2_short_st_invest*(1/gh2_short_st_lifetime+$M87+h2_short_st_opex)+h2_short_st_e_demand*1000*$AU87/100)/1000000</f>
        <v>4303.8694138663714</v>
      </c>
      <c r="EB87" s="63">
        <f>Storage!$Q$57/((1-Shipping!$R$37)^($F87/24/Shipping!$R$44+0.5*Shipping!$R$59))</f>
        <v>103547089.94708996</v>
      </c>
      <c r="EC87" s="153">
        <f>IF($E87="","No Port",IF(AND(ship_choice="VLCC",G87="Panama"),"Ship cannot pass through Panama",IF(ship_choice="VLCC",((F87/24/Shipping!$AD$44+F87/24/Shipping!$AD$50+Shipping!$AD$59+Shipping!$AD$64)*(Shipping!$AD$22+wacc_nl*Shipping!$AD$19/365.25*1000000+Shipping!$AD$35)+(F87/24/Shipping!$AD$44*Shipping!$AD$45+Shipping!$AD$64*Shipping!$AD$65)*IF(bunker_choice="HFO",$H87,IF(bunker_choice="hydrogen",$BD87*hfo_e_density_lhv/h2_e_density_lhv,(DX87+DZ87)*1000000/EB87*hfo_e_density_lhv/Dme_e_density_lhv))+(F87/24/Shipping!$AD$50*Shipping!$AD$51+Shipping!$AD$59*Shipping!$AD$60)*IF(bunker_choice="HFO",bunker_price_ROT,IF(bunker_choice="hydrogen",$BD87*hfo_e_density_lhv/h2_e_density_lhv,(DX87+DZ87)*1000000/EB87*hfo_e_density_lhv/Dme_e_density_lhv))+Shipping!$AD$73+IF(G87="Panama",Shipping!$AD$55,0)+IF(G87="Suez",Shipping!$AD$56,0))/Shipping!$AD$31*(EB87+Dme_st_ab_losses)/1000000+IF(inland_transport_to_port="hv dc grid",$BM87/100*1000*EE87,IF(inland_transport_to_port="pipeline",$BN87,0)),((F87/24/Shipping!$R$44+F87/24/Shipping!$R$50+Shipping!$R$59+Shipping!$R$64)*(Shipping!$R$22+wacc_nl*Shipping!$R$19/365.25*1000000+Shipping!$R$35)+(F87/24/Shipping!$R$44*Shipping!$R$45+Shipping!$R$64*Shipping!$R$65)*IF(bunker_choice="HFO",$H87,IF(bunker_choice="hydrogen",$BD87*hfo_e_density_lhv/h2_e_density_lhv,(DX87+DZ87)*1000000/EB87*hfo_e_density_lhv/Dme_e_density_lhv))+(F87/24/Shipping!$R$50*Shipping!$R$51+Shipping!$R$59*Shipping!$R$60)*IF(bunker_choice="HFO",bunker_price_ROT,IF(bunker_choice="hydrogen",$BD87*hfo_e_density_lhv/h2_e_density_lhv,(DX87+DZ87)*1000000/EB87*hfo_e_density_lhv/Dme_e_density_lhv))+Shipping!$R$73+IF(G87="Panama",Shipping!$R$55,0)+IF(G87="Suez",Shipping!$R$56,0))/Shipping!$R$31*(EB87+Dme_st_ab_losses)/1000000+IF(inland_transport_to_port="hv dc grid",$BM87/100*1000*EE87,IF(inland_transport_to_port="pipeline",$BN87,0)))))</f>
        <v>10854.807640258656</v>
      </c>
      <c r="ED87" s="28">
        <f t="shared" si="134"/>
        <v>193652.89635031737</v>
      </c>
      <c r="EE87" s="29">
        <f>(Dme_e_demand)*(EB87+Dme_st_ab_losses)/1000000+Dme_st_e_demand*DZ87/1000000+$CV87*(Carriers!$X$21/Carriers!$X$23*EB87)/$CS87</f>
        <v>1550.2168398508186</v>
      </c>
      <c r="EF87" s="29">
        <f t="shared" si="107"/>
        <v>1.0354708994708997</v>
      </c>
      <c r="EG87" s="28">
        <f>IFERROR(ED87*1000000/Storage!$Q$12,"")</f>
        <v>1870.1915857729011</v>
      </c>
      <c r="EH87" s="28">
        <f>IF($E87="","No Port",((F87/24/Shipping!$R$44+F87/24/Shipping!$R$50+Shipping!$R$59+Shipping!$R$64)*Carriers!$X$39*wacc_nl))</f>
        <v>122.75984442236556</v>
      </c>
      <c r="EI87" s="100">
        <f>H2_retrieval!$P$25*h2_demand_kt/1000+(co2_liq_e_demand+co2_st_e_demand*2)*Storage!$Q$12*co2_density/Dme_density/1000000</f>
        <v>252.45335899349112</v>
      </c>
      <c r="EJ87" s="28">
        <f>IFERROR((((DX87+DZ87+EC87)*(1+H2_retrieval!$P$34)+EH87)*1000000/H2_retrieval!$P$8)+h2_regen_dme,"")</f>
        <v>13049.246107415953</v>
      </c>
      <c r="EK87" s="149">
        <f>(ome_invest*(M87+1/ome_lifetime)/ome_prod+ome_opex+ome_e_demand*1000*$AU87/100+Carriers!$Z$21/Carriers!$Z$23*(CO87*1000000/CS87))*(EO87+ome_st_ab_losses)/1000000</f>
        <v>310085.29396305315</v>
      </c>
      <c r="EL87" s="86">
        <f>(ome_invest*(M87+1/ome_lifetime)/ome_prod+ome_opex+ome_e_demand*1000*$AU87/100+Carriers!$Z$21/Carriers!$Z$23*(CP87*1000000/CS87))*(EO87+ome_st_ab_losses)/1000000</f>
        <v>385413.13992050779</v>
      </c>
      <c r="EM87" s="63">
        <f>ome_st_nl_cost*ome_st_nl_demand/1000000+(ome_st_invest*(M87+1/ome_st_lifetime+ome_st_opex)/(Storage!$S$63/1000000)+ome_st_e_demand*1000*$AU87/100)*(EO87+ome_st_ab_losses)/1000000+co2_st_nl_cost*Storage!$S$12*co2_density/ome_density/1000000+(co2_st_opex_lev+co2_st_invest_lev+co2_st_e_demand*1000*$AU87/100)*Storage!$S$12/1000000+co2_st_invest_lev*Storage!$S$12*co2_st_lifetime*M87/1000000+(h2_demand_kt*1000/365.25*short_st_duration_hrs/24)*(h2_short_st_invest*(1/gh2_short_st_lifetime+$M87+h2_short_st_opex)+h2_short_st_e_demand*1000*$AU87/100)/1000000</f>
        <v>6845.1935240925732</v>
      </c>
      <c r="EN87" s="63">
        <f>ome_st_nl_cost*ome_st_nl_demand/1000000+(ome_st_invest*(M87+1/ome_st_lifetime+ome_st_opex)/(Storage!$S$63/1000000)+ome_st_e_demand*1000*$AU87/100)*(EO87+ome_st_ab_losses)/1000000+(h2_demand_kt*1000/365.25*short_st_duration_hrs/24)*(h2_short_st_invest*(1/gh2_short_st_lifetime+$M87+h2_short_st_opex)+h2_short_st_e_demand*1000*$AU87/100)/1000000</f>
        <v>2644.2728131255108</v>
      </c>
      <c r="EO87" s="63">
        <f>Storage!$S$57/((1-Shipping!$T$37)^($F87/24/Shipping!$T$44+0.5*Shipping!$T$59))</f>
        <v>128282539.68253967</v>
      </c>
      <c r="EP87" s="28">
        <f>IF($E87="","No Port",IF(AND(ship_choice="VLCC",G87="Panama"),"Ship cannot pass through Panama",IF(ship_choice="VLCC",((F87/24/Shipping!$AD$44+F87/24/Shipping!$AD$50+Shipping!$AD$59+Shipping!$AD$64)*(Shipping!$AD$22+wacc_nl*Shipping!$AD$19/365.25*1000000+Shipping!$AD$35)+(F87/24/Shipping!$AD$44*Shipping!$AD$45+Shipping!$AD$64*Shipping!$AD$65)*IF(bunker_choice="HFO",$H87,IF(bunker_choice="hydrogen",$BD87*hfo_e_density_lhv/h2_e_density_lhv,(EK87+EM87)*1000000/EO87*hfo_e_density_lhv/Dme_e_density_lhv))+(F87/24/Shipping!$AD$50*Shipping!$AD$51+Shipping!$AD$59*Shipping!$AD$60)*IF(bunker_choice="HFO",bunker_price_ROT,IF(bunker_choice="hydrogen",$BD87*hfo_e_density_lhv/h2_e_density_lhv,(EK87+EM87)*1000000/EO87*hfo_e_density_lhv/ome_e_density_lhv))+Shipping!$AD$73+IF(G87="Panama",Shipping!$AD$55,0)+IF(G87="Suez",Shipping!$AD$56,0))/Shipping!$AD$31*(EO87+ome_st_ab_losses)/1000000+IF(inland_transport_to_port="hv dc grid",$BM87/100*1000*ER87,IF(inland_transport_to_port="pipeline",$BN87,0)),((F87/24/Shipping!$T$44+F87/24/Shipping!$T$50+Shipping!$T$59+Shipping!$T$64)*(Shipping!$T$22+wacc_nl*Shipping!$T$19/365.25*1000000+Shipping!$T$35)+(F87/24/Shipping!$T$44*Shipping!$T$45+Shipping!$T$64*Shipping!$T$65)*IF(bunker_choice="HFO",$H87,IF(bunker_choice="hydrogen",$BD87*hfo_e_density_lhv/h2_e_density_lhv,(EK87+EM87)*1000000/EO87*hfo_e_density_lhv/Dme_e_density_lhv))+(F87/24/Shipping!$T$50*Shipping!$T$51+Shipping!$T$59*Shipping!$T$60)*IF(bunker_choice="HFO",bunker_price_ROT,IF(bunker_choice="hydrogen",$BD87*hfo_e_density_lhv/h2_e_density_lhv,(EK87+EM87)*1000000/EO87*hfo_e_density_lhv/ome_e_density_lhv))+Shipping!$T$73+IF(G87="Panama",Shipping!$T$55,0)+IF(G87="Suez",Shipping!$T$56,0))/Shipping!$T$31*(EO87+ome_st_ab_losses)/1000000+IF(inland_transport_to_port="hv dc grid",$BM87/100*1000*ER87,IF(inland_transport_to_port="pipeline",$BN87,0)))))</f>
        <v>12433.271171289336</v>
      </c>
      <c r="EQ87" s="28">
        <f t="shared" si="135"/>
        <v>400490.68390492263</v>
      </c>
      <c r="ER87" s="29">
        <f>(ome_e_demand)*(EO87+ome_st_ab_losses)/1000000+ome_st_e_demand*EM87/1000000+$CV87*(Carriers!$Z$21/Carriers!$Z$23*EO87)/$CS87</f>
        <v>3352.0814604085735</v>
      </c>
      <c r="ES87" s="29">
        <f t="shared" si="108"/>
        <v>0.1924238095238095</v>
      </c>
      <c r="ET87" s="28">
        <f>IFERROR(EQ87*1000000/Storage!$S$12,"")</f>
        <v>3121.9422759793765</v>
      </c>
      <c r="EU87" s="28">
        <f>IF($E87="","No Port",((F87/24/Shipping!$T$44+F87/24/Shipping!$T$50+Shipping!$T$59+Shipping!$T$64)*Carriers!$Z$39*wacc_nl))</f>
        <v>139.99659688156476</v>
      </c>
      <c r="EV87" s="100">
        <f>H2_retrieval!$R$25*h2_demand_kt/1000+(co2_liq_e_demand+co2_st_e_demand*2)*Storage!$S$12*co2_density/ome_density/1000000</f>
        <v>254.51942895252085</v>
      </c>
      <c r="EW87" s="28">
        <f>IFERROR((((EK87+EM87+EP87)*(1+H2_retrieval!$R$34)+EU87)*1000000/H2_retrieval!$R$8)+h2_regen_ome,"")</f>
        <v>25398.345841381153</v>
      </c>
      <c r="EX87" s="149">
        <f>(sng_invest*(M87+1/sng_lifetime)/sng_prod+lng_invest*(M87+1/lng_lifetime)/lng_prod+sng_opex+lng_opex+(sng_e_demand+lng_e_demand)*1000*$AU87/100+Carriers!$AB$18/Carriers!$AB$23*BD87+Carriers!$AB$20/Carriers!$AB$23*co2_liq_cost)*(FB87+lng_st_ab_losses)/1000000</f>
        <v>111048.65336673673</v>
      </c>
      <c r="EY87" s="86">
        <f>(sng_invest*(M87+1/sng_lifetime)/sng_prod+lng_invest*(M87+1/lng_lifetime)/lng_prod+sng_opex+lng_opex+(sng_e_demand+lng_e_demand)*1000*$AU87/100+Carriers!$AB$18/Carriers!$AB$23*BD87+Carriers!$AB$20/Carriers!$AB$23*BP87)*(FB87+lng_st_ab_losses)/1000000</f>
        <v>131042.95891583026</v>
      </c>
      <c r="EZ87" s="63">
        <f>lng_st_nl_cost*lng_st_nl_demand/1000000+(lng_st_invest*(M87+1/lng_st_lifetime+lng_st_opex)/(Storage!$U$63/1000000)+lng_st_e_demand*1000*$AU87/100)*(FB87+lng_st_ab_losses)/1000000+co2_st_nl_cost*Storage!$U$12*co2_density/lng_density/1000000+(co2_st_opex_lev+co2_st_invest_lev+co2_st_e_demand*1000*$AU87/100)*Storage!$U$12/1000000+co2_st_invest_lev*Storage!$U$12*co2_st_lifetime*M87/1000000+Carriers!$AB$18/Carriers!$AB$23*((FB87+lng_st_ab_losses)/365.25*short_st_duration_hrs/24)*(h2_short_st_invest*(1/gh2_short_st_lifetime+$M87+h2_short_st_opex)+h2_short_st_e_demand*1000*$AU87/100)/1000000+Carriers!$AB$20/Carriers!$AB$23*((FB87+lng_st_ab_losses)/365.25*short_st_duration_hrs/24)*(co2_short_st_invest*(1/co2_short_st_lifetime+$M87+co2_short_st_opex)+co2_short_st_e_demand*1000*$AU87/100)/1000000</f>
        <v>8662.8974238563096</v>
      </c>
      <c r="FA87" s="63">
        <f>lng_st_nl_cost*lng_st_nl_demand/1000000+(lng_st_invest*(M87+1/lng_st_lifetime+lng_st_opex)/(Storage!$U$63/1000000)+lng_st_e_demand*1000*$AU87/100)*(FB87+lng_st_ab_losses)/1000000+Carriers!$AB$18/Carriers!$AB$23*((FB87+lng_st_ab_losses)/365.25*short_st_duration_hrs/24)*(h2_short_st_invest*(1/gh2_short_st_lifetime+$M87+h2_short_st_opex)+h2_short_st_e_demand*1000*$AU87/100)/1000000+Carriers!$AB$20/Carriers!$AB$23*((FB87+lng_st_ab_losses)/365.25*short_st_duration_hrs/24)*(co2_short_st_invest*(1/co2_short_st_lifetime+$M87+co2_short_st_opex)+co2_short_st_e_demand*1000*$AU87/100)/1000000</f>
        <v>6788.9464830263214</v>
      </c>
      <c r="FB87" s="63">
        <f>Storage!$U$57/((1-Shipping!$V$37)^($F87/24/Shipping!$V$44+0.5*Shipping!$V$59))</f>
        <v>41615311.229973413</v>
      </c>
      <c r="FC87" s="28">
        <f>IF($E87="","No Port",IF(G87="Panama","Ship cannot pass through Panama",((F87/24/Shipping!$V$44+F87/24/Shipping!$V$50+Shipping!$V$59+Shipping!$V$64)*(Shipping!$V$22+wacc_nl*Shipping!$V$19/365.25*1000000+Shipping!$V$35)+(F87/24/Shipping!$V$44*Shipping!$V$45+Shipping!$V$64*Shipping!$V$65)*IF(bunker_choice="HFO",$H87,IF(bunker_choice="hydrogen",$BD87*hfo_e_density_lhv/h2_e_density_lhv,(EX87+EZ87)*1000000/FB87*hfo_e_density_lhv/lng_e_density_lhv))+(F87/24/Shipping!$V$50*Shipping!$V$51+Shipping!$V$59*Shipping!$V$60)*IF(bunker_choice="HFO",bunker_price_ROT,IF(bunker_choice="hydrogen",$BD87*hfo_e_density_lhv/h2_e_density_lhv,(EX87+EZ87)*1000000/FB87*hfo_e_density_lhv/lng_e_density_lhv))+Shipping!$V$73+IF(G87="Panama",Shipping!$V$55,0)+IF(G87="Suez",Shipping!$V$56,0))/Shipping!$V$31*(FB87+lng_st_ab_losses)/1000000)+IF(inland_transport_to_port="hv dc grid",$BM87/100*1000*FE87,IF(inland_transport_to_port="pipeline",$BN87,0)))</f>
        <v>5407.9959847808959</v>
      </c>
      <c r="FD87" s="28">
        <f t="shared" si="136"/>
        <v>143239.90138363748</v>
      </c>
      <c r="FE87" s="29">
        <f>((Carriers!$AB$18/Carriers!$AB$23*alk_el_e_demand)+sng_e_demand+lng_e_demand)*(FB87+lng_st_ab_losses)/1000000+lng_st_e_demand*EZ87/1000000</f>
        <v>1116.0783005385654</v>
      </c>
      <c r="FF87" s="29">
        <f t="shared" si="109"/>
        <v>0.8126185861001558</v>
      </c>
      <c r="FG87" s="28">
        <f>IFERROR(FD87*1000000/Storage!$U$12,"")</f>
        <v>3529.456268448514</v>
      </c>
      <c r="FH87" s="28">
        <f>IF($E87="","No Port",((F87/24/Shipping!$V$44+F87/24/Shipping!$V$50+Shipping!$V$59+Shipping!$V$64)*Carriers!$AB$39*wacc_nl))</f>
        <v>41.079656146572297</v>
      </c>
      <c r="FI87" s="100">
        <f>H2_retrieval!$T$25*h2_demand_kt/1000+(co2_liq_e_demand+co2_st_e_demand*2)*Storage!$U$12*co2_density/lng_density/1000000</f>
        <v>236.51371749646054</v>
      </c>
      <c r="FJ87" s="28">
        <f>IFERROR((((EX87+EZ87+FC87)*(1+H2_retrieval!$T$34)+FH87)*1000000/H2_retrieval!$T$8)+h2_regen_lng,"")</f>
        <v>10373.115780807917</v>
      </c>
      <c r="FK87" s="149">
        <f>(lh2_invest*(M87+1/lh2_lifetime)/lh2_prod+lh2_opex+lh2_e_demand*1000*$AU87/100+Carriers!$AD$18/Carriers!$AD$23*BD87)*(FM87+lh2_st_ab_losses)/1000000</f>
        <v>88303.129419050951</v>
      </c>
      <c r="FL87" s="28">
        <f>lh2_st_nl_cost*lh2_st_nl_demand/1000000+(lh2_st_invest*(M87+1/lh2_st_lifetime+lh2_st_opex)/(Storage!$Y$63/1000000)+lh2_st_e_demand*1000*$AU87/100)*(FM87+lh2_st_ab_losses)/1000000+((FM87+lh2_st_ab_losses)/365.25*short_st_duration_hrs/24)*(h2_short_st_invest*(1/gh2_short_st_lifetime+$M87+h2_short_st_opex)+h2_short_st_e_demand*1000*$AU87/100)/1000000</f>
        <v>76951.709104203343</v>
      </c>
      <c r="FM87" s="63">
        <f>Storage!$Y$57/((1-Shipping!$Z$37)^($F87/24/Shipping!$Z$44+0.5*Shipping!$Z$59))</f>
        <v>14150978.761295926</v>
      </c>
      <c r="FN87" s="28">
        <f>IF($E87="","No Port",IF(G87="Panama","Ship cannot pass through Panama",((F87/24/Shipping!$Z$44+F87/24/Shipping!$Z$50+Shipping!$Z$59+Shipping!$Z$64)*(Shipping!$Z$22+wacc_nl*Shipping!$Z$19/365.25*1000000+Shipping!$Z$35)+(F87/24/Shipping!$Z$44*Shipping!$Z$45+Shipping!$Z$64*Shipping!$Z$65)*IF(bunker_choice="HFO",$H87,IF(bunker_choice="hydrogen",$BD87*hfo_e_density_lhv/h2_e_density_lhv,(FK87+FL87)*1000000/FM87*hfo_e_density_lhv/lh2_e_density_lhv))+(F87/24/Shipping!$Z$50*Shipping!$Z$51+Shipping!$Z$59*Shipping!$Z$60)*IF(bunker_choice="HFO",bunker_price_ROT,IF(bunker_choice="hydrogen",$BD87*hfo_e_density_lhv/h2_e_density_lhv,(FK87+FL87)*1000000/FM87*hfo_e_density_lhv/lh2_e_density_lhv))+Shipping!$Z$73+IF(G87="Panama",Shipping!$Z$55,0)+IF(G87="Suez",Shipping!$Z$56,0))/Shipping!$Z$31*(FM87+lh2_st_ab_losses)/1000000)+IF(inland_transport_to_port="hv dc grid",$BM87/100*1000*FP87,IF(inland_transport_to_port="pipeline",$BN87,0)))</f>
        <v>7736.2962589639947</v>
      </c>
      <c r="FO87" s="28">
        <f t="shared" si="128"/>
        <v>172991.13478221829</v>
      </c>
      <c r="FP87" s="29">
        <f>((Carriers!$AD$18/Carriers!$AD$23*alk_el_e_demand)+lh2_e_demand)*(FM87+lh2_st_ab_losses)/1000000+lh2_st_e_demand*FM87/1000000</f>
        <v>820.01619406619898</v>
      </c>
      <c r="FQ87" s="100">
        <f t="shared" si="110"/>
        <v>1.361902463475859</v>
      </c>
      <c r="FR87" s="28">
        <f>IFERROR(FO87*1000000/Storage!$Y$12,"")</f>
        <v>12719.936381045463</v>
      </c>
      <c r="FS87" s="100">
        <f>H2_retrieval!$V$25*h2_demand_kt/1000</f>
        <v>8.16</v>
      </c>
      <c r="FT87" s="28">
        <f>IFERROR(FR87*(1+H2_retrieval!$V$34)/Carrier_properties!$U$7+H2_retrieval!$V$38,"")</f>
        <v>12751.905106913931</v>
      </c>
      <c r="FU87" s="12"/>
      <c r="FV87" s="24">
        <f t="shared" si="129"/>
        <v>4.066630335389001</v>
      </c>
      <c r="FW87" s="24" t="str">
        <f t="shared" si="92"/>
        <v/>
      </c>
      <c r="FX87" s="24">
        <f t="shared" si="93"/>
        <v>11.265191192703538</v>
      </c>
      <c r="FY87" s="24">
        <f t="shared" si="130"/>
        <v>4.066630335389001</v>
      </c>
      <c r="FZ87" s="28">
        <f t="shared" si="94"/>
        <v>4660.4374352663244</v>
      </c>
      <c r="GA87" s="28">
        <f t="shared" si="137"/>
        <v>1057.3494921880692</v>
      </c>
      <c r="GB87" s="28">
        <f t="shared" si="138"/>
        <v>675.73274982732971</v>
      </c>
      <c r="GC87" s="28">
        <f t="shared" si="139"/>
        <v>1183.8580288493022</v>
      </c>
      <c r="GD87" s="28">
        <f t="shared" si="140"/>
        <v>1723.7975435852284</v>
      </c>
      <c r="GE87" s="28">
        <f t="shared" si="141"/>
        <v>3004.4084009740395</v>
      </c>
      <c r="GF87" s="28">
        <f t="shared" si="142"/>
        <v>3148.9121441784778</v>
      </c>
      <c r="GG87" s="12"/>
      <c r="GH87" s="12"/>
      <c r="GI87" s="12"/>
      <c r="GJ87" s="12"/>
      <c r="GK87" s="12"/>
      <c r="GL87" s="12"/>
      <c r="GM87" s="12"/>
      <c r="GN87" s="12"/>
      <c r="GO87" s="12"/>
      <c r="GP87" s="12"/>
      <c r="GQ87" s="12"/>
      <c r="GR87" s="12"/>
      <c r="GS87" s="12"/>
      <c r="GT87" s="12"/>
      <c r="GU87" s="12"/>
      <c r="GV87" s="12"/>
      <c r="GW87" s="12"/>
      <c r="GX87" s="12"/>
      <c r="GY87" s="12"/>
      <c r="GZ87" s="12"/>
      <c r="HA87" s="12"/>
      <c r="HB87" s="12"/>
      <c r="HC87" s="12"/>
      <c r="HD87" s="12"/>
      <c r="HE87" s="12"/>
      <c r="HF87" s="12"/>
    </row>
    <row r="88" spans="1:214" x14ac:dyDescent="0.2">
      <c r="A88" s="40" t="s">
        <v>87</v>
      </c>
      <c r="B88" s="12">
        <v>7787</v>
      </c>
      <c r="C88" s="12">
        <v>1</v>
      </c>
      <c r="D88" s="12">
        <f t="shared" si="111"/>
        <v>0</v>
      </c>
      <c r="E88" s="12"/>
      <c r="F88" s="12"/>
      <c r="G88" s="12"/>
      <c r="H88" s="16">
        <f t="shared" si="112"/>
        <v>382.75862068965517</v>
      </c>
      <c r="I88" s="16">
        <v>94280</v>
      </c>
      <c r="J88" s="16">
        <f t="shared" si="113"/>
        <v>173.23468494908226</v>
      </c>
      <c r="K88" s="16" t="str">
        <f t="shared" si="114"/>
        <v/>
      </c>
      <c r="L88" s="103">
        <v>0.20499999999999999</v>
      </c>
      <c r="M88" s="103">
        <f t="shared" si="115"/>
        <v>0.18639125001566037</v>
      </c>
      <c r="N88" s="122">
        <f t="shared" si="116"/>
        <v>0.9</v>
      </c>
      <c r="O88" s="46">
        <f t="shared" si="117"/>
        <v>40</v>
      </c>
      <c r="P88" s="70">
        <f t="array" ref="P88">SUMPRODUCT(IF(Solar_data!A$4:A$777=A88,Solar_data!C$4:C$777),IF(Solar_data!A$4:A$777=A88,Solar_data!I$4:I$777))/SUMIF(Solar_data!A$4:A$777,A88,Solar_data!I$4:I$777)</f>
        <v>2037.9024879005542</v>
      </c>
      <c r="Q88" s="16">
        <f t="array" ref="Q88">MAX(IF(Solar_data!$A$777:'Solar_data'!$A$4=Country_details!$A88,Solar_data!$C$4:'Solar_data'!$C$777))</f>
        <v>2098.75</v>
      </c>
      <c r="R88" s="16">
        <f t="array" ref="R88">MIN(IF(Solar_data!$A$777:'Solar_data'!$A$4=Country_details!A88,Solar_data!$C$4:'Solar_data'!$C$777))</f>
        <v>1916.25</v>
      </c>
      <c r="S88" s="24">
        <f t="shared" si="95"/>
        <v>3.0364688875781054</v>
      </c>
      <c r="T88" s="24">
        <f t="shared" si="96"/>
        <v>2.94843478281265</v>
      </c>
      <c r="U88" s="24">
        <f t="shared" si="97"/>
        <v>3.2292380954614743</v>
      </c>
      <c r="V88" s="16">
        <f t="array" ref="V88">SUM(IF(Solar_data!$A$777:'Solar_data'!$A$4=Country_details!$A88,Solar_data!$I$4:'Solar_data'!$I$777))</f>
        <v>961.96906020102313</v>
      </c>
      <c r="W88" s="148"/>
      <c r="X88" s="16" t="str">
        <f>IFERROR(INDEX(Onshore_wind_data!$J$5:'Onshore_wind_data'!$J$221,MATCH(A88,Onshore_wind_data!$B$5:'Onshore_wind_data'!$B$221,0)),"")</f>
        <v/>
      </c>
      <c r="Y88" s="16" t="str">
        <f>IFERROR(INDEX(Onshore_wind_data!$K$5:'Onshore_wind_data'!$K$221,MATCH(A88,Onshore_wind_data!$B$5:'Onshore_wind_data'!$B$221,0)),"")</f>
        <v/>
      </c>
      <c r="Z88" s="16" t="str">
        <f>IFERROR(INDEX(Onshore_wind_data!$L$5:'Onshore_wind_data'!$L$221,MATCH(A88,Onshore_wind_data!$B$5:'Onshore_wind_data'!$B$221,0)),"")</f>
        <v/>
      </c>
      <c r="AA88" s="24" t="str">
        <f t="shared" si="118"/>
        <v/>
      </c>
      <c r="AB88" s="24" t="str">
        <f t="shared" si="119"/>
        <v/>
      </c>
      <c r="AC88" s="24" t="str">
        <f t="shared" si="120"/>
        <v/>
      </c>
      <c r="AD88" s="16">
        <f>IFERROR(INDEX(Onshore_wind_data!$I$5:'Onshore_wind_data'!$I$221,MATCH(A88,Onshore_wind_data!$B$5:'Onshore_wind_data'!$B$221,0)),"")</f>
        <v>0</v>
      </c>
      <c r="AE88" s="148"/>
      <c r="AF88" s="16" t="str">
        <f>INDEX(Offshore_wind_data!$AA$7:$AA$192,MATCH(Country_details!A88,Offshore_wind_data!$A$7:$A$192,0))</f>
        <v/>
      </c>
      <c r="AG88" s="16" t="str">
        <f>INDEX(Offshore_wind_data!$Y$7:$Y$192,MATCH(Country_details!A88,Offshore_wind_data!$A$7:$A$192,0))</f>
        <v/>
      </c>
      <c r="AH88" s="16" t="str">
        <f>INDEX(Offshore_wind_data!$Z$7:$Z$192,MATCH(Country_details!A88,Offshore_wind_data!$A$7:$A$192,0))</f>
        <v/>
      </c>
      <c r="AI88" s="24" t="str">
        <f t="shared" si="98"/>
        <v/>
      </c>
      <c r="AJ88" s="24" t="str">
        <f t="shared" si="99"/>
        <v/>
      </c>
      <c r="AK88" s="24" t="str">
        <f t="shared" si="100"/>
        <v/>
      </c>
      <c r="AL88" s="16">
        <f>INDEX(Offshore_wind_data!$W$7:$W$191,MATCH(A88,Offshore_wind_data!$A$7:$A$191,0))</f>
        <v>0</v>
      </c>
      <c r="AM88" s="148"/>
      <c r="AN88" s="12">
        <v>18.600000000000001</v>
      </c>
      <c r="AO88" s="12">
        <v>41.7</v>
      </c>
      <c r="AP88" s="34"/>
      <c r="AQ88" s="15">
        <f t="shared" si="101"/>
        <v>50</v>
      </c>
      <c r="AR88" s="12">
        <f t="shared" si="131"/>
        <v>2085</v>
      </c>
      <c r="AS88" s="16">
        <f t="shared" si="121"/>
        <v>-1123.0309397989768</v>
      </c>
      <c r="AT88" s="12"/>
      <c r="AU88" s="24">
        <f t="shared" si="122"/>
        <v>3.0364688875781054</v>
      </c>
      <c r="AV88" s="16">
        <f t="shared" si="123"/>
        <v>2037.9024879005542</v>
      </c>
      <c r="AW88" s="149">
        <f>HV_DC_Grid!$E$3/(1-AX88)*AU88/100*1000</f>
        <v>3588.8291374291975</v>
      </c>
      <c r="AX88" s="31">
        <f>(1-(1-HV_DC_Grid!$E$25)^(B88*C88*HV_DC_Grid!$E$8/1000))+(1-(1-HV_DC_Grid!$E$26)^(B88*D88*HV_DC_Grid!$E$8/1000))+HV_DC_Grid!$E$35*HV_DC_Grid!$E$28</f>
        <v>0.15391099121725449</v>
      </c>
      <c r="AY88" s="28">
        <f>B88*nl_e_demand/IF(hv_dc_flh="electricity FLH",$AV88,hv_dc_custom)*1000*hv_dc_capacity_multiplier*hv_dc_length_multiplier*1000*(C88*hv_dc_overhead_invest*(hv_dc_overhead_opex+M88+1/hv_dc_lifetime)+D88*hv_dc_sea_invest*(hv_dc_sea_opex+M88+1/hv_dc_lifetime))/1000000+HV_DC_Grid!$E$10*1000*hv_dc_station_invest*hv_dc_station_number*(hv_dc_station_opex+M88+1/hv_dc_lifetime)/1000000</f>
        <v>9687.0538452852252</v>
      </c>
      <c r="AZ88" s="24">
        <f>(AW88+AY88)/(HV_DC_Grid!$E$3*1000)*100</f>
        <v>13.275882982714421</v>
      </c>
      <c r="BA88" s="28">
        <f>MIN(((Carriers!$F$26+Carriers!$F$27)*(alk_el_opex+wacc_nl+1/alk_el_lifetime)+IF(hv_dc_flh="electricity FLH",$AV88,hv_dc_custom)*AZ88/100)/(IF(hv_dc_flh="electricity FLH",$AV88,hv_dc_custom)/alk_el_e_demand)*1000,((Carriers!$H$26+Carriers!$H$27)*(pem_el_opex+wacc_nl+1/pem_el_lifetime)+IF(hv_dc_flh="electricity FLH",$AV88,hv_dc_custom)*AZ88/100)/(IF(hv_dc_flh="electricity FLH",$AV88,hv_dc_custom)/pem_el_e_demand)*1000)</f>
        <v>7143.8674980875421</v>
      </c>
      <c r="BB88" s="12"/>
      <c r="BC88" s="12"/>
      <c r="BD88" s="149">
        <f>MIN(((Carriers!$F$26+Carriers!$F$27)*(alk_el_opex+M88+1/alk_el_lifetime)+$AV88*$AU88/100)/($AV88/alk_el_e_demand)*1000,((Carriers!$H$26+Carriers!$H$27)*(pem_el_opex+M88+1/pem_el_lifetime)+$AV88*$AU88/100)/($AV88/pem_el_e_demand)*1000)</f>
        <v>3763.0421076689609</v>
      </c>
      <c r="BE88" s="28">
        <f>Storage!$AC$50</f>
        <v>8.1664117557772418</v>
      </c>
      <c r="BF88" s="28">
        <f>((Pipeline!$D$22*Pipeline!$D$24*B88*(pipeline_opex+M88+1/pipeline_lifetime))*(Pipeline!$D$39/Pipeline!$D$3)+(Pipeline!$D$57*(pipeline_comp_opex+M88+1/pipeline_comp_lifetime)+Pipeline!$D$47*1000*Pipeline!$D$45*$AU88/100/1000000))*(Pipeline!$D$75/Pipeline!$D$45)</f>
        <v>23124.832098462248</v>
      </c>
      <c r="BG88" s="28">
        <f>BD88+(BE88+BF88)/Storage!$AC$12*1000000</f>
        <v>5463.9978804791099</v>
      </c>
      <c r="BH88" s="28"/>
      <c r="BI88" s="28"/>
      <c r="BJ88" s="28" t="str">
        <f>IF($E88="","No Port",BK88*HV_DC_Grid!$E$3*$AU88/100*1000)</f>
        <v>No Port</v>
      </c>
      <c r="BK88" s="31" t="str">
        <f>IFERROR((1-(1-HV_DC_Grid!$E$25)^(K88*HV_DC_Grid!$E$8/1000))+HV_DC_Grid!$E$35*HV_DC_Grid!$E$28,"")</f>
        <v/>
      </c>
      <c r="BL88" s="28" t="str">
        <f>IFERROR(K88*nl_e_demand/IF(hv_dc_flh="electricity FLH",$AV88,hv_dc_custom)*1000*hv_dc_capacity_multiplier*hv_dc_length_multiplier*1000*(hv_dc_overhead_invest*(hv_dc_overhead_opex+M88+1/hv_dc_lifetime))/1000000+HV_DC_Grid!$E$10*1000*hv_dc_station_invest*hv_dc_station_number*(hv_dc_station_opex+M88+1/hv_dc_lifetime)/1000000,"")</f>
        <v/>
      </c>
      <c r="BM88" s="29" t="str">
        <f>IFERROR((BJ88+BL88)/(HV_DC_Grid!$E$3*1000)*100,"")</f>
        <v/>
      </c>
      <c r="BN88" s="28" t="str">
        <f>IFERROR(((Pipeline!$D$22*Pipeline!$D$24*K88*(pipeline_opex+M88+1/pipeline_lifetime))*(Pipeline!$D$39/Pipeline!$D$3)+(Pipeline!$D$57*(pipeline_comp_opex+M88+1/pipeline_comp_lifetime)+Pipeline!$D$47*1000*Pipeline!$D$45*S88/100/1000000))*(Pipeline!$D$75/Pipeline!$D$45),"")</f>
        <v/>
      </c>
      <c r="BO88" s="28"/>
      <c r="BP88" s="150">
        <f t="shared" si="124"/>
        <v>146.39620388950976</v>
      </c>
      <c r="BQ88" s="34">
        <f t="shared" si="125"/>
        <v>43.924334464586501</v>
      </c>
      <c r="BR88" s="151">
        <f>(nh3_invest*(M88+1/nh3_lifetime)/nh3_prod+nh3_opex+nh3_e_demand*1000*$AU88/100+Carriers!$N$18/Carriers!$N$23*BD88+Carriers!$N$19/Carriers!$N$23*BQ88)*(BT88+nh3_st_ab_losses)/1000000</f>
        <v>65596.096125095661</v>
      </c>
      <c r="BS88" s="63">
        <f>nh3_st_nl_cost*nh3_st_nl_demand/1000000+(nh3_st_invest*(M88+1/nh3_st_lifetime+nh3_st_opex)/(Storage!$G$63/1000000)+nh3_st_e_demand*1000*$AU88/100)*(BT88+nh3_st_ab_losses)/1000000+Carriers!$N$18/Carriers!$N$23*((BT88+nh3_st_ab_losses)/365.25*short_st_duration_hrs/24)*(h2_short_st_invest*(1/gh2_short_st_lifetime+$M88+h2_short_st_opex)+h2_short_st_e_demand*1000*$AU88/100)/1000000+Carriers!$N$19/Carriers!$N$23*((BT88+nh3_st_ab_losses)/365.25*short_st_duration_hrs/24)*(n2_short_st_invest*(1/n2_short_st_lifetime+$M88+n2_short_st_opex)+n2_short_st_e_demand*1000*$AU88/100)/1000000</f>
        <v>4088.777708013653</v>
      </c>
      <c r="BT88" s="63">
        <f>Storage!$G$57/((1-Shipping!$H$37)^(F88/24/Shipping!$H$44+0.5*Shipping!$H$59))</f>
        <v>76857210.785724297</v>
      </c>
      <c r="BU88" s="63" t="str">
        <f>IF($E88="","No Port",((F88/24/Shipping!$H$44+F88/24/Shipping!$H$50+Shipping!$H$59+Shipping!$H$64)*(Shipping!$H$22+wacc_nl*Shipping!$H$19/365.25*1000000+Shipping!$H$35)+(F88/24/Shipping!$H$44*Shipping!$H$45+Shipping!$H$64*Shipping!$H$65)*IF(bunker_choice="HFO",H88,IF(bunker_choice="hydrogen",BD88*hfo_e_density_lhv/h2_e_density_lhv,(BR88+BS88)*1000000/BT88*hfo_e_density_lhv/nh3_e_density_lhv))+(F88/24/Shipping!$H$50*Shipping!$H$51+Shipping!$H$59*Shipping!$H$60)*IF(bunker_choice="HFO",bunker_price_ROT,IF(bunker_choice="hydrogen",BD88*hfo_e_density_lhv/h2_e_density_lhv,(BR88+BS88)*1000000/BT88*hfo_e_density_lhv/nh3_e_density_lhv))+Shipping!$H$73+IF(G88="Panama",Shipping!$H$55,0)+IF(G88="Suez",Shipping!$H$56,0))/Shipping!$H$31*BT88/1000000+IF(inland_transport_to_port="hv dc grid",$BM88/100*1000*BW88,IF(inland_transport_to_port="pipeline",$BN88,0)))</f>
        <v>No Port</v>
      </c>
      <c r="BV88" s="63" t="str">
        <f t="shared" si="126"/>
        <v/>
      </c>
      <c r="BW88" s="33">
        <f>((Carriers!$N$18/Carriers!$N$23*alk_el_e_demand)+(Carriers!$N$19/Carriers!$N$23*n2_e_demand)+nh3_e_demand)*(BT88+nh3_st_ab_losses)/1000000+nh3_st_e_demand*BT88/1000000</f>
        <v>759.00171168026975</v>
      </c>
      <c r="BX88" s="33">
        <f t="shared" si="102"/>
        <v>0.76626754477640768</v>
      </c>
      <c r="BY88" s="63" t="str">
        <f>IFERROR(BV88*1000000/Storage!$G$12,"")</f>
        <v/>
      </c>
      <c r="BZ88" s="63">
        <f>H2_retrieval!$F$25*h2_demand_kt/1000</f>
        <v>80</v>
      </c>
      <c r="CA88" s="63" t="str">
        <f>IFERROR(BY88*(1+H2_retrieval!$F$34)/Carrier_properties!$E$7+H2_retrieval!$F$38,"")</f>
        <v/>
      </c>
      <c r="CB88" s="149">
        <f>(FA_invest*(M88+1/FA_lifetime)/FA_prod+FA_opex+FA_e_demand*1000*$AU88/100+Carriers!$P$18/Carriers!$P$23*BD88+Carriers!$P$20/Carriers!$P$23*co2_liq_cost)*(CF88+FA_st_ab_losses)/1000000</f>
        <v>131376.74099230953</v>
      </c>
      <c r="CC88" s="86">
        <f>(FA_invest*(M88+1/FA_lifetime)/FA_prod+FA_opex+FA_e_demand*1000*$AU88/100+Carriers!$P$18/Carriers!$P$23*BD88+Carriers!$P$20/Carriers!$P$23*BP88)*(CF88+FA_st_ab_losses)/1000000</f>
        <v>167230.94178172629</v>
      </c>
      <c r="CD88" s="63">
        <f>FA_st_nl_cost*FA_st_nl_demand/1000000+(FA_st_invest*(M88+1/FA_st_lifetime+FA_st_opex)/(Storage!$I$63/1000000)+FA_st_e_demand*1000*$AU88/100)*(CF88+FA_st_ab_losses)/1000000+co2_st_nl_cost*Storage!$I$12*co2_density/FA_density/1000000+(co2_st_opex_lev+co2_st_invest_lev+co2_st_e_demand*1000*$AU88/100)*Storage!$I$12/1000000+co2_st_invest_lev*Storage!$I$12*co2_st_lifetime*M88/1000000+Carriers!$P$18/Carriers!$P$23*((CF88+FA_st_ab_losses)/365.25*short_st_duration_hrs/24)*(h2_short_st_invest*(1/gh2_short_st_lifetime+$M88+h2_short_st_opex)+h2_short_st_e_demand*1000*$AU88/100)/1000000+Carriers!$P$20/Carriers!$P$23*((CF88+FA_st_ab_losses)/365.25*short_st_duration_hrs/24)*(co2_short_st_invest*(1/co2_short_st_lifetime+$M88+co2_short_st_opex)+co2_short_st_e_demand*1000*$AU88/100)/1000000</f>
        <v>13868.934624922473</v>
      </c>
      <c r="CE88" s="63">
        <f>FA_st_nl_cost*FA_st_nl_demand/1000000+(FA_st_invest*(M88+1/FA_st_lifetime+FA_st_opex)/(Storage!$I$63/1000000)+FA_st_e_demand*1000*$AU88/100)*(CF88+FA_st_ab_losses)/1000000+Carriers!$P$18/Carriers!$P$23*((CF88+FA_st_ab_losses)/365.25*short_st_duration_hrs/24)*(h2_short_st_invest*(1/gh2_short_st_lifetime+$M88+h2_short_st_opex)+h2_short_st_e_demand*1000*$AU88/100)/1000000+Carriers!$P$20/Carriers!$P$23*((CF88+FA_st_ab_losses)/365.25*short_st_duration_hrs/24)*(co2_short_st_invest*(1/co2_short_st_lifetime+$M88+co2_short_st_opex)+co2_short_st_e_demand*1000*$AU88/100)/1000000</f>
        <v>6179.2152130051372</v>
      </c>
      <c r="CF88" s="63">
        <f>Storage!$I$57/((1-Shipping!$J$37)^($F88/24/Shipping!$J$44+0.5*Shipping!$J$59))</f>
        <v>310425396.82539684</v>
      </c>
      <c r="CG88" s="28" t="str">
        <f>IF($E88="","No Port",((F88/24/Shipping!$J$44+F88/24/Shipping!$J$50+Shipping!$J$59+Shipping!$J$64)*(Shipping!$J$22+wacc_nl*Shipping!$J$19/365.25*1000000+Shipping!$J$35)+(F88/24/Shipping!$J$44*Shipping!$J$45+Shipping!$J$64*Shipping!$J$65)*IF(bunker_choice="HFO",$H88,IF(bunker_choice="hydrogen",$BD88*hfo_e_density_lhv/h2_e_density_lhv,(CB88+CD88)*1000000/CF88*hfo_e_density_lhv/FA_e_density_lhv))+(F88/24/Shipping!$J$50*Shipping!$J$51+Shipping!$J$59*Shipping!$J$60)*IF(bunker_choice="HFO",bunker_price_ROT,IF(bunker_choice="hydrogen",$BD88*hfo_e_density_lhv/h2_e_density_lhv,(CB88+CD88)*1000000/CF88*hfo_e_density_lhv/FA_e_density_lhv))+Shipping!$J$73+IF(G88="Panama",Shipping!$J$55,0)+IF(G88="Suez",Shipping!$J$56,0))/Shipping!$J$31*CF88/1000000+IF(inland_transport_to_port="hv dc grid",$BM88/100*1000*CI88,IF(inland_transport_to_port="pipeline",$BN88,0)))</f>
        <v>No Port</v>
      </c>
      <c r="CH88" s="28" t="str">
        <f t="shared" si="132"/>
        <v/>
      </c>
      <c r="CI88" s="29">
        <f>((Carriers!$P$18/Carriers!$P$23*alk_el_e_demand)+FA_e_demand)*(CF88+FA_st_ab_losses)/1000000+FA_st_e_demand*CF88/1000000</f>
        <v>1897.8881241622576</v>
      </c>
      <c r="CJ88" s="29">
        <f t="shared" si="103"/>
        <v>0.46563809523809524</v>
      </c>
      <c r="CK88" s="28" t="str">
        <f>IFERROR(CH88*1000000/Storage!$I$12,"")</f>
        <v/>
      </c>
      <c r="CL88" s="28" t="str">
        <f>IF($E88="","No Port",((F88/24/Shipping!$J$44+F88/24/Shipping!$J$50+Shipping!$J$59+Shipping!$J$64)*Carriers!$P$39*wacc_nl))</f>
        <v>No Port</v>
      </c>
      <c r="CM88" s="29">
        <f>H2_retrieval!$H$25*h2_demand_kt/1000+(co2_liq_e_demand+co2_st_e_demand*2)*Storage!$I$12*co2_density/FA_density/1000000</f>
        <v>94.204253879484654</v>
      </c>
      <c r="CN88" s="28" t="str">
        <f>IFERROR((((CB88+CD88+CG88)*(1+H2_retrieval!$H$34)+CL88)*1000000/H2_retrieval!$H$8)+h2_regen_fa,"")</f>
        <v/>
      </c>
      <c r="CO88" s="149">
        <f>(meoh_invest*(M88+1/meoh_lifetime)/meoh_prod+meoh_opex+meoh_e_demand*1000*$AU88/100+Carriers!$R$18/Carriers!$R$23*BD88+Carriers!$R$20/Carriers!$R$23*co2_liq_cost)*(CS88+meoh_st_ab_losses)/1000000</f>
        <v>82016.66779736137</v>
      </c>
      <c r="CP88" s="86">
        <f>(meoh_invest*(M88+1/meoh_lifetime)/meoh_prod+meoh_opex+meoh_e_demand*1000*$AU88/100+Carriers!$R$18/Carriers!$R$23*BD88+Carriers!$R$20/Carriers!$R$23*BP88)*(CS88+meoh_st_ab_losses)/1000000</f>
        <v>103064.19054577114</v>
      </c>
      <c r="CQ88" s="63">
        <f>meoh_st_nl_cost*meoh_st_nl_demand/1000000+(meoh_st_invest*(M88+1/meoh_st_lifetime+meoh_st_opex)/(Storage!$K$63/1000000)+meoh_st_e_demand*1000*$AU88/100)*(CS88+meoh_st_ab_losses)/1000000+co2_st_nl_cost*Storage!$K$12*co2_density/meoh_density/1000000+(co2_st_opex_lev+co2_st_invest_lev+co2_st_e_demand*1000*IFERROR(MIN(S88,AA88,AI88),S88)/100)*Storage!$K$12/1000000+co2_st_invest_lev*Storage!$K$12*co2_st_lifetime*M88/1000000+Carriers!$R$18/Carriers!$R$23*((CS88+meoh_st_ab_losses)/365.25*short_st_duration_hrs/24)*(h2_short_st_invest*(1/gh2_short_st_lifetime+$M88+h2_short_st_opex)+h2_short_st_e_demand*1000*$AU88/100)/1000000+Carriers!$R$20/Carriers!$R$23*((CF88+meoh_st_ab_losses)/365.25*short_st_duration_hrs/24)*(co2_short_st_invest*(1/co2_short_st_lifetime+$M88+co2_short_st_opex)+co2_short_st_e_demand*1000*$AU88/100)/1000000</f>
        <v>5779.9570114846001</v>
      </c>
      <c r="CR88" s="63">
        <f>meoh_st_nl_cost*meoh_st_nl_demand/1000000+(meoh_st_invest*(M88+1/meoh_st_lifetime+meoh_st_opex)/(Storage!$K$63/1000000)+meoh_st_e_demand*1000*$AU88/100)*(CS88+meoh_st_ab_losses)/1000000+Carriers!$R$18/Carriers!$R$23*((CS88+meoh_st_ab_losses)/365.25*short_st_duration_hrs/24)*(h2_short_st_invest*(1/gh2_short_st_lifetime+$M88+h2_short_st_opex)+h2_short_st_e_demand*1000*$AU88/100)/1000000+Carriers!$R$20/Carriers!$R$23*((CF88+meoh_st_ab_losses)/365.25*short_st_duration_hrs/24)*(co2_short_st_invest*(1/co2_short_st_lifetime+$M88+co2_short_st_opex)+co2_short_st_e_demand*1000*$AU88/100)/1000000</f>
        <v>2504.5308073509818</v>
      </c>
      <c r="CS88" s="63">
        <f>Storage!$K$57/((1-Shipping!$L$37)^($F88/24/Shipping!$L$44+0.5*Shipping!$L$59))</f>
        <v>108044444.44444443</v>
      </c>
      <c r="CT88" s="28" t="str">
        <f>IF($E88="","No Port",IF(AND(ship_choice="VLCC",G88="Panama"),"Ship cannot pass through Panama",IF(ship_choice="VLCC",((F88/24/Shipping!$AD$44+F88/24/Shipping!$AD$50+Shipping!$AD$59+Shipping!$AD$64)*(Shipping!$AD$22+wacc_nl*Shipping!$AD$19/365.25*1000000+Shipping!$AD$35)+(F88/24/Shipping!$AD$44*Shipping!$AD$45+Shipping!$AD$64*Shipping!$AD$65)*IF(bunker_choice="HFO",$H88,IF(bunker_choice="hydrogen",$BD88*hfo_e_density_lhv/h2_e_density_lhv,(CO88+CQ88)*1000000/CS88*hfo_e_density_lhv/meoh_e_density_lhv))+(F88/24/Shipping!$AD$50*Shipping!$AD$51+Shipping!$AD$59*Shipping!$AD$60)*IF(bunker_choice="HFO",bunker_price_ROT,IF(bunker_choice="hydrogen",$BD88*hfo_e_density_lhv/h2_e_density_lhv,(CO88+CQ88)*1000000/CS88*hfo_e_density_lhv/meoh_e_density_lhv))+Shipping!$AD$73+IF(G88="Panama",Shipping!$AD$55,0)+IF(G88="Suez",Shipping!$AD$56,0))/Shipping!$AD$31*CS88/1000000+IF(inland_transport_to_port="hv dc grid",$BM88/100*1000*CV88,IF(inland_transport_to_port="pipeline",$BN88,0)),((F88/24/Shipping!$L$44+F88/24/Shipping!$L$50+Shipping!$L$59+Shipping!$L$64)*(Shipping!$L$22+wacc_nl*Shipping!$L$19/365.25*1000000+Shipping!$L$35)+(F88/24/Shipping!$L$44*Shipping!$L$45+Shipping!$L$64*Shipping!$L$65)*IF(bunker_choice="HFO",$H88,IF(bunker_choice="hydrogen",$BD88*hfo_e_density_lhv/h2_e_density_lhv,(CO88+CQ88)*1000000/CS88*hfo_e_density_lhv/meoh_e_density_lhv))+(F88/24/Shipping!$L$50*Shipping!$L$51+Shipping!$L$59*Shipping!$L$60)*IF(bunker_choice="HFO",bunker_price_ROT,IF(bunker_choice="hydrogen",$BD88*hfo_e_density_lhv/h2_e_density_lhv,(CO88+CQ88)*1000000/CS88*hfo_e_density_lhv/meoh_e_density_lhv))+Shipping!$L$73+IF(G88="Panama",Shipping!$L$55,0)+IF(G88="Suez",Shipping!$L$56,0))/Shipping!$L$31*CS88/1000000+IF(inland_transport_to_port="hv dc grid",$BM88/100*1000*CV88,IF(inland_transport_to_port="pipeline",$BN88,0)))))</f>
        <v>No Port</v>
      </c>
      <c r="CU88" s="28" t="str">
        <f t="shared" si="133"/>
        <v/>
      </c>
      <c r="CV88" s="29">
        <f>((Carriers!$R$18/Carriers!$R$23*alk_el_e_demand)+meoh_e_demand)*(CS88+meoh_st_ab_losses)/1000000+meoh_st_e_demand*CS88/1000000</f>
        <v>1119.9789871111109</v>
      </c>
      <c r="CW88" s="29">
        <f t="shared" si="104"/>
        <v>0.16206666666666666</v>
      </c>
      <c r="CX88" s="28" t="str">
        <f>IFERROR(CU88*1000000/Storage!$K$12,"")</f>
        <v/>
      </c>
      <c r="CY88" s="28" t="str">
        <f>IF($E88="","No Port",((F88/24/Shipping!$L$44+F88/24/Shipping!$L$50+Shipping!$L$59+Shipping!$L$64)*Carriers!$R$39*wacc_nl))</f>
        <v>No Port</v>
      </c>
      <c r="CZ88" s="29">
        <f>H2_retrieval!$J$25*h2_demand_kt/1000+(co2_liq_e_demand+co2_st_e_demand*2)*Storage!$K$12*co2_density/meoh_density/1000000</f>
        <v>251.05079059698966</v>
      </c>
      <c r="DA88" s="28" t="str">
        <f>IFERROR((((CO88+CQ88+CT88)*(1+H2_retrieval!$J$34)+CY88)*1000000/H2_retrieval!$J$8)+h2_regen_meoh,"")</f>
        <v/>
      </c>
      <c r="DB88" s="149">
        <f>(DBT_invest*(M88+1/DBT_lifetime)/DBT_prod+DBT_opex+DBT_e_demand*1000*$AU88/100+Carriers!$T$18/Carriers!$T$23*BD88)*(DD88+DBT_st_ab_losses)/1000000</f>
        <v>55133.496424558012</v>
      </c>
      <c r="DC88" s="28">
        <f>2*(DBT_st_nl_cost*DBT_st_nl_demand/1000000+(DBT_st_invest*(M88+1/DBT_st_lifetime+DBT_st_opex)/(Storage!$M$63/1000000)+DBT_st_e_demand*1000*$AU88/100)*(DD88+DBT_st_ab_losses)/1000000)+Carriers!$T$18/Carriers!$T$23*((DD88+DBT_st_ab_losses)/365.25*short_st_duration_hrs/24)*(h2_short_st_invest*(1/gh2_short_st_lifetime+$M88+h2_short_st_opex)+h2_short_st_e_demand*1000*$AU88/100)/1000000</f>
        <v>5016.5210214417239</v>
      </c>
      <c r="DD88" s="63">
        <f>Storage!$M$57/((1-Shipping!$N$37)^($F88/24/Shipping!$N$44+0.5*Shipping!$N$59))</f>
        <v>219354838.70967743</v>
      </c>
      <c r="DE88" s="28" t="str">
        <f>IF($E88="","No Port",IF(AND(ship_choice="VLCC",G88="Panama"),"Ship cannot pass through Panama",IF(ship_choice="VLCC",((F88/24/Shipping!$AD$44+F88/24/Shipping!$AD$50+Shipping!$AD$59+Shipping!$AD$64)*(Shipping!$AD$22+wacc_nl*Shipping!$AD$19/365.25*1000000+Shipping!$AD$35)+(F88/24/Shipping!$AD$44*Shipping!$AD$45+Shipping!$AD$64*Shipping!$AD$65)*IF(bunker_choice="HFO",$H88,IF(bunker_choice="hydrogen",$BD88*hfo_e_density_lhv/h2_e_density_lhv,(DB88+DC88)*1000000/DD88*hfo_e_density_lhv/DBT_e_density_lhv))+(F88/24/Shipping!$AD$50*Shipping!$AD$51+Shipping!$AD$59*Shipping!$AD$60)*IF(bunker_choice="HFO",bunker_price_ROT,IF(bunker_choice="hydrogen",$BD88*hfo_e_density_lhv/h2_e_density_lhv,(DB88+DC88)*1000000/DD88*hfo_e_density_lhv/DBT_e_density_lhv))+Shipping!$AD$73+IF(G88="Panama",Shipping!$AD$55,0)+IF(G88="Suez",Shipping!$AD$56,0))/Shipping!$AD$31*DD88/1000000+IF(inland_transport_to_port="hv dc grid",$BM88/100*1000*DG88,IF(inland_transport_to_port="pipeline",$BN88,0)),((F88/24/Shipping!$N$44+F88/24/Shipping!$N$50+Shipping!$N$59+Shipping!$N$64)*(Shipping!$N$22+wacc_nl*Shipping!$N$19/365.25*1000000+Shipping!$N$35)+(F88/24/Shipping!$N$44*Shipping!$N$45+Shipping!$N$64*Shipping!$N$65)*IF(bunker_choice="HFO",$H88,IF(bunker_choice="hydrogen",$BD88*hfo_e_density_lhv/h2_e_density_lhv,(DB88+DC88)*1000000/DD88*hfo_e_density_lhv/DBT_e_density_lhv))+(F88/24/Shipping!$N$50*Shipping!$N$51+Shipping!$N$59*Shipping!$N$60)*IF(bunker_choice="HFO",bunker_price_ROT,IF(bunker_choice="hydrogen",$BD88*hfo_e_density_lhv/h2_e_density_lhv,(DB88+DC88)*1000000/DD88*hfo_e_density_lhv/DBT_e_density_lhv))+Shipping!$N$73+IF(G88="Panama",Shipping!$N$55,0)+IF(G88="Suez",Shipping!$N$56,0))/Shipping!$N$31*Shipping!$N$86/1000000+IF(inland_transport_to_port="hv dc grid",$BM88/100*1000*DG88,IF(inland_transport_to_port="pipeline",$BN88,0)))))</f>
        <v>No Port</v>
      </c>
      <c r="DF88" s="28" t="str">
        <f t="shared" si="82"/>
        <v/>
      </c>
      <c r="DG88" s="29">
        <f>((Carriers!$T$18/Carriers!$T$23*alk_el_e_demand)+DBT_e_demand)*(DD88+DBT_st_ab_losses)/1000000+DBT_st_e_demand*DD88/1000000</f>
        <v>703.88335483870969</v>
      </c>
      <c r="DH88" s="29">
        <f t="shared" si="105"/>
        <v>0.21935483870967742</v>
      </c>
      <c r="DI88" s="28" t="str">
        <f>IFERROR(DF88*1000000/Storage!$M$12,"")</f>
        <v/>
      </c>
      <c r="DJ88" s="28" t="str">
        <f>IF($E88="","No Port",((F88/24/Shipping!$N$44+F88/24/Shipping!$N$50+Shipping!$N$59+Shipping!$N$64)*Carriers!$T$39*wacc_nl))</f>
        <v>No Port</v>
      </c>
      <c r="DK88" s="100">
        <f>H2_retrieval!$L$25*h2_demand_kt/1000+(co2_liq_e_demand+co2_st_e_demand*2)*Storage!$M$12*co2_density/DBT_density/1000000</f>
        <v>206.61934861671787</v>
      </c>
      <c r="DL88" s="28" t="str">
        <f>IFERROR(((DF88*(1+H2_retrieval!$L$34)+DJ88)*1000000/H2_retrieval!$L$8)+h2_regen_lohc,"")</f>
        <v/>
      </c>
      <c r="DM88" s="149">
        <f t="shared" si="127"/>
        <v>60170.566571865849</v>
      </c>
      <c r="DN88" s="16">
        <f>2*(nabh4_st_nl_cost*nabh4_st_nl_demand/1000000+(nabh4_st_invest*(M88+1/nabh4_st_lifetime+nabh4_st_opex)/(Storage!$O$63/1000000)+nabh4_st_e_demand*1000*$AU88/100)*(DO88+nabh4_st_ab_losses)/1000000)+(h2_demand_kt*1000/365.25*short_st_duration_hrs/24)*(h2_short_st_invest*(1/gh2_short_st_lifetime+$M88+h2_short_st_opex)+h2_short_st_e_demand*1000*$AU88/100)/1000000</f>
        <v>1692.1495216364856</v>
      </c>
      <c r="DO88" s="63">
        <f>Storage!$O$57/((1-Shipping!$P$37)^($F88/24/Shipping!$P$44+0.5*Shipping!$P$59))</f>
        <v>63920000</v>
      </c>
      <c r="DP88" s="16" t="str">
        <f>IF($E88="","No Port",((F88/24/Shipping!$P$44+F88/24/Shipping!$P$50+Shipping!$P$59+Shipping!$P$64)*(Shipping!$P$22+wacc_nl*Shipping!$P$19/365.25*1000000+Shipping!$P$35)+(F88/24/Shipping!$P$44*Shipping!$P$45+Shipping!$P$64*Shipping!$P$65)*IF(bunker_choice="HFO",$H88,IF(bunker_choice="hydrogen",$BD88*hfo_e_density_lhv/h2_e_density_lhv,(DM88+DN88)*1000000/DO88*hfo_e_density_lhv/nabh4_e_density_lhv))+(F88/24/Shipping!$P$50*Shipping!$P$51+Shipping!$P$59*Shipping!$P$60)*IF(bunker_choice="HFO",bunker_price_ROT,IF(bunker_choice="hydrogen",$BD88*hfo_e_density_lhv/h2_e_density_lhv,(DM88+DN88)*1000000/DO88*hfo_e_density_lhv/nabh4_e_density_lhv))+Shipping!$P$73+IF(G88="Panama",Shipping!$P$55,0)+IF(G88="Suez",Shipping!$P$56,0))/Shipping!$P$31*(DO88+nabh4_st_ab_losses)/1000000+IF(inland_transport_to_port="hv dc grid",$BM88/100*1000*DR88,IF(inland_transport_to_port="pipeline",$BN88,0)))</f>
        <v>No Port</v>
      </c>
      <c r="DQ88" s="28" t="str">
        <f t="shared" si="60"/>
        <v/>
      </c>
      <c r="DR88" s="29">
        <f>((Carriers!$V$18/Carriers!$V$23*alk_el_e_demand)+nabh4_e_demand)*(DO88+nabh4_st_ab_losses)/1000000+nabh4_st_e_demand*DO88/1000000</f>
        <v>980.02139682539689</v>
      </c>
      <c r="DS88" s="28">
        <f t="shared" si="106"/>
        <v>3.1960000000000002</v>
      </c>
      <c r="DT88" s="28" t="str">
        <f>IFERROR(DQ88*1000000/Storage!$O$12,"")</f>
        <v/>
      </c>
      <c r="DU88" s="28" t="str">
        <f>IF($E88="","No Port",((F88/24/Shipping!$P$44+F88/24/Shipping!$P$50+Shipping!$P$59+Shipping!$P$64)*Carriers!$V$39*wacc_nl))</f>
        <v>No Port</v>
      </c>
      <c r="DV88" s="100">
        <f>H2_retrieval!$N$25*h2_demand_kt/1000+(co2_liq_e_demand+co2_st_e_demand*2)*Storage!$O$12*co2_density/nabh4_density/1000000</f>
        <v>18.783638728971958</v>
      </c>
      <c r="DW88" s="28" t="str">
        <f>IFERROR(((DQ88*(1+H2_retrieval!$N$34)+DU88)*1000000/H2_retrieval!$N$8)+h2_regen_nabh4,"")</f>
        <v/>
      </c>
      <c r="DX88" s="149">
        <f>(Dme_invest*(M88+1/Dme_lifetime)/Dme_prod+Dme_opex+Dme_e_demand*1000*$AU88/100+Carriers!$X$21/Carriers!$X$23*(CO88*1000000/CS88))*(EB88+Dme_st_ab_losses)/1000000</f>
        <v>115229.3859209715</v>
      </c>
      <c r="DY88" s="86">
        <f>(Dme_invest*(M88+1/Dme_lifetime)/Dme_prod+Dme_opex+Dme_e_demand*1000*$AU88/100+Carriers!$X$21/Carriers!$X$23*(CP88*1000000/CS88))*(EB88+Dme_st_ab_losses)/1000000</f>
        <v>143783.80257470754</v>
      </c>
      <c r="DZ88" s="63">
        <f>Dme_st_nl_cost*Dme_st_nl_demand/1000000+(Dme_st_invest*(M88+1/Dme_st_lifetime+Dme_st_opex)/(Storage!$Q$63/1000000)+Dme_st_e_demand*1000*$AU88/100)*(EB88+Dme_st_ab_losses)/1000000+co2_st_nl_cost*Storage!$Q$12*co2_density/Dme_density/1000000+(co2_st_opex_lev+co2_st_invest_lev+co2_st_e_demand*1000*$AU88/100)*Storage!$Q$12/1000000+co2_st_invest_lev*Storage!$Q$12*co2_st_lifetime*M88/1000000+(h2_demand_kt*1000/365.25*short_st_duration_hrs/24)*(h2_short_st_invest*(1/gh2_short_st_lifetime+$M88+h2_short_st_opex)+h2_short_st_e_demand*1000*$AU88/100)/1000000</f>
        <v>6928.2897008289001</v>
      </c>
      <c r="EA88" s="63">
        <f>Dme_st_nl_cost*Dme_st_nl_demand/1000000+(Dme_st_invest*(M88+1/Dme_st_lifetime+Dme_st_opex)/(Storage!$Q$63/1000000)+Dme_st_e_demand*1000*$AU88/100)*(EB88+Dme_st_ab_losses)/1000000+(h2_demand_kt*1000/365.25*short_st_duration_hrs/24)*(h2_short_st_invest*(1/gh2_short_st_lifetime+$M88+h2_short_st_opex)+h2_short_st_e_demand*1000*$AU88/100)/1000000</f>
        <v>3662.3025538085535</v>
      </c>
      <c r="EB88" s="63">
        <f>Storage!$Q$57/((1-Shipping!$R$37)^($F88/24/Shipping!$R$44+0.5*Shipping!$R$59))</f>
        <v>103547089.94708996</v>
      </c>
      <c r="EC88" s="153" t="str">
        <f>IF($E88="","No Port",IF(AND(ship_choice="VLCC",G88="Panama"),"Ship cannot pass through Panama",IF(ship_choice="VLCC",((F88/24/Shipping!$AD$44+F88/24/Shipping!$AD$50+Shipping!$AD$59+Shipping!$AD$64)*(Shipping!$AD$22+wacc_nl*Shipping!$AD$19/365.25*1000000+Shipping!$AD$35)+(F88/24/Shipping!$AD$44*Shipping!$AD$45+Shipping!$AD$64*Shipping!$AD$65)*IF(bunker_choice="HFO",$H88,IF(bunker_choice="hydrogen",$BD88*hfo_e_density_lhv/h2_e_density_lhv,(DX88+DZ88)*1000000/EB88*hfo_e_density_lhv/Dme_e_density_lhv))+(F88/24/Shipping!$AD$50*Shipping!$AD$51+Shipping!$AD$59*Shipping!$AD$60)*IF(bunker_choice="HFO",bunker_price_ROT,IF(bunker_choice="hydrogen",$BD88*hfo_e_density_lhv/h2_e_density_lhv,(DX88+DZ88)*1000000/EB88*hfo_e_density_lhv/Dme_e_density_lhv))+Shipping!$AD$73+IF(G88="Panama",Shipping!$AD$55,0)+IF(G88="Suez",Shipping!$AD$56,0))/Shipping!$AD$31*(EB88+Dme_st_ab_losses)/1000000+IF(inland_transport_to_port="hv dc grid",$BM88/100*1000*EE88,IF(inland_transport_to_port="pipeline",$BN88,0)),((F88/24/Shipping!$R$44+F88/24/Shipping!$R$50+Shipping!$R$59+Shipping!$R$64)*(Shipping!$R$22+wacc_nl*Shipping!$R$19/365.25*1000000+Shipping!$R$35)+(F88/24/Shipping!$R$44*Shipping!$R$45+Shipping!$R$64*Shipping!$R$65)*IF(bunker_choice="HFO",$H88,IF(bunker_choice="hydrogen",$BD88*hfo_e_density_lhv/h2_e_density_lhv,(DX88+DZ88)*1000000/EB88*hfo_e_density_lhv/Dme_e_density_lhv))+(F88/24/Shipping!$R$50*Shipping!$R$51+Shipping!$R$59*Shipping!$R$60)*IF(bunker_choice="HFO",bunker_price_ROT,IF(bunker_choice="hydrogen",$BD88*hfo_e_density_lhv/h2_e_density_lhv,(DX88+DZ88)*1000000/EB88*hfo_e_density_lhv/Dme_e_density_lhv))+Shipping!$R$73+IF(G88="Panama",Shipping!$R$55,0)+IF(G88="Suez",Shipping!$R$56,0))/Shipping!$R$31*(EB88+Dme_st_ab_losses)/1000000+IF(inland_transport_to_port="hv dc grid",$BM88/100*1000*EE88,IF(inland_transport_to_port="pipeline",$BN88,0)))))</f>
        <v>No Port</v>
      </c>
      <c r="ED88" s="28" t="str">
        <f t="shared" si="134"/>
        <v/>
      </c>
      <c r="EE88" s="29">
        <f>(Dme_e_demand)*(EB88+Dme_st_ab_losses)/1000000+Dme_st_e_demand*DZ88/1000000+$CV88*(Carriers!$X$21/Carriers!$X$23*EB88)/$CS88</f>
        <v>1550.2168294499529</v>
      </c>
      <c r="EF88" s="29">
        <f t="shared" si="107"/>
        <v>1.0354708994708997</v>
      </c>
      <c r="EG88" s="28" t="str">
        <f>IFERROR(ED88*1000000/Storage!$Q$12,"")</f>
        <v/>
      </c>
      <c r="EH88" s="28" t="str">
        <f>IF($E88="","No Port",((F88/24/Shipping!$R$44+F88/24/Shipping!$R$50+Shipping!$R$59+Shipping!$R$64)*Carriers!$X$39*wacc_nl))</f>
        <v>No Port</v>
      </c>
      <c r="EI88" s="100">
        <f>H2_retrieval!$P$25*h2_demand_kt/1000+(co2_liq_e_demand+co2_st_e_demand*2)*Storage!$Q$12*co2_density/Dme_density/1000000</f>
        <v>252.45335899349112</v>
      </c>
      <c r="EJ88" s="28" t="str">
        <f>IFERROR((((DX88+DZ88+EC88)*(1+H2_retrieval!$P$34)+EH88)*1000000/H2_retrieval!$P$8)+h2_regen_dme,"")</f>
        <v/>
      </c>
      <c r="EK88" s="149">
        <f>(ome_invest*(M88+1/ome_lifetime)/ome_prod+ome_opex+ome_e_demand*1000*$AU88/100+Carriers!$Z$21/Carriers!$Z$23*(CO88*1000000/CS88))*(EO88+ome_st_ab_losses)/1000000</f>
        <v>250366.35263008767</v>
      </c>
      <c r="EL88" s="86">
        <f>(ome_invest*(M88+1/ome_lifetime)/ome_prod+ome_opex+ome_e_demand*1000*$AU88/100+Carriers!$Z$21/Carriers!$Z$23*(CP88*1000000/CS88))*(EO88+ome_st_ab_losses)/1000000</f>
        <v>310307.63167564158</v>
      </c>
      <c r="EM88" s="63">
        <f>ome_st_nl_cost*ome_st_nl_demand/1000000+(ome_st_invest*(M88+1/ome_st_lifetime+ome_st_opex)/(Storage!$S$63/1000000)+ome_st_e_demand*1000*$AU88/100)*(EO88+ome_st_ab_losses)/1000000+co2_st_nl_cost*Storage!$S$12*co2_density/ome_density/1000000+(co2_st_opex_lev+co2_st_invest_lev+co2_st_e_demand*1000*$AU88/100)*Storage!$S$12/1000000+co2_st_invest_lev*Storage!$S$12*co2_st_lifetime*M88/1000000+(h2_demand_kt*1000/365.25*short_st_duration_hrs/24)*(h2_short_st_invest*(1/gh2_short_st_lifetime+$M88+h2_short_st_opex)+h2_short_st_e_demand*1000*$AU88/100)/1000000</f>
        <v>5937.7751996790375</v>
      </c>
      <c r="EN88" s="63">
        <f>ome_st_nl_cost*ome_st_nl_demand/1000000+(ome_st_invest*(M88+1/ome_st_lifetime+ome_st_opex)/(Storage!$S$63/1000000)+ome_st_e_demand*1000*$AU88/100)*(EO88+ome_st_ab_losses)/1000000+(h2_demand_kt*1000/365.25*short_st_duration_hrs/24)*(h2_short_st_invest*(1/gh2_short_st_lifetime+$M88+h2_short_st_opex)+h2_short_st_e_demand*1000*$AU88/100)/1000000</f>
        <v>2230.5730681198797</v>
      </c>
      <c r="EO88" s="63">
        <f>Storage!$S$57/((1-Shipping!$T$37)^($F88/24/Shipping!$T$44+0.5*Shipping!$T$59))</f>
        <v>128282539.68253967</v>
      </c>
      <c r="EP88" s="28" t="str">
        <f>IF($E88="","No Port",IF(AND(ship_choice="VLCC",G88="Panama"),"Ship cannot pass through Panama",IF(ship_choice="VLCC",((F88/24/Shipping!$AD$44+F88/24/Shipping!$AD$50+Shipping!$AD$59+Shipping!$AD$64)*(Shipping!$AD$22+wacc_nl*Shipping!$AD$19/365.25*1000000+Shipping!$AD$35)+(F88/24/Shipping!$AD$44*Shipping!$AD$45+Shipping!$AD$64*Shipping!$AD$65)*IF(bunker_choice="HFO",$H88,IF(bunker_choice="hydrogen",$BD88*hfo_e_density_lhv/h2_e_density_lhv,(EK88+EM88)*1000000/EO88*hfo_e_density_lhv/Dme_e_density_lhv))+(F88/24/Shipping!$AD$50*Shipping!$AD$51+Shipping!$AD$59*Shipping!$AD$60)*IF(bunker_choice="HFO",bunker_price_ROT,IF(bunker_choice="hydrogen",$BD88*hfo_e_density_lhv/h2_e_density_lhv,(EK88+EM88)*1000000/EO88*hfo_e_density_lhv/ome_e_density_lhv))+Shipping!$AD$73+IF(G88="Panama",Shipping!$AD$55,0)+IF(G88="Suez",Shipping!$AD$56,0))/Shipping!$AD$31*(EO88+ome_st_ab_losses)/1000000+IF(inland_transport_to_port="hv dc grid",$BM88/100*1000*ER88,IF(inland_transport_to_port="pipeline",$BN88,0)),((F88/24/Shipping!$T$44+F88/24/Shipping!$T$50+Shipping!$T$59+Shipping!$T$64)*(Shipping!$T$22+wacc_nl*Shipping!$T$19/365.25*1000000+Shipping!$T$35)+(F88/24/Shipping!$T$44*Shipping!$T$45+Shipping!$T$64*Shipping!$T$65)*IF(bunker_choice="HFO",$H88,IF(bunker_choice="hydrogen",$BD88*hfo_e_density_lhv/h2_e_density_lhv,(EK88+EM88)*1000000/EO88*hfo_e_density_lhv/Dme_e_density_lhv))+(F88/24/Shipping!$T$50*Shipping!$T$51+Shipping!$T$59*Shipping!$T$60)*IF(bunker_choice="HFO",bunker_price_ROT,IF(bunker_choice="hydrogen",$BD88*hfo_e_density_lhv/h2_e_density_lhv,(EK88+EM88)*1000000/EO88*hfo_e_density_lhv/ome_e_density_lhv))+Shipping!$T$73+IF(G88="Panama",Shipping!$T$55,0)+IF(G88="Suez",Shipping!$T$56,0))/Shipping!$T$31*(EO88+ome_st_ab_losses)/1000000+IF(inland_transport_to_port="hv dc grid",$BM88/100*1000*ER88,IF(inland_transport_to_port="pipeline",$BN88,0)))))</f>
        <v>No Port</v>
      </c>
      <c r="EQ88" s="28" t="str">
        <f t="shared" si="135"/>
        <v/>
      </c>
      <c r="ER88" s="29">
        <f>(ome_e_demand)*(EO88+ome_st_ab_losses)/1000000+ome_st_e_demand*EM88/1000000+$CV88*(Carriers!$Z$21/Carriers!$Z$23*EO88)/$CS88</f>
        <v>3352.0814590474461</v>
      </c>
      <c r="ES88" s="29">
        <f t="shared" si="108"/>
        <v>0.1924238095238095</v>
      </c>
      <c r="ET88" s="28" t="str">
        <f>IFERROR(EQ88*1000000/Storage!$S$12,"")</f>
        <v/>
      </c>
      <c r="EU88" s="28" t="str">
        <f>IF($E88="","No Port",((F88/24/Shipping!$T$44+F88/24/Shipping!$T$50+Shipping!$T$59+Shipping!$T$64)*Carriers!$Z$39*wacc_nl))</f>
        <v>No Port</v>
      </c>
      <c r="EV88" s="100">
        <f>H2_retrieval!$R$25*h2_demand_kt/1000+(co2_liq_e_demand+co2_st_e_demand*2)*Storage!$S$12*co2_density/ome_density/1000000</f>
        <v>254.51942895252085</v>
      </c>
      <c r="EW88" s="28" t="str">
        <f>IFERROR((((EK88+EM88+EP88)*(1+H2_retrieval!$R$34)+EU88)*1000000/H2_retrieval!$R$8)+h2_regen_ome,"")</f>
        <v/>
      </c>
      <c r="EX88" s="149">
        <f>(sng_invest*(M88+1/sng_lifetime)/sng_prod+lng_invest*(M88+1/lng_lifetime)/lng_prod+sng_opex+lng_opex+(sng_e_demand+lng_e_demand)*1000*$AU88/100+Carriers!$AB$18/Carriers!$AB$23*BD88+Carriers!$AB$20/Carriers!$AB$23*co2_liq_cost)*(FB88+lng_st_ab_losses)/1000000</f>
        <v>87915.869953812857</v>
      </c>
      <c r="EY88" s="86">
        <f>(sng_invest*(M88+1/sng_lifetime)/sng_prod+lng_invest*(M88+1/lng_lifetime)/lng_prod+sng_opex+lng_opex+(sng_e_demand+lng_e_demand)*1000*$AU88/100+Carriers!$AB$18/Carriers!$AB$23*BD88+Carriers!$AB$20/Carriers!$AB$23*BP88)*(FB88+lng_st_ab_losses)/1000000</f>
        <v>103479.32749005241</v>
      </c>
      <c r="EZ88" s="63">
        <f>lng_st_nl_cost*lng_st_nl_demand/1000000+(lng_st_invest*(M88+1/lng_st_lifetime+lng_st_opex)/(Storage!$U$63/1000000)+lng_st_e_demand*1000*$AU88/100)*(FB88+lng_st_ab_losses)/1000000+co2_st_nl_cost*Storage!$U$12*co2_density/lng_density/1000000+(co2_st_opex_lev+co2_st_invest_lev+co2_st_e_demand*1000*$AU88/100)*Storage!$U$12/1000000+co2_st_invest_lev*Storage!$U$12*co2_st_lifetime*M88/1000000+Carriers!$AB$18/Carriers!$AB$23*((FB88+lng_st_ab_losses)/365.25*short_st_duration_hrs/24)*(h2_short_st_invest*(1/gh2_short_st_lifetime+$M88+h2_short_st_opex)+h2_short_st_e_demand*1000*$AU88/100)/1000000+Carriers!$AB$20/Carriers!$AB$23*((FB88+lng_st_ab_losses)/365.25*short_st_duration_hrs/24)*(co2_short_st_invest*(1/co2_short_st_lifetime+$M88+co2_short_st_opex)+co2_short_st_e_demand*1000*$AU88/100)/1000000</f>
        <v>7403.2599146219909</v>
      </c>
      <c r="FA88" s="63">
        <f>lng_st_nl_cost*lng_st_nl_demand/1000000+(lng_st_invest*(M88+1/lng_st_lifetime+lng_st_opex)/(Storage!$U$63/1000000)+lng_st_e_demand*1000*$AU88/100)*(FB88+lng_st_ab_losses)/1000000+Carriers!$AB$18/Carriers!$AB$23*((FB88+lng_st_ab_losses)/365.25*short_st_duration_hrs/24)*(h2_short_st_invest*(1/gh2_short_st_lifetime+$M88+h2_short_st_opex)+h2_short_st_e_demand*1000*$AU88/100)/1000000+Carriers!$AB$20/Carriers!$AB$23*((FB88+lng_st_ab_losses)/365.25*short_st_duration_hrs/24)*(co2_short_st_invest*(1/co2_short_st_lifetime+$M88+co2_short_st_opex)+co2_short_st_e_demand*1000*$AU88/100)/1000000</f>
        <v>5685.5043342104891</v>
      </c>
      <c r="FB88" s="63">
        <f>Storage!$U$57/((1-Shipping!$V$37)^($F88/24/Shipping!$V$44+0.5*Shipping!$V$59))</f>
        <v>40707231.50721889</v>
      </c>
      <c r="FC88" s="28" t="str">
        <f>IF($E88="","No Port",IF(G88="Panama","Ship cannot pass through Panama",((F88/24/Shipping!$V$44+F88/24/Shipping!$V$50+Shipping!$V$59+Shipping!$V$64)*(Shipping!$V$22+wacc_nl*Shipping!$V$19/365.25*1000000+Shipping!$V$35)+(F88/24/Shipping!$V$44*Shipping!$V$45+Shipping!$V$64*Shipping!$V$65)*IF(bunker_choice="HFO",$H88,IF(bunker_choice="hydrogen",$BD88*hfo_e_density_lhv/h2_e_density_lhv,(EX88+EZ88)*1000000/FB88*hfo_e_density_lhv/lng_e_density_lhv))+(F88/24/Shipping!$V$50*Shipping!$V$51+Shipping!$V$59*Shipping!$V$60)*IF(bunker_choice="HFO",bunker_price_ROT,IF(bunker_choice="hydrogen",$BD88*hfo_e_density_lhv/h2_e_density_lhv,(EX88+EZ88)*1000000/FB88*hfo_e_density_lhv/lng_e_density_lhv))+Shipping!$V$73+IF(G88="Panama",Shipping!$V$55,0)+IF(G88="Suez",Shipping!$V$56,0))/Shipping!$V$31*(FB88+lng_st_ab_losses)/1000000)+IF(inland_transport_to_port="hv dc grid",$BM88/100*1000*FE88,IF(inland_transport_to_port="pipeline",$BN88,0)))</f>
        <v>No Port</v>
      </c>
      <c r="FD88" s="28" t="str">
        <f t="shared" si="136"/>
        <v/>
      </c>
      <c r="FE88" s="29">
        <f>((Carriers!$AB$18/Carriers!$AB$23*alk_el_e_demand)+sng_e_demand+lng_e_demand)*(FB88+lng_st_ab_losses)/1000000+lng_st_e_demand*EZ88/1000000</f>
        <v>1091.7519070938476</v>
      </c>
      <c r="FF88" s="29">
        <f t="shared" si="109"/>
        <v>0.8126185861001558</v>
      </c>
      <c r="FG88" s="28" t="str">
        <f>IFERROR(FD88*1000000/Storage!$U$12,"")</f>
        <v/>
      </c>
      <c r="FH88" s="28" t="str">
        <f>IF($E88="","No Port",((F88/24/Shipping!$V$44+F88/24/Shipping!$V$50+Shipping!$V$59+Shipping!$V$64)*Carriers!$AB$39*wacc_nl))</f>
        <v>No Port</v>
      </c>
      <c r="FI88" s="100">
        <f>H2_retrieval!$T$25*h2_demand_kt/1000+(co2_liq_e_demand+co2_st_e_demand*2)*Storage!$U$12*co2_density/lng_density/1000000</f>
        <v>236.51371749646054</v>
      </c>
      <c r="FJ88" s="28" t="str">
        <f>IFERROR((((EX88+EZ88+FC88)*(1+H2_retrieval!$T$34)+FH88)*1000000/H2_retrieval!$T$8)+h2_regen_lng,"")</f>
        <v/>
      </c>
      <c r="FK88" s="149">
        <f>(lh2_invest*(M88+1/lh2_lifetime)/lh2_prod+lh2_opex+lh2_e_demand*1000*$AU88/100+Carriers!$AD$18/Carriers!$AD$23*BD88)*(FM88+lh2_st_ab_losses)/1000000</f>
        <v>68587.198772857693</v>
      </c>
      <c r="FL88" s="28">
        <f>lh2_st_nl_cost*lh2_st_nl_demand/1000000+(lh2_st_invest*(M88+1/lh2_st_lifetime+lh2_st_opex)/(Storage!$Y$63/1000000)+lh2_st_e_demand*1000*$AU88/100)*(FM88+lh2_st_ab_losses)/1000000+((FM88+lh2_st_ab_losses)/365.25*short_st_duration_hrs/24)*(h2_short_st_invest*(1/gh2_short_st_lifetime+$M88+h2_short_st_opex)+h2_short_st_e_demand*1000*$AU88/100)/1000000</f>
        <v>64729.801126388862</v>
      </c>
      <c r="FM88" s="63">
        <f>Storage!$Y$57/((1-Shipping!$Z$37)^($F88/24/Shipping!$Z$44+0.5*Shipping!$Z$59))</f>
        <v>13659984.090217989</v>
      </c>
      <c r="FN88" s="28" t="str">
        <f>IF($E88="","No Port",IF(G88="Panama","Ship cannot pass through Panama",((F88/24/Shipping!$Z$44+F88/24/Shipping!$Z$50+Shipping!$Z$59+Shipping!$Z$64)*(Shipping!$Z$22+wacc_nl*Shipping!$Z$19/365.25*1000000+Shipping!$Z$35)+(F88/24/Shipping!$Z$44*Shipping!$Z$45+Shipping!$Z$64*Shipping!$Z$65)*IF(bunker_choice="HFO",$H88,IF(bunker_choice="hydrogen",$BD88*hfo_e_density_lhv/h2_e_density_lhv,(FK88+FL88)*1000000/FM88*hfo_e_density_lhv/lh2_e_density_lhv))+(F88/24/Shipping!$Z$50*Shipping!$Z$51+Shipping!$Z$59*Shipping!$Z$60)*IF(bunker_choice="HFO",bunker_price_ROT,IF(bunker_choice="hydrogen",$BD88*hfo_e_density_lhv/h2_e_density_lhv,(FK88+FL88)*1000000/FM88*hfo_e_density_lhv/lh2_e_density_lhv))+Shipping!$Z$73+IF(G88="Panama",Shipping!$Z$55,0)+IF(G88="Suez",Shipping!$Z$56,0))/Shipping!$Z$31*(FM88+lh2_st_ab_losses)/1000000)+IF(inland_transport_to_port="hv dc grid",$BM88/100*1000*FP88,IF(inland_transport_to_port="pipeline",$BN88,0)))</f>
        <v>No Port</v>
      </c>
      <c r="FO88" s="28" t="str">
        <f t="shared" si="128"/>
        <v/>
      </c>
      <c r="FP88" s="29">
        <f>((Carriers!$AD$18/Carriers!$AD$23*alk_el_e_demand)+lh2_e_demand)*(FM88+lh2_st_ab_losses)/1000000+lh2_st_e_demand*FM88/1000000</f>
        <v>791.60233245091877</v>
      </c>
      <c r="FQ88" s="100">
        <f t="shared" si="110"/>
        <v>1.361902463475859</v>
      </c>
      <c r="FR88" s="28" t="str">
        <f>IFERROR(FO88*1000000/Storage!$Y$12,"")</f>
        <v/>
      </c>
      <c r="FS88" s="100">
        <f>H2_retrieval!$V$25*h2_demand_kt/1000</f>
        <v>8.16</v>
      </c>
      <c r="FT88" s="28" t="str">
        <f>IFERROR(FR88*(1+H2_retrieval!$V$34)/Carrier_properties!$U$7+H2_retrieval!$V$38,"")</f>
        <v/>
      </c>
      <c r="FU88" s="12"/>
      <c r="FV88" s="24">
        <f t="shared" si="129"/>
        <v>3.0364688875781054</v>
      </c>
      <c r="FW88" s="24" t="str">
        <f t="shared" si="92"/>
        <v/>
      </c>
      <c r="FX88" s="24" t="str">
        <f t="shared" si="93"/>
        <v/>
      </c>
      <c r="FY88" s="24">
        <f t="shared" si="130"/>
        <v>3.0364688875781054</v>
      </c>
      <c r="FZ88" s="28">
        <f t="shared" si="94"/>
        <v>3763.0421076689609</v>
      </c>
      <c r="GA88" s="28">
        <f t="shared" si="137"/>
        <v>853.480050271089</v>
      </c>
      <c r="GB88" s="28">
        <f t="shared" si="138"/>
        <v>538.71539987363758</v>
      </c>
      <c r="GC88" s="28">
        <f t="shared" si="139"/>
        <v>953.90550690244788</v>
      </c>
      <c r="GD88" s="28">
        <f t="shared" si="140"/>
        <v>1388.583712474948</v>
      </c>
      <c r="GE88" s="28">
        <f t="shared" si="141"/>
        <v>2418.9389486952687</v>
      </c>
      <c r="GF88" s="28">
        <f t="shared" si="142"/>
        <v>2542.0379539124815</v>
      </c>
      <c r="GG88" s="12"/>
      <c r="GH88" s="12"/>
      <c r="GI88" s="12"/>
      <c r="GJ88" s="12"/>
      <c r="GK88" s="12"/>
      <c r="GL88" s="12"/>
      <c r="GM88" s="12"/>
      <c r="GN88" s="12"/>
      <c r="GO88" s="12"/>
      <c r="GP88" s="12"/>
      <c r="GQ88" s="12"/>
      <c r="GR88" s="12"/>
      <c r="GS88" s="12"/>
      <c r="GT88" s="12"/>
      <c r="GU88" s="12"/>
      <c r="GV88" s="12"/>
      <c r="GW88" s="12"/>
      <c r="GX88" s="12"/>
      <c r="GY88" s="12"/>
      <c r="GZ88" s="12"/>
      <c r="HA88" s="12"/>
      <c r="HB88" s="12"/>
      <c r="HC88" s="12"/>
      <c r="HD88" s="12"/>
      <c r="HE88" s="12"/>
      <c r="HF88" s="12"/>
    </row>
    <row r="89" spans="1:214" x14ac:dyDescent="0.2">
      <c r="A89" s="40" t="s">
        <v>88</v>
      </c>
      <c r="B89" s="12">
        <v>10092</v>
      </c>
      <c r="C89" s="12">
        <v>0.9</v>
      </c>
      <c r="D89" s="12">
        <f t="shared" si="111"/>
        <v>9.9999999999999978E-2</v>
      </c>
      <c r="E89" s="12" t="s">
        <v>752</v>
      </c>
      <c r="F89" s="12">
        <v>8091</v>
      </c>
      <c r="G89" s="12" t="s">
        <v>692</v>
      </c>
      <c r="H89" s="16">
        <f t="shared" si="112"/>
        <v>382.75862068965517</v>
      </c>
      <c r="I89" s="16">
        <v>328550</v>
      </c>
      <c r="J89" s="16">
        <f t="shared" si="113"/>
        <v>323.38941402848116</v>
      </c>
      <c r="K89" s="27">
        <f t="shared" si="114"/>
        <v>388.0672968341774</v>
      </c>
      <c r="L89" s="103">
        <v>8.3000000000000004E-2</v>
      </c>
      <c r="M89" s="103">
        <f t="shared" si="115"/>
        <v>0.10012422271090159</v>
      </c>
      <c r="N89" s="122">
        <f t="shared" si="116"/>
        <v>0.9</v>
      </c>
      <c r="O89" s="46">
        <f t="shared" si="117"/>
        <v>40</v>
      </c>
      <c r="P89" s="70">
        <f t="array" ref="P89">SUMPRODUCT(IF(Solar_data!A$4:A$777=A89,Solar_data!C$4:C$777),IF(Solar_data!A$4:A$777=A89,Solar_data!I$4:I$777))/SUMIF(Solar_data!A$4:A$777,A89,Solar_data!I$4:I$777)</f>
        <v>1794.1681928467256</v>
      </c>
      <c r="Q89" s="16">
        <f t="array" ref="Q89">MAX(IF(Solar_data!$A$777:'Solar_data'!$A$4=Country_details!$A89,Solar_data!$C$4:'Solar_data'!$C$777))</f>
        <v>2098.75</v>
      </c>
      <c r="R89" s="16">
        <f t="array" ref="R89">MIN(IF(Solar_data!$A$777:'Solar_data'!$A$4=Country_details!A89,Solar_data!$C$4:'Solar_data'!$C$777))</f>
        <v>1551.25</v>
      </c>
      <c r="S89" s="24">
        <f t="shared" si="95"/>
        <v>2.1347285626295291</v>
      </c>
      <c r="T89" s="24">
        <f t="shared" si="96"/>
        <v>1.8249253543448765</v>
      </c>
      <c r="U89" s="24">
        <f t="shared" si="97"/>
        <v>2.4690166558783626</v>
      </c>
      <c r="V89" s="16">
        <f t="array" ref="V89">SUM(IF(Solar_data!$A$777:'Solar_data'!$A$4=Country_details!$A89,Solar_data!$I$4:'Solar_data'!$I$777))</f>
        <v>2362.3619488764361</v>
      </c>
      <c r="W89" s="148"/>
      <c r="X89" s="16" t="str">
        <f>IFERROR(INDEX(Onshore_wind_data!$J$5:'Onshore_wind_data'!$J$221,MATCH(A89,Onshore_wind_data!$B$5:'Onshore_wind_data'!$B$221,0)),"")</f>
        <v/>
      </c>
      <c r="Y89" s="16" t="str">
        <f>IFERROR(INDEX(Onshore_wind_data!$K$5:'Onshore_wind_data'!$K$221,MATCH(A89,Onshore_wind_data!$B$5:'Onshore_wind_data'!$B$221,0)),"")</f>
        <v/>
      </c>
      <c r="Z89" s="16" t="str">
        <f>IFERROR(INDEX(Onshore_wind_data!$L$5:'Onshore_wind_data'!$L$221,MATCH(A89,Onshore_wind_data!$B$5:'Onshore_wind_data'!$B$221,0)),"")</f>
        <v/>
      </c>
      <c r="AA89" s="24" t="str">
        <f t="shared" si="118"/>
        <v/>
      </c>
      <c r="AB89" s="24" t="str">
        <f t="shared" si="119"/>
        <v/>
      </c>
      <c r="AC89" s="24" t="str">
        <f t="shared" si="120"/>
        <v/>
      </c>
      <c r="AD89" s="16">
        <f>IFERROR(INDEX(Onshore_wind_data!$I$5:'Onshore_wind_data'!$I$221,MATCH(A89,Onshore_wind_data!$B$5:'Onshore_wind_data'!$B$221,0)),"")</f>
        <v>0</v>
      </c>
      <c r="AE89" s="148"/>
      <c r="AF89" s="16" t="str">
        <f>INDEX(Offshore_wind_data!$AA$7:$AA$192,MATCH(Country_details!A89,Offshore_wind_data!$A$7:$A$192,0))</f>
        <v/>
      </c>
      <c r="AG89" s="16" t="str">
        <f>INDEX(Offshore_wind_data!$Y$7:$Y$192,MATCH(Country_details!A89,Offshore_wind_data!$A$7:$A$192,0))</f>
        <v/>
      </c>
      <c r="AH89" s="16" t="str">
        <f>INDEX(Offshore_wind_data!$Z$7:$Z$192,MATCH(Country_details!A89,Offshore_wind_data!$A$7:$A$192,0))</f>
        <v/>
      </c>
      <c r="AI89" s="24" t="str">
        <f t="shared" si="98"/>
        <v/>
      </c>
      <c r="AJ89" s="24" t="str">
        <f t="shared" si="99"/>
        <v/>
      </c>
      <c r="AK89" s="24" t="str">
        <f t="shared" si="100"/>
        <v/>
      </c>
      <c r="AL89" s="16">
        <f>INDEX(Offshore_wind_data!$W$7:$W$191,MATCH(A89,Offshore_wind_data!$A$7:$A$191,0))</f>
        <v>0</v>
      </c>
      <c r="AM89" s="148"/>
      <c r="AN89" s="12">
        <v>31.6</v>
      </c>
      <c r="AO89" s="12">
        <v>41.7</v>
      </c>
      <c r="AP89" s="34">
        <f>3.019*11.63</f>
        <v>35.110970000000002</v>
      </c>
      <c r="AQ89" s="15">
        <f t="shared" si="101"/>
        <v>50</v>
      </c>
      <c r="AR89" s="12">
        <f t="shared" si="131"/>
        <v>2085</v>
      </c>
      <c r="AS89" s="16">
        <f t="shared" si="121"/>
        <v>277.36194887643614</v>
      </c>
      <c r="AT89" s="12"/>
      <c r="AU89" s="24">
        <f t="shared" si="122"/>
        <v>2.1347285626295291</v>
      </c>
      <c r="AV89" s="16">
        <f t="shared" si="123"/>
        <v>1794.1681928467256</v>
      </c>
      <c r="AW89" s="149">
        <f>HV_DC_Grid!$E$3/(1-AX89)*AU89/100*1000</f>
        <v>2650.3815278132342</v>
      </c>
      <c r="AX89" s="31">
        <f>(1-(1-HV_DC_Grid!$E$25)^(B89*C89*HV_DC_Grid!$E$8/1000))+(1-(1-HV_DC_Grid!$E$26)^(B89*D89*HV_DC_Grid!$E$8/1000))+HV_DC_Grid!$E$35*HV_DC_Grid!$E$28</f>
        <v>0.19455801354349089</v>
      </c>
      <c r="AY89" s="28">
        <f>B89*nl_e_demand/IF(hv_dc_flh="electricity FLH",$AV89,hv_dc_custom)*1000*hv_dc_capacity_multiplier*hv_dc_length_multiplier*1000*(C89*hv_dc_overhead_invest*(hv_dc_overhead_opex+M89+1/hv_dc_lifetime)+D89*hv_dc_sea_invest*(hv_dc_sea_opex+M89+1/hv_dc_lifetime))/1000000+HV_DC_Grid!$E$10*1000*hv_dc_station_invest*hv_dc_station_number*(hv_dc_station_opex+M89+1/hv_dc_lifetime)/1000000</f>
        <v>9077.1135132136806</v>
      </c>
      <c r="AZ89" s="24">
        <f>(AW89+AY89)/(HV_DC_Grid!$E$3*1000)*100</f>
        <v>11.727495041026916</v>
      </c>
      <c r="BA89" s="28">
        <f>MIN(((Carriers!$F$26+Carriers!$F$27)*(alk_el_opex+wacc_nl+1/alk_el_lifetime)+IF(hv_dc_flh="electricity FLH",$AV89,hv_dc_custom)*AZ89/100)/(IF(hv_dc_flh="electricity FLH",$AV89,hv_dc_custom)/alk_el_e_demand)*1000,((Carriers!$H$26+Carriers!$H$27)*(pem_el_opex+wacc_nl+1/pem_el_lifetime)+IF(hv_dc_flh="electricity FLH",$AV89,hv_dc_custom)*AZ89/100)/(IF(hv_dc_flh="electricity FLH",$AV89,hv_dc_custom)/pem_el_e_demand)*1000)</f>
        <v>6348.46061244267</v>
      </c>
      <c r="BB89" s="12"/>
      <c r="BC89" s="12"/>
      <c r="BD89" s="149">
        <f>MIN(((Carriers!$F$26+Carriers!$F$27)*(alk_el_opex+M89+1/alk_el_lifetime)+$AV89*$AU89/100)/($AV89/alk_el_e_demand)*1000,((Carriers!$H$26+Carriers!$H$27)*(pem_el_opex+M89+1/pem_el_lifetime)+$AV89*$AU89/100)/($AV89/pem_el_e_demand)*1000)</f>
        <v>2734.6310355809183</v>
      </c>
      <c r="BE89" s="28">
        <f>Storage!$AC$50</f>
        <v>8.1664117557772418</v>
      </c>
      <c r="BF89" s="28">
        <f>((Pipeline!$D$22*Pipeline!$D$24*B89*(pipeline_opex+M89+1/pipeline_lifetime))*(Pipeline!$D$39/Pipeline!$D$3)+(Pipeline!$D$57*(pipeline_comp_opex+M89+1/pipeline_comp_lifetime)+Pipeline!$D$47*1000*Pipeline!$D$45*$AU89/100/1000000))*(Pipeline!$D$75/Pipeline!$D$45)</f>
        <v>19669.965664402676</v>
      </c>
      <c r="BG89" s="28">
        <f>BD89+(BE89+BF89)/Storage!$AC$12*1000000</f>
        <v>4181.5525117690395</v>
      </c>
      <c r="BH89" s="28"/>
      <c r="BI89" s="28"/>
      <c r="BJ89" s="28">
        <f>IF($E89="","No Port",BK89*HV_DC_Grid!$E$3*$AU89/100*1000)</f>
        <v>45.860383605886319</v>
      </c>
      <c r="BK89" s="31">
        <f>IFERROR((1-(1-HV_DC_Grid!$E$25)^(K89*HV_DC_Grid!$E$8/1000))+HV_DC_Grid!$E$35*HV_DC_Grid!$E$28,"")</f>
        <v>2.1483004635210454E-2</v>
      </c>
      <c r="BL89" s="28">
        <f>IFERROR(K89*nl_e_demand/IF(hv_dc_flh="electricity FLH",$AV89,hv_dc_custom)*1000*hv_dc_capacity_multiplier*hv_dc_length_multiplier*1000*(hv_dc_overhead_invest*(hv_dc_overhead_opex+M89+1/hv_dc_lifetime))/1000000+HV_DC_Grid!$E$10*1000*hv_dc_station_invest*hv_dc_station_number*(hv_dc_station_opex+M89+1/hv_dc_lifetime)/1000000,"")</f>
        <v>633.59684889436176</v>
      </c>
      <c r="BM89" s="29">
        <f>IFERROR((BJ89+BL89)/(HV_DC_Grid!$E$3*1000)*100,"")</f>
        <v>0.67945723250024814</v>
      </c>
      <c r="BN89" s="28">
        <f>IFERROR(((Pipeline!$D$22*Pipeline!$D$24*K89*(pipeline_opex+M89+1/pipeline_lifetime))*(Pipeline!$D$39/Pipeline!$D$3)+(Pipeline!$D$57*(pipeline_comp_opex+M89+1/pipeline_comp_lifetime)+Pipeline!$D$47*1000*Pipeline!$D$45*S89/100/1000000))*(Pipeline!$D$75/Pipeline!$D$45),"")</f>
        <v>824.54803052167279</v>
      </c>
      <c r="BO89" s="28"/>
      <c r="BP89" s="150">
        <f t="shared" si="124"/>
        <v>98.3031184499132</v>
      </c>
      <c r="BQ89" s="34">
        <f t="shared" si="125"/>
        <v>29.407055662828313</v>
      </c>
      <c r="BR89" s="151">
        <f>(nh3_invest*(M89+1/nh3_lifetime)/nh3_prod+nh3_opex+nh3_e_demand*1000*$AU89/100+Carriers!$N$18/Carriers!$N$23*BD89+Carriers!$N$19/Carriers!$N$23*BQ89)*(BT89+nh3_st_ab_losses)/1000000</f>
        <v>49437.014155923811</v>
      </c>
      <c r="BS89" s="63">
        <f>nh3_st_nl_cost*nh3_st_nl_demand/1000000+(nh3_st_invest*(M89+1/nh3_st_lifetime+nh3_st_opex)/(Storage!$G$63/1000000)+nh3_st_e_demand*1000*$AU89/100)*(BT89+nh3_st_ab_losses)/1000000+Carriers!$N$18/Carriers!$N$23*((BT89+nh3_st_ab_losses)/365.25*short_st_duration_hrs/24)*(h2_short_st_invest*(1/gh2_short_st_lifetime+$M89+h2_short_st_opex)+h2_short_st_e_demand*1000*$AU89/100)/1000000+Carriers!$N$19/Carriers!$N$23*((BT89+nh3_st_ab_losses)/365.25*short_st_duration_hrs/24)*(n2_short_st_invest*(1/n2_short_st_lifetime+$M89+n2_short_st_opex)+n2_short_st_e_demand*1000*$AU89/100)/1000000</f>
        <v>3179.5777804175491</v>
      </c>
      <c r="BT89" s="63">
        <f>Storage!$G$57/((1-Shipping!$H$37)^(F89/24/Shipping!$H$44+0.5*Shipping!$H$59))</f>
        <v>80889173.398513049</v>
      </c>
      <c r="BU89" s="63">
        <f>IF($E89="","No Port",((F89/24/Shipping!$H$44+F89/24/Shipping!$H$50+Shipping!$H$59+Shipping!$H$64)*(Shipping!$H$22+wacc_nl*Shipping!$H$19/365.25*1000000+Shipping!$H$35)+(F89/24/Shipping!$H$44*Shipping!$H$45+Shipping!$H$64*Shipping!$H$65)*IF(bunker_choice="HFO",H89,IF(bunker_choice="hydrogen",BD89*hfo_e_density_lhv/h2_e_density_lhv,(BR89+BS89)*1000000/BT89*hfo_e_density_lhv/nh3_e_density_lhv))+(F89/24/Shipping!$H$50*Shipping!$H$51+Shipping!$H$59*Shipping!$H$60)*IF(bunker_choice="HFO",bunker_price_ROT,IF(bunker_choice="hydrogen",BD89*hfo_e_density_lhv/h2_e_density_lhv,(BR89+BS89)*1000000/BT89*hfo_e_density_lhv/nh3_e_density_lhv))+Shipping!$H$73+IF(G89="Panama",Shipping!$H$55,0)+IF(G89="Suez",Shipping!$H$56,0))/Shipping!$H$31*BT89/1000000+IF(inland_transport_to_port="hv dc grid",$BM89/100*1000*BW89,IF(inland_transport_to_port="pipeline",$BN89,0)))</f>
        <v>6440.1424021983657</v>
      </c>
      <c r="BV89" s="63">
        <f t="shared" si="126"/>
        <v>59056.734338539725</v>
      </c>
      <c r="BW89" s="33">
        <f>((Carriers!$N$18/Carriers!$N$23*alk_el_e_demand)+(Carriers!$N$19/Carriers!$N$23*n2_e_demand)+nh3_e_demand)*(BT89+nh3_st_ab_losses)/1000000+nh3_st_e_demand*BT89/1000000</f>
        <v>798.78628292956478</v>
      </c>
      <c r="BX89" s="33">
        <f t="shared" si="102"/>
        <v>0.76626754477640768</v>
      </c>
      <c r="BY89" s="63">
        <f>IFERROR(BV89*1000000/Storage!$G$12,"")</f>
        <v>771.34860059044718</v>
      </c>
      <c r="BZ89" s="63">
        <f>H2_retrieval!$F$25*h2_demand_kt/1000</f>
        <v>80</v>
      </c>
      <c r="CA89" s="63">
        <f>IFERROR(BY89*(1+H2_retrieval!$F$34)/Carrier_properties!$E$7+H2_retrieval!$F$38,"")</f>
        <v>4751.6329163010678</v>
      </c>
      <c r="CB89" s="149">
        <f>(FA_invest*(M89+1/FA_lifetime)/FA_prod+FA_opex+FA_e_demand*1000*$AU89/100+Carriers!$P$18/Carriers!$P$23*BD89+Carriers!$P$20/Carriers!$P$23*co2_liq_cost)*(CF89+FA_st_ab_losses)/1000000</f>
        <v>93809.352674035763</v>
      </c>
      <c r="CC89" s="86">
        <f>(FA_invest*(M89+1/FA_lifetime)/FA_prod+FA_opex+FA_e_demand*1000*$AU89/100+Carriers!$P$18/Carriers!$P$23*BD89+Carriers!$P$20/Carriers!$P$23*BP89)*(CF89+FA_st_ab_losses)/1000000</f>
        <v>117271.24613154173</v>
      </c>
      <c r="CD89" s="63">
        <f>FA_st_nl_cost*FA_st_nl_demand/1000000+(FA_st_invest*(M89+1/FA_st_lifetime+FA_st_opex)/(Storage!$I$63/1000000)+FA_st_e_demand*1000*$AU89/100)*(CF89+FA_st_ab_losses)/1000000+co2_st_nl_cost*Storage!$I$12*co2_density/FA_density/1000000+(co2_st_opex_lev+co2_st_invest_lev+co2_st_e_demand*1000*$AU89/100)*Storage!$I$12/1000000+co2_st_invest_lev*Storage!$I$12*co2_st_lifetime*M89/1000000+Carriers!$P$18/Carriers!$P$23*((CF89+FA_st_ab_losses)/365.25*short_st_duration_hrs/24)*(h2_short_st_invest*(1/gh2_short_st_lifetime+$M89+h2_short_st_opex)+h2_short_st_e_demand*1000*$AU89/100)/1000000+Carriers!$P$20/Carriers!$P$23*((CF89+FA_st_ab_losses)/365.25*short_st_duration_hrs/24)*(co2_short_st_invest*(1/co2_short_st_lifetime+$M89+co2_short_st_opex)+co2_short_st_e_demand*1000*$AU89/100)/1000000</f>
        <v>10805.597855877259</v>
      </c>
      <c r="CE89" s="63">
        <f>FA_st_nl_cost*FA_st_nl_demand/1000000+(FA_st_invest*(M89+1/FA_st_lifetime+FA_st_opex)/(Storage!$I$63/1000000)+FA_st_e_demand*1000*$AU89/100)*(CF89+FA_st_ab_losses)/1000000+Carriers!$P$18/Carriers!$P$23*((CF89+FA_st_ab_losses)/365.25*short_st_duration_hrs/24)*(h2_short_st_invest*(1/gh2_short_st_lifetime+$M89+h2_short_st_opex)+h2_short_st_e_demand*1000*$AU89/100)/1000000+Carriers!$P$20/Carriers!$P$23*((CF89+FA_st_ab_losses)/365.25*short_st_duration_hrs/24)*(co2_short_st_invest*(1/co2_short_st_lifetime+$M89+co2_short_st_opex)+co2_short_st_e_demand*1000*$AU89/100)/1000000</f>
        <v>4651.5978717491043</v>
      </c>
      <c r="CF89" s="63">
        <f>Storage!$I$57/((1-Shipping!$J$37)^($F89/24/Shipping!$J$44+0.5*Shipping!$J$59))</f>
        <v>310425396.82539684</v>
      </c>
      <c r="CG89" s="28">
        <f>IF($E89="","No Port",((F89/24/Shipping!$J$44+F89/24/Shipping!$J$50+Shipping!$J$59+Shipping!$J$64)*(Shipping!$J$22+wacc_nl*Shipping!$J$19/365.25*1000000+Shipping!$J$35)+(F89/24/Shipping!$J$44*Shipping!$J$45+Shipping!$J$64*Shipping!$J$65)*IF(bunker_choice="HFO",$H89,IF(bunker_choice="hydrogen",$BD89*hfo_e_density_lhv/h2_e_density_lhv,(CB89+CD89)*1000000/CF89*hfo_e_density_lhv/FA_e_density_lhv))+(F89/24/Shipping!$J$50*Shipping!$J$51+Shipping!$J$59*Shipping!$J$60)*IF(bunker_choice="HFO",bunker_price_ROT,IF(bunker_choice="hydrogen",$BD89*hfo_e_density_lhv/h2_e_density_lhv,(CB89+CD89)*1000000/CF89*hfo_e_density_lhv/FA_e_density_lhv))+Shipping!$J$73+IF(G89="Panama",Shipping!$J$55,0)+IF(G89="Suez",Shipping!$J$56,0))/Shipping!$J$31*CF89/1000000+IF(inland_transport_to_port="hv dc grid",$BM89/100*1000*CI89,IF(inland_transport_to_port="pipeline",$BN89,0)))</f>
        <v>24803.149267274614</v>
      </c>
      <c r="CH89" s="28">
        <f t="shared" si="132"/>
        <v>146725.99327056546</v>
      </c>
      <c r="CI89" s="29">
        <f>((Carriers!$P$18/Carriers!$P$23*alk_el_e_demand)+FA_e_demand)*(CF89+FA_st_ab_losses)/1000000+FA_st_e_demand*CF89/1000000</f>
        <v>1897.8881241622576</v>
      </c>
      <c r="CJ89" s="29">
        <f t="shared" si="103"/>
        <v>0.46563809523809524</v>
      </c>
      <c r="CK89" s="28">
        <f>IFERROR(CH89*1000000/Storage!$I$12,"")</f>
        <v>472.66104761748466</v>
      </c>
      <c r="CL89" s="28">
        <f>IF($E89="","No Port",((F89/24/Shipping!$J$44+F89/24/Shipping!$J$50+Shipping!$J$59+Shipping!$J$64)*Carriers!$P$39*wacc_nl))</f>
        <v>380.06999543748054</v>
      </c>
      <c r="CM89" s="29">
        <f>H2_retrieval!$H$25*h2_demand_kt/1000+(co2_liq_e_demand+co2_st_e_demand*2)*Storage!$I$12*co2_density/FA_density/1000000</f>
        <v>94.204253879484654</v>
      </c>
      <c r="CN89" s="28">
        <f>IFERROR((((CB89+CD89+CG89)*(1+H2_retrieval!$H$34)+CL89)*1000000/H2_retrieval!$H$8)+h2_regen_fa,"")</f>
        <v>9633.6704407540965</v>
      </c>
      <c r="CO89" s="149">
        <f>(meoh_invest*(M89+1/meoh_lifetime)/meoh_prod+meoh_opex+meoh_e_demand*1000*$AU89/100+Carriers!$R$18/Carriers!$R$23*BD89+Carriers!$R$20/Carriers!$R$23*co2_liq_cost)*(CS89+meoh_st_ab_losses)/1000000</f>
        <v>59805.327939033465</v>
      </c>
      <c r="CP89" s="86">
        <f>(meoh_invest*(M89+1/meoh_lifetime)/meoh_prod+meoh_opex+meoh_e_demand*1000*$AU89/100+Carriers!$R$18/Carriers!$R$23*BD89+Carriers!$R$20/Carriers!$R$23*BP89)*(CS89+meoh_st_ab_losses)/1000000</f>
        <v>73578.183710326644</v>
      </c>
      <c r="CQ89" s="63">
        <f>meoh_st_nl_cost*meoh_st_nl_demand/1000000+(meoh_st_invest*(M89+1/meoh_st_lifetime+meoh_st_opex)/(Storage!$K$63/1000000)+meoh_st_e_demand*1000*$AU89/100)*(CS89+meoh_st_ab_losses)/1000000+co2_st_nl_cost*Storage!$K$12*co2_density/meoh_density/1000000+(co2_st_opex_lev+co2_st_invest_lev+co2_st_e_demand*1000*IFERROR(MIN(S89,AA89,AI89),S89)/100)*Storage!$K$12/1000000+co2_st_invest_lev*Storage!$K$12*co2_st_lifetime*M89/1000000+Carriers!$R$18/Carriers!$R$23*((CS89+meoh_st_ab_losses)/365.25*short_st_duration_hrs/24)*(h2_short_st_invest*(1/gh2_short_st_lifetime+$M89+h2_short_st_opex)+h2_short_st_e_demand*1000*$AU89/100)/1000000+Carriers!$R$20/Carriers!$R$23*((CF89+meoh_st_ab_losses)/365.25*short_st_duration_hrs/24)*(co2_short_st_invest*(1/co2_short_st_lifetime+$M89+co2_short_st_opex)+co2_short_st_e_demand*1000*$AU89/100)/1000000</f>
        <v>4545.6204269175587</v>
      </c>
      <c r="CR89" s="63">
        <f>meoh_st_nl_cost*meoh_st_nl_demand/1000000+(meoh_st_invest*(M89+1/meoh_st_lifetime+meoh_st_opex)/(Storage!$K$63/1000000)+meoh_st_e_demand*1000*$AU89/100)*(CS89+meoh_st_ab_losses)/1000000+Carriers!$R$18/Carriers!$R$23*((CS89+meoh_st_ab_losses)/365.25*short_st_duration_hrs/24)*(h2_short_st_invest*(1/gh2_short_st_lifetime+$M89+h2_short_st_opex)+h2_short_st_e_demand*1000*$AU89/100)/1000000+Carriers!$R$20/Carriers!$R$23*((CF89+meoh_st_ab_losses)/365.25*short_st_duration_hrs/24)*(co2_short_st_invest*(1/co2_short_st_lifetime+$M89+co2_short_st_opex)+co2_short_st_e_demand*1000*$AU89/100)/1000000</f>
        <v>1804.7057482418588</v>
      </c>
      <c r="CS89" s="63">
        <f>Storage!$K$57/((1-Shipping!$L$37)^($F89/24/Shipping!$L$44+0.5*Shipping!$L$59))</f>
        <v>108044444.44444443</v>
      </c>
      <c r="CT89" s="28">
        <f>IF($E89="","No Port",IF(AND(ship_choice="VLCC",G89="Panama"),"Ship cannot pass through Panama",IF(ship_choice="VLCC",((F89/24/Shipping!$AD$44+F89/24/Shipping!$AD$50+Shipping!$AD$59+Shipping!$AD$64)*(Shipping!$AD$22+wacc_nl*Shipping!$AD$19/365.25*1000000+Shipping!$AD$35)+(F89/24/Shipping!$AD$44*Shipping!$AD$45+Shipping!$AD$64*Shipping!$AD$65)*IF(bunker_choice="HFO",$H89,IF(bunker_choice="hydrogen",$BD89*hfo_e_density_lhv/h2_e_density_lhv,(CO89+CQ89)*1000000/CS89*hfo_e_density_lhv/meoh_e_density_lhv))+(F89/24/Shipping!$AD$50*Shipping!$AD$51+Shipping!$AD$59*Shipping!$AD$60)*IF(bunker_choice="HFO",bunker_price_ROT,IF(bunker_choice="hydrogen",$BD89*hfo_e_density_lhv/h2_e_density_lhv,(CO89+CQ89)*1000000/CS89*hfo_e_density_lhv/meoh_e_density_lhv))+Shipping!$AD$73+IF(G89="Panama",Shipping!$AD$55,0)+IF(G89="Suez",Shipping!$AD$56,0))/Shipping!$AD$31*CS89/1000000+IF(inland_transport_to_port="hv dc grid",$BM89/100*1000*CV89,IF(inland_transport_to_port="pipeline",$BN89,0)),((F89/24/Shipping!$L$44+F89/24/Shipping!$L$50+Shipping!$L$59+Shipping!$L$64)*(Shipping!$L$22+wacc_nl*Shipping!$L$19/365.25*1000000+Shipping!$L$35)+(F89/24/Shipping!$L$44*Shipping!$L$45+Shipping!$L$64*Shipping!$L$65)*IF(bunker_choice="HFO",$H89,IF(bunker_choice="hydrogen",$BD89*hfo_e_density_lhv/h2_e_density_lhv,(CO89+CQ89)*1000000/CS89*hfo_e_density_lhv/meoh_e_density_lhv))+(F89/24/Shipping!$L$50*Shipping!$L$51+Shipping!$L$59*Shipping!$L$60)*IF(bunker_choice="HFO",bunker_price_ROT,IF(bunker_choice="hydrogen",$BD89*hfo_e_density_lhv/h2_e_density_lhv,(CO89+CQ89)*1000000/CS89*hfo_e_density_lhv/meoh_e_density_lhv))+Shipping!$L$73+IF(G89="Panama",Shipping!$L$55,0)+IF(G89="Suez",Shipping!$L$56,0))/Shipping!$L$31*CS89/1000000+IF(inland_transport_to_port="hv dc grid",$BM89/100*1000*CV89,IF(inland_transport_to_port="pipeline",$BN89,0)))))</f>
        <v>8774.9900324598057</v>
      </c>
      <c r="CU89" s="28">
        <f t="shared" si="133"/>
        <v>84157.879491028318</v>
      </c>
      <c r="CV89" s="29">
        <f>((Carriers!$R$18/Carriers!$R$23*alk_el_e_demand)+meoh_e_demand)*(CS89+meoh_st_ab_losses)/1000000+meoh_st_e_demand*CS89/1000000</f>
        <v>1119.9789871111109</v>
      </c>
      <c r="CW89" s="29">
        <f t="shared" si="104"/>
        <v>0.16206666666666666</v>
      </c>
      <c r="CX89" s="28">
        <f>IFERROR(CU89*1000000/Storage!$K$12,"")</f>
        <v>778.91908208479526</v>
      </c>
      <c r="CY89" s="28">
        <f>IF($E89="","No Port",((F89/24/Shipping!$L$44+F89/24/Shipping!$L$50+Shipping!$L$59+Shipping!$L$64)*Carriers!$R$39*wacc_nl))</f>
        <v>136.30880062694885</v>
      </c>
      <c r="CZ89" s="29">
        <f>H2_retrieval!$J$25*h2_demand_kt/1000+(co2_liq_e_demand+co2_st_e_demand*2)*Storage!$K$12*co2_density/meoh_density/1000000</f>
        <v>251.05079059698966</v>
      </c>
      <c r="DA89" s="28">
        <f>IFERROR((((CO89+CQ89+CT89)*(1+H2_retrieval!$J$34)+CY89)*1000000/H2_retrieval!$J$8)+h2_regen_meoh,"")</f>
        <v>6557.0584843018351</v>
      </c>
      <c r="DB89" s="149">
        <f>(DBT_invest*(M89+1/DBT_lifetime)/DBT_prod+DBT_opex+DBT_e_demand*1000*$AU89/100+Carriers!$T$18/Carriers!$T$23*BD89)*(DD89+DBT_st_ab_losses)/1000000</f>
        <v>40154.216053920725</v>
      </c>
      <c r="DC89" s="28">
        <f>2*(DBT_st_nl_cost*DBT_st_nl_demand/1000000+(DBT_st_invest*(M89+1/DBT_st_lifetime+DBT_st_opex)/(Storage!$M$63/1000000)+DBT_st_e_demand*1000*$AU89/100)*(DD89+DBT_st_ab_losses)/1000000)+Carriers!$T$18/Carriers!$T$23*((DD89+DBT_st_ab_losses)/365.25*short_st_duration_hrs/24)*(h2_short_st_invest*(1/gh2_short_st_lifetime+$M89+h2_short_st_opex)+h2_short_st_e_demand*1000*$AU89/100)/1000000</f>
        <v>3784.9646214144227</v>
      </c>
      <c r="DD89" s="63">
        <f>Storage!$M$57/((1-Shipping!$N$37)^($F89/24/Shipping!$N$44+0.5*Shipping!$N$59))</f>
        <v>219354838.70967743</v>
      </c>
      <c r="DE89" s="28">
        <f>IF($E89="","No Port",IF(AND(ship_choice="VLCC",G89="Panama"),"Ship cannot pass through Panama",IF(ship_choice="VLCC",((F89/24/Shipping!$AD$44+F89/24/Shipping!$AD$50+Shipping!$AD$59+Shipping!$AD$64)*(Shipping!$AD$22+wacc_nl*Shipping!$AD$19/365.25*1000000+Shipping!$AD$35)+(F89/24/Shipping!$AD$44*Shipping!$AD$45+Shipping!$AD$64*Shipping!$AD$65)*IF(bunker_choice="HFO",$H89,IF(bunker_choice="hydrogen",$BD89*hfo_e_density_lhv/h2_e_density_lhv,(DB89+DC89)*1000000/DD89*hfo_e_density_lhv/DBT_e_density_lhv))+(F89/24/Shipping!$AD$50*Shipping!$AD$51+Shipping!$AD$59*Shipping!$AD$60)*IF(bunker_choice="HFO",bunker_price_ROT,IF(bunker_choice="hydrogen",$BD89*hfo_e_density_lhv/h2_e_density_lhv,(DB89+DC89)*1000000/DD89*hfo_e_density_lhv/DBT_e_density_lhv))+Shipping!$AD$73+IF(G89="Panama",Shipping!$AD$55,0)+IF(G89="Suez",Shipping!$AD$56,0))/Shipping!$AD$31*DD89/1000000+IF(inland_transport_to_port="hv dc grid",$BM89/100*1000*DG89,IF(inland_transport_to_port="pipeline",$BN89,0)),((F89/24/Shipping!$N$44+F89/24/Shipping!$N$50+Shipping!$N$59+Shipping!$N$64)*(Shipping!$N$22+wacc_nl*Shipping!$N$19/365.25*1000000+Shipping!$N$35)+(F89/24/Shipping!$N$44*Shipping!$N$45+Shipping!$N$64*Shipping!$N$65)*IF(bunker_choice="HFO",$H89,IF(bunker_choice="hydrogen",$BD89*hfo_e_density_lhv/h2_e_density_lhv,(DB89+DC89)*1000000/DD89*hfo_e_density_lhv/DBT_e_density_lhv))+(F89/24/Shipping!$N$50*Shipping!$N$51+Shipping!$N$59*Shipping!$N$60)*IF(bunker_choice="HFO",bunker_price_ROT,IF(bunker_choice="hydrogen",$BD89*hfo_e_density_lhv/h2_e_density_lhv,(DB89+DC89)*1000000/DD89*hfo_e_density_lhv/DBT_e_density_lhv))+Shipping!$N$73+IF(G89="Panama",Shipping!$N$55,0)+IF(G89="Suez",Shipping!$N$56,0))/Shipping!$N$31*Shipping!$N$86/1000000+IF(inland_transport_to_port="hv dc grid",$BM89/100*1000*DG89,IF(inland_transport_to_port="pipeline",$BN89,0)))))</f>
        <v>15792.572342224885</v>
      </c>
      <c r="DF89" s="28">
        <f t="shared" si="82"/>
        <v>59731.753017560033</v>
      </c>
      <c r="DG89" s="29">
        <f>((Carriers!$T$18/Carriers!$T$23*alk_el_e_demand)+DBT_e_demand)*(DD89+DBT_st_ab_losses)/1000000+DBT_st_e_demand*DD89/1000000</f>
        <v>703.88335483870969</v>
      </c>
      <c r="DH89" s="29">
        <f t="shared" si="105"/>
        <v>0.21935483870967742</v>
      </c>
      <c r="DI89" s="28">
        <f>IFERROR(DF89*1000000/Storage!$M$12,"")</f>
        <v>272.30652110946488</v>
      </c>
      <c r="DJ89" s="28">
        <f>IF($E89="","No Port",((F89/24/Shipping!$N$44+F89/24/Shipping!$N$50+Shipping!$N$59+Shipping!$N$64)*Carriers!$T$39*wacc_nl))</f>
        <v>9927.8178086895368</v>
      </c>
      <c r="DK89" s="100">
        <f>H2_retrieval!$L$25*h2_demand_kt/1000+(co2_liq_e_demand+co2_st_e_demand*2)*Storage!$M$12*co2_density/DBT_density/1000000</f>
        <v>206.61934861671787</v>
      </c>
      <c r="DL89" s="28">
        <f>IFERROR(((DF89*(1+H2_retrieval!$L$34)+DJ89)*1000000/H2_retrieval!$L$8)+h2_regen_lohc,"")</f>
        <v>5592.677047274793</v>
      </c>
      <c r="DM89" s="149">
        <f t="shared" si="127"/>
        <v>44193.693163436066</v>
      </c>
      <c r="DN89" s="16">
        <f>2*(nabh4_st_nl_cost*nabh4_st_nl_demand/1000000+(nabh4_st_invest*(M89+1/nabh4_st_lifetime+nabh4_st_opex)/(Storage!$O$63/1000000)+nabh4_st_e_demand*1000*$AU89/100)*(DO89+nabh4_st_ab_losses)/1000000)+(h2_demand_kt*1000/365.25*short_st_duration_hrs/24)*(h2_short_st_invest*(1/gh2_short_st_lifetime+$M89+h2_short_st_opex)+h2_short_st_e_demand*1000*$AU89/100)/1000000</f>
        <v>1271.9563340662853</v>
      </c>
      <c r="DO89" s="63">
        <f>Storage!$O$57/((1-Shipping!$P$37)^($F89/24/Shipping!$P$44+0.5*Shipping!$P$59))</f>
        <v>63920000</v>
      </c>
      <c r="DP89" s="16">
        <f>IF($E89="","No Port",((F89/24/Shipping!$P$44+F89/24/Shipping!$P$50+Shipping!$P$59+Shipping!$P$64)*(Shipping!$P$22+wacc_nl*Shipping!$P$19/365.25*1000000+Shipping!$P$35)+(F89/24/Shipping!$P$44*Shipping!$P$45+Shipping!$P$64*Shipping!$P$65)*IF(bunker_choice="HFO",$H89,IF(bunker_choice="hydrogen",$BD89*hfo_e_density_lhv/h2_e_density_lhv,(DM89+DN89)*1000000/DO89*hfo_e_density_lhv/nabh4_e_density_lhv))+(F89/24/Shipping!$P$50*Shipping!$P$51+Shipping!$P$59*Shipping!$P$60)*IF(bunker_choice="HFO",bunker_price_ROT,IF(bunker_choice="hydrogen",$BD89*hfo_e_density_lhv/h2_e_density_lhv,(DM89+DN89)*1000000/DO89*hfo_e_density_lhv/nabh4_e_density_lhv))+Shipping!$P$73+IF(G89="Panama",Shipping!$P$55,0)+IF(G89="Suez",Shipping!$P$56,0))/Shipping!$P$31*(DO89+nabh4_st_ab_losses)/1000000+IF(inland_transport_to_port="hv dc grid",$BM89/100*1000*DR89,IF(inland_transport_to_port="pipeline",$BN89,0)))</f>
        <v>4467.6069775202022</v>
      </c>
      <c r="DQ89" s="28">
        <f t="shared" si="60"/>
        <v>49933.256475022557</v>
      </c>
      <c r="DR89" s="29">
        <f>((Carriers!$V$18/Carriers!$V$23*alk_el_e_demand)+nabh4_e_demand)*(DO89+nabh4_st_ab_losses)/1000000+nabh4_st_e_demand*DO89/1000000</f>
        <v>980.02139682539689</v>
      </c>
      <c r="DS89" s="28">
        <f t="shared" si="106"/>
        <v>3.1960000000000002</v>
      </c>
      <c r="DT89" s="28">
        <f>IFERROR(DQ89*1000000/Storage!$O$12,"")</f>
        <v>781.18361193714895</v>
      </c>
      <c r="DU89" s="28">
        <f>IF($E89="","No Port",((F89/24/Shipping!$P$44+F89/24/Shipping!$P$50+Shipping!$P$59+Shipping!$P$64)*Carriers!$V$39*wacc_nl))</f>
        <v>911.14422926630959</v>
      </c>
      <c r="DV89" s="100">
        <f>H2_retrieval!$N$25*h2_demand_kt/1000+(co2_liq_e_demand+co2_st_e_demand*2)*Storage!$O$12*co2_density/nabh4_density/1000000</f>
        <v>18.783638728971958</v>
      </c>
      <c r="DW89" s="28">
        <f>IFERROR(((DQ89*(1+H2_retrieval!$N$34)+DU89)*1000000/H2_retrieval!$N$8)+h2_regen_nabh4,"")</f>
        <v>3818.8643452880892</v>
      </c>
      <c r="DX89" s="149">
        <f>(Dme_invest*(M89+1/Dme_lifetime)/Dme_prod+Dme_opex+Dme_e_demand*1000*$AU89/100+Carriers!$X$21/Carriers!$X$23*(CO89*1000000/CS89))*(EB89+Dme_st_ab_losses)/1000000</f>
        <v>83839.673144762215</v>
      </c>
      <c r="DY89" s="86">
        <f>(Dme_invest*(M89+1/Dme_lifetime)/Dme_prod+Dme_opex+Dme_e_demand*1000*$AU89/100+Carriers!$X$21/Carriers!$X$23*(CP89*1000000/CS89))*(EB89+Dme_st_ab_losses)/1000000</f>
        <v>102524.81091162995</v>
      </c>
      <c r="DZ89" s="63">
        <f>Dme_st_nl_cost*Dme_st_nl_demand/1000000+(Dme_st_invest*(M89+1/Dme_st_lifetime+Dme_st_opex)/(Storage!$Q$63/1000000)+Dme_st_e_demand*1000*$AU89/100)*(EB89+Dme_st_ab_losses)/1000000+co2_st_nl_cost*Storage!$Q$12*co2_density/Dme_density/1000000+(co2_st_opex_lev+co2_st_invest_lev+co2_st_e_demand*1000*$AU89/100)*Storage!$Q$12/1000000+co2_st_invest_lev*Storage!$Q$12*co2_st_lifetime*M89/1000000+(h2_demand_kt*1000/365.25*short_st_duration_hrs/24)*(h2_short_st_invest*(1/gh2_short_st_lifetime+$M89+h2_short_st_opex)+h2_short_st_e_demand*1000*$AU89/100)/1000000</f>
        <v>5501.1751218357049</v>
      </c>
      <c r="EA89" s="63">
        <f>Dme_st_nl_cost*Dme_st_nl_demand/1000000+(Dme_st_invest*(M89+1/Dme_st_lifetime+Dme_st_opex)/(Storage!$Q$63/1000000)+Dme_st_e_demand*1000*$AU89/100)*(EB89+Dme_st_ab_losses)/1000000+(h2_demand_kt*1000/365.25*short_st_duration_hrs/24)*(h2_short_st_invest*(1/gh2_short_st_lifetime+$M89+h2_short_st_opex)+h2_short_st_e_demand*1000*$AU89/100)/1000000</f>
        <v>2747.4504357770284</v>
      </c>
      <c r="EB89" s="63">
        <f>Storage!$Q$57/((1-Shipping!$R$37)^($F89/24/Shipping!$R$44+0.5*Shipping!$R$59))</f>
        <v>103547089.94708996</v>
      </c>
      <c r="EC89" s="153">
        <f>IF($E89="","No Port",IF(AND(ship_choice="VLCC",G89="Panama"),"Ship cannot pass through Panama",IF(ship_choice="VLCC",((F89/24/Shipping!$AD$44+F89/24/Shipping!$AD$50+Shipping!$AD$59+Shipping!$AD$64)*(Shipping!$AD$22+wacc_nl*Shipping!$AD$19/365.25*1000000+Shipping!$AD$35)+(F89/24/Shipping!$AD$44*Shipping!$AD$45+Shipping!$AD$64*Shipping!$AD$65)*IF(bunker_choice="HFO",$H89,IF(bunker_choice="hydrogen",$BD89*hfo_e_density_lhv/h2_e_density_lhv,(DX89+DZ89)*1000000/EB89*hfo_e_density_lhv/Dme_e_density_lhv))+(F89/24/Shipping!$AD$50*Shipping!$AD$51+Shipping!$AD$59*Shipping!$AD$60)*IF(bunker_choice="HFO",bunker_price_ROT,IF(bunker_choice="hydrogen",$BD89*hfo_e_density_lhv/h2_e_density_lhv,(DX89+DZ89)*1000000/EB89*hfo_e_density_lhv/Dme_e_density_lhv))+Shipping!$AD$73+IF(G89="Panama",Shipping!$AD$55,0)+IF(G89="Suez",Shipping!$AD$56,0))/Shipping!$AD$31*(EB89+Dme_st_ab_losses)/1000000+IF(inland_transport_to_port="hv dc grid",$BM89/100*1000*EE89,IF(inland_transport_to_port="pipeline",$BN89,0)),((F89/24/Shipping!$R$44+F89/24/Shipping!$R$50+Shipping!$R$59+Shipping!$R$64)*(Shipping!$R$22+wacc_nl*Shipping!$R$19/365.25*1000000+Shipping!$R$35)+(F89/24/Shipping!$R$44*Shipping!$R$45+Shipping!$R$64*Shipping!$R$65)*IF(bunker_choice="HFO",$H89,IF(bunker_choice="hydrogen",$BD89*hfo_e_density_lhv/h2_e_density_lhv,(DX89+DZ89)*1000000/EB89*hfo_e_density_lhv/Dme_e_density_lhv))+(F89/24/Shipping!$R$50*Shipping!$R$51+Shipping!$R$59*Shipping!$R$60)*IF(bunker_choice="HFO",bunker_price_ROT,IF(bunker_choice="hydrogen",$BD89*hfo_e_density_lhv/h2_e_density_lhv,(DX89+DZ89)*1000000/EB89*hfo_e_density_lhv/Dme_e_density_lhv))+Shipping!$R$73+IF(G89="Panama",Shipping!$R$55,0)+IF(G89="Suez",Shipping!$R$56,0))/Shipping!$R$31*(EB89+Dme_st_ab_losses)/1000000+IF(inland_transport_to_port="hv dc grid",$BM89/100*1000*EE89,IF(inland_transport_to_port="pipeline",$BN89,0)))))</f>
        <v>8753.7510529066931</v>
      </c>
      <c r="ED89" s="28">
        <f t="shared" si="134"/>
        <v>114026.01240031367</v>
      </c>
      <c r="EE89" s="29">
        <f>(Dme_e_demand)*(EB89+Dme_st_ab_losses)/1000000+Dme_st_e_demand*DZ89/1000000+$CV89*(Carriers!$X$21/Carriers!$X$23*EB89)/$CS89</f>
        <v>1550.2168151788071</v>
      </c>
      <c r="EF89" s="29">
        <f t="shared" si="107"/>
        <v>1.0354708994708997</v>
      </c>
      <c r="EG89" s="28">
        <f>IFERROR(ED89*1000000/Storage!$Q$12,"")</f>
        <v>1101.1995842527124</v>
      </c>
      <c r="EH89" s="28">
        <f>IF($E89="","No Port",((F89/24/Shipping!$R$44+F89/24/Shipping!$R$50+Shipping!$R$59+Shipping!$R$64)*Carriers!$X$39*wacc_nl))</f>
        <v>142.14446715849289</v>
      </c>
      <c r="EI89" s="100">
        <f>H2_retrieval!$P$25*h2_demand_kt/1000+(co2_liq_e_demand+co2_st_e_demand*2)*Storage!$Q$12*co2_density/Dme_density/1000000</f>
        <v>252.45335899349112</v>
      </c>
      <c r="EJ89" s="28">
        <f>IFERROR((((DX89+DZ89+EC89)*(1+H2_retrieval!$P$34)+EH89)*1000000/H2_retrieval!$P$8)+h2_regen_dme,"")</f>
        <v>8393.4185275095788</v>
      </c>
      <c r="EK89" s="149">
        <f>(ome_invest*(M89+1/ome_lifetime)/ome_prod+ome_opex+ome_e_demand*1000*$AU89/100+Carriers!$Z$21/Carriers!$Z$23*(CO89*1000000/CS89))*(EO89+ome_st_ab_losses)/1000000</f>
        <v>181805.68695854279</v>
      </c>
      <c r="EL89" s="86">
        <f>(ome_invest*(M89+1/ome_lifetime)/ome_prod+ome_opex+ome_e_demand*1000*$AU89/100+Carriers!$Z$21/Carriers!$Z$23*(CP89*1000000/CS89))*(EO89+ome_st_ab_losses)/1000000</f>
        <v>221029.42843679481</v>
      </c>
      <c r="EM89" s="63">
        <f>ome_st_nl_cost*ome_st_nl_demand/1000000+(ome_st_invest*(M89+1/ome_st_lifetime+ome_st_opex)/(Storage!$S$63/1000000)+ome_st_e_demand*1000*$AU89/100)*(EO89+ome_st_ab_losses)/1000000+co2_st_nl_cost*Storage!$S$12*co2_density/ome_density/1000000+(co2_st_opex_lev+co2_st_invest_lev+co2_st_e_demand*1000*$AU89/100)*Storage!$S$12/1000000+co2_st_invest_lev*Storage!$S$12*co2_st_lifetime*M89/1000000+(h2_demand_kt*1000/365.25*short_st_duration_hrs/24)*(h2_short_st_invest*(1/gh2_short_st_lifetime+$M89+h2_short_st_opex)+h2_short_st_e_demand*1000*$AU89/100)/1000000</f>
        <v>4710.4792189215104</v>
      </c>
      <c r="EN89" s="63">
        <f>ome_st_nl_cost*ome_st_nl_demand/1000000+(ome_st_invest*(M89+1/ome_st_lifetime+ome_st_opex)/(Storage!$S$63/1000000)+ome_st_e_demand*1000*$AU89/100)*(EO89+ome_st_ab_losses)/1000000+(h2_demand_kt*1000/365.25*short_st_duration_hrs/24)*(h2_short_st_invest*(1/gh2_short_st_lifetime+$M89+h2_short_st_opex)+h2_short_st_e_demand*1000*$AU89/100)/1000000</f>
        <v>1637.9094030533972</v>
      </c>
      <c r="EO89" s="63">
        <f>Storage!$S$57/((1-Shipping!$T$37)^($F89/24/Shipping!$T$44+0.5*Shipping!$T$59))</f>
        <v>128282539.68253967</v>
      </c>
      <c r="EP89" s="28">
        <f>IF($E89="","No Port",IF(AND(ship_choice="VLCC",G89="Panama"),"Ship cannot pass through Panama",IF(ship_choice="VLCC",((F89/24/Shipping!$AD$44+F89/24/Shipping!$AD$50+Shipping!$AD$59+Shipping!$AD$64)*(Shipping!$AD$22+wacc_nl*Shipping!$AD$19/365.25*1000000+Shipping!$AD$35)+(F89/24/Shipping!$AD$44*Shipping!$AD$45+Shipping!$AD$64*Shipping!$AD$65)*IF(bunker_choice="HFO",$H89,IF(bunker_choice="hydrogen",$BD89*hfo_e_density_lhv/h2_e_density_lhv,(EK89+EM89)*1000000/EO89*hfo_e_density_lhv/Dme_e_density_lhv))+(F89/24/Shipping!$AD$50*Shipping!$AD$51+Shipping!$AD$59*Shipping!$AD$60)*IF(bunker_choice="HFO",bunker_price_ROT,IF(bunker_choice="hydrogen",$BD89*hfo_e_density_lhv/h2_e_density_lhv,(EK89+EM89)*1000000/EO89*hfo_e_density_lhv/ome_e_density_lhv))+Shipping!$AD$73+IF(G89="Panama",Shipping!$AD$55,0)+IF(G89="Suez",Shipping!$AD$56,0))/Shipping!$AD$31*(EO89+ome_st_ab_losses)/1000000+IF(inland_transport_to_port="hv dc grid",$BM89/100*1000*ER89,IF(inland_transport_to_port="pipeline",$BN89,0)),((F89/24/Shipping!$T$44+F89/24/Shipping!$T$50+Shipping!$T$59+Shipping!$T$64)*(Shipping!$T$22+wacc_nl*Shipping!$T$19/365.25*1000000+Shipping!$T$35)+(F89/24/Shipping!$T$44*Shipping!$T$45+Shipping!$T$64*Shipping!$T$65)*IF(bunker_choice="HFO",$H89,IF(bunker_choice="hydrogen",$BD89*hfo_e_density_lhv/h2_e_density_lhv,(EK89+EM89)*1000000/EO89*hfo_e_density_lhv/Dme_e_density_lhv))+(F89/24/Shipping!$T$50*Shipping!$T$51+Shipping!$T$59*Shipping!$T$60)*IF(bunker_choice="HFO",bunker_price_ROT,IF(bunker_choice="hydrogen",$BD89*hfo_e_density_lhv/h2_e_density_lhv,(EK89+EM89)*1000000/EO89*hfo_e_density_lhv/ome_e_density_lhv))+Shipping!$T$73+IF(G89="Panama",Shipping!$T$55,0)+IF(G89="Suez",Shipping!$T$56,0))/Shipping!$T$31*(EO89+ome_st_ab_losses)/1000000+IF(inland_transport_to_port="hv dc grid",$BM89/100*1000*ER89,IF(inland_transport_to_port="pipeline",$BN89,0)))))</f>
        <v>9726.6117792639907</v>
      </c>
      <c r="EQ89" s="28">
        <f t="shared" si="135"/>
        <v>232393.94961911222</v>
      </c>
      <c r="ER89" s="29">
        <f>(ome_e_demand)*(EO89+ome_st_ab_losses)/1000000+ome_st_e_demand*EM89/1000000+$CV89*(Carriers!$Z$21/Carriers!$Z$23*EO89)/$CS89</f>
        <v>3352.0814572065024</v>
      </c>
      <c r="ES89" s="29">
        <f t="shared" si="108"/>
        <v>0.1924238095238095</v>
      </c>
      <c r="ET89" s="28">
        <f>IFERROR(EQ89*1000000/Storage!$S$12,"")</f>
        <v>1811.5789584008601</v>
      </c>
      <c r="EU89" s="28">
        <f>IF($E89="","No Port",((F89/24/Shipping!$T$44+F89/24/Shipping!$T$50+Shipping!$T$59+Shipping!$T$64)*Carriers!$Z$39*wacc_nl))</f>
        <v>161.84116837675197</v>
      </c>
      <c r="EV89" s="100">
        <f>H2_retrieval!$R$25*h2_demand_kt/1000+(co2_liq_e_demand+co2_st_e_demand*2)*Storage!$S$12*co2_density/ome_density/1000000</f>
        <v>254.51942895252085</v>
      </c>
      <c r="EW89" s="28">
        <f>IFERROR((((EK89+EM89+EP89)*(1+H2_retrieval!$R$34)+EU89)*1000000/H2_retrieval!$R$8)+h2_regen_ome,"")</f>
        <v>15611.644655336195</v>
      </c>
      <c r="EX89" s="149">
        <f>(sng_invest*(M89+1/sng_lifetime)/sng_prod+lng_invest*(M89+1/lng_lifetime)/lng_prod+sng_opex+lng_opex+(sng_e_demand+lng_e_demand)*1000*$AU89/100+Carriers!$AB$18/Carriers!$AB$23*BD89+Carriers!$AB$20/Carriers!$AB$23*co2_liq_cost)*(FB89+lng_st_ab_losses)/1000000</f>
        <v>65411.520512073352</v>
      </c>
      <c r="EY89" s="86">
        <f>(sng_invest*(M89+1/sng_lifetime)/sng_prod+lng_invest*(M89+1/lng_lifetime)/lng_prod+sng_opex+lng_opex+(sng_e_demand+lng_e_demand)*1000*$AU89/100+Carriers!$AB$18/Carriers!$AB$23*BD89+Carriers!$AB$20/Carriers!$AB$23*BP89)*(FB89+lng_st_ab_losses)/1000000</f>
        <v>75864.029143705702</v>
      </c>
      <c r="EZ89" s="63">
        <f>lng_st_nl_cost*lng_st_nl_demand/1000000+(lng_st_invest*(M89+1/lng_st_lifetime+lng_st_opex)/(Storage!$U$63/1000000)+lng_st_e_demand*1000*$AU89/100)*(FB89+lng_st_ab_losses)/1000000+co2_st_nl_cost*Storage!$U$12*co2_density/lng_density/1000000+(co2_st_opex_lev+co2_st_invest_lev+co2_st_e_demand*1000*$AU89/100)*Storage!$U$12/1000000+co2_st_invest_lev*Storage!$U$12*co2_st_lifetime*M89/1000000+Carriers!$AB$18/Carriers!$AB$23*((FB89+lng_st_ab_losses)/365.25*short_st_duration_hrs/24)*(h2_short_st_invest*(1/gh2_short_st_lifetime+$M89+h2_short_st_opex)+h2_short_st_e_demand*1000*$AU89/100)/1000000+Carriers!$AB$20/Carriers!$AB$23*((FB89+lng_st_ab_losses)/365.25*short_st_duration_hrs/24)*(co2_short_st_invest*(1/co2_short_st_lifetime+$M89+co2_short_st_opex)+co2_short_st_e_demand*1000*$AU89/100)/1000000</f>
        <v>5854.2952371098827</v>
      </c>
      <c r="FA89" s="63">
        <f>lng_st_nl_cost*lng_st_nl_demand/1000000+(lng_st_invest*(M89+1/lng_st_lifetime+lng_st_opex)/(Storage!$U$63/1000000)+lng_st_e_demand*1000*$AU89/100)*(FB89+lng_st_ab_losses)/1000000+Carriers!$AB$18/Carriers!$AB$23*((FB89+lng_st_ab_losses)/365.25*short_st_duration_hrs/24)*(h2_short_st_invest*(1/gh2_short_st_lifetime+$M89+h2_short_st_opex)+h2_short_st_e_demand*1000*$AU89/100)/1000000+Carriers!$AB$20/Carriers!$AB$23*((FB89+lng_st_ab_losses)/365.25*short_st_duration_hrs/24)*(co2_short_st_invest*(1/co2_short_st_lifetime+$M89+co2_short_st_opex)+co2_short_st_e_demand*1000*$AU89/100)/1000000</f>
        <v>4337.3152147125429</v>
      </c>
      <c r="FB89" s="63">
        <f>Storage!$U$57/((1-Shipping!$V$37)^($F89/24/Shipping!$V$44+0.5*Shipping!$V$59))</f>
        <v>41780710.343203016</v>
      </c>
      <c r="FC89" s="28">
        <f>IF($E89="","No Port",IF(G89="Panama","Ship cannot pass through Panama",((F89/24/Shipping!$V$44+F89/24/Shipping!$V$50+Shipping!$V$59+Shipping!$V$64)*(Shipping!$V$22+wacc_nl*Shipping!$V$19/365.25*1000000+Shipping!$V$35)+(F89/24/Shipping!$V$44*Shipping!$V$45+Shipping!$V$64*Shipping!$V$65)*IF(bunker_choice="HFO",$H89,IF(bunker_choice="hydrogen",$BD89*hfo_e_density_lhv/h2_e_density_lhv,(EX89+EZ89)*1000000/FB89*hfo_e_density_lhv/lng_e_density_lhv))+(F89/24/Shipping!$V$50*Shipping!$V$51+Shipping!$V$59*Shipping!$V$60)*IF(bunker_choice="HFO",bunker_price_ROT,IF(bunker_choice="hydrogen",$BD89*hfo_e_density_lhv/h2_e_density_lhv,(EX89+EZ89)*1000000/FB89*hfo_e_density_lhv/lng_e_density_lhv))+Shipping!$V$73+IF(G89="Panama",Shipping!$V$55,0)+IF(G89="Suez",Shipping!$V$56,0))/Shipping!$V$31*(FB89+lng_st_ab_losses)/1000000)+IF(inland_transport_to_port="hv dc grid",$BM89/100*1000*FE89,IF(inland_transport_to_port="pipeline",$BN89,0)))</f>
        <v>3742.2648214733017</v>
      </c>
      <c r="FD89" s="28">
        <f t="shared" si="136"/>
        <v>83943.609179891544</v>
      </c>
      <c r="FE89" s="29">
        <f>((Carriers!$AB$18/Carriers!$AB$23*alk_el_e_demand)+sng_e_demand+lng_e_demand)*(FB89+lng_st_ab_losses)/1000000+lng_st_e_demand*EZ89/1000000</f>
        <v>1120.5090885271723</v>
      </c>
      <c r="FF89" s="29">
        <f t="shared" si="109"/>
        <v>0.8126185861001558</v>
      </c>
      <c r="FG89" s="28">
        <f>IFERROR(FD89*1000000/Storage!$U$12,"")</f>
        <v>2068.3852387097804</v>
      </c>
      <c r="FH89" s="28">
        <f>IF($E89="","No Port",((F89/24/Shipping!$V$44+F89/24/Shipping!$V$50+Shipping!$V$59+Shipping!$V$64)*Carriers!$AB$39*wacc_nl))</f>
        <v>47.391806092826677</v>
      </c>
      <c r="FI89" s="100">
        <f>H2_retrieval!$T$25*h2_demand_kt/1000+(co2_liq_e_demand+co2_st_e_demand*2)*Storage!$U$12*co2_density/lng_density/1000000</f>
        <v>236.51371749646054</v>
      </c>
      <c r="FJ89" s="28">
        <f>IFERROR((((EX89+EZ89+FC89)*(1+H2_retrieval!$T$34)+FH89)*1000000/H2_retrieval!$T$8)+h2_regen_lng,"")</f>
        <v>6688.9132767806286</v>
      </c>
      <c r="FK89" s="149">
        <f>(lh2_invest*(M89+1/lh2_lifetime)/lh2_prod+lh2_opex+lh2_e_demand*1000*$AU89/100+Carriers!$AD$18/Carriers!$AD$23*BD89)*(FM89+lh2_st_ab_losses)/1000000</f>
        <v>50807.417495285561</v>
      </c>
      <c r="FL89" s="28">
        <f>lh2_st_nl_cost*lh2_st_nl_demand/1000000+(lh2_st_invest*(M89+1/lh2_st_lifetime+lh2_st_opex)/(Storage!$Y$63/1000000)+lh2_st_e_demand*1000*$AU89/100)*(FM89+lh2_st_ab_losses)/1000000+((FM89+lh2_st_ab_losses)/365.25*short_st_duration_hrs/24)*(h2_short_st_invest*(1/gh2_short_st_lifetime+$M89+h2_short_st_opex)+h2_short_st_e_demand*1000*$AU89/100)/1000000</f>
        <v>51055.925177231147</v>
      </c>
      <c r="FM89" s="63">
        <f>Storage!$Y$57/((1-Shipping!$Z$37)^($F89/24/Shipping!$Z$44+0.5*Shipping!$Z$59))</f>
        <v>14241108.339162525</v>
      </c>
      <c r="FN89" s="28">
        <f>IF($E89="","No Port",IF(G89="Panama","Ship cannot pass through Panama",((F89/24/Shipping!$Z$44+F89/24/Shipping!$Z$50+Shipping!$Z$59+Shipping!$Z$64)*(Shipping!$Z$22+wacc_nl*Shipping!$Z$19/365.25*1000000+Shipping!$Z$35)+(F89/24/Shipping!$Z$44*Shipping!$Z$45+Shipping!$Z$64*Shipping!$Z$65)*IF(bunker_choice="HFO",$H89,IF(bunker_choice="hydrogen",$BD89*hfo_e_density_lhv/h2_e_density_lhv,(FK89+FL89)*1000000/FM89*hfo_e_density_lhv/lh2_e_density_lhv))+(F89/24/Shipping!$Z$50*Shipping!$Z$51+Shipping!$Z$59*Shipping!$Z$60)*IF(bunker_choice="HFO",bunker_price_ROT,IF(bunker_choice="hydrogen",$BD89*hfo_e_density_lhv/h2_e_density_lhv,(FK89+FL89)*1000000/FM89*hfo_e_density_lhv/lh2_e_density_lhv))+Shipping!$Z$73+IF(G89="Panama",Shipping!$Z$55,0)+IF(G89="Suez",Shipping!$Z$56,0))/Shipping!$Z$31*(FM89+lh2_st_ab_losses)/1000000)+IF(inland_transport_to_port="hv dc grid",$BM89/100*1000*FP89,IF(inland_transport_to_port="pipeline",$BN89,0)))</f>
        <v>6214.2813167134527</v>
      </c>
      <c r="FO89" s="28">
        <f t="shared" si="128"/>
        <v>108077.62398923017</v>
      </c>
      <c r="FP89" s="29">
        <f>((Carriers!$AD$18/Carriers!$AD$23*alk_el_e_demand)+lh2_e_demand)*(FM89+lh2_st_ab_losses)/1000000+lh2_st_e_demand*FM89/1000000</f>
        <v>825.23199273733906</v>
      </c>
      <c r="FQ89" s="100">
        <f t="shared" si="110"/>
        <v>1.361902463475859</v>
      </c>
      <c r="FR89" s="28">
        <f>IFERROR(FO89*1000000/Storage!$Y$12,"")</f>
        <v>7946.8841168551589</v>
      </c>
      <c r="FS89" s="100">
        <f>H2_retrieval!$V$25*h2_demand_kt/1000</f>
        <v>8.16</v>
      </c>
      <c r="FT89" s="28">
        <f>IFERROR(FR89*(1+H2_retrieval!$V$34)/Carrier_properties!$U$7+H2_retrieval!$V$38,"")</f>
        <v>7978.8528427236261</v>
      </c>
      <c r="FU89" s="12"/>
      <c r="FV89" s="24">
        <f t="shared" si="129"/>
        <v>2.1347285626295291</v>
      </c>
      <c r="FW89" s="24" t="str">
        <f t="shared" si="92"/>
        <v/>
      </c>
      <c r="FX89" s="24" t="str">
        <f t="shared" si="93"/>
        <v/>
      </c>
      <c r="FY89" s="24">
        <f t="shared" si="130"/>
        <v>2.1347285626295291</v>
      </c>
      <c r="FZ89" s="28">
        <f t="shared" si="94"/>
        <v>2734.6310355809183</v>
      </c>
      <c r="GA89" s="28">
        <f t="shared" si="137"/>
        <v>611.16972864050297</v>
      </c>
      <c r="GB89" s="28">
        <f t="shared" si="138"/>
        <v>377.77594014803697</v>
      </c>
      <c r="GC89" s="28">
        <f t="shared" si="139"/>
        <v>680.99923220170695</v>
      </c>
      <c r="GD89" s="28">
        <f t="shared" si="140"/>
        <v>990.12739965959088</v>
      </c>
      <c r="GE89" s="28">
        <f t="shared" si="141"/>
        <v>1722.9891845279608</v>
      </c>
      <c r="GF89" s="28">
        <f t="shared" si="142"/>
        <v>1815.766857971754</v>
      </c>
      <c r="GG89" s="12"/>
      <c r="GH89" s="12"/>
      <c r="GI89" s="12"/>
      <c r="GJ89" s="12"/>
      <c r="GK89" s="12"/>
      <c r="GL89" s="12"/>
      <c r="GM89" s="12"/>
      <c r="GN89" s="12"/>
      <c r="GO89" s="12"/>
      <c r="GP89" s="12"/>
      <c r="GQ89" s="12"/>
      <c r="GR89" s="12"/>
      <c r="GS89" s="12"/>
      <c r="GT89" s="12"/>
      <c r="GU89" s="12"/>
      <c r="GV89" s="12"/>
      <c r="GW89" s="12"/>
      <c r="GX89" s="12"/>
      <c r="GY89" s="12"/>
      <c r="GZ89" s="12"/>
      <c r="HA89" s="12"/>
      <c r="HB89" s="12"/>
      <c r="HC89" s="12"/>
      <c r="HD89" s="12"/>
      <c r="HE89" s="12"/>
      <c r="HF89" s="12"/>
    </row>
    <row r="90" spans="1:214" x14ac:dyDescent="0.2">
      <c r="A90" s="40" t="s">
        <v>89</v>
      </c>
      <c r="B90" s="12">
        <v>3928</v>
      </c>
      <c r="C90" s="12">
        <v>1</v>
      </c>
      <c r="D90" s="12">
        <f t="shared" si="111"/>
        <v>0</v>
      </c>
      <c r="E90" s="12"/>
      <c r="F90" s="12"/>
      <c r="G90" s="12"/>
      <c r="H90" s="16">
        <f t="shared" si="112"/>
        <v>382.75862068965517</v>
      </c>
      <c r="I90" s="16">
        <v>1220190</v>
      </c>
      <c r="J90" s="16">
        <f t="shared" si="113"/>
        <v>623.21628671160352</v>
      </c>
      <c r="K90" s="16" t="str">
        <f t="shared" si="114"/>
        <v/>
      </c>
      <c r="L90" s="103">
        <v>0.153</v>
      </c>
      <c r="M90" s="103">
        <f t="shared" si="115"/>
        <v>0.14962169739395992</v>
      </c>
      <c r="N90" s="122">
        <f t="shared" si="116"/>
        <v>0.8</v>
      </c>
      <c r="O90" s="46">
        <f t="shared" si="117"/>
        <v>40</v>
      </c>
      <c r="P90" s="70">
        <f t="array" ref="P90">SUMPRODUCT(IF(Solar_data!A$4:A$777=A90,Solar_data!C$4:C$777),IF(Solar_data!A$4:A$777=A90,Solar_data!I$4:I$777))/SUMIF(Solar_data!A$4:A$777,A90,Solar_data!I$4:I$777)</f>
        <v>2303.6275337223442</v>
      </c>
      <c r="Q90" s="16">
        <f t="array" ref="Q90">MAX(IF(Solar_data!$A$777:'Solar_data'!$A$4=Country_details!$A90,Solar_data!$C$4:'Solar_data'!$C$777))</f>
        <v>2463.75</v>
      </c>
      <c r="R90" s="16">
        <f t="array" ref="R90">MIN(IF(Solar_data!$A$777:'Solar_data'!$A$4=Country_details!A90,Solar_data!$C$4:'Solar_data'!$C$777))</f>
        <v>1916.25</v>
      </c>
      <c r="S90" s="24">
        <f t="shared" si="95"/>
        <v>2.5311675214449232</v>
      </c>
      <c r="T90" s="24">
        <f t="shared" si="96"/>
        <v>2.3666634986765165</v>
      </c>
      <c r="U90" s="24">
        <f t="shared" si="97"/>
        <v>3.0428530697269496</v>
      </c>
      <c r="V90" s="16">
        <f t="array" ref="V90">SUM(IF(Solar_data!$A$777:'Solar_data'!$A$4=Country_details!$A90,Solar_data!$I$4:'Solar_data'!$I$777))</f>
        <v>10349.249605387386</v>
      </c>
      <c r="W90" s="148"/>
      <c r="X90" s="16" t="str">
        <f>IFERROR(INDEX(Onshore_wind_data!$J$5:'Onshore_wind_data'!$J$221,MATCH(A90,Onshore_wind_data!$B$5:'Onshore_wind_data'!$B$221,0)),"")</f>
        <v/>
      </c>
      <c r="Y90" s="16" t="str">
        <f>IFERROR(INDEX(Onshore_wind_data!$K$5:'Onshore_wind_data'!$K$221,MATCH(A90,Onshore_wind_data!$B$5:'Onshore_wind_data'!$B$221,0)),"")</f>
        <v/>
      </c>
      <c r="Z90" s="16" t="str">
        <f>IFERROR(INDEX(Onshore_wind_data!$L$5:'Onshore_wind_data'!$L$221,MATCH(A90,Onshore_wind_data!$B$5:'Onshore_wind_data'!$B$221,0)),"")</f>
        <v/>
      </c>
      <c r="AA90" s="24" t="str">
        <f t="shared" si="118"/>
        <v/>
      </c>
      <c r="AB90" s="24" t="str">
        <f t="shared" si="119"/>
        <v/>
      </c>
      <c r="AC90" s="24" t="str">
        <f t="shared" si="120"/>
        <v/>
      </c>
      <c r="AD90" s="16">
        <f>IFERROR(INDEX(Onshore_wind_data!$I$5:'Onshore_wind_data'!$I$221,MATCH(A90,Onshore_wind_data!$B$5:'Onshore_wind_data'!$B$221,0)),"")</f>
        <v>0</v>
      </c>
      <c r="AE90" s="148"/>
      <c r="AF90" s="16" t="str">
        <f>INDEX(Offshore_wind_data!$AA$7:$AA$192,MATCH(Country_details!A90,Offshore_wind_data!$A$7:$A$192,0))</f>
        <v/>
      </c>
      <c r="AG90" s="16" t="str">
        <f>INDEX(Offshore_wind_data!$Y$7:$Y$192,MATCH(Country_details!A90,Offshore_wind_data!$A$7:$A$192,0))</f>
        <v/>
      </c>
      <c r="AH90" s="16" t="str">
        <f>INDEX(Offshore_wind_data!$Z$7:$Z$192,MATCH(Country_details!A90,Offshore_wind_data!$A$7:$A$192,0))</f>
        <v/>
      </c>
      <c r="AI90" s="24" t="str">
        <f t="shared" si="98"/>
        <v/>
      </c>
      <c r="AJ90" s="24" t="str">
        <f t="shared" si="99"/>
        <v/>
      </c>
      <c r="AK90" s="24" t="str">
        <f t="shared" si="100"/>
        <v/>
      </c>
      <c r="AL90" s="16">
        <f>INDEX(Offshore_wind_data!$W$7:$W$191,MATCH(A90,Offshore_wind_data!$A$7:$A$191,0))</f>
        <v>0</v>
      </c>
      <c r="AM90" s="148"/>
      <c r="AN90" s="12">
        <v>18.5</v>
      </c>
      <c r="AO90" s="12">
        <v>44</v>
      </c>
      <c r="AP90" s="34"/>
      <c r="AQ90" s="15">
        <f t="shared" si="101"/>
        <v>50</v>
      </c>
      <c r="AR90" s="12">
        <f t="shared" si="131"/>
        <v>2200</v>
      </c>
      <c r="AS90" s="16">
        <f t="shared" si="121"/>
        <v>8149.2496053873856</v>
      </c>
      <c r="AT90" s="12"/>
      <c r="AU90" s="24">
        <f t="shared" si="122"/>
        <v>2.5311675214449232</v>
      </c>
      <c r="AV90" s="16">
        <f t="shared" si="123"/>
        <v>2303.6275337223442</v>
      </c>
      <c r="AW90" s="149">
        <f>HV_DC_Grid!$E$3/(1-AX90)*AU90/100*1000</f>
        <v>2772.9986194640414</v>
      </c>
      <c r="AX90" s="31">
        <f>(1-(1-HV_DC_Grid!$E$25)^(B90*C90*HV_DC_Grid!$E$8/1000))+(1-(1-HV_DC_Grid!$E$26)^(B90*D90*HV_DC_Grid!$E$8/1000))+HV_DC_Grid!$E$35*HV_DC_Grid!$E$28</f>
        <v>8.720923851951233E-2</v>
      </c>
      <c r="AY90" s="28">
        <f>B90*nl_e_demand/IF(hv_dc_flh="electricity FLH",$AV90,hv_dc_custom)*1000*hv_dc_capacity_multiplier*hv_dc_length_multiplier*1000*(C90*hv_dc_overhead_invest*(hv_dc_overhead_opex+M90+1/hv_dc_lifetime)+D90*hv_dc_sea_invest*(hv_dc_sea_opex+M90+1/hv_dc_lifetime))/1000000+HV_DC_Grid!$E$10*1000*hv_dc_station_invest*hv_dc_station_number*(hv_dc_station_opex+M90+1/hv_dc_lifetime)/1000000</f>
        <v>4316.4257455992001</v>
      </c>
      <c r="AZ90" s="24">
        <f>(AW90+AY90)/(HV_DC_Grid!$E$3*1000)*100</f>
        <v>7.089424365063242</v>
      </c>
      <c r="BA90" s="28">
        <f>MIN(((Carriers!$F$26+Carriers!$F$27)*(alk_el_opex+wacc_nl+1/alk_el_lifetime)+IF(hv_dc_flh="electricity FLH",$AV90,hv_dc_custom)*AZ90/100)/(IF(hv_dc_flh="electricity FLH",$AV90,hv_dc_custom)/alk_el_e_demand)*1000,((Carriers!$H$26+Carriers!$H$27)*(pem_el_opex+wacc_nl+1/pem_el_lifetime)+IF(hv_dc_flh="electricity FLH",$AV90,hv_dc_custom)*AZ90/100)/(IF(hv_dc_flh="electricity FLH",$AV90,hv_dc_custom)/pem_el_e_demand)*1000)</f>
        <v>3965.8837062001307</v>
      </c>
      <c r="BB90" s="12"/>
      <c r="BC90" s="12"/>
      <c r="BD90" s="149">
        <f>MIN(((Carriers!$F$26+Carriers!$F$27)*(alk_el_opex+M90+1/alk_el_lifetime)+$AV90*$AU90/100)/($AV90/alk_el_e_demand)*1000,((Carriers!$H$26+Carriers!$H$27)*(pem_el_opex+M90+1/pem_el_lifetime)+$AV90*$AU90/100)/($AV90/pem_el_e_demand)*1000)</f>
        <v>2962.3458450057115</v>
      </c>
      <c r="BE90" s="28">
        <f>Storage!$AC$50</f>
        <v>8.1664117557772418</v>
      </c>
      <c r="BF90" s="28">
        <f>((Pipeline!$D$22*Pipeline!$D$24*B90*(pipeline_opex+M90+1/pipeline_lifetime))*(Pipeline!$D$39/Pipeline!$D$3)+(Pipeline!$D$57*(pipeline_comp_opex+M90+1/pipeline_comp_lifetime)+Pipeline!$D$47*1000*Pipeline!$D$45*$AU90/100/1000000))*(Pipeline!$D$75/Pipeline!$D$45)</f>
        <v>10000.130464201451</v>
      </c>
      <c r="BG90" s="28">
        <f>BD90+(BE90+BF90)/Storage!$AC$12*1000000</f>
        <v>3698.25002706139</v>
      </c>
      <c r="BH90" s="28"/>
      <c r="BI90" s="28"/>
      <c r="BJ90" s="28" t="str">
        <f>IF($E90="","No Port",BK90*HV_DC_Grid!$E$3*$AU90/100*1000)</f>
        <v>No Port</v>
      </c>
      <c r="BK90" s="31" t="str">
        <f>IFERROR((1-(1-HV_DC_Grid!$E$25)^(K90*HV_DC_Grid!$E$8/1000))+HV_DC_Grid!$E$35*HV_DC_Grid!$E$28,"")</f>
        <v/>
      </c>
      <c r="BL90" s="28" t="str">
        <f>IFERROR(K90*nl_e_demand/IF(hv_dc_flh="electricity FLH",$AV90,hv_dc_custom)*1000*hv_dc_capacity_multiplier*hv_dc_length_multiplier*1000*(hv_dc_overhead_invest*(hv_dc_overhead_opex+M90+1/hv_dc_lifetime))/1000000+HV_DC_Grid!$E$10*1000*hv_dc_station_invest*hv_dc_station_number*(hv_dc_station_opex+M90+1/hv_dc_lifetime)/1000000,"")</f>
        <v/>
      </c>
      <c r="BM90" s="29" t="str">
        <f>IFERROR((BJ90+BL90)/(HV_DC_Grid!$E$3*1000)*100,"")</f>
        <v/>
      </c>
      <c r="BN90" s="28" t="str">
        <f>IFERROR(((Pipeline!$D$22*Pipeline!$D$24*K90*(pipeline_opex+M90+1/pipeline_lifetime))*(Pipeline!$D$39/Pipeline!$D$3)+(Pipeline!$D$57*(pipeline_comp_opex+M90+1/pipeline_comp_lifetime)+Pipeline!$D$47*1000*Pipeline!$D$45*S90/100/1000000))*(Pipeline!$D$75/Pipeline!$D$45),"")</f>
        <v/>
      </c>
      <c r="BO90" s="28"/>
      <c r="BP90" s="150">
        <f t="shared" si="124"/>
        <v>125.23227006492704</v>
      </c>
      <c r="BQ90" s="34">
        <f t="shared" si="125"/>
        <v>37.605794901137884</v>
      </c>
      <c r="BR90" s="151">
        <f>(nh3_invest*(M90+1/nh3_lifetime)/nh3_prod+nh3_opex+nh3_e_demand*1000*$AU90/100+Carriers!$N$18/Carriers!$N$23*BD90+Carriers!$N$19/Carriers!$N$23*BQ90)*(BT90+nh3_st_ab_losses)/1000000</f>
        <v>52639.075296370793</v>
      </c>
      <c r="BS90" s="63">
        <f>nh3_st_nl_cost*nh3_st_nl_demand/1000000+(nh3_st_invest*(M90+1/nh3_st_lifetime+nh3_st_opex)/(Storage!$G$63/1000000)+nh3_st_e_demand*1000*$AU90/100)*(BT90+nh3_st_ab_losses)/1000000+Carriers!$N$18/Carriers!$N$23*((BT90+nh3_st_ab_losses)/365.25*short_st_duration_hrs/24)*(h2_short_st_invest*(1/gh2_short_st_lifetime+$M90+h2_short_st_opex)+h2_short_st_e_demand*1000*$AU90/100)/1000000+Carriers!$N$19/Carriers!$N$23*((BT90+nh3_st_ab_losses)/365.25*short_st_duration_hrs/24)*(n2_short_st_invest*(1/n2_short_st_lifetime+$M90+n2_short_st_opex)+n2_short_st_e_demand*1000*$AU90/100)/1000000</f>
        <v>3658.4589773605362</v>
      </c>
      <c r="BT90" s="63">
        <f>Storage!$G$57/((1-Shipping!$H$37)^(F90/24/Shipping!$H$44+0.5*Shipping!$H$59))</f>
        <v>76857210.785724297</v>
      </c>
      <c r="BU90" s="63" t="str">
        <f>IF($E90="","No Port",((F90/24/Shipping!$H$44+F90/24/Shipping!$H$50+Shipping!$H$59+Shipping!$H$64)*(Shipping!$H$22+wacc_nl*Shipping!$H$19/365.25*1000000+Shipping!$H$35)+(F90/24/Shipping!$H$44*Shipping!$H$45+Shipping!$H$64*Shipping!$H$65)*IF(bunker_choice="HFO",H90,IF(bunker_choice="hydrogen",BD90*hfo_e_density_lhv/h2_e_density_lhv,(BR90+BS90)*1000000/BT90*hfo_e_density_lhv/nh3_e_density_lhv))+(F90/24/Shipping!$H$50*Shipping!$H$51+Shipping!$H$59*Shipping!$H$60)*IF(bunker_choice="HFO",bunker_price_ROT,IF(bunker_choice="hydrogen",BD90*hfo_e_density_lhv/h2_e_density_lhv,(BR90+BS90)*1000000/BT90*hfo_e_density_lhv/nh3_e_density_lhv))+Shipping!$H$73+IF(G90="Panama",Shipping!$H$55,0)+IF(G90="Suez",Shipping!$H$56,0))/Shipping!$H$31*BT90/1000000+IF(inland_transport_to_port="hv dc grid",$BM90/100*1000*BW90,IF(inland_transport_to_port="pipeline",$BN90,0)))</f>
        <v>No Port</v>
      </c>
      <c r="BV90" s="63" t="str">
        <f t="shared" si="126"/>
        <v/>
      </c>
      <c r="BW90" s="33">
        <f>((Carriers!$N$18/Carriers!$N$23*alk_el_e_demand)+(Carriers!$N$19/Carriers!$N$23*n2_e_demand)+nh3_e_demand)*(BT90+nh3_st_ab_losses)/1000000+nh3_st_e_demand*BT90/1000000</f>
        <v>759.00171168026975</v>
      </c>
      <c r="BX90" s="33">
        <f t="shared" si="102"/>
        <v>0.76626754477640768</v>
      </c>
      <c r="BY90" s="63" t="str">
        <f>IFERROR(BV90*1000000/Storage!$G$12,"")</f>
        <v/>
      </c>
      <c r="BZ90" s="63">
        <f>H2_retrieval!$F$25*h2_demand_kt/1000</f>
        <v>80</v>
      </c>
      <c r="CA90" s="63" t="str">
        <f>IFERROR(BY90*(1+H2_retrieval!$F$34)/Carrier_properties!$E$7+H2_retrieval!$F$38,"")</f>
        <v/>
      </c>
      <c r="CB90" s="149">
        <f>(FA_invest*(M90+1/FA_lifetime)/FA_prod+FA_opex+FA_e_demand*1000*$AU90/100+Carriers!$P$18/Carriers!$P$23*BD90+Carriers!$P$20/Carriers!$P$23*co2_liq_cost)*(CF90+FA_st_ab_losses)/1000000</f>
        <v>107556.78775437237</v>
      </c>
      <c r="CC90" s="86">
        <f>(FA_invest*(M90+1/FA_lifetime)/FA_prod+FA_opex+FA_e_demand*1000*$AU90/100+Carriers!$P$18/Carriers!$P$23*BD90+Carriers!$P$20/Carriers!$P$23*BP90)*(CF90+FA_st_ab_losses)/1000000</f>
        <v>137957.60642223957</v>
      </c>
      <c r="CD90" s="63">
        <f>FA_st_nl_cost*FA_st_nl_demand/1000000+(FA_st_invest*(M90+1/FA_st_lifetime+FA_st_opex)/(Storage!$I$63/1000000)+FA_st_e_demand*1000*$AU90/100)*(CF90+FA_st_ab_losses)/1000000+co2_st_nl_cost*Storage!$I$12*co2_density/FA_density/1000000+(co2_st_opex_lev+co2_st_invest_lev+co2_st_e_demand*1000*$AU90/100)*Storage!$I$12/1000000+co2_st_invest_lev*Storage!$I$12*co2_st_lifetime*M90/1000000+Carriers!$P$18/Carriers!$P$23*((CF90+FA_st_ab_losses)/365.25*short_st_duration_hrs/24)*(h2_short_st_invest*(1/gh2_short_st_lifetime+$M90+h2_short_st_opex)+h2_short_st_e_demand*1000*$AU90/100)/1000000+Carriers!$P$20/Carriers!$P$23*((CF90+FA_st_ab_losses)/365.25*short_st_duration_hrs/24)*(co2_short_st_invest*(1/co2_short_st_lifetime+$M90+co2_short_st_opex)+co2_short_st_e_demand*1000*$AU90/100)/1000000</f>
        <v>12525.109534602601</v>
      </c>
      <c r="CE90" s="63">
        <f>FA_st_nl_cost*FA_st_nl_demand/1000000+(FA_st_invest*(M90+1/FA_st_lifetime+FA_st_opex)/(Storage!$I$63/1000000)+FA_st_e_demand*1000*$AU90/100)*(CF90+FA_st_ab_losses)/1000000+Carriers!$P$18/Carriers!$P$23*((CF90+FA_st_ab_losses)/365.25*short_st_duration_hrs/24)*(h2_short_st_invest*(1/gh2_short_st_lifetime+$M90+h2_short_st_opex)+h2_short_st_e_demand*1000*$AU90/100)/1000000+Carriers!$P$20/Carriers!$P$23*((CF90+FA_st_ab_losses)/365.25*short_st_duration_hrs/24)*(co2_short_st_invest*(1/co2_short_st_lifetime+$M90+co2_short_st_opex)+co2_short_st_e_demand*1000*$AU90/100)/1000000</f>
        <v>5527.5059517372238</v>
      </c>
      <c r="CF90" s="63">
        <f>Storage!$I$57/((1-Shipping!$J$37)^($F90/24/Shipping!$J$44+0.5*Shipping!$J$59))</f>
        <v>310425396.82539684</v>
      </c>
      <c r="CG90" s="28" t="str">
        <f>IF($E90="","No Port",((F90/24/Shipping!$J$44+F90/24/Shipping!$J$50+Shipping!$J$59+Shipping!$J$64)*(Shipping!$J$22+wacc_nl*Shipping!$J$19/365.25*1000000+Shipping!$J$35)+(F90/24/Shipping!$J$44*Shipping!$J$45+Shipping!$J$64*Shipping!$J$65)*IF(bunker_choice="HFO",$H90,IF(bunker_choice="hydrogen",$BD90*hfo_e_density_lhv/h2_e_density_lhv,(CB90+CD90)*1000000/CF90*hfo_e_density_lhv/FA_e_density_lhv))+(F90/24/Shipping!$J$50*Shipping!$J$51+Shipping!$J$59*Shipping!$J$60)*IF(bunker_choice="HFO",bunker_price_ROT,IF(bunker_choice="hydrogen",$BD90*hfo_e_density_lhv/h2_e_density_lhv,(CB90+CD90)*1000000/CF90*hfo_e_density_lhv/FA_e_density_lhv))+Shipping!$J$73+IF(G90="Panama",Shipping!$J$55,0)+IF(G90="Suez",Shipping!$J$56,0))/Shipping!$J$31*CF90/1000000+IF(inland_transport_to_port="hv dc grid",$BM90/100*1000*CI90,IF(inland_transport_to_port="pipeline",$BN90,0)))</f>
        <v>No Port</v>
      </c>
      <c r="CH90" s="28" t="str">
        <f t="shared" si="132"/>
        <v/>
      </c>
      <c r="CI90" s="29">
        <f>((Carriers!$P$18/Carriers!$P$23*alk_el_e_demand)+FA_e_demand)*(CF90+FA_st_ab_losses)/1000000+FA_st_e_demand*CF90/1000000</f>
        <v>1897.8881241622576</v>
      </c>
      <c r="CJ90" s="29">
        <f t="shared" si="103"/>
        <v>0.46563809523809524</v>
      </c>
      <c r="CK90" s="28" t="str">
        <f>IFERROR(CH90*1000000/Storage!$I$12,"")</f>
        <v/>
      </c>
      <c r="CL90" s="28" t="str">
        <f>IF($E90="","No Port",((F90/24/Shipping!$J$44+F90/24/Shipping!$J$50+Shipping!$J$59+Shipping!$J$64)*Carriers!$P$39*wacc_nl))</f>
        <v>No Port</v>
      </c>
      <c r="CM90" s="29">
        <f>H2_retrieval!$H$25*h2_demand_kt/1000+(co2_liq_e_demand+co2_st_e_demand*2)*Storage!$I$12*co2_density/FA_density/1000000</f>
        <v>94.204253879484654</v>
      </c>
      <c r="CN90" s="28" t="str">
        <f>IFERROR((((CB90+CD90+CG90)*(1+H2_retrieval!$H$34)+CL90)*1000000/H2_retrieval!$H$8)+h2_regen_fa,"")</f>
        <v/>
      </c>
      <c r="CO90" s="149">
        <f>(meoh_invest*(M90+1/meoh_lifetime)/meoh_prod+meoh_opex+meoh_e_demand*1000*$AU90/100+Carriers!$R$18/Carriers!$R$23*BD90+Carriers!$R$20/Carriers!$R$23*co2_liq_cost)*(CS90+meoh_st_ab_losses)/1000000</f>
        <v>64934.652000136048</v>
      </c>
      <c r="CP90" s="86">
        <f>(meoh_invest*(M90+1/meoh_lifetime)/meoh_prod+meoh_opex+meoh_e_demand*1000*$AU90/100+Carriers!$R$18/Carriers!$R$23*BD90+Carriers!$R$20/Carriers!$R$23*BP90)*(CS90+meoh_st_ab_losses)/1000000</f>
        <v>82780.871087275358</v>
      </c>
      <c r="CQ90" s="63">
        <f>meoh_st_nl_cost*meoh_st_nl_demand/1000000+(meoh_st_invest*(M90+1/meoh_st_lifetime+meoh_st_opex)/(Storage!$K$63/1000000)+meoh_st_e_demand*1000*$AU90/100)*(CS90+meoh_st_ab_losses)/1000000+co2_st_nl_cost*Storage!$K$12*co2_density/meoh_density/1000000+(co2_st_opex_lev+co2_st_invest_lev+co2_st_e_demand*1000*IFERROR(MIN(S90,AA90,AI90),S90)/100)*Storage!$K$12/1000000+co2_st_invest_lev*Storage!$K$12*co2_st_lifetime*M90/1000000+Carriers!$R$18/Carriers!$R$23*((CS90+meoh_st_ab_losses)/365.25*short_st_duration_hrs/24)*(h2_short_st_invest*(1/gh2_short_st_lifetime+$M90+h2_short_st_opex)+h2_short_st_e_demand*1000*$AU90/100)/1000000+Carriers!$R$20/Carriers!$R$23*((CF90+meoh_st_ab_losses)/365.25*short_st_duration_hrs/24)*(co2_short_st_invest*(1/co2_short_st_lifetime+$M90+co2_short_st_opex)+co2_short_st_e_demand*1000*$AU90/100)/1000000</f>
        <v>5240.5317344332834</v>
      </c>
      <c r="CR90" s="63">
        <f>meoh_st_nl_cost*meoh_st_nl_demand/1000000+(meoh_st_invest*(M90+1/meoh_st_lifetime+meoh_st_opex)/(Storage!$K$63/1000000)+meoh_st_e_demand*1000*$AU90/100)*(CS90+meoh_st_ab_losses)/1000000+Carriers!$R$18/Carriers!$R$23*((CS90+meoh_st_ab_losses)/365.25*short_st_duration_hrs/24)*(h2_short_st_invest*(1/gh2_short_st_lifetime+$M90+h2_short_st_opex)+h2_short_st_e_demand*1000*$AU90/100)/1000000+Carriers!$R$20/Carriers!$R$23*((CF90+meoh_st_ab_losses)/365.25*short_st_duration_hrs/24)*(co2_short_st_invest*(1/co2_short_st_lifetime+$M90+co2_short_st_opex)+co2_short_st_e_demand*1000*$AU90/100)/1000000</f>
        <v>2205.9984179495291</v>
      </c>
      <c r="CS90" s="63">
        <f>Storage!$K$57/((1-Shipping!$L$37)^($F90/24/Shipping!$L$44+0.5*Shipping!$L$59))</f>
        <v>108044444.44444443</v>
      </c>
      <c r="CT90" s="28" t="str">
        <f>IF($E90="","No Port",IF(AND(ship_choice="VLCC",G90="Panama"),"Ship cannot pass through Panama",IF(ship_choice="VLCC",((F90/24/Shipping!$AD$44+F90/24/Shipping!$AD$50+Shipping!$AD$59+Shipping!$AD$64)*(Shipping!$AD$22+wacc_nl*Shipping!$AD$19/365.25*1000000+Shipping!$AD$35)+(F90/24/Shipping!$AD$44*Shipping!$AD$45+Shipping!$AD$64*Shipping!$AD$65)*IF(bunker_choice="HFO",$H90,IF(bunker_choice="hydrogen",$BD90*hfo_e_density_lhv/h2_e_density_lhv,(CO90+CQ90)*1000000/CS90*hfo_e_density_lhv/meoh_e_density_lhv))+(F90/24/Shipping!$AD$50*Shipping!$AD$51+Shipping!$AD$59*Shipping!$AD$60)*IF(bunker_choice="HFO",bunker_price_ROT,IF(bunker_choice="hydrogen",$BD90*hfo_e_density_lhv/h2_e_density_lhv,(CO90+CQ90)*1000000/CS90*hfo_e_density_lhv/meoh_e_density_lhv))+Shipping!$AD$73+IF(G90="Panama",Shipping!$AD$55,0)+IF(G90="Suez",Shipping!$AD$56,0))/Shipping!$AD$31*CS90/1000000+IF(inland_transport_to_port="hv dc grid",$BM90/100*1000*CV90,IF(inland_transport_to_port="pipeline",$BN90,0)),((F90/24/Shipping!$L$44+F90/24/Shipping!$L$50+Shipping!$L$59+Shipping!$L$64)*(Shipping!$L$22+wacc_nl*Shipping!$L$19/365.25*1000000+Shipping!$L$35)+(F90/24/Shipping!$L$44*Shipping!$L$45+Shipping!$L$64*Shipping!$L$65)*IF(bunker_choice="HFO",$H90,IF(bunker_choice="hydrogen",$BD90*hfo_e_density_lhv/h2_e_density_lhv,(CO90+CQ90)*1000000/CS90*hfo_e_density_lhv/meoh_e_density_lhv))+(F90/24/Shipping!$L$50*Shipping!$L$51+Shipping!$L$59*Shipping!$L$60)*IF(bunker_choice="HFO",bunker_price_ROT,IF(bunker_choice="hydrogen",$BD90*hfo_e_density_lhv/h2_e_density_lhv,(CO90+CQ90)*1000000/CS90*hfo_e_density_lhv/meoh_e_density_lhv))+Shipping!$L$73+IF(G90="Panama",Shipping!$L$55,0)+IF(G90="Suez",Shipping!$L$56,0))/Shipping!$L$31*CS90/1000000+IF(inland_transport_to_port="hv dc grid",$BM90/100*1000*CV90,IF(inland_transport_to_port="pipeline",$BN90,0)))))</f>
        <v>No Port</v>
      </c>
      <c r="CU90" s="28" t="str">
        <f t="shared" si="133"/>
        <v/>
      </c>
      <c r="CV90" s="29">
        <f>((Carriers!$R$18/Carriers!$R$23*alk_el_e_demand)+meoh_e_demand)*(CS90+meoh_st_ab_losses)/1000000+meoh_st_e_demand*CS90/1000000</f>
        <v>1119.9789871111109</v>
      </c>
      <c r="CW90" s="29">
        <f t="shared" si="104"/>
        <v>0.16206666666666666</v>
      </c>
      <c r="CX90" s="28" t="str">
        <f>IFERROR(CU90*1000000/Storage!$K$12,"")</f>
        <v/>
      </c>
      <c r="CY90" s="28" t="str">
        <f>IF($E90="","No Port",((F90/24/Shipping!$L$44+F90/24/Shipping!$L$50+Shipping!$L$59+Shipping!$L$64)*Carriers!$R$39*wacc_nl))</f>
        <v>No Port</v>
      </c>
      <c r="CZ90" s="29">
        <f>H2_retrieval!$J$25*h2_demand_kt/1000+(co2_liq_e_demand+co2_st_e_demand*2)*Storage!$K$12*co2_density/meoh_density/1000000</f>
        <v>251.05079059698966</v>
      </c>
      <c r="DA90" s="28" t="str">
        <f>IFERROR((((CO90+CQ90+CT90)*(1+H2_retrieval!$J$34)+CY90)*1000000/H2_retrieval!$J$8)+h2_regen_meoh,"")</f>
        <v/>
      </c>
      <c r="DB90" s="149">
        <f>(DBT_invest*(M90+1/DBT_lifetime)/DBT_prod+DBT_opex+DBT_e_demand*1000*$AU90/100+Carriers!$T$18/Carriers!$T$23*BD90)*(DD90+DBT_st_ab_losses)/1000000</f>
        <v>43814.741968834969</v>
      </c>
      <c r="DC90" s="28">
        <f>2*(DBT_st_nl_cost*DBT_st_nl_demand/1000000+(DBT_st_invest*(M90+1/DBT_st_lifetime+DBT_st_opex)/(Storage!$M$63/1000000)+DBT_st_e_demand*1000*$AU90/100)*(DD90+DBT_st_ab_losses)/1000000)+Carriers!$T$18/Carriers!$T$23*((DD90+DBT_st_ab_losses)/365.25*short_st_duration_hrs/24)*(h2_short_st_invest*(1/gh2_short_st_lifetime+$M90+h2_short_st_opex)+h2_short_st_e_demand*1000*$AU90/100)/1000000</f>
        <v>4491.0632088703751</v>
      </c>
      <c r="DD90" s="63">
        <f>Storage!$M$57/((1-Shipping!$N$37)^($F90/24/Shipping!$N$44+0.5*Shipping!$N$59))</f>
        <v>219354838.70967743</v>
      </c>
      <c r="DE90" s="28" t="str">
        <f>IF($E90="","No Port",IF(AND(ship_choice="VLCC",G90="Panama"),"Ship cannot pass through Panama",IF(ship_choice="VLCC",((F90/24/Shipping!$AD$44+F90/24/Shipping!$AD$50+Shipping!$AD$59+Shipping!$AD$64)*(Shipping!$AD$22+wacc_nl*Shipping!$AD$19/365.25*1000000+Shipping!$AD$35)+(F90/24/Shipping!$AD$44*Shipping!$AD$45+Shipping!$AD$64*Shipping!$AD$65)*IF(bunker_choice="HFO",$H90,IF(bunker_choice="hydrogen",$BD90*hfo_e_density_lhv/h2_e_density_lhv,(DB90+DC90)*1000000/DD90*hfo_e_density_lhv/DBT_e_density_lhv))+(F90/24/Shipping!$AD$50*Shipping!$AD$51+Shipping!$AD$59*Shipping!$AD$60)*IF(bunker_choice="HFO",bunker_price_ROT,IF(bunker_choice="hydrogen",$BD90*hfo_e_density_lhv/h2_e_density_lhv,(DB90+DC90)*1000000/DD90*hfo_e_density_lhv/DBT_e_density_lhv))+Shipping!$AD$73+IF(G90="Panama",Shipping!$AD$55,0)+IF(G90="Suez",Shipping!$AD$56,0))/Shipping!$AD$31*DD90/1000000+IF(inland_transport_to_port="hv dc grid",$BM90/100*1000*DG90,IF(inland_transport_to_port="pipeline",$BN90,0)),((F90/24/Shipping!$N$44+F90/24/Shipping!$N$50+Shipping!$N$59+Shipping!$N$64)*(Shipping!$N$22+wacc_nl*Shipping!$N$19/365.25*1000000+Shipping!$N$35)+(F90/24/Shipping!$N$44*Shipping!$N$45+Shipping!$N$64*Shipping!$N$65)*IF(bunker_choice="HFO",$H90,IF(bunker_choice="hydrogen",$BD90*hfo_e_density_lhv/h2_e_density_lhv,(DB90+DC90)*1000000/DD90*hfo_e_density_lhv/DBT_e_density_lhv))+(F90/24/Shipping!$N$50*Shipping!$N$51+Shipping!$N$59*Shipping!$N$60)*IF(bunker_choice="HFO",bunker_price_ROT,IF(bunker_choice="hydrogen",$BD90*hfo_e_density_lhv/h2_e_density_lhv,(DB90+DC90)*1000000/DD90*hfo_e_density_lhv/DBT_e_density_lhv))+Shipping!$N$73+IF(G90="Panama",Shipping!$N$55,0)+IF(G90="Suez",Shipping!$N$56,0))/Shipping!$N$31*Shipping!$N$86/1000000+IF(inland_transport_to_port="hv dc grid",$BM90/100*1000*DG90,IF(inland_transport_to_port="pipeline",$BN90,0)))))</f>
        <v>No Port</v>
      </c>
      <c r="DF90" s="28" t="str">
        <f t="shared" si="82"/>
        <v/>
      </c>
      <c r="DG90" s="29">
        <f>((Carriers!$T$18/Carriers!$T$23*alk_el_e_demand)+DBT_e_demand)*(DD90+DBT_st_ab_losses)/1000000+DBT_st_e_demand*DD90/1000000</f>
        <v>703.88335483870969</v>
      </c>
      <c r="DH90" s="29">
        <f t="shared" si="105"/>
        <v>0.21935483870967742</v>
      </c>
      <c r="DI90" s="28" t="str">
        <f>IFERROR(DF90*1000000/Storage!$M$12,"")</f>
        <v/>
      </c>
      <c r="DJ90" s="28" t="str">
        <f>IF($E90="","No Port",((F90/24/Shipping!$N$44+F90/24/Shipping!$N$50+Shipping!$N$59+Shipping!$N$64)*Carriers!$T$39*wacc_nl))</f>
        <v>No Port</v>
      </c>
      <c r="DK90" s="100">
        <f>H2_retrieval!$L$25*h2_demand_kt/1000+(co2_liq_e_demand+co2_st_e_demand*2)*Storage!$M$12*co2_density/DBT_density/1000000</f>
        <v>206.61934861671787</v>
      </c>
      <c r="DL90" s="28" t="str">
        <f>IFERROR(((DF90*(1+H2_retrieval!$L$34)+DJ90)*1000000/H2_retrieval!$L$8)+h2_regen_lohc,"")</f>
        <v/>
      </c>
      <c r="DM90" s="149">
        <f t="shared" si="127"/>
        <v>52179.251752318421</v>
      </c>
      <c r="DN90" s="16">
        <f>2*(nabh4_st_nl_cost*nabh4_st_nl_demand/1000000+(nabh4_st_invest*(M90+1/nabh4_st_lifetime+nabh4_st_opex)/(Storage!$O$63/1000000)+nabh4_st_e_demand*1000*$AU90/100)*(DO90+nabh4_st_ab_losses)/1000000)+(h2_demand_kt*1000/365.25*short_st_duration_hrs/24)*(h2_short_st_invest*(1/gh2_short_st_lifetime+$M90+h2_short_st_opex)+h2_short_st_e_demand*1000*$AU90/100)/1000000</f>
        <v>1505.317966995653</v>
      </c>
      <c r="DO90" s="63">
        <f>Storage!$O$57/((1-Shipping!$P$37)^($F90/24/Shipping!$P$44+0.5*Shipping!$P$59))</f>
        <v>63920000</v>
      </c>
      <c r="DP90" s="16" t="str">
        <f>IF($E90="","No Port",((F90/24/Shipping!$P$44+F90/24/Shipping!$P$50+Shipping!$P$59+Shipping!$P$64)*(Shipping!$P$22+wacc_nl*Shipping!$P$19/365.25*1000000+Shipping!$P$35)+(F90/24/Shipping!$P$44*Shipping!$P$45+Shipping!$P$64*Shipping!$P$65)*IF(bunker_choice="HFO",$H90,IF(bunker_choice="hydrogen",$BD90*hfo_e_density_lhv/h2_e_density_lhv,(DM90+DN90)*1000000/DO90*hfo_e_density_lhv/nabh4_e_density_lhv))+(F90/24/Shipping!$P$50*Shipping!$P$51+Shipping!$P$59*Shipping!$P$60)*IF(bunker_choice="HFO",bunker_price_ROT,IF(bunker_choice="hydrogen",$BD90*hfo_e_density_lhv/h2_e_density_lhv,(DM90+DN90)*1000000/DO90*hfo_e_density_lhv/nabh4_e_density_lhv))+Shipping!$P$73+IF(G90="Panama",Shipping!$P$55,0)+IF(G90="Suez",Shipping!$P$56,0))/Shipping!$P$31*(DO90+nabh4_st_ab_losses)/1000000+IF(inland_transport_to_port="hv dc grid",$BM90/100*1000*DR90,IF(inland_transport_to_port="pipeline",$BN90,0)))</f>
        <v>No Port</v>
      </c>
      <c r="DQ90" s="28" t="str">
        <f t="shared" si="60"/>
        <v/>
      </c>
      <c r="DR90" s="29">
        <f>((Carriers!$V$18/Carriers!$V$23*alk_el_e_demand)+nabh4_e_demand)*(DO90+nabh4_st_ab_losses)/1000000+nabh4_st_e_demand*DO90/1000000</f>
        <v>980.02139682539689</v>
      </c>
      <c r="DS90" s="28">
        <f t="shared" si="106"/>
        <v>3.1960000000000002</v>
      </c>
      <c r="DT90" s="28" t="str">
        <f>IFERROR(DQ90*1000000/Storage!$O$12,"")</f>
        <v/>
      </c>
      <c r="DU90" s="28" t="str">
        <f>IF($E90="","No Port",((F90/24/Shipping!$P$44+F90/24/Shipping!$P$50+Shipping!$P$59+Shipping!$P$64)*Carriers!$V$39*wacc_nl))</f>
        <v>No Port</v>
      </c>
      <c r="DV90" s="100">
        <f>H2_retrieval!$N$25*h2_demand_kt/1000+(co2_liq_e_demand+co2_st_e_demand*2)*Storage!$O$12*co2_density/nabh4_density/1000000</f>
        <v>18.783638728971958</v>
      </c>
      <c r="DW90" s="28" t="str">
        <f>IFERROR(((DQ90*(1+H2_retrieval!$N$34)+DU90)*1000000/H2_retrieval!$N$8)+h2_regen_nabh4,"")</f>
        <v/>
      </c>
      <c r="DX90" s="149">
        <f>(Dme_invest*(M90+1/Dme_lifetime)/Dme_prod+Dme_opex+Dme_e_demand*1000*$AU90/100+Carriers!$X$21/Carriers!$X$23*(CO90*1000000/CS90))*(EB90+Dme_st_ab_losses)/1000000</f>
        <v>91480.61126038908</v>
      </c>
      <c r="DY90" s="86">
        <f>(Dme_invest*(M90+1/Dme_lifetime)/Dme_prod+Dme_opex+Dme_e_demand*1000*$AU90/100+Carriers!$X$21/Carriers!$X$23*(CP90*1000000/CS90))*(EB90+Dme_st_ab_losses)/1000000</f>
        <v>115691.93444551475</v>
      </c>
      <c r="DZ90" s="63">
        <f>Dme_st_nl_cost*Dme_st_nl_demand/1000000+(Dme_st_invest*(M90+1/Dme_st_lifetime+Dme_st_opex)/(Storage!$Q$63/1000000)+Dme_st_e_demand*1000*$AU90/100)*(EB90+Dme_st_ab_losses)/1000000+co2_st_nl_cost*Storage!$Q$12*co2_density/Dme_density/1000000+(co2_st_opex_lev+co2_st_invest_lev+co2_st_e_demand*1000*$AU90/100)*Storage!$Q$12/1000000+co2_st_invest_lev*Storage!$Q$12*co2_st_lifetime*M90/1000000+(h2_demand_kt*1000/365.25*short_st_duration_hrs/24)*(h2_short_st_invest*(1/gh2_short_st_lifetime+$M90+h2_short_st_opex)+h2_short_st_e_demand*1000*$AU90/100)/1000000</f>
        <v>6306.2320786298615</v>
      </c>
      <c r="EA90" s="63">
        <f>Dme_st_nl_cost*Dme_st_nl_demand/1000000+(Dme_st_invest*(M90+1/Dme_st_lifetime+Dme_st_opex)/(Storage!$Q$63/1000000)+Dme_st_e_demand*1000*$AU90/100)*(EB90+Dme_st_ab_losses)/1000000+(h2_demand_kt*1000/365.25*short_st_duration_hrs/24)*(h2_short_st_invest*(1/gh2_short_st_lifetime+$M90+h2_short_st_opex)+h2_short_st_e_demand*1000*$AU90/100)/1000000</f>
        <v>3271.1106427837781</v>
      </c>
      <c r="EB90" s="63">
        <f>Storage!$Q$57/((1-Shipping!$R$37)^($F90/24/Shipping!$R$44+0.5*Shipping!$R$59))</f>
        <v>103547089.94708996</v>
      </c>
      <c r="EC90" s="153" t="str">
        <f>IF($E90="","No Port",IF(AND(ship_choice="VLCC",G90="Panama"),"Ship cannot pass through Panama",IF(ship_choice="VLCC",((F90/24/Shipping!$AD$44+F90/24/Shipping!$AD$50+Shipping!$AD$59+Shipping!$AD$64)*(Shipping!$AD$22+wacc_nl*Shipping!$AD$19/365.25*1000000+Shipping!$AD$35)+(F90/24/Shipping!$AD$44*Shipping!$AD$45+Shipping!$AD$64*Shipping!$AD$65)*IF(bunker_choice="HFO",$H90,IF(bunker_choice="hydrogen",$BD90*hfo_e_density_lhv/h2_e_density_lhv,(DX90+DZ90)*1000000/EB90*hfo_e_density_lhv/Dme_e_density_lhv))+(F90/24/Shipping!$AD$50*Shipping!$AD$51+Shipping!$AD$59*Shipping!$AD$60)*IF(bunker_choice="HFO",bunker_price_ROT,IF(bunker_choice="hydrogen",$BD90*hfo_e_density_lhv/h2_e_density_lhv,(DX90+DZ90)*1000000/EB90*hfo_e_density_lhv/Dme_e_density_lhv))+Shipping!$AD$73+IF(G90="Panama",Shipping!$AD$55,0)+IF(G90="Suez",Shipping!$AD$56,0))/Shipping!$AD$31*(EB90+Dme_st_ab_losses)/1000000+IF(inland_transport_to_port="hv dc grid",$BM90/100*1000*EE90,IF(inland_transport_to_port="pipeline",$BN90,0)),((F90/24/Shipping!$R$44+F90/24/Shipping!$R$50+Shipping!$R$59+Shipping!$R$64)*(Shipping!$R$22+wacc_nl*Shipping!$R$19/365.25*1000000+Shipping!$R$35)+(F90/24/Shipping!$R$44*Shipping!$R$45+Shipping!$R$64*Shipping!$R$65)*IF(bunker_choice="HFO",$H90,IF(bunker_choice="hydrogen",$BD90*hfo_e_density_lhv/h2_e_density_lhv,(DX90+DZ90)*1000000/EB90*hfo_e_density_lhv/Dme_e_density_lhv))+(F90/24/Shipping!$R$50*Shipping!$R$51+Shipping!$R$59*Shipping!$R$60)*IF(bunker_choice="HFO",bunker_price_ROT,IF(bunker_choice="hydrogen",$BD90*hfo_e_density_lhv/h2_e_density_lhv,(DX90+DZ90)*1000000/EB90*hfo_e_density_lhv/Dme_e_density_lhv))+Shipping!$R$73+IF(G90="Panama",Shipping!$R$55,0)+IF(G90="Suez",Shipping!$R$56,0))/Shipping!$R$31*(EB90+Dme_st_ab_losses)/1000000+IF(inland_transport_to_port="hv dc grid",$BM90/100*1000*EE90,IF(inland_transport_to_port="pipeline",$BN90,0)))))</f>
        <v>No Port</v>
      </c>
      <c r="ED90" s="28" t="str">
        <f t="shared" si="134"/>
        <v/>
      </c>
      <c r="EE90" s="29">
        <f>(Dme_e_demand)*(EB90+Dme_st_ab_losses)/1000000+Dme_st_e_demand*DZ90/1000000+$CV90*(Carriers!$X$21/Carriers!$X$23*EB90)/$CS90</f>
        <v>1550.2168232293766</v>
      </c>
      <c r="EF90" s="29">
        <f t="shared" si="107"/>
        <v>1.0354708994708997</v>
      </c>
      <c r="EG90" s="28" t="str">
        <f>IFERROR(ED90*1000000/Storage!$Q$12,"")</f>
        <v/>
      </c>
      <c r="EH90" s="28" t="str">
        <f>IF($E90="","No Port",((F90/24/Shipping!$R$44+F90/24/Shipping!$R$50+Shipping!$R$59+Shipping!$R$64)*Carriers!$X$39*wacc_nl))</f>
        <v>No Port</v>
      </c>
      <c r="EI90" s="100">
        <f>H2_retrieval!$P$25*h2_demand_kt/1000+(co2_liq_e_demand+co2_st_e_demand*2)*Storage!$Q$12*co2_density/Dme_density/1000000</f>
        <v>252.45335899349112</v>
      </c>
      <c r="EJ90" s="28" t="str">
        <f>IFERROR((((DX90+DZ90+EC90)*(1+H2_retrieval!$P$34)+EH90)*1000000/H2_retrieval!$P$8)+h2_regen_dme,"")</f>
        <v/>
      </c>
      <c r="EK90" s="149">
        <f>(ome_invest*(M90+1/ome_lifetime)/ome_prod+ome_opex+ome_e_demand*1000*$AU90/100+Carriers!$Z$21/Carriers!$Z$23*(CO90*1000000/CS90))*(EO90+ome_st_ab_losses)/1000000</f>
        <v>199260.78401796785</v>
      </c>
      <c r="EL90" s="86">
        <f>(ome_invest*(M90+1/ome_lifetime)/ome_prod+ome_opex+ome_e_demand*1000*$AU90/100+Carriers!$Z$21/Carriers!$Z$23*(CP90*1000000/CS90))*(EO90+ome_st_ab_losses)/1000000</f>
        <v>250085.06443315977</v>
      </c>
      <c r="EM90" s="63">
        <f>ome_st_nl_cost*ome_st_nl_demand/1000000+(ome_st_invest*(M90+1/ome_st_lifetime+ome_st_opex)/(Storage!$S$63/1000000)+ome_st_e_demand*1000*$AU90/100)*(EO90+ome_st_ab_losses)/1000000+co2_st_nl_cost*Storage!$S$12*co2_density/ome_density/1000000+(co2_st_opex_lev+co2_st_invest_lev+co2_st_e_demand*1000*$AU90/100)*Storage!$S$12/1000000+co2_st_invest_lev*Storage!$S$12*co2_st_lifetime*M90/1000000+(h2_demand_kt*1000/365.25*short_st_duration_hrs/24)*(h2_short_st_invest*(1/gh2_short_st_lifetime+$M90+h2_short_st_opex)+h2_short_st_e_demand*1000*$AU90/100)/1000000</f>
        <v>5398.9150317523445</v>
      </c>
      <c r="EN90" s="63">
        <f>ome_st_nl_cost*ome_st_nl_demand/1000000+(ome_st_invest*(M90+1/ome_st_lifetime+ome_st_opex)/(Storage!$S$63/1000000)+ome_st_e_demand*1000*$AU90/100)*(EO90+ome_st_ab_losses)/1000000+(h2_demand_kt*1000/365.25*short_st_duration_hrs/24)*(h2_short_st_invest*(1/gh2_short_st_lifetime+$M90+h2_short_st_opex)+h2_short_st_e_demand*1000*$AU90/100)/1000000</f>
        <v>1977.7280819832595</v>
      </c>
      <c r="EO90" s="63">
        <f>Storage!$S$57/((1-Shipping!$T$37)^($F90/24/Shipping!$T$44+0.5*Shipping!$T$59))</f>
        <v>128282539.68253967</v>
      </c>
      <c r="EP90" s="28" t="str">
        <f>IF($E90="","No Port",IF(AND(ship_choice="VLCC",G90="Panama"),"Ship cannot pass through Panama",IF(ship_choice="VLCC",((F90/24/Shipping!$AD$44+F90/24/Shipping!$AD$50+Shipping!$AD$59+Shipping!$AD$64)*(Shipping!$AD$22+wacc_nl*Shipping!$AD$19/365.25*1000000+Shipping!$AD$35)+(F90/24/Shipping!$AD$44*Shipping!$AD$45+Shipping!$AD$64*Shipping!$AD$65)*IF(bunker_choice="HFO",$H90,IF(bunker_choice="hydrogen",$BD90*hfo_e_density_lhv/h2_e_density_lhv,(EK90+EM90)*1000000/EO90*hfo_e_density_lhv/Dme_e_density_lhv))+(F90/24/Shipping!$AD$50*Shipping!$AD$51+Shipping!$AD$59*Shipping!$AD$60)*IF(bunker_choice="HFO",bunker_price_ROT,IF(bunker_choice="hydrogen",$BD90*hfo_e_density_lhv/h2_e_density_lhv,(EK90+EM90)*1000000/EO90*hfo_e_density_lhv/ome_e_density_lhv))+Shipping!$AD$73+IF(G90="Panama",Shipping!$AD$55,0)+IF(G90="Suez",Shipping!$AD$56,0))/Shipping!$AD$31*(EO90+ome_st_ab_losses)/1000000+IF(inland_transport_to_port="hv dc grid",$BM90/100*1000*ER90,IF(inland_transport_to_port="pipeline",$BN90,0)),((F90/24/Shipping!$T$44+F90/24/Shipping!$T$50+Shipping!$T$59+Shipping!$T$64)*(Shipping!$T$22+wacc_nl*Shipping!$T$19/365.25*1000000+Shipping!$T$35)+(F90/24/Shipping!$T$44*Shipping!$T$45+Shipping!$T$64*Shipping!$T$65)*IF(bunker_choice="HFO",$H90,IF(bunker_choice="hydrogen",$BD90*hfo_e_density_lhv/h2_e_density_lhv,(EK90+EM90)*1000000/EO90*hfo_e_density_lhv/Dme_e_density_lhv))+(F90/24/Shipping!$T$50*Shipping!$T$51+Shipping!$T$59*Shipping!$T$60)*IF(bunker_choice="HFO",bunker_price_ROT,IF(bunker_choice="hydrogen",$BD90*hfo_e_density_lhv/h2_e_density_lhv,(EK90+EM90)*1000000/EO90*hfo_e_density_lhv/ome_e_density_lhv))+Shipping!$T$73+IF(G90="Panama",Shipping!$T$55,0)+IF(G90="Suez",Shipping!$T$56,0))/Shipping!$T$31*(EO90+ome_st_ab_losses)/1000000+IF(inland_transport_to_port="hv dc grid",$BM90/100*1000*ER90,IF(inland_transport_to_port="pipeline",$BN90,0)))))</f>
        <v>No Port</v>
      </c>
      <c r="EQ90" s="28" t="str">
        <f t="shared" si="135"/>
        <v/>
      </c>
      <c r="ER90" s="29">
        <f>(ome_e_demand)*(EO90+ome_st_ab_losses)/1000000+ome_st_e_demand*EM90/1000000+$CV90*(Carriers!$Z$21/Carriers!$Z$23*EO90)/$CS90</f>
        <v>3352.0814582391558</v>
      </c>
      <c r="ES90" s="29">
        <f t="shared" si="108"/>
        <v>0.1924238095238095</v>
      </c>
      <c r="ET90" s="28" t="str">
        <f>IFERROR(EQ90*1000000/Storage!$S$12,"")</f>
        <v/>
      </c>
      <c r="EU90" s="28" t="str">
        <f>IF($E90="","No Port",((F90/24/Shipping!$T$44+F90/24/Shipping!$T$50+Shipping!$T$59+Shipping!$T$64)*Carriers!$Z$39*wacc_nl))</f>
        <v>No Port</v>
      </c>
      <c r="EV90" s="100">
        <f>H2_retrieval!$R$25*h2_demand_kt/1000+(co2_liq_e_demand+co2_st_e_demand*2)*Storage!$S$12*co2_density/ome_density/1000000</f>
        <v>254.51942895252085</v>
      </c>
      <c r="EW90" s="28" t="str">
        <f>IFERROR((((EK90+EM90+EP90)*(1+H2_retrieval!$R$34)+EU90)*1000000/H2_retrieval!$R$8)+h2_regen_ome,"")</f>
        <v/>
      </c>
      <c r="EX90" s="149">
        <f>(sng_invest*(M90+1/sng_lifetime)/sng_prod+lng_invest*(M90+1/lng_lifetime)/lng_prod+sng_opex+lng_opex+(sng_e_demand+lng_e_demand)*1000*$AU90/100+Carriers!$AB$18/Carriers!$AB$23*BD90+Carriers!$AB$20/Carriers!$AB$23*co2_liq_cost)*(FB90+lng_st_ab_losses)/1000000</f>
        <v>70133.520124861738</v>
      </c>
      <c r="EY90" s="86">
        <f>(sng_invest*(M90+1/sng_lifetime)/sng_prod+lng_invest*(M90+1/lng_lifetime)/lng_prod+sng_opex+lng_opex+(sng_e_demand+lng_e_demand)*1000*$AU90/100+Carriers!$AB$18/Carriers!$AB$23*BD90+Carriers!$AB$20/Carriers!$AB$23*BP90)*(FB90+lng_st_ab_losses)/1000000</f>
        <v>83329.793922266501</v>
      </c>
      <c r="EZ90" s="63">
        <f>lng_st_nl_cost*lng_st_nl_demand/1000000+(lng_st_invest*(M90+1/lng_st_lifetime+lng_st_opex)/(Storage!$U$63/1000000)+lng_st_e_demand*1000*$AU90/100)*(FB90+lng_st_ab_losses)/1000000+co2_st_nl_cost*Storage!$U$12*co2_density/lng_density/1000000+(co2_st_opex_lev+co2_st_invest_lev+co2_st_e_demand*1000*$AU90/100)*Storage!$U$12/1000000+co2_st_invest_lev*Storage!$U$12*co2_st_lifetime*M90/1000000+Carriers!$AB$18/Carriers!$AB$23*((FB90+lng_st_ab_losses)/365.25*short_st_duration_hrs/24)*(h2_short_st_invest*(1/gh2_short_st_lifetime+$M90+h2_short_st_opex)+h2_short_st_e_demand*1000*$AU90/100)/1000000+Carriers!$AB$20/Carriers!$AB$23*((FB90+lng_st_ab_losses)/365.25*short_st_duration_hrs/24)*(co2_short_st_invest*(1/co2_short_st_lifetime+$M90+co2_short_st_opex)+co2_short_st_e_demand*1000*$AU90/100)/1000000</f>
        <v>6707.5347431159435</v>
      </c>
      <c r="FA90" s="63">
        <f>lng_st_nl_cost*lng_st_nl_demand/1000000+(lng_st_invest*(M90+1/lng_st_lifetime+lng_st_opex)/(Storage!$U$63/1000000)+lng_st_e_demand*1000*$AU90/100)*(FB90+lng_st_ab_losses)/1000000+Carriers!$AB$18/Carriers!$AB$23*((FB90+lng_st_ab_losses)/365.25*short_st_duration_hrs/24)*(h2_short_st_invest*(1/gh2_short_st_lifetime+$M90+h2_short_st_opex)+h2_short_st_e_demand*1000*$AU90/100)/1000000+Carriers!$AB$20/Carriers!$AB$23*((FB90+lng_st_ab_losses)/365.25*short_st_duration_hrs/24)*(co2_short_st_invest*(1/co2_short_st_lifetime+$M90+co2_short_st_opex)+co2_short_st_e_demand*1000*$AU90/100)/1000000</f>
        <v>5080.2644032202743</v>
      </c>
      <c r="FB90" s="63">
        <f>Storage!$U$57/((1-Shipping!$V$37)^($F90/24/Shipping!$V$44+0.5*Shipping!$V$59))</f>
        <v>40707231.50721889</v>
      </c>
      <c r="FC90" s="28" t="str">
        <f>IF($E90="","No Port",IF(G90="Panama","Ship cannot pass through Panama",((F90/24/Shipping!$V$44+F90/24/Shipping!$V$50+Shipping!$V$59+Shipping!$V$64)*(Shipping!$V$22+wacc_nl*Shipping!$V$19/365.25*1000000+Shipping!$V$35)+(F90/24/Shipping!$V$44*Shipping!$V$45+Shipping!$V$64*Shipping!$V$65)*IF(bunker_choice="HFO",$H90,IF(bunker_choice="hydrogen",$BD90*hfo_e_density_lhv/h2_e_density_lhv,(EX90+EZ90)*1000000/FB90*hfo_e_density_lhv/lng_e_density_lhv))+(F90/24/Shipping!$V$50*Shipping!$V$51+Shipping!$V$59*Shipping!$V$60)*IF(bunker_choice="HFO",bunker_price_ROT,IF(bunker_choice="hydrogen",$BD90*hfo_e_density_lhv/h2_e_density_lhv,(EX90+EZ90)*1000000/FB90*hfo_e_density_lhv/lng_e_density_lhv))+Shipping!$V$73+IF(G90="Panama",Shipping!$V$55,0)+IF(G90="Suez",Shipping!$V$56,0))/Shipping!$V$31*(FB90+lng_st_ab_losses)/1000000)+IF(inland_transport_to_port="hv dc grid",$BM90/100*1000*FE90,IF(inland_transport_to_port="pipeline",$BN90,0)))</f>
        <v>No Port</v>
      </c>
      <c r="FD90" s="28" t="str">
        <f t="shared" si="136"/>
        <v/>
      </c>
      <c r="FE90" s="29">
        <f>((Carriers!$AB$18/Carriers!$AB$23*alk_el_e_demand)+sng_e_demand+lng_e_demand)*(FB90+lng_st_ab_losses)/1000000+lng_st_e_demand*EZ90/1000000</f>
        <v>1091.7518931793443</v>
      </c>
      <c r="FF90" s="29">
        <f t="shared" si="109"/>
        <v>0.8126185861001558</v>
      </c>
      <c r="FG90" s="28" t="str">
        <f>IFERROR(FD90*1000000/Storage!$U$12,"")</f>
        <v/>
      </c>
      <c r="FH90" s="28" t="str">
        <f>IF($E90="","No Port",((F90/24/Shipping!$V$44+F90/24/Shipping!$V$50+Shipping!$V$59+Shipping!$V$64)*Carriers!$AB$39*wacc_nl))</f>
        <v>No Port</v>
      </c>
      <c r="FI90" s="100">
        <f>H2_retrieval!$T$25*h2_demand_kt/1000+(co2_liq_e_demand+co2_st_e_demand*2)*Storage!$U$12*co2_density/lng_density/1000000</f>
        <v>236.51371749646054</v>
      </c>
      <c r="FJ90" s="28" t="str">
        <f>IFERROR((((EX90+EZ90+FC90)*(1+H2_retrieval!$T$34)+FH90)*1000000/H2_retrieval!$T$8)+h2_regen_lng,"")</f>
        <v/>
      </c>
      <c r="FK90" s="149">
        <f>(lh2_invest*(M90+1/lh2_lifetime)/lh2_prod+lh2_opex+lh2_e_demand*1000*$AU90/100+Carriers!$AD$18/Carriers!$AD$23*BD90)*(FM90+lh2_st_ab_losses)/1000000</f>
        <v>55063.853324167096</v>
      </c>
      <c r="FL90" s="28">
        <f>lh2_st_nl_cost*lh2_st_nl_demand/1000000+(lh2_st_invest*(M90+1/lh2_st_lifetime+lh2_st_opex)/(Storage!$Y$63/1000000)+lh2_st_e_demand*1000*$AU90/100)*(FM90+lh2_st_ab_losses)/1000000+((FM90+lh2_st_ab_losses)/365.25*short_st_duration_hrs/24)*(h2_short_st_invest*(1/gh2_short_st_lifetime+$M90+h2_short_st_opex)+h2_short_st_e_demand*1000*$AU90/100)/1000000</f>
        <v>58406.140934470532</v>
      </c>
      <c r="FM90" s="63">
        <f>Storage!$Y$57/((1-Shipping!$Z$37)^($F90/24/Shipping!$Z$44+0.5*Shipping!$Z$59))</f>
        <v>13659984.090217989</v>
      </c>
      <c r="FN90" s="28" t="str">
        <f>IF($E90="","No Port",IF(G90="Panama","Ship cannot pass through Panama",((F90/24/Shipping!$Z$44+F90/24/Shipping!$Z$50+Shipping!$Z$59+Shipping!$Z$64)*(Shipping!$Z$22+wacc_nl*Shipping!$Z$19/365.25*1000000+Shipping!$Z$35)+(F90/24/Shipping!$Z$44*Shipping!$Z$45+Shipping!$Z$64*Shipping!$Z$65)*IF(bunker_choice="HFO",$H90,IF(bunker_choice="hydrogen",$BD90*hfo_e_density_lhv/h2_e_density_lhv,(FK90+FL90)*1000000/FM90*hfo_e_density_lhv/lh2_e_density_lhv))+(F90/24/Shipping!$Z$50*Shipping!$Z$51+Shipping!$Z$59*Shipping!$Z$60)*IF(bunker_choice="HFO",bunker_price_ROT,IF(bunker_choice="hydrogen",$BD90*hfo_e_density_lhv/h2_e_density_lhv,(FK90+FL90)*1000000/FM90*hfo_e_density_lhv/lh2_e_density_lhv))+Shipping!$Z$73+IF(G90="Panama",Shipping!$Z$55,0)+IF(G90="Suez",Shipping!$Z$56,0))/Shipping!$Z$31*(FM90+lh2_st_ab_losses)/1000000)+IF(inland_transport_to_port="hv dc grid",$BM90/100*1000*FP90,IF(inland_transport_to_port="pipeline",$BN90,0)))</f>
        <v>No Port</v>
      </c>
      <c r="FO90" s="28" t="str">
        <f t="shared" si="128"/>
        <v/>
      </c>
      <c r="FP90" s="29">
        <f>((Carriers!$AD$18/Carriers!$AD$23*alk_el_e_demand)+lh2_e_demand)*(FM90+lh2_st_ab_losses)/1000000+lh2_st_e_demand*FM90/1000000</f>
        <v>791.60233245091877</v>
      </c>
      <c r="FQ90" s="100">
        <f t="shared" si="110"/>
        <v>1.361902463475859</v>
      </c>
      <c r="FR90" s="28" t="str">
        <f>IFERROR(FO90*1000000/Storage!$Y$12,"")</f>
        <v/>
      </c>
      <c r="FS90" s="100">
        <f>H2_retrieval!$V$25*h2_demand_kt/1000</f>
        <v>8.16</v>
      </c>
      <c r="FT90" s="28" t="str">
        <f>IFERROR(FR90*(1+H2_retrieval!$V$34)/Carrier_properties!$U$7+H2_retrieval!$V$38,"")</f>
        <v/>
      </c>
      <c r="FU90" s="12"/>
      <c r="FV90" s="24">
        <f t="shared" si="129"/>
        <v>2.5311675214449232</v>
      </c>
      <c r="FW90" s="24" t="str">
        <f t="shared" si="92"/>
        <v/>
      </c>
      <c r="FX90" s="24" t="str">
        <f t="shared" si="93"/>
        <v/>
      </c>
      <c r="FY90" s="24">
        <f t="shared" si="130"/>
        <v>2.5311675214449232</v>
      </c>
      <c r="FZ90" s="28">
        <f t="shared" si="94"/>
        <v>2962.3458450057115</v>
      </c>
      <c r="GA90" s="28">
        <f t="shared" si="137"/>
        <v>684.89442640752384</v>
      </c>
      <c r="GB90" s="28">
        <f t="shared" si="138"/>
        <v>444.41468975502596</v>
      </c>
      <c r="GC90" s="28">
        <f t="shared" si="139"/>
        <v>766.17424905952112</v>
      </c>
      <c r="GD90" s="28">
        <f t="shared" si="140"/>
        <v>1117.2881295324719</v>
      </c>
      <c r="GE90" s="28">
        <f t="shared" si="141"/>
        <v>1949.4863841333695</v>
      </c>
      <c r="GF90" s="28">
        <f t="shared" si="142"/>
        <v>2047.0513674576237</v>
      </c>
      <c r="GG90" s="12"/>
      <c r="GH90" s="12"/>
      <c r="GI90" s="12"/>
      <c r="GJ90" s="12"/>
      <c r="GK90" s="12"/>
      <c r="GL90" s="12"/>
      <c r="GM90" s="12"/>
      <c r="GN90" s="12"/>
      <c r="GO90" s="12"/>
      <c r="GP90" s="12"/>
      <c r="GQ90" s="12"/>
      <c r="GR90" s="12"/>
      <c r="GS90" s="12"/>
      <c r="GT90" s="12"/>
      <c r="GU90" s="12"/>
      <c r="GV90" s="12"/>
      <c r="GW90" s="12"/>
      <c r="GX90" s="12"/>
      <c r="GY90" s="12"/>
      <c r="GZ90" s="12"/>
      <c r="HA90" s="12"/>
      <c r="HB90" s="12"/>
      <c r="HC90" s="12"/>
      <c r="HD90" s="12"/>
      <c r="HE90" s="12"/>
      <c r="HF90" s="12"/>
    </row>
    <row r="91" spans="1:214" x14ac:dyDescent="0.2">
      <c r="A91" s="40" t="s">
        <v>90</v>
      </c>
      <c r="B91" s="12">
        <v>1938</v>
      </c>
      <c r="C91" s="12">
        <v>0.9</v>
      </c>
      <c r="D91" s="12">
        <f t="shared" si="111"/>
        <v>9.9999999999999978E-2</v>
      </c>
      <c r="E91" s="12" t="s">
        <v>753</v>
      </c>
      <c r="F91" s="12">
        <v>2345</v>
      </c>
      <c r="G91" s="12"/>
      <c r="H91" s="16">
        <f t="shared" si="112"/>
        <v>382.75862068965517</v>
      </c>
      <c r="I91" s="16">
        <v>320</v>
      </c>
      <c r="J91" s="16">
        <f t="shared" si="113"/>
        <v>10.092530088080641</v>
      </c>
      <c r="K91" s="27">
        <f t="shared" si="114"/>
        <v>12.111036105696769</v>
      </c>
      <c r="L91" s="103">
        <v>7.9000000000000001E-2</v>
      </c>
      <c r="M91" s="103">
        <f t="shared" si="115"/>
        <v>9.7295795586155392E-2</v>
      </c>
      <c r="N91" s="122">
        <f t="shared" si="116"/>
        <v>0.9</v>
      </c>
      <c r="O91" s="46">
        <f t="shared" si="117"/>
        <v>40</v>
      </c>
      <c r="P91" s="70">
        <f t="array" ref="P91">SUMPRODUCT(IF(Solar_data!A$4:A$777=A91,Solar_data!C$4:C$777),IF(Solar_data!A$4:A$777=A91,Solar_data!I$4:I$777))/SUMIF(Solar_data!A$4:A$777,A91,Solar_data!I$4:I$777)</f>
        <v>1916.25</v>
      </c>
      <c r="Q91" s="16">
        <f t="array" ref="Q91">MAX(IF(Solar_data!$A$777:'Solar_data'!$A$4=Country_details!$A91,Solar_data!$C$4:'Solar_data'!$C$777))</f>
        <v>1916.25</v>
      </c>
      <c r="R91" s="16">
        <f t="array" ref="R91">MIN(IF(Solar_data!$A$777:'Solar_data'!$A$4=Country_details!A91,Solar_data!$C$4:'Solar_data'!$C$777))</f>
        <v>1916.25</v>
      </c>
      <c r="S91" s="24">
        <f t="shared" si="95"/>
        <v>1.9583831681782546</v>
      </c>
      <c r="T91" s="24">
        <f t="shared" si="96"/>
        <v>1.9583831681782546</v>
      </c>
      <c r="U91" s="24">
        <f t="shared" si="97"/>
        <v>1.9583831681782546</v>
      </c>
      <c r="V91" s="16">
        <f t="array" ref="V91">SUM(IF(Solar_data!$A$777:'Solar_data'!$A$4=Country_details!$A91,Solar_data!$I$4:'Solar_data'!$I$777))</f>
        <v>1.6978809030478199</v>
      </c>
      <c r="W91" s="148"/>
      <c r="X91" s="16" t="str">
        <f>IFERROR(INDEX(Onshore_wind_data!$J$5:'Onshore_wind_data'!$J$221,MATCH(A91,Onshore_wind_data!$B$5:'Onshore_wind_data'!$B$221,0)),"")</f>
        <v/>
      </c>
      <c r="Y91" s="16" t="str">
        <f>IFERROR(INDEX(Onshore_wind_data!$K$5:'Onshore_wind_data'!$K$221,MATCH(A91,Onshore_wind_data!$B$5:'Onshore_wind_data'!$B$221,0)),"")</f>
        <v/>
      </c>
      <c r="Z91" s="16" t="str">
        <f>IFERROR(INDEX(Onshore_wind_data!$L$5:'Onshore_wind_data'!$L$221,MATCH(A91,Onshore_wind_data!$B$5:'Onshore_wind_data'!$B$221,0)),"")</f>
        <v/>
      </c>
      <c r="AA91" s="24" t="str">
        <f t="shared" si="118"/>
        <v/>
      </c>
      <c r="AB91" s="24" t="str">
        <f t="shared" si="119"/>
        <v/>
      </c>
      <c r="AC91" s="24" t="str">
        <f t="shared" si="120"/>
        <v/>
      </c>
      <c r="AD91" s="16">
        <f>IFERROR(INDEX(Onshore_wind_data!$I$5:'Onshore_wind_data'!$I$221,MATCH(A91,Onshore_wind_data!$B$5:'Onshore_wind_data'!$B$221,0)),"")</f>
        <v>0</v>
      </c>
      <c r="AE91" s="148"/>
      <c r="AF91" s="16">
        <f>INDEX(Offshore_wind_data!$AA$7:$AA$192,MATCH(Country_details!A91,Offshore_wind_data!$A$7:$A$192,0))</f>
        <v>3153.6</v>
      </c>
      <c r="AG91" s="16">
        <f>INDEX(Offshore_wind_data!$Y$7:$Y$192,MATCH(Country_details!A91,Offshore_wind_data!$A$7:$A$192,0))</f>
        <v>3153.6</v>
      </c>
      <c r="AH91" s="16">
        <f>INDEX(Offshore_wind_data!$Z$7:$Z$192,MATCH(Country_details!A91,Offshore_wind_data!$A$7:$A$192,0))</f>
        <v>3153.6</v>
      </c>
      <c r="AI91" s="24">
        <f t="shared" si="98"/>
        <v>7.4268808289135455</v>
      </c>
      <c r="AJ91" s="24">
        <f t="shared" si="99"/>
        <v>7.4268808289135455</v>
      </c>
      <c r="AK91" s="24">
        <f t="shared" si="100"/>
        <v>7.4268808289135455</v>
      </c>
      <c r="AL91" s="16">
        <f>INDEX(Offshore_wind_data!$W$7:$W$191,MATCH(A91,Offshore_wind_data!$A$7:$A$191,0))</f>
        <v>125.19792</v>
      </c>
      <c r="AM91" s="148"/>
      <c r="AN91" s="12">
        <v>0.4</v>
      </c>
      <c r="AO91" s="12">
        <v>0.4</v>
      </c>
      <c r="AP91" s="34">
        <f>3.019*11.63</f>
        <v>35.110970000000002</v>
      </c>
      <c r="AQ91" s="15">
        <f t="shared" si="101"/>
        <v>50</v>
      </c>
      <c r="AR91" s="12">
        <f t="shared" si="131"/>
        <v>20</v>
      </c>
      <c r="AS91" s="16">
        <f t="shared" si="121"/>
        <v>106.89580090304781</v>
      </c>
      <c r="AT91" s="12"/>
      <c r="AU91" s="24">
        <f t="shared" si="122"/>
        <v>1.9583831681782546</v>
      </c>
      <c r="AV91" s="16">
        <f t="shared" si="123"/>
        <v>1916.25</v>
      </c>
      <c r="AW91" s="149">
        <f>HV_DC_Grid!$E$3/(1-AX91)*AU91/100*1000</f>
        <v>2063.4976847737653</v>
      </c>
      <c r="AX91" s="31">
        <f>(1-(1-HV_DC_Grid!$E$25)^(B91*C91*HV_DC_Grid!$E$8/1000))+(1-(1-HV_DC_Grid!$E$26)^(B91*D91*HV_DC_Grid!$E$8/1000))+HV_DC_Grid!$E$35*HV_DC_Grid!$E$28</f>
        <v>5.0939973119977097E-2</v>
      </c>
      <c r="AY91" s="28">
        <f>B91*nl_e_demand/IF(hv_dc_flh="electricity FLH",$AV91,hv_dc_custom)*1000*hv_dc_capacity_multiplier*hv_dc_length_multiplier*1000*(C91*hv_dc_overhead_invest*(hv_dc_overhead_opex+M91+1/hv_dc_lifetime)+D91*hv_dc_sea_invest*(hv_dc_sea_opex+M91+1/hv_dc_lifetime))/1000000+HV_DC_Grid!$E$10*1000*hv_dc_station_invest*hv_dc_station_number*(hv_dc_station_opex+M91+1/hv_dc_lifetime)/1000000</f>
        <v>1988.1697883684014</v>
      </c>
      <c r="AZ91" s="24">
        <f>(AW91+AY91)/(HV_DC_Grid!$E$3*1000)*100</f>
        <v>4.0516674731421665</v>
      </c>
      <c r="BA91" s="28">
        <f>MIN(((Carriers!$F$26+Carriers!$F$27)*(alk_el_opex+wacc_nl+1/alk_el_lifetime)+IF(hv_dc_flh="electricity FLH",$AV91,hv_dc_custom)*AZ91/100)/(IF(hv_dc_flh="electricity FLH",$AV91,hv_dc_custom)/alk_el_e_demand)*1000,((Carriers!$H$26+Carriers!$H$27)*(pem_el_opex+wacc_nl+1/pem_el_lifetime)+IF(hv_dc_flh="electricity FLH",$AV91,hv_dc_custom)*AZ91/100)/(IF(hv_dc_flh="electricity FLH",$AV91,hv_dc_custom)/pem_el_e_demand)*1000)</f>
        <v>2405.3879908202744</v>
      </c>
      <c r="BB91" s="12"/>
      <c r="BC91" s="12"/>
      <c r="BD91" s="149">
        <f>MIN(((Carriers!$F$26+Carriers!$F$27)*(alk_el_opex+M91+1/alk_el_lifetime)+$AV91*$AU91/100)/($AV91/alk_el_e_demand)*1000,((Carriers!$H$26+Carriers!$H$27)*(pem_el_opex+M91+1/pem_el_lifetime)+$AV91*$AU91/100)/($AV91/pem_el_e_demand)*1000)</f>
        <v>2513.1480732363898</v>
      </c>
      <c r="BE91" s="28">
        <f>Storage!$AC$50</f>
        <v>8.1664117557772418</v>
      </c>
      <c r="BF91" s="28">
        <f>((Pipeline!$D$22*Pipeline!$D$24*B91*(pipeline_opex+M91+1/pipeline_lifetime))*(Pipeline!$D$39/Pipeline!$D$3)+(Pipeline!$D$57*(pipeline_comp_opex+M91+1/pipeline_comp_lifetime)+Pipeline!$D$47*1000*Pipeline!$D$45*$AU91/100/1000000))*(Pipeline!$D$75/Pipeline!$D$45)</f>
        <v>3765.0528211816645</v>
      </c>
      <c r="BG91" s="28">
        <f>BD91+(BE91+BF91)/Storage!$AC$12*1000000</f>
        <v>2790.5906638935548</v>
      </c>
      <c r="BH91" s="28"/>
      <c r="BI91" s="28"/>
      <c r="BJ91" s="28">
        <f>IF($E91="","No Port",BK91*HV_DC_Grid!$E$3*$AU91/100*1000)</f>
        <v>27.876379523156896</v>
      </c>
      <c r="BK91" s="31">
        <f>IFERROR((1-(1-HV_DC_Grid!$E$25)^(K91*HV_DC_Grid!$E$8/1000))+HV_DC_Grid!$E$35*HV_DC_Grid!$E$28,"")</f>
        <v>1.4234384759897788E-2</v>
      </c>
      <c r="BL91" s="28">
        <f>IFERROR(K91*nl_e_demand/IF(hv_dc_flh="electricity FLH",$AV91,hv_dc_custom)*1000*hv_dc_capacity_multiplier*hv_dc_length_multiplier*1000*(hv_dc_overhead_invest*(hv_dc_overhead_opex+M91+1/hv_dc_lifetime))/1000000+HV_DC_Grid!$E$10*1000*hv_dc_station_invest*hv_dc_station_number*(hv_dc_station_opex+M91+1/hv_dc_lifetime)/1000000,"")</f>
        <v>357.72072309628254</v>
      </c>
      <c r="BM91" s="29">
        <f>IFERROR((BJ91+BL91)/(HV_DC_Grid!$E$3*1000)*100,"")</f>
        <v>0.38559710261943947</v>
      </c>
      <c r="BN91" s="28">
        <f>IFERROR(((Pipeline!$D$22*Pipeline!$D$24*K91*(pipeline_opex+M91+1/pipeline_lifetime))*(Pipeline!$D$39/Pipeline!$D$3)+(Pipeline!$D$57*(pipeline_comp_opex+M91+1/pipeline_comp_lifetime)+Pipeline!$D$47*1000*Pipeline!$D$45*S91/100/1000000))*(Pipeline!$D$75/Pipeline!$D$45),"")</f>
        <v>88.966357547644563</v>
      </c>
      <c r="BO91" s="28"/>
      <c r="BP91" s="150">
        <f t="shared" si="124"/>
        <v>95.919005218058103</v>
      </c>
      <c r="BQ91" s="34">
        <f t="shared" si="125"/>
        <v>28.772292591195317</v>
      </c>
      <c r="BR91" s="151">
        <f>(nh3_invest*(M91+1/nh3_lifetime)/nh3_prod+nh3_opex+nh3_e_demand*1000*$AU91/100+Carriers!$N$18/Carriers!$N$23*BD91+Carriers!$N$19/Carriers!$N$23*BQ91)*(BT91+nh3_st_ab_losses)/1000000</f>
        <v>44367.786444492478</v>
      </c>
      <c r="BS91" s="63">
        <f>nh3_st_nl_cost*nh3_st_nl_demand/1000000+(nh3_st_invest*(M91+1/nh3_st_lifetime+nh3_st_opex)/(Storage!$G$63/1000000)+nh3_st_e_demand*1000*$AU91/100)*(BT91+nh3_st_ab_losses)/1000000+Carriers!$N$18/Carriers!$N$23*((BT91+nh3_st_ab_losses)/365.25*short_st_duration_hrs/24)*(h2_short_st_invest*(1/gh2_short_st_lifetime+$M91+h2_short_st_opex)+h2_short_st_e_demand*1000*$AU91/100)/1000000+Carriers!$N$19/Carriers!$N$23*((BT91+nh3_st_ab_losses)/365.25*short_st_duration_hrs/24)*(n2_short_st_invest*(1/n2_short_st_lifetime+$M91+n2_short_st_opex)+n2_short_st_e_demand*1000*$AU91/100)/1000000</f>
        <v>3074.6520250043468</v>
      </c>
      <c r="BT91" s="63">
        <f>Storage!$G$57/((1-Shipping!$H$37)^(F91/24/Shipping!$H$44+0.5*Shipping!$H$59))</f>
        <v>78004647.78691934</v>
      </c>
      <c r="BU91" s="63">
        <f>IF($E91="","No Port",((F91/24/Shipping!$H$44+F91/24/Shipping!$H$50+Shipping!$H$59+Shipping!$H$64)*(Shipping!$H$22+wacc_nl*Shipping!$H$19/365.25*1000000+Shipping!$H$35)+(F91/24/Shipping!$H$44*Shipping!$H$45+Shipping!$H$64*Shipping!$H$65)*IF(bunker_choice="HFO",H91,IF(bunker_choice="hydrogen",BD91*hfo_e_density_lhv/h2_e_density_lhv,(BR91+BS91)*1000000/BT91*hfo_e_density_lhv/nh3_e_density_lhv))+(F91/24/Shipping!$H$50*Shipping!$H$51+Shipping!$H$59*Shipping!$H$60)*IF(bunker_choice="HFO",bunker_price_ROT,IF(bunker_choice="hydrogen",BD91*hfo_e_density_lhv/h2_e_density_lhv,(BR91+BS91)*1000000/BT91*hfo_e_density_lhv/nh3_e_density_lhv))+Shipping!$H$73+IF(G91="Panama",Shipping!$H$55,0)+IF(G91="Suez",Shipping!$H$56,0))/Shipping!$H$31*BT91/1000000+IF(inland_transport_to_port="hv dc grid",$BM91/100*1000*BW91,IF(inland_transport_to_port="pipeline",$BN91,0)))</f>
        <v>1781.6819110801212</v>
      </c>
      <c r="BV91" s="63">
        <f t="shared" si="126"/>
        <v>49224.120380576947</v>
      </c>
      <c r="BW91" s="33">
        <f>((Carriers!$N$18/Carriers!$N$23*alk_el_e_demand)+(Carriers!$N$19/Carriers!$N$23*n2_e_demand)+nh3_e_demand)*(BT91+nh3_st_ab_losses)/1000000+nh3_st_e_demand*BT91/1000000</f>
        <v>770.32381297737163</v>
      </c>
      <c r="BX91" s="33">
        <f t="shared" si="102"/>
        <v>0.76626754477640768</v>
      </c>
      <c r="BY91" s="63">
        <f>IFERROR(BV91*1000000/Storage!$G$12,"")</f>
        <v>642.92339893361918</v>
      </c>
      <c r="BZ91" s="63">
        <f>H2_retrieval!$F$25*h2_demand_kt/1000</f>
        <v>80</v>
      </c>
      <c r="CA91" s="63">
        <f>IFERROR(BY91*(1+H2_retrieval!$F$34)/Carrier_properties!$E$7+H2_retrieval!$F$38,"")</f>
        <v>4028.6465958626291</v>
      </c>
      <c r="CB91" s="149">
        <f>(FA_invest*(M91+1/FA_lifetime)/FA_prod+FA_opex+FA_e_demand*1000*$AU91/100+Carriers!$P$18/Carriers!$P$23*BD91+Carriers!$P$20/Carriers!$P$23*co2_liq_cost)*(CF91+FA_st_ab_losses)/1000000</f>
        <v>87729.401636476425</v>
      </c>
      <c r="CC91" s="86">
        <f>(FA_invest*(M91+1/FA_lifetime)/FA_prod+FA_opex+FA_e_demand*1000*$AU91/100+Carriers!$P$18/Carriers!$P$23*BD91+Carriers!$P$20/Carriers!$P$23*BP91)*(CF91+FA_st_ab_losses)/1000000</f>
        <v>110576.97260639047</v>
      </c>
      <c r="CD91" s="63">
        <f>FA_st_nl_cost*FA_st_nl_demand/1000000+(FA_st_invest*(M91+1/FA_st_lifetime+FA_st_opex)/(Storage!$I$63/1000000)+FA_st_e_demand*1000*$AU91/100)*(CF91+FA_st_ab_losses)/1000000+co2_st_nl_cost*Storage!$I$12*co2_density/FA_density/1000000+(co2_st_opex_lev+co2_st_invest_lev+co2_st_e_demand*1000*$AU91/100)*Storage!$I$12/1000000+co2_st_invest_lev*Storage!$I$12*co2_st_lifetime*M91/1000000+Carriers!$P$18/Carriers!$P$23*((CF91+FA_st_ab_losses)/365.25*short_st_duration_hrs/24)*(h2_short_st_invest*(1/gh2_short_st_lifetime+$M91+h2_short_st_opex)+h2_short_st_e_demand*1000*$AU91/100)/1000000+Carriers!$P$20/Carriers!$P$23*((CF91+FA_st_ab_losses)/365.25*short_st_duration_hrs/24)*(co2_short_st_invest*(1/co2_short_st_lifetime+$M91+co2_short_st_opex)+co2_short_st_e_demand*1000*$AU91/100)/1000000</f>
        <v>10658.875861949624</v>
      </c>
      <c r="CE91" s="63">
        <f>FA_st_nl_cost*FA_st_nl_demand/1000000+(FA_st_invest*(M91+1/FA_st_lifetime+FA_st_opex)/(Storage!$I$63/1000000)+FA_st_e_demand*1000*$AU91/100)*(CF91+FA_st_ab_losses)/1000000+Carriers!$P$18/Carriers!$P$23*((CF91+FA_st_ab_losses)/365.25*short_st_duration_hrs/24)*(h2_short_st_invest*(1/gh2_short_st_lifetime+$M91+h2_short_st_opex)+h2_short_st_e_demand*1000*$AU91/100)/1000000+Carriers!$P$20/Carriers!$P$23*((CF91+FA_st_ab_losses)/365.25*short_st_duration_hrs/24)*(co2_short_st_invest*(1/co2_short_st_lifetime+$M91+co2_short_st_opex)+co2_short_st_e_demand*1000*$AU91/100)/1000000</f>
        <v>4600.7916170226199</v>
      </c>
      <c r="CF91" s="63">
        <f>Storage!$I$57/((1-Shipping!$J$37)^($F91/24/Shipping!$J$44+0.5*Shipping!$J$59))</f>
        <v>310425396.82539684</v>
      </c>
      <c r="CG91" s="28">
        <f>IF($E91="","No Port",((F91/24/Shipping!$J$44+F91/24/Shipping!$J$50+Shipping!$J$59+Shipping!$J$64)*(Shipping!$J$22+wacc_nl*Shipping!$J$19/365.25*1000000+Shipping!$J$35)+(F91/24/Shipping!$J$44*Shipping!$J$45+Shipping!$J$64*Shipping!$J$65)*IF(bunker_choice="HFO",$H91,IF(bunker_choice="hydrogen",$BD91*hfo_e_density_lhv/h2_e_density_lhv,(CB91+CD91)*1000000/CF91*hfo_e_density_lhv/FA_e_density_lhv))+(F91/24/Shipping!$J$50*Shipping!$J$51+Shipping!$J$59*Shipping!$J$60)*IF(bunker_choice="HFO",bunker_price_ROT,IF(bunker_choice="hydrogen",$BD91*hfo_e_density_lhv/h2_e_density_lhv,(CB91+CD91)*1000000/CF91*hfo_e_density_lhv/FA_e_density_lhv))+Shipping!$J$73+IF(G91="Panama",Shipping!$J$55,0)+IF(G91="Suez",Shipping!$J$56,0))/Shipping!$J$31*CF91/1000000+IF(inland_transport_to_port="hv dc grid",$BM91/100*1000*CI91,IF(inland_transport_to_port="pipeline",$BN91,0)))</f>
        <v>7290.6765395529164</v>
      </c>
      <c r="CH91" s="28">
        <f t="shared" si="132"/>
        <v>122468.44076296601</v>
      </c>
      <c r="CI91" s="29">
        <f>((Carriers!$P$18/Carriers!$P$23*alk_el_e_demand)+FA_e_demand)*(CF91+FA_st_ab_losses)/1000000+FA_st_e_demand*CF91/1000000</f>
        <v>1897.8881241622576</v>
      </c>
      <c r="CJ91" s="29">
        <f t="shared" si="103"/>
        <v>0.46563809523809524</v>
      </c>
      <c r="CK91" s="28">
        <f>IFERROR(CH91*1000000/Storage!$I$12,"")</f>
        <v>394.5181097146189</v>
      </c>
      <c r="CL91" s="28">
        <f>IF($E91="","No Port",((F91/24/Shipping!$J$44+F91/24/Shipping!$J$50+Shipping!$J$59+Shipping!$J$64)*Carriers!$P$39*wacc_nl))</f>
        <v>141.94087170138161</v>
      </c>
      <c r="CM91" s="29">
        <f>H2_retrieval!$H$25*h2_demand_kt/1000+(co2_liq_e_demand+co2_st_e_demand*2)*Storage!$I$12*co2_density/FA_density/1000000</f>
        <v>94.204253879484654</v>
      </c>
      <c r="CN91" s="28">
        <f>IFERROR((((CB91+CD91+CG91)*(1+H2_retrieval!$H$34)+CL91)*1000000/H2_retrieval!$H$8)+h2_regen_fa,"")</f>
        <v>7870.6355228905113</v>
      </c>
      <c r="CO91" s="149">
        <f>(meoh_invest*(M91+1/meoh_lifetime)/meoh_prod+meoh_opex+meoh_e_demand*1000*$AU91/100+Carriers!$R$18/Carriers!$R$23*BD91+Carriers!$R$20/Carriers!$R$23*co2_liq_cost)*(CS91+meoh_st_ab_losses)/1000000</f>
        <v>55090.347557243957</v>
      </c>
      <c r="CP91" s="86">
        <f>(meoh_invest*(M91+1/meoh_lifetime)/meoh_prod+meoh_opex+meoh_e_demand*1000*$AU91/100+Carriers!$R$18/Carriers!$R$23*BD91+Carriers!$R$20/Carriers!$R$23*BP91)*(CS91+meoh_st_ab_losses)/1000000</f>
        <v>68502.577063057324</v>
      </c>
      <c r="CQ91" s="63">
        <f>meoh_st_nl_cost*meoh_st_nl_demand/1000000+(meoh_st_invest*(M91+1/meoh_st_lifetime+meoh_st_opex)/(Storage!$K$63/1000000)+meoh_st_e_demand*1000*$AU91/100)*(CS91+meoh_st_ab_losses)/1000000+co2_st_nl_cost*Storage!$K$12*co2_density/meoh_density/1000000+(co2_st_opex_lev+co2_st_invest_lev+co2_st_e_demand*1000*IFERROR(MIN(S91,AA91,AI91),S91)/100)*Storage!$K$12/1000000+co2_st_invest_lev*Storage!$K$12*co2_st_lifetime*M91/1000000+Carriers!$R$18/Carriers!$R$23*((CS91+meoh_st_ab_losses)/365.25*short_st_duration_hrs/24)*(h2_short_st_invest*(1/gh2_short_st_lifetime+$M91+h2_short_st_opex)+h2_short_st_e_demand*1000*$AU91/100)/1000000+Carriers!$R$20/Carriers!$R$23*((CF91+meoh_st_ab_losses)/365.25*short_st_duration_hrs/24)*(co2_short_st_invest*(1/co2_short_st_lifetime+$M91+co2_short_st_opex)+co2_short_st_e_demand*1000*$AU91/100)/1000000</f>
        <v>4488.9927057164432</v>
      </c>
      <c r="CR91" s="63">
        <f>meoh_st_nl_cost*meoh_st_nl_demand/1000000+(meoh_st_invest*(M91+1/meoh_st_lifetime+meoh_st_opex)/(Storage!$K$63/1000000)+meoh_st_e_demand*1000*$AU91/100)*(CS91+meoh_st_ab_losses)/1000000+Carriers!$R$18/Carriers!$R$23*((CS91+meoh_st_ab_losses)/365.25*short_st_duration_hrs/24)*(h2_short_st_invest*(1/gh2_short_st_lifetime+$M91+h2_short_st_opex)+h2_short_st_e_demand*1000*$AU91/100)/1000000+Carriers!$R$20/Carriers!$R$23*((CF91+meoh_st_ab_losses)/365.25*short_st_duration_hrs/24)*(co2_short_st_invest*(1/co2_short_st_lifetime+$M91+co2_short_st_opex)+co2_short_st_e_demand*1000*$AU91/100)/1000000</f>
        <v>1781.4617735429513</v>
      </c>
      <c r="CS91" s="63">
        <f>Storage!$K$57/((1-Shipping!$L$37)^($F91/24/Shipping!$L$44+0.5*Shipping!$L$59))</f>
        <v>108044444.44444443</v>
      </c>
      <c r="CT91" s="28">
        <f>IF($E91="","No Port",IF(AND(ship_choice="VLCC",G91="Panama"),"Ship cannot pass through Panama",IF(ship_choice="VLCC",((F91/24/Shipping!$AD$44+F91/24/Shipping!$AD$50+Shipping!$AD$59+Shipping!$AD$64)*(Shipping!$AD$22+wacc_nl*Shipping!$AD$19/365.25*1000000+Shipping!$AD$35)+(F91/24/Shipping!$AD$44*Shipping!$AD$45+Shipping!$AD$64*Shipping!$AD$65)*IF(bunker_choice="HFO",$H91,IF(bunker_choice="hydrogen",$BD91*hfo_e_density_lhv/h2_e_density_lhv,(CO91+CQ91)*1000000/CS91*hfo_e_density_lhv/meoh_e_density_lhv))+(F91/24/Shipping!$AD$50*Shipping!$AD$51+Shipping!$AD$59*Shipping!$AD$60)*IF(bunker_choice="HFO",bunker_price_ROT,IF(bunker_choice="hydrogen",$BD91*hfo_e_density_lhv/h2_e_density_lhv,(CO91+CQ91)*1000000/CS91*hfo_e_density_lhv/meoh_e_density_lhv))+Shipping!$AD$73+IF(G91="Panama",Shipping!$AD$55,0)+IF(G91="Suez",Shipping!$AD$56,0))/Shipping!$AD$31*CS91/1000000+IF(inland_transport_to_port="hv dc grid",$BM91/100*1000*CV91,IF(inland_transport_to_port="pipeline",$BN91,0)),((F91/24/Shipping!$L$44+F91/24/Shipping!$L$50+Shipping!$L$59+Shipping!$L$64)*(Shipping!$L$22+wacc_nl*Shipping!$L$19/365.25*1000000+Shipping!$L$35)+(F91/24/Shipping!$L$44*Shipping!$L$45+Shipping!$L$64*Shipping!$L$65)*IF(bunker_choice="HFO",$H91,IF(bunker_choice="hydrogen",$BD91*hfo_e_density_lhv/h2_e_density_lhv,(CO91+CQ91)*1000000/CS91*hfo_e_density_lhv/meoh_e_density_lhv))+(F91/24/Shipping!$L$50*Shipping!$L$51+Shipping!$L$59*Shipping!$L$60)*IF(bunker_choice="HFO",bunker_price_ROT,IF(bunker_choice="hydrogen",$BD91*hfo_e_density_lhv/h2_e_density_lhv,(CO91+CQ91)*1000000/CS91*hfo_e_density_lhv/meoh_e_density_lhv))+Shipping!$L$73+IF(G91="Panama",Shipping!$L$55,0)+IF(G91="Suez",Shipping!$L$56,0))/Shipping!$L$31*CS91/1000000+IF(inland_transport_to_port="hv dc grid",$BM91/100*1000*CV91,IF(inland_transport_to_port="pipeline",$BN91,0)))))</f>
        <v>2441.3724540502194</v>
      </c>
      <c r="CU91" s="28">
        <f t="shared" si="133"/>
        <v>72725.411290650489</v>
      </c>
      <c r="CV91" s="29">
        <f>((Carriers!$R$18/Carriers!$R$23*alk_el_e_demand)+meoh_e_demand)*(CS91+meoh_st_ab_losses)/1000000+meoh_st_e_demand*CS91/1000000</f>
        <v>1119.9789871111109</v>
      </c>
      <c r="CW91" s="29">
        <f t="shared" si="104"/>
        <v>0.16206666666666666</v>
      </c>
      <c r="CX91" s="28">
        <f>IFERROR(CU91*1000000/Storage!$K$12,"")</f>
        <v>673.1064393416849</v>
      </c>
      <c r="CY91" s="28">
        <f>IF($E91="","No Port",((F91/24/Shipping!$L$44+F91/24/Shipping!$L$50+Shipping!$L$59+Shipping!$L$64)*Carriers!$R$39*wacc_nl))</f>
        <v>50.569296696741063</v>
      </c>
      <c r="CZ91" s="29">
        <f>H2_retrieval!$J$25*h2_demand_kt/1000+(co2_liq_e_demand+co2_st_e_demand*2)*Storage!$K$12*co2_density/meoh_density/1000000</f>
        <v>251.05079059698966</v>
      </c>
      <c r="DA91" s="28">
        <f>IFERROR((((CO91+CQ91+CT91)*(1+H2_retrieval!$J$34)+CY91)*1000000/H2_retrieval!$J$8)+h2_regen_meoh,"")</f>
        <v>5734.1933971451872</v>
      </c>
      <c r="DB91" s="149">
        <f>(DBT_invest*(M91+1/DBT_lifetime)/DBT_prod+DBT_opex+DBT_e_demand*1000*$AU91/100+Carriers!$T$18/Carriers!$T$23*BD91)*(DD91+DBT_st_ab_losses)/1000000</f>
        <v>37102.108025881811</v>
      </c>
      <c r="DC91" s="28">
        <f>2*(DBT_st_nl_cost*DBT_st_nl_demand/1000000+(DBT_st_invest*(M91+1/DBT_st_lifetime+DBT_st_opex)/(Storage!$M$63/1000000)+DBT_st_e_demand*1000*$AU91/100)*(DD91+DBT_st_ab_losses)/1000000)+Carriers!$T$18/Carriers!$T$23*((DD91+DBT_st_ab_losses)/365.25*short_st_duration_hrs/24)*(h2_short_st_invest*(1/gh2_short_st_lifetime+$M91+h2_short_st_opex)+h2_short_st_e_demand*1000*$AU91/100)/1000000</f>
        <v>3743.9399626084682</v>
      </c>
      <c r="DD91" s="63">
        <f>Storage!$M$57/((1-Shipping!$N$37)^($F91/24/Shipping!$N$44+0.5*Shipping!$N$59))</f>
        <v>219354838.70967743</v>
      </c>
      <c r="DE91" s="28">
        <f>IF($E91="","No Port",IF(AND(ship_choice="VLCC",G91="Panama"),"Ship cannot pass through Panama",IF(ship_choice="VLCC",((F91/24/Shipping!$AD$44+F91/24/Shipping!$AD$50+Shipping!$AD$59+Shipping!$AD$64)*(Shipping!$AD$22+wacc_nl*Shipping!$AD$19/365.25*1000000+Shipping!$AD$35)+(F91/24/Shipping!$AD$44*Shipping!$AD$45+Shipping!$AD$64*Shipping!$AD$65)*IF(bunker_choice="HFO",$H91,IF(bunker_choice="hydrogen",$BD91*hfo_e_density_lhv/h2_e_density_lhv,(DB91+DC91)*1000000/DD91*hfo_e_density_lhv/DBT_e_density_lhv))+(F91/24/Shipping!$AD$50*Shipping!$AD$51+Shipping!$AD$59*Shipping!$AD$60)*IF(bunker_choice="HFO",bunker_price_ROT,IF(bunker_choice="hydrogen",$BD91*hfo_e_density_lhv/h2_e_density_lhv,(DB91+DC91)*1000000/DD91*hfo_e_density_lhv/DBT_e_density_lhv))+Shipping!$AD$73+IF(G91="Panama",Shipping!$AD$55,0)+IF(G91="Suez",Shipping!$AD$56,0))/Shipping!$AD$31*DD91/1000000+IF(inland_transport_to_port="hv dc grid",$BM91/100*1000*DG91,IF(inland_transport_to_port="pipeline",$BN91,0)),((F91/24/Shipping!$N$44+F91/24/Shipping!$N$50+Shipping!$N$59+Shipping!$N$64)*(Shipping!$N$22+wacc_nl*Shipping!$N$19/365.25*1000000+Shipping!$N$35)+(F91/24/Shipping!$N$44*Shipping!$N$45+Shipping!$N$64*Shipping!$N$65)*IF(bunker_choice="HFO",$H91,IF(bunker_choice="hydrogen",$BD91*hfo_e_density_lhv/h2_e_density_lhv,(DB91+DC91)*1000000/DD91*hfo_e_density_lhv/DBT_e_density_lhv))+(F91/24/Shipping!$N$50*Shipping!$N$51+Shipping!$N$59*Shipping!$N$60)*IF(bunker_choice="HFO",bunker_price_ROT,IF(bunker_choice="hydrogen",$BD91*hfo_e_density_lhv/h2_e_density_lhv,(DB91+DC91)*1000000/DD91*hfo_e_density_lhv/DBT_e_density_lhv))+Shipping!$N$73+IF(G91="Panama",Shipping!$N$55,0)+IF(G91="Suez",Shipping!$N$56,0))/Shipping!$N$31*Shipping!$N$86/1000000+IF(inland_transport_to_port="hv dc grid",$BM91/100*1000*DG91,IF(inland_transport_to_port="pipeline",$BN91,0)))))</f>
        <v>4492.5272429567685</v>
      </c>
      <c r="DF91" s="28">
        <f t="shared" si="82"/>
        <v>45338.575231447052</v>
      </c>
      <c r="DG91" s="29">
        <f>((Carriers!$T$18/Carriers!$T$23*alk_el_e_demand)+DBT_e_demand)*(DD91+DBT_st_ab_losses)/1000000+DBT_st_e_demand*DD91/1000000</f>
        <v>703.88335483870969</v>
      </c>
      <c r="DH91" s="29">
        <f t="shared" si="105"/>
        <v>0.21935483870967742</v>
      </c>
      <c r="DI91" s="28">
        <f>IFERROR(DF91*1000000/Storage!$M$12,"")</f>
        <v>206.69056355512626</v>
      </c>
      <c r="DJ91" s="28">
        <f>IF($E91="","No Port",((F91/24/Shipping!$N$44+F91/24/Shipping!$N$50+Shipping!$N$59+Shipping!$N$64)*Carriers!$T$39*wacc_nl))</f>
        <v>3683.1280299560849</v>
      </c>
      <c r="DK91" s="100">
        <f>H2_retrieval!$L$25*h2_demand_kt/1000+(co2_liq_e_demand+co2_st_e_demand*2)*Storage!$M$12*co2_density/DBT_density/1000000</f>
        <v>206.61934861671787</v>
      </c>
      <c r="DL91" s="28">
        <f>IFERROR(((DF91*(1+H2_retrieval!$L$34)+DJ91)*1000000/H2_retrieval!$L$8)+h2_regen_lohc,"")</f>
        <v>4075.1867851537313</v>
      </c>
      <c r="DM91" s="149">
        <f t="shared" si="127"/>
        <v>42236.075583946193</v>
      </c>
      <c r="DN91" s="16">
        <f>2*(nabh4_st_nl_cost*nabh4_st_nl_demand/1000000+(nabh4_st_invest*(M91+1/nabh4_st_lifetime+nabh4_st_opex)/(Storage!$O$63/1000000)+nabh4_st_e_demand*1000*$AU91/100)*(DO91+nabh4_st_ab_losses)/1000000)+(h2_demand_kt*1000/365.25*short_st_duration_hrs/24)*(h2_short_st_invest*(1/gh2_short_st_lifetime+$M91+h2_short_st_opex)+h2_short_st_e_demand*1000*$AU91/100)/1000000</f>
        <v>1248.7955000550996</v>
      </c>
      <c r="DO91" s="63">
        <f>Storage!$O$57/((1-Shipping!$P$37)^($F91/24/Shipping!$P$44+0.5*Shipping!$P$59))</f>
        <v>63920000</v>
      </c>
      <c r="DP91" s="16">
        <f>IF($E91="","No Port",((F91/24/Shipping!$P$44+F91/24/Shipping!$P$50+Shipping!$P$59+Shipping!$P$64)*(Shipping!$P$22+wacc_nl*Shipping!$P$19/365.25*1000000+Shipping!$P$35)+(F91/24/Shipping!$P$44*Shipping!$P$45+Shipping!$P$64*Shipping!$P$65)*IF(bunker_choice="HFO",$H91,IF(bunker_choice="hydrogen",$BD91*hfo_e_density_lhv/h2_e_density_lhv,(DM91+DN91)*1000000/DO91*hfo_e_density_lhv/nabh4_e_density_lhv))+(F91/24/Shipping!$P$50*Shipping!$P$51+Shipping!$P$59*Shipping!$P$60)*IF(bunker_choice="HFO",bunker_price_ROT,IF(bunker_choice="hydrogen",$BD91*hfo_e_density_lhv/h2_e_density_lhv,(DM91+DN91)*1000000/DO91*hfo_e_density_lhv/nabh4_e_density_lhv))+Shipping!$P$73+IF(G91="Panama",Shipping!$P$55,0)+IF(G91="Suez",Shipping!$P$56,0))/Shipping!$P$31*(DO91+nabh4_st_ab_losses)/1000000+IF(inland_transport_to_port="hv dc grid",$BM91/100*1000*DR91,IF(inland_transport_to_port="pipeline",$BN91,0)))</f>
        <v>1197.4385058552341</v>
      </c>
      <c r="DQ91" s="28">
        <f t="shared" si="60"/>
        <v>44682.30958985653</v>
      </c>
      <c r="DR91" s="29">
        <f>((Carriers!$V$18/Carriers!$V$23*alk_el_e_demand)+nabh4_e_demand)*(DO91+nabh4_st_ab_losses)/1000000+nabh4_st_e_demand*DO91/1000000</f>
        <v>980.02139682539689</v>
      </c>
      <c r="DS91" s="28">
        <f t="shared" si="106"/>
        <v>3.1960000000000002</v>
      </c>
      <c r="DT91" s="28">
        <f>IFERROR(DQ91*1000000/Storage!$O$12,"")</f>
        <v>699.03488094268664</v>
      </c>
      <c r="DU91" s="28">
        <f>IF($E91="","No Port",((F91/24/Shipping!$P$44+F91/24/Shipping!$P$50+Shipping!$P$59+Shipping!$P$64)*Carriers!$V$39*wacc_nl))</f>
        <v>352.12542159507132</v>
      </c>
      <c r="DV91" s="100">
        <f>H2_retrieval!$N$25*h2_demand_kt/1000+(co2_liq_e_demand+co2_st_e_demand*2)*Storage!$O$12*co2_density/nabh4_density/1000000</f>
        <v>18.783638728971958</v>
      </c>
      <c r="DW91" s="28">
        <f>IFERROR(((DQ91*(1+H2_retrieval!$N$34)+DU91)*1000000/H2_retrieval!$N$8)+h2_regen_nabh4,"")</f>
        <v>3383.9390048071637</v>
      </c>
      <c r="DX91" s="149">
        <f>(Dme_invest*(M91+1/Dme_lifetime)/Dme_prod+Dme_opex+Dme_e_demand*1000*$AU91/100+Carriers!$X$21/Carriers!$X$23*(CO91*1000000/CS91))*(EB91+Dme_st_ab_losses)/1000000</f>
        <v>77354.861112564511</v>
      </c>
      <c r="DY91" s="86">
        <f>(Dme_invest*(M91+1/Dme_lifetime)/Dme_prod+Dme_opex+Dme_e_demand*1000*$AU91/100+Carriers!$X$21/Carriers!$X$23*(CP91*1000000/CS91))*(EB91+Dme_st_ab_losses)/1000000</f>
        <v>95550.750203287229</v>
      </c>
      <c r="DZ91" s="63">
        <f>Dme_st_nl_cost*Dme_st_nl_demand/1000000+(Dme_st_invest*(M91+1/Dme_st_lifetime+Dme_st_opex)/(Storage!$Q$63/1000000)+Dme_st_e_demand*1000*$AU91/100)*(EB91+Dme_st_ab_losses)/1000000+co2_st_nl_cost*Storage!$Q$12*co2_density/Dme_density/1000000+(co2_st_opex_lev+co2_st_invest_lev+co2_st_e_demand*1000*$AU91/100)*Storage!$Q$12/1000000+co2_st_invest_lev*Storage!$Q$12*co2_st_lifetime*M91/1000000+(h2_demand_kt*1000/365.25*short_st_duration_hrs/24)*(h2_short_st_invest*(1/gh2_short_st_lifetime+$M91+h2_short_st_opex)+h2_short_st_e_demand*1000*$AU91/100)/1000000</f>
        <v>5437.6629131003838</v>
      </c>
      <c r="EA91" s="63">
        <f>Dme_st_nl_cost*Dme_st_nl_demand/1000000+(Dme_st_invest*(M91+1/Dme_st_lifetime+Dme_st_opex)/(Storage!$Q$63/1000000)+Dme_st_e_demand*1000*$AU91/100)*(EB91+Dme_st_ab_losses)/1000000+(h2_demand_kt*1000/365.25*short_st_duration_hrs/24)*(h2_short_st_invest*(1/gh2_short_st_lifetime+$M91+h2_short_st_opex)+h2_short_st_e_demand*1000*$AU91/100)/1000000</f>
        <v>2715.93237370616</v>
      </c>
      <c r="EB91" s="63">
        <f>Storage!$Q$57/((1-Shipping!$R$37)^($F91/24/Shipping!$R$44+0.5*Shipping!$R$59))</f>
        <v>103547089.94708996</v>
      </c>
      <c r="EC91" s="153">
        <f>IF($E91="","No Port",IF(AND(ship_choice="VLCC",G91="Panama"),"Ship cannot pass through Panama",IF(ship_choice="VLCC",((F91/24/Shipping!$AD$44+F91/24/Shipping!$AD$50+Shipping!$AD$59+Shipping!$AD$64)*(Shipping!$AD$22+wacc_nl*Shipping!$AD$19/365.25*1000000+Shipping!$AD$35)+(F91/24/Shipping!$AD$44*Shipping!$AD$45+Shipping!$AD$64*Shipping!$AD$65)*IF(bunker_choice="HFO",$H91,IF(bunker_choice="hydrogen",$BD91*hfo_e_density_lhv/h2_e_density_lhv,(DX91+DZ91)*1000000/EB91*hfo_e_density_lhv/Dme_e_density_lhv))+(F91/24/Shipping!$AD$50*Shipping!$AD$51+Shipping!$AD$59*Shipping!$AD$60)*IF(bunker_choice="HFO",bunker_price_ROT,IF(bunker_choice="hydrogen",$BD91*hfo_e_density_lhv/h2_e_density_lhv,(DX91+DZ91)*1000000/EB91*hfo_e_density_lhv/Dme_e_density_lhv))+Shipping!$AD$73+IF(G91="Panama",Shipping!$AD$55,0)+IF(G91="Suez",Shipping!$AD$56,0))/Shipping!$AD$31*(EB91+Dme_st_ab_losses)/1000000+IF(inland_transport_to_port="hv dc grid",$BM91/100*1000*EE91,IF(inland_transport_to_port="pipeline",$BN91,0)),((F91/24/Shipping!$R$44+F91/24/Shipping!$R$50+Shipping!$R$59+Shipping!$R$64)*(Shipping!$R$22+wacc_nl*Shipping!$R$19/365.25*1000000+Shipping!$R$35)+(F91/24/Shipping!$R$44*Shipping!$R$45+Shipping!$R$64*Shipping!$R$65)*IF(bunker_choice="HFO",$H91,IF(bunker_choice="hydrogen",$BD91*hfo_e_density_lhv/h2_e_density_lhv,(DX91+DZ91)*1000000/EB91*hfo_e_density_lhv/Dme_e_density_lhv))+(F91/24/Shipping!$R$50*Shipping!$R$51+Shipping!$R$59*Shipping!$R$60)*IF(bunker_choice="HFO",bunker_price_ROT,IF(bunker_choice="hydrogen",$BD91*hfo_e_density_lhv/h2_e_density_lhv,(DX91+DZ91)*1000000/EB91*hfo_e_density_lhv/Dme_e_density_lhv))+Shipping!$R$73+IF(G91="Panama",Shipping!$R$55,0)+IF(G91="Suez",Shipping!$R$56,0))/Shipping!$R$31*(EB91+Dme_st_ab_losses)/1000000+IF(inland_transport_to_port="hv dc grid",$BM91/100*1000*EE91,IF(inland_transport_to_port="pipeline",$BN91,0)))))</f>
        <v>2517.5916252732491</v>
      </c>
      <c r="ED91" s="28">
        <f t="shared" si="134"/>
        <v>100784.27420226664</v>
      </c>
      <c r="EE91" s="29">
        <f>(Dme_e_demand)*(EB91+Dme_st_ab_losses)/1000000+Dme_st_e_demand*DZ91/1000000+$CV91*(Carriers!$X$21/Carriers!$X$23*EB91)/$CS91</f>
        <v>1550.2168145436849</v>
      </c>
      <c r="EF91" s="29">
        <f t="shared" si="107"/>
        <v>1.0354708994708997</v>
      </c>
      <c r="EG91" s="28">
        <f>IFERROR(ED91*1000000/Storage!$Q$12,"")</f>
        <v>973.31826759945591</v>
      </c>
      <c r="EH91" s="28">
        <f>IF($E91="","No Port",((F91/24/Shipping!$R$44+F91/24/Shipping!$R$50+Shipping!$R$59+Shipping!$R$64)*Carriers!$X$39*wacc_nl))</f>
        <v>51.808666475777805</v>
      </c>
      <c r="EI91" s="100">
        <f>H2_retrieval!$P$25*h2_demand_kt/1000+(co2_liq_e_demand+co2_st_e_demand*2)*Storage!$Q$12*co2_density/Dme_density/1000000</f>
        <v>252.45335899349112</v>
      </c>
      <c r="EJ91" s="28">
        <f>IFERROR((((DX91+DZ91+EC91)*(1+H2_retrieval!$P$34)+EH91)*1000000/H2_retrieval!$P$8)+h2_regen_dme,"")</f>
        <v>7446.7406253589033</v>
      </c>
      <c r="EK91" s="149">
        <f>(ome_invest*(M91+1/ome_lifetime)/ome_prod+ome_opex+ome_e_demand*1000*$AU91/100+Carriers!$Z$21/Carriers!$Z$23*(CO91*1000000/CS91))*(EO91+ome_st_ab_losses)/1000000</f>
        <v>167965.44798026609</v>
      </c>
      <c r="EL91" s="86">
        <f>(ome_invest*(M91+1/ome_lifetime)/ome_prod+ome_opex+ome_e_demand*1000*$AU91/100+Carriers!$Z$21/Carriers!$Z$23*(CP91*1000000/CS91))*(EO91+ome_st_ab_losses)/1000000</f>
        <v>206162.16124865832</v>
      </c>
      <c r="EM91" s="63">
        <f>ome_st_nl_cost*ome_st_nl_demand/1000000+(ome_st_invest*(M91+1/ome_st_lifetime+ome_st_opex)/(Storage!$S$63/1000000)+ome_st_e_demand*1000*$AU91/100)*(EO91+ome_st_ab_losses)/1000000+co2_st_nl_cost*Storage!$S$12*co2_density/ome_density/1000000+(co2_st_opex_lev+co2_st_invest_lev+co2_st_e_demand*1000*$AU91/100)*Storage!$S$12/1000000+co2_st_invest_lev*Storage!$S$12*co2_st_lifetime*M91/1000000+(h2_demand_kt*1000/365.25*short_st_duration_hrs/24)*(h2_short_st_invest*(1/gh2_short_st_lifetime+$M91+h2_short_st_opex)+h2_short_st_e_demand*1000*$AU91/100)/1000000</f>
        <v>4651.1264158655695</v>
      </c>
      <c r="EN91" s="63">
        <f>ome_st_nl_cost*ome_st_nl_demand/1000000+(ome_st_invest*(M91+1/ome_st_lifetime+ome_st_opex)/(Storage!$S$63/1000000)+ome_st_e_demand*1000*$AU91/100)*(EO91+ome_st_ab_losses)/1000000+(h2_demand_kt*1000/365.25*short_st_duration_hrs/24)*(h2_short_st_invest*(1/gh2_short_st_lifetime+$M91+h2_short_st_opex)+h2_short_st_e_demand*1000*$AU91/100)/1000000</f>
        <v>1618.1935457695577</v>
      </c>
      <c r="EO91" s="63">
        <f>Storage!$S$57/((1-Shipping!$T$37)^($F91/24/Shipping!$T$44+0.5*Shipping!$T$59))</f>
        <v>128282539.68253967</v>
      </c>
      <c r="EP91" s="28">
        <f>IF($E91="","No Port",IF(AND(ship_choice="VLCC",G91="Panama"),"Ship cannot pass through Panama",IF(ship_choice="VLCC",((F91/24/Shipping!$AD$44+F91/24/Shipping!$AD$50+Shipping!$AD$59+Shipping!$AD$64)*(Shipping!$AD$22+wacc_nl*Shipping!$AD$19/365.25*1000000+Shipping!$AD$35)+(F91/24/Shipping!$AD$44*Shipping!$AD$45+Shipping!$AD$64*Shipping!$AD$65)*IF(bunker_choice="HFO",$H91,IF(bunker_choice="hydrogen",$BD91*hfo_e_density_lhv/h2_e_density_lhv,(EK91+EM91)*1000000/EO91*hfo_e_density_lhv/Dme_e_density_lhv))+(F91/24/Shipping!$AD$50*Shipping!$AD$51+Shipping!$AD$59*Shipping!$AD$60)*IF(bunker_choice="HFO",bunker_price_ROT,IF(bunker_choice="hydrogen",$BD91*hfo_e_density_lhv/h2_e_density_lhv,(EK91+EM91)*1000000/EO91*hfo_e_density_lhv/ome_e_density_lhv))+Shipping!$AD$73+IF(G91="Panama",Shipping!$AD$55,0)+IF(G91="Suez",Shipping!$AD$56,0))/Shipping!$AD$31*(EO91+ome_st_ab_losses)/1000000+IF(inland_transport_to_port="hv dc grid",$BM91/100*1000*ER91,IF(inland_transport_to_port="pipeline",$BN91,0)),((F91/24/Shipping!$T$44+F91/24/Shipping!$T$50+Shipping!$T$59+Shipping!$T$64)*(Shipping!$T$22+wacc_nl*Shipping!$T$19/365.25*1000000+Shipping!$T$35)+(F91/24/Shipping!$T$44*Shipping!$T$45+Shipping!$T$64*Shipping!$T$65)*IF(bunker_choice="HFO",$H91,IF(bunker_choice="hydrogen",$BD91*hfo_e_density_lhv/h2_e_density_lhv,(EK91+EM91)*1000000/EO91*hfo_e_density_lhv/Dme_e_density_lhv))+(F91/24/Shipping!$T$50*Shipping!$T$51+Shipping!$T$59*Shipping!$T$60)*IF(bunker_choice="HFO",bunker_price_ROT,IF(bunker_choice="hydrogen",$BD91*hfo_e_density_lhv/h2_e_density_lhv,(EK91+EM91)*1000000/EO91*hfo_e_density_lhv/ome_e_density_lhv))+Shipping!$T$73+IF(G91="Panama",Shipping!$T$55,0)+IF(G91="Suez",Shipping!$T$56,0))/Shipping!$T$31*(EO91+ome_st_ab_losses)/1000000+IF(inland_transport_to_port="hv dc grid",$BM91/100*1000*ER91,IF(inland_transport_to_port="pipeline",$BN91,0)))))</f>
        <v>2719.3384312774674</v>
      </c>
      <c r="EQ91" s="28">
        <f t="shared" si="135"/>
        <v>210499.69322570533</v>
      </c>
      <c r="ER91" s="29">
        <f>(ome_e_demand)*(EO91+ome_st_ab_losses)/1000000+ome_st_e_demand*EM91/1000000+$CV91*(Carriers!$Z$21/Carriers!$Z$23*EO91)/$CS91</f>
        <v>3352.0814571174733</v>
      </c>
      <c r="ES91" s="29">
        <f t="shared" si="108"/>
        <v>0.1924238095238095</v>
      </c>
      <c r="ET91" s="28">
        <f>IFERROR(EQ91*1000000/Storage!$S$12,"")</f>
        <v>1640.9068119997323</v>
      </c>
      <c r="EU91" s="28">
        <f>IF($E91="","No Port",((F91/24/Shipping!$T$44+F91/24/Shipping!$T$50+Shipping!$T$59+Shipping!$T$64)*Carriers!$Z$39*wacc_nl))</f>
        <v>60.041567556520228</v>
      </c>
      <c r="EV91" s="100">
        <f>H2_retrieval!$R$25*h2_demand_kt/1000+(co2_liq_e_demand+co2_st_e_demand*2)*Storage!$S$12*co2_density/ome_density/1000000</f>
        <v>254.51942895252085</v>
      </c>
      <c r="EW91" s="28">
        <f>IFERROR((((EK91+EM91+EP91)*(1+H2_retrieval!$R$34)+EU91)*1000000/H2_retrieval!$R$8)+h2_regen_ome,"")</f>
        <v>14066.889895767121</v>
      </c>
      <c r="EX91" s="149">
        <f>(sng_invest*(M91+1/sng_lifetime)/sng_prod+lng_invest*(M91+1/lng_lifetime)/lng_prod+sng_opex+lng_opex+(sng_e_demand+lng_e_demand)*1000*$AU91/100+Carriers!$AB$18/Carriers!$AB$23*BD91+Carriers!$AB$20/Carriers!$AB$23*co2_liq_cost)*(FB91+lng_st_ab_losses)/1000000</f>
        <v>59480.583116782684</v>
      </c>
      <c r="EY91" s="86">
        <f>(sng_invest*(M91+1/sng_lifetime)/sng_prod+lng_invest*(M91+1/lng_lifetime)/lng_prod+sng_opex+lng_opex+(sng_e_demand+lng_e_demand)*1000*$AU91/100+Carriers!$AB$18/Carriers!$AB$23*BD91+Carriers!$AB$20/Carriers!$AB$23*BP91)*(FB91+lng_st_ab_losses)/1000000</f>
        <v>69473.185728056953</v>
      </c>
      <c r="EZ91" s="63">
        <f>lng_st_nl_cost*lng_st_nl_demand/1000000+(lng_st_invest*(M91+1/lng_st_lifetime+lng_st_opex)/(Storage!$U$63/1000000)+lng_st_e_demand*1000*$AU91/100)*(FB91+lng_st_ab_losses)/1000000+co2_st_nl_cost*Storage!$U$12*co2_density/lng_density/1000000+(co2_st_opex_lev+co2_st_invest_lev+co2_st_e_demand*1000*$AU91/100)*Storage!$U$12/1000000+co2_st_invest_lev*Storage!$U$12*co2_st_lifetime*M91/1000000+Carriers!$AB$18/Carriers!$AB$23*((FB91+lng_st_ab_losses)/365.25*short_st_duration_hrs/24)*(h2_short_st_invest*(1/gh2_short_st_lifetime+$M91+h2_short_st_opex)+h2_short_st_e_demand*1000*$AU91/100)/1000000+Carriers!$AB$20/Carriers!$AB$23*((FB91+lng_st_ab_losses)/365.25*short_st_duration_hrs/24)*(co2_short_st_invest*(1/co2_short_st_lifetime+$M91+co2_short_st_opex)+co2_short_st_e_demand*1000*$AU91/100)/1000000</f>
        <v>5744.1938294598567</v>
      </c>
      <c r="FA91" s="63">
        <f>lng_st_nl_cost*lng_st_nl_demand/1000000+(lng_st_invest*(M91+1/lng_st_lifetime+lng_st_opex)/(Storage!$U$63/1000000)+lng_st_e_demand*1000*$AU91/100)*(FB91+lng_st_ab_losses)/1000000+Carriers!$AB$18/Carriers!$AB$23*((FB91+lng_st_ab_losses)/365.25*short_st_duration_hrs/24)*(h2_short_st_invest*(1/gh2_short_st_lifetime+$M91+h2_short_st_opex)+h2_short_st_e_demand*1000*$AU91/100)/1000000+Carriers!$AB$20/Carriers!$AB$23*((FB91+lng_st_ab_losses)/365.25*short_st_duration_hrs/24)*(co2_short_st_invest*(1/co2_short_st_lifetime+$M91+co2_short_st_opex)+co2_short_st_e_demand*1000*$AU91/100)/1000000</f>
        <v>4239.7535559984108</v>
      </c>
      <c r="FB91" s="63">
        <f>Storage!$U$57/((1-Shipping!$V$37)^($F91/24/Shipping!$V$44+0.5*Shipping!$V$59))</f>
        <v>41015485.649878263</v>
      </c>
      <c r="FC91" s="28">
        <f>IF($E91="","No Port",IF(G91="Panama","Ship cannot pass through Panama",((F91/24/Shipping!$V$44+F91/24/Shipping!$V$50+Shipping!$V$59+Shipping!$V$64)*(Shipping!$V$22+wacc_nl*Shipping!$V$19/365.25*1000000+Shipping!$V$35)+(F91/24/Shipping!$V$44*Shipping!$V$45+Shipping!$V$64*Shipping!$V$65)*IF(bunker_choice="HFO",$H91,IF(bunker_choice="hydrogen",$BD91*hfo_e_density_lhv/h2_e_density_lhv,(EX91+EZ91)*1000000/FB91*hfo_e_density_lhv/lng_e_density_lhv))+(F91/24/Shipping!$V$50*Shipping!$V$51+Shipping!$V$59*Shipping!$V$60)*IF(bunker_choice="HFO",bunker_price_ROT,IF(bunker_choice="hydrogen",$BD91*hfo_e_density_lhv/h2_e_density_lhv,(EX91+EZ91)*1000000/FB91*hfo_e_density_lhv/lng_e_density_lhv))+Shipping!$V$73+IF(G91="Panama",Shipping!$V$55,0)+IF(G91="Suez",Shipping!$V$56,0))/Shipping!$V$31*(FB91+lng_st_ab_losses)/1000000)+IF(inland_transport_to_port="hv dc grid",$BM91/100*1000*FE91,IF(inland_transport_to_port="pipeline",$BN91,0)))</f>
        <v>982.20594799277637</v>
      </c>
      <c r="FD91" s="28">
        <f t="shared" si="136"/>
        <v>74695.145232048133</v>
      </c>
      <c r="FE91" s="29">
        <f>((Carriers!$AB$18/Carriers!$AB$23*alk_el_e_demand)+sng_e_demand+lng_e_demand)*(FB91+lng_st_ab_losses)/1000000+lng_st_e_demand*EZ91/1000000</f>
        <v>1100.0096332277326</v>
      </c>
      <c r="FF91" s="29">
        <f t="shared" si="109"/>
        <v>0.8126185861001558</v>
      </c>
      <c r="FG91" s="28">
        <f>IFERROR(FD91*1000000/Storage!$U$12,"")</f>
        <v>1840.5014665280944</v>
      </c>
      <c r="FH91" s="28">
        <f>IF($E91="","No Port",((F91/24/Shipping!$V$44+F91/24/Shipping!$V$50+Shipping!$V$59+Shipping!$V$64)*Carriers!$AB$39*wacc_nl))</f>
        <v>17.976061087816408</v>
      </c>
      <c r="FI91" s="100">
        <f>H2_retrieval!$T$25*h2_demand_kt/1000+(co2_liq_e_demand+co2_st_e_demand*2)*Storage!$U$12*co2_density/lng_density/1000000</f>
        <v>236.51371749646054</v>
      </c>
      <c r="FJ91" s="28">
        <f>IFERROR((((EX91+EZ91+FC91)*(1+H2_retrieval!$T$34)+FH91)*1000000/H2_retrieval!$T$8)+h2_regen_lng,"")</f>
        <v>6039.6108193228174</v>
      </c>
      <c r="FK91" s="149">
        <f>(lh2_invest*(M91+1/lh2_lifetime)/lh2_prod+lh2_opex+lh2_e_demand*1000*$AU91/100+Carriers!$AD$18/Carriers!$AD$23*BD91)*(FM91+lh2_st_ab_losses)/1000000</f>
        <v>45939.791251532661</v>
      </c>
      <c r="FL91" s="28">
        <f>lh2_st_nl_cost*lh2_st_nl_demand/1000000+(lh2_st_invest*(M91+1/lh2_st_lifetime+lh2_st_opex)/(Storage!$Y$63/1000000)+lh2_st_e_demand*1000*$AU91/100)*(FM91+lh2_st_ab_losses)/1000000+((FM91+lh2_st_ab_losses)/365.25*short_st_duration_hrs/24)*(h2_short_st_invest*(1/gh2_short_st_lifetime+$M91+h2_short_st_opex)+h2_short_st_e_demand*1000*$AU91/100)/1000000</f>
        <v>49733.983936090131</v>
      </c>
      <c r="FM91" s="63">
        <f>Storage!$Y$57/((1-Shipping!$Z$37)^($F91/24/Shipping!$Z$44+0.5*Shipping!$Z$59))</f>
        <v>13825926.003266886</v>
      </c>
      <c r="FN91" s="28">
        <f>IF($E91="","No Port",IF(G91="Panama","Ship cannot pass through Panama",((F91/24/Shipping!$Z$44+F91/24/Shipping!$Z$50+Shipping!$Z$59+Shipping!$Z$64)*(Shipping!$Z$22+wacc_nl*Shipping!$Z$19/365.25*1000000+Shipping!$Z$35)+(F91/24/Shipping!$Z$44*Shipping!$Z$45+Shipping!$Z$64*Shipping!$Z$65)*IF(bunker_choice="HFO",$H91,IF(bunker_choice="hydrogen",$BD91*hfo_e_density_lhv/h2_e_density_lhv,(FK91+FL91)*1000000/FM91*hfo_e_density_lhv/lh2_e_density_lhv))+(F91/24/Shipping!$Z$50*Shipping!$Z$51+Shipping!$Z$59*Shipping!$Z$60)*IF(bunker_choice="HFO",bunker_price_ROT,IF(bunker_choice="hydrogen",$BD91*hfo_e_density_lhv/h2_e_density_lhv,(FK91+FL91)*1000000/FM91*hfo_e_density_lhv/lh2_e_density_lhv))+Shipping!$Z$73+IF(G91="Panama",Shipping!$Z$55,0)+IF(G91="Suez",Shipping!$Z$56,0))/Shipping!$Z$31*(FM91+lh2_st_ab_losses)/1000000)+IF(inland_transport_to_port="hv dc grid",$BM91/100*1000*FP91,IF(inland_transport_to_port="pipeline",$BN91,0)))</f>
        <v>1754.8583143566429</v>
      </c>
      <c r="FO91" s="28">
        <f t="shared" si="128"/>
        <v>97428.633501979435</v>
      </c>
      <c r="FP91" s="29">
        <f>((Carriers!$AD$18/Carriers!$AD$23*alk_el_e_demand)+lh2_e_demand)*(FM91+lh2_st_ab_losses)/1000000+lh2_st_e_demand*FM91/1000000</f>
        <v>801.20539095905826</v>
      </c>
      <c r="FQ91" s="100">
        <f t="shared" si="110"/>
        <v>1.361902463475859</v>
      </c>
      <c r="FR91" s="28">
        <f>IFERROR(FO91*1000000/Storage!$Y$12,"")</f>
        <v>7163.8701104396641</v>
      </c>
      <c r="FS91" s="100">
        <f>H2_retrieval!$V$25*h2_demand_kt/1000</f>
        <v>8.16</v>
      </c>
      <c r="FT91" s="28">
        <f>IFERROR(FR91*(1+H2_retrieval!$V$34)/Carrier_properties!$U$7+H2_retrieval!$V$38,"")</f>
        <v>7195.8388363081312</v>
      </c>
      <c r="FU91" s="12"/>
      <c r="FV91" s="24">
        <f t="shared" si="129"/>
        <v>1.9583831681782546</v>
      </c>
      <c r="FW91" s="24" t="str">
        <f t="shared" si="92"/>
        <v/>
      </c>
      <c r="FX91" s="24">
        <f t="shared" si="93"/>
        <v>7.4268808289135455</v>
      </c>
      <c r="FY91" s="24">
        <f t="shared" si="130"/>
        <v>1.9583831681782546</v>
      </c>
      <c r="FZ91" s="28">
        <f t="shared" si="94"/>
        <v>2513.1480732363898</v>
      </c>
      <c r="GA91" s="28">
        <f t="shared" si="137"/>
        <v>568.78388279746252</v>
      </c>
      <c r="GB91" s="28">
        <f t="shared" si="138"/>
        <v>356.2111017243414</v>
      </c>
      <c r="GC91" s="28">
        <f t="shared" si="139"/>
        <v>634.02220646597698</v>
      </c>
      <c r="GD91" s="28">
        <f t="shared" si="140"/>
        <v>922.77581390371608</v>
      </c>
      <c r="GE91" s="28">
        <f t="shared" si="141"/>
        <v>1607.0944787875815</v>
      </c>
      <c r="GF91" s="28">
        <f t="shared" si="142"/>
        <v>1693.8281877509146</v>
      </c>
      <c r="GG91" s="12"/>
      <c r="GH91" s="12"/>
      <c r="GI91" s="12"/>
      <c r="GJ91" s="12"/>
      <c r="GK91" s="12"/>
      <c r="GL91" s="12"/>
      <c r="GM91" s="12"/>
      <c r="GN91" s="12"/>
      <c r="GO91" s="12"/>
      <c r="GP91" s="12"/>
      <c r="GQ91" s="12"/>
      <c r="GR91" s="12"/>
      <c r="GS91" s="12"/>
      <c r="GT91" s="12"/>
      <c r="GU91" s="12"/>
      <c r="GV91" s="12"/>
      <c r="GW91" s="12"/>
      <c r="GX91" s="12"/>
      <c r="GY91" s="12"/>
      <c r="GZ91" s="12"/>
      <c r="HA91" s="12"/>
      <c r="HB91" s="12"/>
      <c r="HC91" s="12"/>
      <c r="HD91" s="12"/>
      <c r="HE91" s="12"/>
      <c r="HF91" s="12"/>
    </row>
    <row r="92" spans="1:214" x14ac:dyDescent="0.2">
      <c r="A92" s="40" t="s">
        <v>91</v>
      </c>
      <c r="B92" s="12">
        <v>3733</v>
      </c>
      <c r="C92" s="12">
        <v>0.9</v>
      </c>
      <c r="D92" s="12">
        <f t="shared" si="111"/>
        <v>9.9999999999999978E-2</v>
      </c>
      <c r="E92" s="12" t="s">
        <v>754</v>
      </c>
      <c r="F92" s="12">
        <v>2398</v>
      </c>
      <c r="G92" s="12"/>
      <c r="H92" s="16">
        <f t="shared" si="112"/>
        <v>382.75862068965517</v>
      </c>
      <c r="I92" s="16">
        <v>1030700</v>
      </c>
      <c r="J92" s="16">
        <f t="shared" si="113"/>
        <v>572.78442689168241</v>
      </c>
      <c r="K92" s="27">
        <f t="shared" si="114"/>
        <v>687.34131227001888</v>
      </c>
      <c r="L92" s="103">
        <v>0.17</v>
      </c>
      <c r="M92" s="103">
        <f t="shared" si="115"/>
        <v>0.16164251267413124</v>
      </c>
      <c r="N92" s="122">
        <f t="shared" si="116"/>
        <v>0.8</v>
      </c>
      <c r="O92" s="46">
        <f t="shared" si="117"/>
        <v>40</v>
      </c>
      <c r="P92" s="70">
        <f t="array" ref="P92">SUMPRODUCT(IF(Solar_data!A$4:A$777=A92,Solar_data!C$4:C$777),IF(Solar_data!A$4:A$777=A92,Solar_data!I$4:I$777))/SUMIF(Solar_data!A$4:A$777,A92,Solar_data!I$4:I$777)</f>
        <v>2327.1390282691273</v>
      </c>
      <c r="Q92" s="16">
        <f t="array" ref="Q92">MAX(IF(Solar_data!$A$777:'Solar_data'!$A$4=Country_details!$A92,Solar_data!$C$4:'Solar_data'!$C$777))</f>
        <v>2463.75</v>
      </c>
      <c r="R92" s="16">
        <f t="array" ref="R92">MIN(IF(Solar_data!$A$777:'Solar_data'!$A$4=Country_details!A92,Solar_data!$C$4:'Solar_data'!$C$777))</f>
        <v>1916.25</v>
      </c>
      <c r="S92" s="24">
        <f t="shared" si="95"/>
        <v>2.6644335337976477</v>
      </c>
      <c r="T92" s="24">
        <f t="shared" si="96"/>
        <v>2.5166949831474521</v>
      </c>
      <c r="U92" s="24">
        <f t="shared" si="97"/>
        <v>3.235750692618153</v>
      </c>
      <c r="V92" s="16">
        <f t="array" ref="V92">SUM(IF(Solar_data!$A$777:'Solar_data'!$A$4=Country_details!$A92,Solar_data!$I$4:'Solar_data'!$I$777))</f>
        <v>8637.4205978351074</v>
      </c>
      <c r="W92" s="148"/>
      <c r="X92" s="16" t="str">
        <f>IFERROR(INDEX(Onshore_wind_data!$J$5:'Onshore_wind_data'!$J$221,MATCH(A92,Onshore_wind_data!$B$5:'Onshore_wind_data'!$B$221,0)),"")</f>
        <v/>
      </c>
      <c r="Y92" s="16" t="str">
        <f>IFERROR(INDEX(Onshore_wind_data!$K$5:'Onshore_wind_data'!$K$221,MATCH(A92,Onshore_wind_data!$B$5:'Onshore_wind_data'!$B$221,0)),"")</f>
        <v/>
      </c>
      <c r="Z92" s="16" t="str">
        <f>IFERROR(INDEX(Onshore_wind_data!$L$5:'Onshore_wind_data'!$L$221,MATCH(A92,Onshore_wind_data!$B$5:'Onshore_wind_data'!$B$221,0)),"")</f>
        <v/>
      </c>
      <c r="AA92" s="24" t="str">
        <f t="shared" si="118"/>
        <v/>
      </c>
      <c r="AB92" s="24" t="str">
        <f t="shared" si="119"/>
        <v/>
      </c>
      <c r="AC92" s="24" t="str">
        <f t="shared" si="120"/>
        <v/>
      </c>
      <c r="AD92" s="16">
        <f>IFERROR(INDEX(Onshore_wind_data!$I$5:'Onshore_wind_data'!$I$221,MATCH(A92,Onshore_wind_data!$B$5:'Onshore_wind_data'!$B$221,0)),"")</f>
        <v>0</v>
      </c>
      <c r="AE92" s="148"/>
      <c r="AF92" s="16">
        <f>INDEX(Offshore_wind_data!$AA$7:$AA$192,MATCH(Country_details!A92,Offshore_wind_data!$A$7:$A$192,0))</f>
        <v>3168.3246224556792</v>
      </c>
      <c r="AG92" s="16">
        <f>INDEX(Offshore_wind_data!$Y$7:$Y$192,MATCH(Country_details!A92,Offshore_wind_data!$A$7:$A$192,0))</f>
        <v>3504</v>
      </c>
      <c r="AH92" s="16">
        <f>INDEX(Offshore_wind_data!$Z$7:$Z$192,MATCH(Country_details!A92,Offshore_wind_data!$A$7:$A$192,0))</f>
        <v>3153.6</v>
      </c>
      <c r="AI92" s="24">
        <f t="shared" si="98"/>
        <v>10.23567835963817</v>
      </c>
      <c r="AJ92" s="24">
        <f t="shared" si="99"/>
        <v>9.2551232232814993</v>
      </c>
      <c r="AK92" s="24">
        <f t="shared" si="100"/>
        <v>10.283470248090556</v>
      </c>
      <c r="AL92" s="16">
        <f>INDEX(Offshore_wind_data!$W$7:$W$191,MATCH(A92,Offshore_wind_data!$A$7:$A$191,0))</f>
        <v>96.507167999999993</v>
      </c>
      <c r="AM92" s="148"/>
      <c r="AN92" s="12">
        <v>4.4000000000000004</v>
      </c>
      <c r="AO92" s="12">
        <v>9</v>
      </c>
      <c r="AP92" s="34"/>
      <c r="AQ92" s="15">
        <f t="shared" si="101"/>
        <v>50</v>
      </c>
      <c r="AR92" s="12">
        <f t="shared" si="131"/>
        <v>450</v>
      </c>
      <c r="AS92" s="16">
        <f t="shared" si="121"/>
        <v>8283.9277658351075</v>
      </c>
      <c r="AT92" s="12"/>
      <c r="AU92" s="24">
        <f t="shared" si="122"/>
        <v>2.6644335337976477</v>
      </c>
      <c r="AV92" s="16">
        <f t="shared" si="123"/>
        <v>2327.1390282691273</v>
      </c>
      <c r="AW92" s="149">
        <f>HV_DC_Grid!$E$3/(1-AX92)*AU92/100*1000</f>
        <v>2909.2718042786983</v>
      </c>
      <c r="AX92" s="31">
        <f>(1-(1-HV_DC_Grid!$E$25)^(B92*C92*HV_DC_Grid!$E$8/1000))+(1-(1-HV_DC_Grid!$E$26)^(B92*D92*HV_DC_Grid!$E$8/1000))+HV_DC_Grid!$E$35*HV_DC_Grid!$E$28</f>
        <v>8.4157922309274755E-2</v>
      </c>
      <c r="AY92" s="28">
        <f>B92*nl_e_demand/IF(hv_dc_flh="electricity FLH",$AV92,hv_dc_custom)*1000*hv_dc_capacity_multiplier*hv_dc_length_multiplier*1000*(C92*hv_dc_overhead_invest*(hv_dc_overhead_opex+M92+1/hv_dc_lifetime)+D92*hv_dc_sea_invest*(hv_dc_sea_opex+M92+1/hv_dc_lifetime))/1000000+HV_DC_Grid!$E$10*1000*hv_dc_station_invest*hv_dc_station_number*(hv_dc_station_opex+M92+1/hv_dc_lifetime)/1000000</f>
        <v>5240.2465602389129</v>
      </c>
      <c r="AZ92" s="24">
        <f>(AW92+AY92)/(HV_DC_Grid!$E$3*1000)*100</f>
        <v>8.1495183645176112</v>
      </c>
      <c r="BA92" s="28">
        <f>MIN(((Carriers!$F$26+Carriers!$F$27)*(alk_el_opex+wacc_nl+1/alk_el_lifetime)+IF(hv_dc_flh="electricity FLH",$AV92,hv_dc_custom)*AZ92/100)/(IF(hv_dc_flh="electricity FLH",$AV92,hv_dc_custom)/alk_el_e_demand)*1000,((Carriers!$H$26+Carriers!$H$27)*(pem_el_opex+wacc_nl+1/pem_el_lifetime)+IF(hv_dc_flh="electricity FLH",$AV92,hv_dc_custom)*AZ92/100)/(IF(hv_dc_flh="electricity FLH",$AV92,hv_dc_custom)/pem_el_e_demand)*1000)</f>
        <v>4510.4539937198397</v>
      </c>
      <c r="BB92" s="12"/>
      <c r="BC92" s="12"/>
      <c r="BD92" s="149">
        <f>MIN(((Carriers!$F$26+Carriers!$F$27)*(alk_el_opex+M92+1/alk_el_lifetime)+$AV92*$AU92/100)/($AV92/alk_el_e_demand)*1000,((Carriers!$H$26+Carriers!$H$27)*(pem_el_opex+M92+1/pem_el_lifetime)+$AV92*$AU92/100)/($AV92/pem_el_e_demand)*1000)</f>
        <v>3106.8851999617718</v>
      </c>
      <c r="BE92" s="28">
        <f>Storage!$AC$50</f>
        <v>8.1664117557772418</v>
      </c>
      <c r="BF92" s="28">
        <f>((Pipeline!$D$22*Pipeline!$D$24*B92*(pipeline_opex+M92+1/pipeline_lifetime))*(Pipeline!$D$39/Pipeline!$D$3)+(Pipeline!$D$57*(pipeline_comp_opex+M92+1/pipeline_comp_lifetime)+Pipeline!$D$47*1000*Pipeline!$D$45*$AU92/100/1000000))*(Pipeline!$D$75/Pipeline!$D$45)</f>
        <v>10040.156050297235</v>
      </c>
      <c r="BG92" s="28">
        <f>BD92+(BE92+BF92)/Storage!$AC$12*1000000</f>
        <v>3845.7324398186111</v>
      </c>
      <c r="BH92" s="28"/>
      <c r="BI92" s="28"/>
      <c r="BJ92" s="28">
        <f>IF($E92="","No Port",BK92*HV_DC_Grid!$E$3*$AU92/100*1000)</f>
        <v>72.514066636729495</v>
      </c>
      <c r="BK92" s="31">
        <f>IFERROR((1-(1-HV_DC_Grid!$E$25)^(K92*HV_DC_Grid!$E$8/1000))+HV_DC_Grid!$E$35*HV_DC_Grid!$E$28,"")</f>
        <v>2.721556597937512E-2</v>
      </c>
      <c r="BL92" s="28">
        <f>IFERROR(K92*nl_e_demand/IF(hv_dc_flh="electricity FLH",$AV92,hv_dc_custom)*1000*hv_dc_capacity_multiplier*hv_dc_length_multiplier*1000*(hv_dc_overhead_invest*(hv_dc_overhead_opex+M92+1/hv_dc_lifetime))/1000000+HV_DC_Grid!$E$10*1000*hv_dc_station_invest*hv_dc_station_number*(hv_dc_station_opex+M92+1/hv_dc_lifetime)/1000000,"")</f>
        <v>1232.7837933659257</v>
      </c>
      <c r="BM92" s="29">
        <f>IFERROR((BJ92+BL92)/(HV_DC_Grid!$E$3*1000)*100,"")</f>
        <v>1.3052978600026552</v>
      </c>
      <c r="BN92" s="28">
        <f>IFERROR(((Pipeline!$D$22*Pipeline!$D$24*K92*(pipeline_opex+M92+1/pipeline_lifetime))*(Pipeline!$D$39/Pipeline!$D$3)+(Pipeline!$D$57*(pipeline_comp_opex+M92+1/pipeline_comp_lifetime)+Pipeline!$D$47*1000*Pipeline!$D$45*S92/100/1000000))*(Pipeline!$D$75/Pipeline!$D$45),"")</f>
        <v>1921.7678785632804</v>
      </c>
      <c r="BO92" s="28"/>
      <c r="BP92" s="150">
        <f t="shared" si="124"/>
        <v>131.97564077295269</v>
      </c>
      <c r="BQ92" s="34">
        <f t="shared" si="125"/>
        <v>39.636930874809089</v>
      </c>
      <c r="BR92" s="151">
        <f>(nh3_invest*(M92+1/nh3_lifetime)/nh3_prod+nh3_opex+nh3_e_demand*1000*$AU92/100+Carriers!$N$18/Carriers!$N$23*BD92+Carriers!$N$19/Carriers!$N$23*BQ92)*(BT92+nh3_st_ab_losses)/1000000</f>
        <v>56098.040839748581</v>
      </c>
      <c r="BS92" s="63">
        <f>nh3_st_nl_cost*nh3_st_nl_demand/1000000+(nh3_st_invest*(M92+1/nh3_st_lifetime+nh3_st_opex)/(Storage!$G$63/1000000)+nh3_st_e_demand*1000*$AU92/100)*(BT92+nh3_st_ab_losses)/1000000+Carriers!$N$18/Carriers!$N$23*((BT92+nh3_st_ab_losses)/365.25*short_st_duration_hrs/24)*(h2_short_st_invest*(1/gh2_short_st_lifetime+$M92+h2_short_st_opex)+h2_short_st_e_demand*1000*$AU92/100)/1000000+Carriers!$N$19/Carriers!$N$23*((BT92+nh3_st_ab_losses)/365.25*short_st_duration_hrs/24)*(n2_short_st_invest*(1/n2_short_st_lifetime+$M92+n2_short_st_opex)+n2_short_st_e_demand*1000*$AU92/100)/1000000</f>
        <v>3838.4192449540869</v>
      </c>
      <c r="BT92" s="63">
        <f>Storage!$G$57/((1-Shipping!$H$37)^(F92/24/Shipping!$H$44+0.5*Shipping!$H$59))</f>
        <v>78030778.337512344</v>
      </c>
      <c r="BU92" s="63">
        <f>IF($E92="","No Port",((F92/24/Shipping!$H$44+F92/24/Shipping!$H$50+Shipping!$H$59+Shipping!$H$64)*(Shipping!$H$22+wacc_nl*Shipping!$H$19/365.25*1000000+Shipping!$H$35)+(F92/24/Shipping!$H$44*Shipping!$H$45+Shipping!$H$64*Shipping!$H$65)*IF(bunker_choice="HFO",H92,IF(bunker_choice="hydrogen",BD92*hfo_e_density_lhv/h2_e_density_lhv,(BR92+BS92)*1000000/BT92*hfo_e_density_lhv/nh3_e_density_lhv))+(F92/24/Shipping!$H$50*Shipping!$H$51+Shipping!$H$59*Shipping!$H$60)*IF(bunker_choice="HFO",bunker_price_ROT,IF(bunker_choice="hydrogen",BD92*hfo_e_density_lhv/h2_e_density_lhv,(BR92+BS92)*1000000/BT92*hfo_e_density_lhv/nh3_e_density_lhv))+Shipping!$H$73+IF(G92="Panama",Shipping!$H$55,0)+IF(G92="Suez",Shipping!$H$56,0))/Shipping!$H$31*BT92/1000000+IF(inland_transport_to_port="hv dc grid",$BM92/100*1000*BW92,IF(inland_transport_to_port="pipeline",$BN92,0)))</f>
        <v>3768.542616467555</v>
      </c>
      <c r="BV92" s="63">
        <f t="shared" si="126"/>
        <v>63705.002701170219</v>
      </c>
      <c r="BW92" s="33">
        <f>((Carriers!$N$18/Carriers!$N$23*alk_el_e_demand)+(Carriers!$N$19/Carriers!$N$23*n2_e_demand)+nh3_e_demand)*(BT92+nh3_st_ab_losses)/1000000+nh3_st_e_demand*BT92/1000000</f>
        <v>770.58165087213615</v>
      </c>
      <c r="BX92" s="33">
        <f t="shared" si="102"/>
        <v>0.76626754477640768</v>
      </c>
      <c r="BY92" s="63">
        <f>IFERROR(BV92*1000000/Storage!$G$12,"")</f>
        <v>832.06031004817908</v>
      </c>
      <c r="BZ92" s="63">
        <f>H2_retrieval!$F$25*h2_demand_kt/1000</f>
        <v>80</v>
      </c>
      <c r="CA92" s="63">
        <f>IFERROR(BY92*(1+H2_retrieval!$F$34)/Carrier_properties!$E$7+H2_retrieval!$F$38,"")</f>
        <v>5093.4173547297805</v>
      </c>
      <c r="CB92" s="149">
        <f>(FA_invest*(M92+1/FA_lifetime)/FA_prod+FA_opex+FA_e_demand*1000*$AU92/100+Carriers!$P$18/Carriers!$P$23*BD92+Carriers!$P$20/Carriers!$P$23*co2_liq_cost)*(CF92+FA_st_ab_losses)/1000000</f>
        <v>112886.9341137646</v>
      </c>
      <c r="CC92" s="86">
        <f>(FA_invest*(M92+1/FA_lifetime)/FA_prod+FA_opex+FA_e_demand*1000*$AU92/100+Carriers!$P$18/Carriers!$P$23*BD92+Carriers!$P$20/Carriers!$P$23*BP92)*(CF92+FA_st_ab_losses)/1000000</f>
        <v>145025.33982773253</v>
      </c>
      <c r="CD92" s="63">
        <f>FA_st_nl_cost*FA_st_nl_demand/1000000+(FA_st_invest*(M92+1/FA_st_lifetime+FA_st_opex)/(Storage!$I$63/1000000)+FA_st_e_demand*1000*$AU92/100)*(CF92+FA_st_ab_losses)/1000000+co2_st_nl_cost*Storage!$I$12*co2_density/FA_density/1000000+(co2_st_opex_lev+co2_st_invest_lev+co2_st_e_demand*1000*$AU92/100)*Storage!$I$12/1000000+co2_st_invest_lev*Storage!$I$12*co2_st_lifetime*M92/1000000+Carriers!$P$18/Carriers!$P$23*((CF92+FA_st_ab_losses)/365.25*short_st_duration_hrs/24)*(h2_short_st_invest*(1/gh2_short_st_lifetime+$M92+h2_short_st_opex)+h2_short_st_e_demand*1000*$AU92/100)/1000000+Carriers!$P$20/Carriers!$P$23*((CF92+FA_st_ab_losses)/365.25*short_st_duration_hrs/24)*(co2_short_st_invest*(1/co2_short_st_lifetime+$M92+co2_short_st_opex)+co2_short_st_e_demand*1000*$AU92/100)/1000000</f>
        <v>12954.368784146078</v>
      </c>
      <c r="CE92" s="63">
        <f>FA_st_nl_cost*FA_st_nl_demand/1000000+(FA_st_invest*(M92+1/FA_st_lifetime+FA_st_opex)/(Storage!$I$63/1000000)+FA_st_e_demand*1000*$AU92/100)*(CF92+FA_st_ab_losses)/1000000+Carriers!$P$18/Carriers!$P$23*((CF92+FA_st_ab_losses)/365.25*short_st_duration_hrs/24)*(h2_short_st_invest*(1/gh2_short_st_lifetime+$M92+h2_short_st_opex)+h2_short_st_e_demand*1000*$AU92/100)/1000000+Carriers!$P$20/Carriers!$P$23*((CF92+FA_st_ab_losses)/365.25*short_st_duration_hrs/24)*(co2_short_st_invest*(1/co2_short_st_lifetime+$M92+co2_short_st_opex)+co2_short_st_e_demand*1000*$AU92/100)/1000000</f>
        <v>5740.4080333740712</v>
      </c>
      <c r="CF92" s="63">
        <f>Storage!$I$57/((1-Shipping!$J$37)^($F92/24/Shipping!$J$44+0.5*Shipping!$J$59))</f>
        <v>310425396.82539684</v>
      </c>
      <c r="CG92" s="28">
        <f>IF($E92="","No Port",((F92/24/Shipping!$J$44+F92/24/Shipping!$J$50+Shipping!$J$59+Shipping!$J$64)*(Shipping!$J$22+wacc_nl*Shipping!$J$19/365.25*1000000+Shipping!$J$35)+(F92/24/Shipping!$J$44*Shipping!$J$45+Shipping!$J$64*Shipping!$J$65)*IF(bunker_choice="HFO",$H92,IF(bunker_choice="hydrogen",$BD92*hfo_e_density_lhv/h2_e_density_lhv,(CB92+CD92)*1000000/CF92*hfo_e_density_lhv/FA_e_density_lhv))+(F92/24/Shipping!$J$50*Shipping!$J$51+Shipping!$J$59*Shipping!$J$60)*IF(bunker_choice="HFO",bunker_price_ROT,IF(bunker_choice="hydrogen",$BD92*hfo_e_density_lhv/h2_e_density_lhv,(CB92+CD92)*1000000/CF92*hfo_e_density_lhv/FA_e_density_lhv))+Shipping!$J$73+IF(G92="Panama",Shipping!$J$55,0)+IF(G92="Suez",Shipping!$J$56,0))/Shipping!$J$31*CF92/1000000+IF(inland_transport_to_port="hv dc grid",$BM92/100*1000*CI92,IF(inland_transport_to_port="pipeline",$BN92,0)))</f>
        <v>10008.287146068453</v>
      </c>
      <c r="CH92" s="28">
        <f t="shared" si="132"/>
        <v>160774.03500717503</v>
      </c>
      <c r="CI92" s="29">
        <f>((Carriers!$P$18/Carriers!$P$23*alk_el_e_demand)+FA_e_demand)*(CF92+FA_st_ab_losses)/1000000+FA_st_e_demand*CF92/1000000</f>
        <v>1897.8881241622576</v>
      </c>
      <c r="CJ92" s="29">
        <f t="shared" si="103"/>
        <v>0.46563809523809524</v>
      </c>
      <c r="CK92" s="28">
        <f>IFERROR(CH92*1000000/Storage!$I$12,"")</f>
        <v>517.9152113562559</v>
      </c>
      <c r="CL92" s="28">
        <f>IF($E92="","No Port",((F92/24/Shipping!$J$44+F92/24/Shipping!$J$50+Shipping!$J$59+Shipping!$J$64)*Carriers!$P$39*wacc_nl))</f>
        <v>144.13732898610371</v>
      </c>
      <c r="CM92" s="29">
        <f>H2_retrieval!$H$25*h2_demand_kt/1000+(co2_liq_e_demand+co2_st_e_demand*2)*Storage!$I$12*co2_density/FA_density/1000000</f>
        <v>94.204253879484654</v>
      </c>
      <c r="CN92" s="28">
        <f>IFERROR((((CB92+CD92+CG92)*(1+H2_retrieval!$H$34)+CL92)*1000000/H2_retrieval!$H$8)+h2_regen_fa,"")</f>
        <v>10089.226145190869</v>
      </c>
      <c r="CO92" s="149">
        <f>(meoh_invest*(M92+1/meoh_lifetime)/meoh_prod+meoh_opex+meoh_e_demand*1000*$AU92/100+Carriers!$R$18/Carriers!$R$23*BD92+Carriers!$R$20/Carriers!$R$23*co2_liq_cost)*(CS92+meoh_st_ab_losses)/1000000</f>
        <v>68059.153923640901</v>
      </c>
      <c r="CP92" s="86">
        <f>(meoh_invest*(M92+1/meoh_lifetime)/meoh_prod+meoh_opex+meoh_e_demand*1000*$AU92/100+Carriers!$R$18/Carriers!$R$23*BD92+Carriers!$R$20/Carriers!$R$23*BP92)*(CS92+meoh_st_ab_losses)/1000000</f>
        <v>86925.390249344404</v>
      </c>
      <c r="CQ92" s="63">
        <f>meoh_st_nl_cost*meoh_st_nl_demand/1000000+(meoh_st_invest*(M92+1/meoh_st_lifetime+meoh_st_opex)/(Storage!$K$63/1000000)+meoh_st_e_demand*1000*$AU92/100)*(CS92+meoh_st_ab_losses)/1000000+co2_st_nl_cost*Storage!$K$12*co2_density/meoh_density/1000000+(co2_st_opex_lev+co2_st_invest_lev+co2_st_e_demand*1000*IFERROR(MIN(S92,AA92,AI92),S92)/100)*Storage!$K$12/1000000+co2_st_invest_lev*Storage!$K$12*co2_st_lifetime*M92/1000000+Carriers!$R$18/Carriers!$R$23*((CS92+meoh_st_ab_losses)/365.25*short_st_duration_hrs/24)*(h2_short_st_invest*(1/gh2_short_st_lifetime+$M92+h2_short_st_opex)+h2_short_st_e_demand*1000*$AU92/100)/1000000+Carriers!$R$20/Carriers!$R$23*((CF92+meoh_st_ab_losses)/365.25*short_st_duration_hrs/24)*(co2_short_st_invest*(1/co2_short_st_lifetime+$M92+co2_short_st_opex)+co2_short_st_e_demand*1000*$AU92/100)/1000000</f>
        <v>5413.3675740387725</v>
      </c>
      <c r="CR92" s="63">
        <f>meoh_st_nl_cost*meoh_st_nl_demand/1000000+(meoh_st_invest*(M92+1/meoh_st_lifetime+meoh_st_opex)/(Storage!$K$63/1000000)+meoh_st_e_demand*1000*$AU92/100)*(CS92+meoh_st_ab_losses)/1000000+Carriers!$R$18/Carriers!$R$23*((CS92+meoh_st_ab_losses)/365.25*short_st_duration_hrs/24)*(h2_short_st_invest*(1/gh2_short_st_lifetime+$M92+h2_short_st_opex)+h2_short_st_e_demand*1000*$AU92/100)/1000000+Carriers!$R$20/Carriers!$R$23*((CF92+meoh_st_ab_losses)/365.25*short_st_duration_hrs/24)*(co2_short_st_invest*(1/co2_short_st_lifetime+$M92+co2_short_st_opex)+co2_short_st_e_demand*1000*$AU92/100)/1000000</f>
        <v>2303.5305283914113</v>
      </c>
      <c r="CS92" s="63">
        <f>Storage!$K$57/((1-Shipping!$L$37)^($F92/24/Shipping!$L$44+0.5*Shipping!$L$59))</f>
        <v>108044444.44444443</v>
      </c>
      <c r="CT92" s="28">
        <f>IF($E92="","No Port",IF(AND(ship_choice="VLCC",G92="Panama"),"Ship cannot pass through Panama",IF(ship_choice="VLCC",((F92/24/Shipping!$AD$44+F92/24/Shipping!$AD$50+Shipping!$AD$59+Shipping!$AD$64)*(Shipping!$AD$22+wacc_nl*Shipping!$AD$19/365.25*1000000+Shipping!$AD$35)+(F92/24/Shipping!$AD$44*Shipping!$AD$45+Shipping!$AD$64*Shipping!$AD$65)*IF(bunker_choice="HFO",$H92,IF(bunker_choice="hydrogen",$BD92*hfo_e_density_lhv/h2_e_density_lhv,(CO92+CQ92)*1000000/CS92*hfo_e_density_lhv/meoh_e_density_lhv))+(F92/24/Shipping!$AD$50*Shipping!$AD$51+Shipping!$AD$59*Shipping!$AD$60)*IF(bunker_choice="HFO",bunker_price_ROT,IF(bunker_choice="hydrogen",$BD92*hfo_e_density_lhv/h2_e_density_lhv,(CO92+CQ92)*1000000/CS92*hfo_e_density_lhv/meoh_e_density_lhv))+Shipping!$AD$73+IF(G92="Panama",Shipping!$AD$55,0)+IF(G92="Suez",Shipping!$AD$56,0))/Shipping!$AD$31*CS92/1000000+IF(inland_transport_to_port="hv dc grid",$BM92/100*1000*CV92,IF(inland_transport_to_port="pipeline",$BN92,0)),((F92/24/Shipping!$L$44+F92/24/Shipping!$L$50+Shipping!$L$59+Shipping!$L$64)*(Shipping!$L$22+wacc_nl*Shipping!$L$19/365.25*1000000+Shipping!$L$35)+(F92/24/Shipping!$L$44*Shipping!$L$45+Shipping!$L$64*Shipping!$L$65)*IF(bunker_choice="HFO",$H92,IF(bunker_choice="hydrogen",$BD92*hfo_e_density_lhv/h2_e_density_lhv,(CO92+CQ92)*1000000/CS92*hfo_e_density_lhv/meoh_e_density_lhv))+(F92/24/Shipping!$L$50*Shipping!$L$51+Shipping!$L$59*Shipping!$L$60)*IF(bunker_choice="HFO",bunker_price_ROT,IF(bunker_choice="hydrogen",$BD92*hfo_e_density_lhv/h2_e_density_lhv,(CO92+CQ92)*1000000/CS92*hfo_e_density_lhv/meoh_e_density_lhv))+Shipping!$L$73+IF(G92="Panama",Shipping!$L$55,0)+IF(G92="Suez",Shipping!$L$56,0))/Shipping!$L$31*CS92/1000000+IF(inland_transport_to_port="hv dc grid",$BM92/100*1000*CV92,IF(inland_transport_to_port="pipeline",$BN92,0)))))</f>
        <v>4569.1465412309426</v>
      </c>
      <c r="CU92" s="28">
        <f t="shared" si="133"/>
        <v>93798.067318966758</v>
      </c>
      <c r="CV92" s="29">
        <f>((Carriers!$R$18/Carriers!$R$23*alk_el_e_demand)+meoh_e_demand)*(CS92+meoh_st_ab_losses)/1000000+meoh_st_e_demand*CS92/1000000</f>
        <v>1119.9789871111109</v>
      </c>
      <c r="CW92" s="29">
        <f t="shared" si="104"/>
        <v>0.16206666666666666</v>
      </c>
      <c r="CX92" s="28">
        <f>IFERROR(CU92*1000000/Storage!$K$12,"")</f>
        <v>868.1433626806878</v>
      </c>
      <c r="CY92" s="28">
        <f>IF($E92="","No Port",((F92/24/Shipping!$L$44+F92/24/Shipping!$L$50+Shipping!$L$59+Shipping!$L$64)*Carriers!$R$39*wacc_nl))</f>
        <v>51.360141407548767</v>
      </c>
      <c r="CZ92" s="29">
        <f>H2_retrieval!$J$25*h2_demand_kt/1000+(co2_liq_e_demand+co2_st_e_demand*2)*Storage!$K$12*co2_density/meoh_density/1000000</f>
        <v>251.05079059698966</v>
      </c>
      <c r="DA92" s="28">
        <f>IFERROR((((CO92+CQ92+CT92)*(1+H2_retrieval!$J$34)+CY92)*1000000/H2_retrieval!$J$8)+h2_regen_meoh,"")</f>
        <v>6912.2629682195111</v>
      </c>
      <c r="DB92" s="149">
        <f>(DBT_invest*(M92+1/DBT_lifetime)/DBT_prod+DBT_opex+DBT_e_demand*1000*$AU92/100+Carriers!$T$18/Carriers!$T$23*BD92)*(DD92+DBT_st_ab_losses)/1000000</f>
        <v>45919.213811573281</v>
      </c>
      <c r="DC92" s="28">
        <f>2*(DBT_st_nl_cost*DBT_st_nl_demand/1000000+(DBT_st_invest*(M92+1/DBT_st_lifetime+DBT_st_opex)/(Storage!$M$63/1000000)+DBT_st_e_demand*1000*$AU92/100)*(DD92+DBT_st_ab_losses)/1000000)+Carriers!$T$18/Carriers!$T$23*((DD92+DBT_st_ab_losses)/365.25*short_st_duration_hrs/24)*(h2_short_st_invest*(1/gh2_short_st_lifetime+$M92+h2_short_st_opex)+h2_short_st_e_demand*1000*$AU92/100)/1000000</f>
        <v>4662.7070233205741</v>
      </c>
      <c r="DD92" s="63">
        <f>Storage!$M$57/((1-Shipping!$N$37)^($F92/24/Shipping!$N$44+0.5*Shipping!$N$59))</f>
        <v>219354838.70967743</v>
      </c>
      <c r="DE92" s="28">
        <f>IF($E92="","No Port",IF(AND(ship_choice="VLCC",G92="Panama"),"Ship cannot pass through Panama",IF(ship_choice="VLCC",((F92/24/Shipping!$AD$44+F92/24/Shipping!$AD$50+Shipping!$AD$59+Shipping!$AD$64)*(Shipping!$AD$22+wacc_nl*Shipping!$AD$19/365.25*1000000+Shipping!$AD$35)+(F92/24/Shipping!$AD$44*Shipping!$AD$45+Shipping!$AD$64*Shipping!$AD$65)*IF(bunker_choice="HFO",$H92,IF(bunker_choice="hydrogen",$BD92*hfo_e_density_lhv/h2_e_density_lhv,(DB92+DC92)*1000000/DD92*hfo_e_density_lhv/DBT_e_density_lhv))+(F92/24/Shipping!$AD$50*Shipping!$AD$51+Shipping!$AD$59*Shipping!$AD$60)*IF(bunker_choice="HFO",bunker_price_ROT,IF(bunker_choice="hydrogen",$BD92*hfo_e_density_lhv/h2_e_density_lhv,(DB92+DC92)*1000000/DD92*hfo_e_density_lhv/DBT_e_density_lhv))+Shipping!$AD$73+IF(G92="Panama",Shipping!$AD$55,0)+IF(G92="Suez",Shipping!$AD$56,0))/Shipping!$AD$31*DD92/1000000+IF(inland_transport_to_port="hv dc grid",$BM92/100*1000*DG92,IF(inland_transport_to_port="pipeline",$BN92,0)),((F92/24/Shipping!$N$44+F92/24/Shipping!$N$50+Shipping!$N$59+Shipping!$N$64)*(Shipping!$N$22+wacc_nl*Shipping!$N$19/365.25*1000000+Shipping!$N$35)+(F92/24/Shipping!$N$44*Shipping!$N$45+Shipping!$N$64*Shipping!$N$65)*IF(bunker_choice="HFO",$H92,IF(bunker_choice="hydrogen",$BD92*hfo_e_density_lhv/h2_e_density_lhv,(DB92+DC92)*1000000/DD92*hfo_e_density_lhv/DBT_e_density_lhv))+(F92/24/Shipping!$N$50*Shipping!$N$51+Shipping!$N$59*Shipping!$N$60)*IF(bunker_choice="HFO",bunker_price_ROT,IF(bunker_choice="hydrogen",$BD92*hfo_e_density_lhv/h2_e_density_lhv,(DB92+DC92)*1000000/DD92*hfo_e_density_lhv/DBT_e_density_lhv))+Shipping!$N$73+IF(G92="Panama",Shipping!$N$55,0)+IF(G92="Suez",Shipping!$N$56,0))/Shipping!$N$31*Shipping!$N$86/1000000+IF(inland_transport_to_port="hv dc grid",$BM92/100*1000*DG92,IF(inland_transport_to_port="pipeline",$BN92,0)))))</f>
        <v>6898.8162191138535</v>
      </c>
      <c r="DF92" s="28">
        <f t="shared" si="82"/>
        <v>57480.73705400771</v>
      </c>
      <c r="DG92" s="29">
        <f>((Carriers!$T$18/Carriers!$T$23*alk_el_e_demand)+DBT_e_demand)*(DD92+DBT_st_ab_losses)/1000000+DBT_st_e_demand*DD92/1000000</f>
        <v>703.88335483870969</v>
      </c>
      <c r="DH92" s="29">
        <f t="shared" si="105"/>
        <v>0.21935483870967742</v>
      </c>
      <c r="DI92" s="28">
        <f>IFERROR(DF92*1000000/Storage!$M$12,"")</f>
        <v>262.04453656974101</v>
      </c>
      <c r="DJ92" s="28">
        <f>IF($E92="","No Port",((F92/24/Shipping!$N$44+F92/24/Shipping!$N$50+Shipping!$N$59+Shipping!$N$64)*Carriers!$T$39*wacc_nl))</f>
        <v>3740.7278486600312</v>
      </c>
      <c r="DK92" s="100">
        <f>H2_retrieval!$L$25*h2_demand_kt/1000+(co2_liq_e_demand+co2_st_e_demand*2)*Storage!$M$12*co2_density/DBT_density/1000000</f>
        <v>206.61934861671787</v>
      </c>
      <c r="DL92" s="28">
        <f>IFERROR(((DF92*(1+H2_retrieval!$L$34)+DJ92)*1000000/H2_retrieval!$L$8)+h2_regen_lohc,"")</f>
        <v>4972.2280823055407</v>
      </c>
      <c r="DM92" s="149">
        <f t="shared" si="127"/>
        <v>54479.909672837428</v>
      </c>
      <c r="DN92" s="16">
        <f>2*(nabh4_st_nl_cost*nabh4_st_nl_demand/1000000+(nabh4_st_invest*(M92+1/nabh4_st_lifetime+nabh4_st_opex)/(Storage!$O$63/1000000)+nabh4_st_e_demand*1000*$AU92/100)*(DO92+nabh4_st_ab_losses)/1000000)+(h2_demand_kt*1000/365.25*short_st_duration_hrs/24)*(h2_short_st_invest*(1/gh2_short_st_lifetime+$M92+h2_short_st_opex)+h2_short_st_e_demand*1000*$AU92/100)/1000000</f>
        <v>1564.3562371504856</v>
      </c>
      <c r="DO92" s="63">
        <f>Storage!$O$57/((1-Shipping!$P$37)^($F92/24/Shipping!$P$44+0.5*Shipping!$P$59))</f>
        <v>63920000</v>
      </c>
      <c r="DP92" s="16">
        <f>IF($E92="","No Port",((F92/24/Shipping!$P$44+F92/24/Shipping!$P$50+Shipping!$P$59+Shipping!$P$64)*(Shipping!$P$22+wacc_nl*Shipping!$P$19/365.25*1000000+Shipping!$P$35)+(F92/24/Shipping!$P$44*Shipping!$P$45+Shipping!$P$64*Shipping!$P$65)*IF(bunker_choice="HFO",$H92,IF(bunker_choice="hydrogen",$BD92*hfo_e_density_lhv/h2_e_density_lhv,(DM92+DN92)*1000000/DO92*hfo_e_density_lhv/nabh4_e_density_lhv))+(F92/24/Shipping!$P$50*Shipping!$P$51+Shipping!$P$59*Shipping!$P$60)*IF(bunker_choice="HFO",bunker_price_ROT,IF(bunker_choice="hydrogen",$BD92*hfo_e_density_lhv/h2_e_density_lhv,(DM92+DN92)*1000000/DO92*hfo_e_density_lhv/nabh4_e_density_lhv))+Shipping!$P$73+IF(G92="Panama",Shipping!$P$55,0)+IF(G92="Suez",Shipping!$P$56,0))/Shipping!$P$31*(DO92+nabh4_st_ab_losses)/1000000+IF(inland_transport_to_port="hv dc grid",$BM92/100*1000*DR92,IF(inland_transport_to_port="pipeline",$BN92,0)))</f>
        <v>3200.9043020035238</v>
      </c>
      <c r="DQ92" s="28">
        <f t="shared" si="60"/>
        <v>59245.170211991441</v>
      </c>
      <c r="DR92" s="29">
        <f>((Carriers!$V$18/Carriers!$V$23*alk_el_e_demand)+nabh4_e_demand)*(DO92+nabh4_st_ab_losses)/1000000+nabh4_st_e_demand*DO92/1000000</f>
        <v>980.02139682539689</v>
      </c>
      <c r="DS92" s="28">
        <f t="shared" si="106"/>
        <v>3.1960000000000002</v>
      </c>
      <c r="DT92" s="28">
        <f>IFERROR(DQ92*1000000/Storage!$O$12,"")</f>
        <v>926.86436501863955</v>
      </c>
      <c r="DU92" s="28">
        <f>IF($E92="","No Port",((F92/24/Shipping!$P$44+F92/24/Shipping!$P$50+Shipping!$P$59+Shipping!$P$64)*Carriers!$V$39*wacc_nl))</f>
        <v>357.28170367070231</v>
      </c>
      <c r="DV92" s="100">
        <f>H2_retrieval!$N$25*h2_demand_kt/1000+(co2_liq_e_demand+co2_st_e_demand*2)*Storage!$O$12*co2_density/nabh4_density/1000000</f>
        <v>18.783638728971958</v>
      </c>
      <c r="DW92" s="28">
        <f>IFERROR(((DQ92*(1+H2_retrieval!$N$34)+DU92)*1000000/H2_retrieval!$N$8)+h2_regen_nabh4,"")</f>
        <v>4476.5326898551957</v>
      </c>
      <c r="DX92" s="149">
        <f>(Dme_invest*(M92+1/Dme_lifetime)/Dme_prod+Dme_opex+Dme_e_demand*1000*$AU92/100+Carriers!$X$21/Carriers!$X$23*(CO92*1000000/CS92))*(EB92+Dme_st_ab_losses)/1000000</f>
        <v>95897.01758405834</v>
      </c>
      <c r="DY92" s="86">
        <f>(Dme_invest*(M92+1/Dme_lifetime)/Dme_prod+Dme_opex+Dme_e_demand*1000*$AU92/100+Carriers!$X$21/Carriers!$X$23*(CP92*1000000/CS92))*(EB92+Dme_st_ab_losses)/1000000</f>
        <v>121492.1614483257</v>
      </c>
      <c r="DZ92" s="63">
        <f>Dme_st_nl_cost*Dme_st_nl_demand/1000000+(Dme_st_invest*(M92+1/Dme_st_lifetime+Dme_st_opex)/(Storage!$Q$63/1000000)+Dme_st_e_demand*1000*$AU92/100)*(EB92+Dme_st_ab_losses)/1000000+co2_st_nl_cost*Storage!$Q$12*co2_density/Dme_density/1000000+(co2_st_opex_lev+co2_st_invest_lev+co2_st_e_demand*1000*$AU92/100)*Storage!$Q$12/1000000+co2_st_invest_lev*Storage!$Q$12*co2_st_lifetime*M92/1000000+(h2_demand_kt*1000/365.25*short_st_duration_hrs/24)*(h2_short_st_invest*(1/gh2_short_st_lifetime+$M92+h2_short_st_opex)+h2_short_st_e_demand*1000*$AU92/100)/1000000</f>
        <v>6505.95967573695</v>
      </c>
      <c r="EA92" s="63">
        <f>Dme_st_nl_cost*Dme_st_nl_demand/1000000+(Dme_st_invest*(M92+1/Dme_st_lifetime+Dme_st_opex)/(Storage!$Q$63/1000000)+Dme_st_e_demand*1000*$AU92/100)*(EB92+Dme_st_ab_losses)/1000000+(h2_demand_kt*1000/365.25*short_st_duration_hrs/24)*(h2_short_st_invest*(1/gh2_short_st_lifetime+$M92+h2_short_st_opex)+h2_short_st_e_demand*1000*$AU92/100)/1000000</f>
        <v>3398.6690315882165</v>
      </c>
      <c r="EB92" s="63">
        <f>Storage!$Q$57/((1-Shipping!$R$37)^($F92/24/Shipping!$R$44+0.5*Shipping!$R$59))</f>
        <v>103547089.94708996</v>
      </c>
      <c r="EC92" s="153">
        <f>IF($E92="","No Port",IF(AND(ship_choice="VLCC",G92="Panama"),"Ship cannot pass through Panama",IF(ship_choice="VLCC",((F92/24/Shipping!$AD$44+F92/24/Shipping!$AD$50+Shipping!$AD$59+Shipping!$AD$64)*(Shipping!$AD$22+wacc_nl*Shipping!$AD$19/365.25*1000000+Shipping!$AD$35)+(F92/24/Shipping!$AD$44*Shipping!$AD$45+Shipping!$AD$64*Shipping!$AD$65)*IF(bunker_choice="HFO",$H92,IF(bunker_choice="hydrogen",$BD92*hfo_e_density_lhv/h2_e_density_lhv,(DX92+DZ92)*1000000/EB92*hfo_e_density_lhv/Dme_e_density_lhv))+(F92/24/Shipping!$AD$50*Shipping!$AD$51+Shipping!$AD$59*Shipping!$AD$60)*IF(bunker_choice="HFO",bunker_price_ROT,IF(bunker_choice="hydrogen",$BD92*hfo_e_density_lhv/h2_e_density_lhv,(DX92+DZ92)*1000000/EB92*hfo_e_density_lhv/Dme_e_density_lhv))+Shipping!$AD$73+IF(G92="Panama",Shipping!$AD$55,0)+IF(G92="Suez",Shipping!$AD$56,0))/Shipping!$AD$31*(EB92+Dme_st_ab_losses)/1000000+IF(inland_transport_to_port="hv dc grid",$BM92/100*1000*EE92,IF(inland_transport_to_port="pipeline",$BN92,0)),((F92/24/Shipping!$R$44+F92/24/Shipping!$R$50+Shipping!$R$59+Shipping!$R$64)*(Shipping!$R$22+wacc_nl*Shipping!$R$19/365.25*1000000+Shipping!$R$35)+(F92/24/Shipping!$R$44*Shipping!$R$45+Shipping!$R$64*Shipping!$R$65)*IF(bunker_choice="HFO",$H92,IF(bunker_choice="hydrogen",$BD92*hfo_e_density_lhv/h2_e_density_lhv,(DX92+DZ92)*1000000/EB92*hfo_e_density_lhv/Dme_e_density_lhv))+(F92/24/Shipping!$R$50*Shipping!$R$51+Shipping!$R$59*Shipping!$R$60)*IF(bunker_choice="HFO",bunker_price_ROT,IF(bunker_choice="hydrogen",$BD92*hfo_e_density_lhv/h2_e_density_lhv,(DX92+DZ92)*1000000/EB92*hfo_e_density_lhv/Dme_e_density_lhv))+Shipping!$R$73+IF(G92="Panama",Shipping!$R$55,0)+IF(G92="Suez",Shipping!$R$56,0))/Shipping!$R$31*(EB92+Dme_st_ab_losses)/1000000+IF(inland_transport_to_port="hv dc grid",$BM92/100*1000*EE92,IF(inland_transport_to_port="pipeline",$BN92,0)))))</f>
        <v>4601.5545974797396</v>
      </c>
      <c r="ED92" s="28">
        <f t="shared" si="134"/>
        <v>129492.38507739366</v>
      </c>
      <c r="EE92" s="29">
        <f>(Dme_e_demand)*(EB92+Dme_st_ab_losses)/1000000+Dme_st_e_demand*DZ92/1000000+$CV92*(Carriers!$X$21/Carriers!$X$23*EB92)/$CS92</f>
        <v>1550.2168252266526</v>
      </c>
      <c r="EF92" s="29">
        <f t="shared" si="107"/>
        <v>1.0354708994708997</v>
      </c>
      <c r="EG92" s="28">
        <f>IFERROR(ED92*1000000/Storage!$Q$12,"")</f>
        <v>1250.5651790268671</v>
      </c>
      <c r="EH92" s="28">
        <f>IF($E92="","No Port",((F92/24/Shipping!$R$44+F92/24/Shipping!$R$50+Shipping!$R$59+Shipping!$R$64)*Carriers!$X$39*wacc_nl))</f>
        <v>52.641906544727327</v>
      </c>
      <c r="EI92" s="100">
        <f>H2_retrieval!$P$25*h2_demand_kt/1000+(co2_liq_e_demand+co2_st_e_demand*2)*Storage!$Q$12*co2_density/Dme_density/1000000</f>
        <v>252.45335899349112</v>
      </c>
      <c r="EJ92" s="28">
        <f>IFERROR((((DX92+DZ92+EC92)*(1+H2_retrieval!$P$34)+EH92)*1000000/H2_retrieval!$P$8)+h2_regen_dme,"")</f>
        <v>9041.9795552416854</v>
      </c>
      <c r="EK92" s="149">
        <f>(ome_invest*(M92+1/ome_lifetime)/ome_prod+ome_opex+ome_e_demand*1000*$AU92/100+Carriers!$Z$21/Carriers!$Z$23*(CO92*1000000/CS92))*(EO92+ome_st_ab_losses)/1000000</f>
        <v>208910.64469073823</v>
      </c>
      <c r="EL92" s="86">
        <f>(ome_invest*(M92+1/ome_lifetime)/ome_prod+ome_opex+ome_e_demand*1000*$AU92/100+Carriers!$Z$21/Carriers!$Z$23*(CP92*1000000/CS92))*(EO92+ome_st_ab_losses)/1000000</f>
        <v>262639.83409017965</v>
      </c>
      <c r="EM92" s="63">
        <f>ome_st_nl_cost*ome_st_nl_demand/1000000+(ome_st_invest*(M92+1/ome_st_lifetime+ome_st_opex)/(Storage!$S$63/1000000)+ome_st_e_demand*1000*$AU92/100)*(EO92+ome_st_ab_losses)/1000000+co2_st_nl_cost*Storage!$S$12*co2_density/ome_density/1000000+(co2_st_opex_lev+co2_st_invest_lev+co2_st_e_demand*1000*$AU92/100)*Storage!$S$12/1000000+co2_st_invest_lev*Storage!$S$12*co2_st_lifetime*M92/1000000+(h2_demand_kt*1000/365.25*short_st_duration_hrs/24)*(h2_short_st_invest*(1/gh2_short_st_lifetime+$M92+h2_short_st_opex)+h2_short_st_e_demand*1000*$AU92/100)/1000000</f>
        <v>5570.9231310035084</v>
      </c>
      <c r="EN92" s="63">
        <f>ome_st_nl_cost*ome_st_nl_demand/1000000+(ome_st_invest*(M92+1/ome_st_lifetime+ome_st_opex)/(Storage!$S$63/1000000)+ome_st_e_demand*1000*$AU92/100)*(EO92+ome_st_ab_losses)/1000000+(h2_demand_kt*1000/365.25*short_st_duration_hrs/24)*(h2_short_st_invest*(1/gh2_short_st_lifetime+$M92+h2_short_st_opex)+h2_short_st_e_demand*1000*$AU92/100)/1000000</f>
        <v>2060.3271081965149</v>
      </c>
      <c r="EO92" s="63">
        <f>Storage!$S$57/((1-Shipping!$T$37)^($F92/24/Shipping!$T$44+0.5*Shipping!$T$59))</f>
        <v>128282539.68253967</v>
      </c>
      <c r="EP92" s="28">
        <f>IF($E92="","No Port",IF(AND(ship_choice="VLCC",G92="Panama"),"Ship cannot pass through Panama",IF(ship_choice="VLCC",((F92/24/Shipping!$AD$44+F92/24/Shipping!$AD$50+Shipping!$AD$59+Shipping!$AD$64)*(Shipping!$AD$22+wacc_nl*Shipping!$AD$19/365.25*1000000+Shipping!$AD$35)+(F92/24/Shipping!$AD$44*Shipping!$AD$45+Shipping!$AD$64*Shipping!$AD$65)*IF(bunker_choice="HFO",$H92,IF(bunker_choice="hydrogen",$BD92*hfo_e_density_lhv/h2_e_density_lhv,(EK92+EM92)*1000000/EO92*hfo_e_density_lhv/Dme_e_density_lhv))+(F92/24/Shipping!$AD$50*Shipping!$AD$51+Shipping!$AD$59*Shipping!$AD$60)*IF(bunker_choice="HFO",bunker_price_ROT,IF(bunker_choice="hydrogen",$BD92*hfo_e_density_lhv/h2_e_density_lhv,(EK92+EM92)*1000000/EO92*hfo_e_density_lhv/ome_e_density_lhv))+Shipping!$AD$73+IF(G92="Panama",Shipping!$AD$55,0)+IF(G92="Suez",Shipping!$AD$56,0))/Shipping!$AD$31*(EO92+ome_st_ab_losses)/1000000+IF(inland_transport_to_port="hv dc grid",$BM92/100*1000*ER92,IF(inland_transport_to_port="pipeline",$BN92,0)),((F92/24/Shipping!$T$44+F92/24/Shipping!$T$50+Shipping!$T$59+Shipping!$T$64)*(Shipping!$T$22+wacc_nl*Shipping!$T$19/365.25*1000000+Shipping!$T$35)+(F92/24/Shipping!$T$44*Shipping!$T$45+Shipping!$T$64*Shipping!$T$65)*IF(bunker_choice="HFO",$H92,IF(bunker_choice="hydrogen",$BD92*hfo_e_density_lhv/h2_e_density_lhv,(EK92+EM92)*1000000/EO92*hfo_e_density_lhv/Dme_e_density_lhv))+(F92/24/Shipping!$T$50*Shipping!$T$51+Shipping!$T$59*Shipping!$T$60)*IF(bunker_choice="HFO",bunker_price_ROT,IF(bunker_choice="hydrogen",$BD92*hfo_e_density_lhv/h2_e_density_lhv,(EK92+EM92)*1000000/EO92*hfo_e_density_lhv/ome_e_density_lhv))+Shipping!$T$73+IF(G92="Panama",Shipping!$T$55,0)+IF(G92="Suez",Shipping!$T$56,0))/Shipping!$T$31*(EO92+ome_st_ab_losses)/1000000+IF(inland_transport_to_port="hv dc grid",$BM92/100*1000*ER92,IF(inland_transport_to_port="pipeline",$BN92,0)))))</f>
        <v>4888.3870160427014</v>
      </c>
      <c r="EQ92" s="28">
        <f t="shared" si="135"/>
        <v>269588.54821441887</v>
      </c>
      <c r="ER92" s="29">
        <f>(ome_e_demand)*(EO92+ome_st_ab_losses)/1000000+ome_st_e_demand*EM92/1000000+$CV92*(Carriers!$Z$21/Carriers!$Z$23*EO92)/$CS92</f>
        <v>3352.0814584971681</v>
      </c>
      <c r="ES92" s="29">
        <f t="shared" si="108"/>
        <v>0.1924238095238095</v>
      </c>
      <c r="ET92" s="28">
        <f>IFERROR(EQ92*1000000/Storage!$S$12,"")</f>
        <v>2101.5217572209644</v>
      </c>
      <c r="EU92" s="28">
        <f>IF($E92="","No Port",((F92/24/Shipping!$T$44+F92/24/Shipping!$T$50+Shipping!$T$59+Shipping!$T$64)*Carriers!$Z$39*wacc_nl))</f>
        <v>60.980547515356349</v>
      </c>
      <c r="EV92" s="100">
        <f>H2_retrieval!$R$25*h2_demand_kt/1000+(co2_liq_e_demand+co2_st_e_demand*2)*Storage!$S$12*co2_density/ome_density/1000000</f>
        <v>254.51942895252085</v>
      </c>
      <c r="EW92" s="28">
        <f>IFERROR((((EK92+EM92+EP92)*(1+H2_retrieval!$R$34)+EU92)*1000000/H2_retrieval!$R$8)+h2_regen_ome,"")</f>
        <v>17304.756145056392</v>
      </c>
      <c r="EX92" s="149">
        <f>(sng_invest*(M92+1/sng_lifetime)/sng_prod+lng_invest*(M92+1/lng_lifetime)/lng_prod+sng_opex+lng_opex+(sng_e_demand+lng_e_demand)*1000*$AU92/100+Carriers!$AB$18/Carriers!$AB$23*BD92+Carriers!$AB$20/Carriers!$AB$23*co2_liq_cost)*(FB92+lng_st_ab_losses)/1000000</f>
        <v>74100.379017585248</v>
      </c>
      <c r="EY92" s="86">
        <f>(sng_invest*(M92+1/sng_lifetime)/sng_prod+lng_invest*(M92+1/lng_lifetime)/lng_prod+sng_opex+lng_opex+(sng_e_demand+lng_e_demand)*1000*$AU92/100+Carriers!$AB$18/Carriers!$AB$23*BD92+Carriers!$AB$20/Carriers!$AB$23*BP92)*(FB92+lng_st_ab_losses)/1000000</f>
        <v>88158.810692516694</v>
      </c>
      <c r="EZ92" s="63">
        <f>lng_st_nl_cost*lng_st_nl_demand/1000000+(lng_st_invest*(M92+1/lng_st_lifetime+lng_st_opex)/(Storage!$U$63/1000000)+lng_st_e_demand*1000*$AU92/100)*(FB92+lng_st_ab_losses)/1000000+co2_st_nl_cost*Storage!$U$12*co2_density/lng_density/1000000+(co2_st_opex_lev+co2_st_invest_lev+co2_st_e_demand*1000*$AU92/100)*Storage!$U$12/1000000+co2_st_invest_lev*Storage!$U$12*co2_st_lifetime*M92/1000000+Carriers!$AB$18/Carriers!$AB$23*((FB92+lng_st_ab_losses)/365.25*short_st_duration_hrs/24)*(h2_short_st_invest*(1/gh2_short_st_lifetime+$M92+h2_short_st_opex)+h2_short_st_e_demand*1000*$AU92/100)/1000000+Carriers!$AB$20/Carriers!$AB$23*((FB92+lng_st_ab_losses)/365.25*short_st_duration_hrs/24)*(co2_short_st_invest*(1/co2_short_st_lifetime+$M92+co2_short_st_opex)+co2_short_st_e_demand*1000*$AU92/100)/1000000</f>
        <v>6961.6314374174663</v>
      </c>
      <c r="FA92" s="63">
        <f>lng_st_nl_cost*lng_st_nl_demand/1000000+(lng_st_invest*(M92+1/lng_st_lifetime+lng_st_opex)/(Storage!$U$63/1000000)+lng_st_e_demand*1000*$AU92/100)*(FB92+lng_st_ab_losses)/1000000+Carriers!$AB$18/Carriers!$AB$23*((FB92+lng_st_ab_losses)/365.25*short_st_duration_hrs/24)*(h2_short_st_invest*(1/gh2_short_st_lifetime+$M92+h2_short_st_opex)+h2_short_st_e_demand*1000*$AU92/100)/1000000+Carriers!$AB$20/Carriers!$AB$23*((FB92+lng_st_ab_losses)/365.25*short_st_duration_hrs/24)*(co2_short_st_invest*(1/co2_short_st_lifetime+$M92+co2_short_st_opex)+co2_short_st_e_demand*1000*$AU92/100)/1000000</f>
        <v>5306.0751812725302</v>
      </c>
      <c r="FB92" s="63">
        <f>Storage!$U$57/((1-Shipping!$V$37)^($F92/24/Shipping!$V$44+0.5*Shipping!$V$59))</f>
        <v>41022479.496194676</v>
      </c>
      <c r="FC92" s="28">
        <f>IF($E92="","No Port",IF(G92="Panama","Ship cannot pass through Panama",((F92/24/Shipping!$V$44+F92/24/Shipping!$V$50+Shipping!$V$59+Shipping!$V$64)*(Shipping!$V$22+wacc_nl*Shipping!$V$19/365.25*1000000+Shipping!$V$35)+(F92/24/Shipping!$V$44*Shipping!$V$45+Shipping!$V$64*Shipping!$V$65)*IF(bunker_choice="HFO",$H92,IF(bunker_choice="hydrogen",$BD92*hfo_e_density_lhv/h2_e_density_lhv,(EX92+EZ92)*1000000/FB92*hfo_e_density_lhv/lng_e_density_lhv))+(F92/24/Shipping!$V$50*Shipping!$V$51+Shipping!$V$59*Shipping!$V$60)*IF(bunker_choice="HFO",bunker_price_ROT,IF(bunker_choice="hydrogen",$BD92*hfo_e_density_lhv/h2_e_density_lhv,(EX92+EZ92)*1000000/FB92*hfo_e_density_lhv/lng_e_density_lhv))+Shipping!$V$73+IF(G92="Panama",Shipping!$V$55,0)+IF(G92="Suez",Shipping!$V$56,0))/Shipping!$V$31*(FB92+lng_st_ab_losses)/1000000)+IF(inland_transport_to_port="hv dc grid",$BM92/100*1000*FE92,IF(inland_transport_to_port="pipeline",$BN92,0)))</f>
        <v>2922.1294568324838</v>
      </c>
      <c r="FD92" s="28">
        <f t="shared" si="136"/>
        <v>96387.015330621711</v>
      </c>
      <c r="FE92" s="29">
        <f>((Carriers!$AB$18/Carriers!$AB$23*alk_el_e_demand)+sng_e_demand+lng_e_demand)*(FB92+lng_st_ab_losses)/1000000+lng_st_e_demand*EZ92/1000000</f>
        <v>1100.1970143434376</v>
      </c>
      <c r="FF92" s="29">
        <f t="shared" si="109"/>
        <v>0.8126185861001558</v>
      </c>
      <c r="FG92" s="28">
        <f>IFERROR(FD92*1000000/Storage!$U$12,"")</f>
        <v>2374.9929465852501</v>
      </c>
      <c r="FH92" s="28">
        <f>IF($E92="","No Port",((F92/24/Shipping!$V$44+F92/24/Shipping!$V$50+Shipping!$V$59+Shipping!$V$64)*Carriers!$AB$39*wacc_nl))</f>
        <v>18.247386267987924</v>
      </c>
      <c r="FI92" s="100">
        <f>H2_retrieval!$T$25*h2_demand_kt/1000+(co2_liq_e_demand+co2_st_e_demand*2)*Storage!$U$12*co2_density/lng_density/1000000</f>
        <v>236.51371749646054</v>
      </c>
      <c r="FJ92" s="28">
        <f>IFERROR((((EX92+EZ92+FC92)*(1+H2_retrieval!$T$34)+FH92)*1000000/H2_retrieval!$T$8)+h2_regen_lng,"")</f>
        <v>7346.7746680566452</v>
      </c>
      <c r="FK92" s="149">
        <f>(lh2_invest*(M92+1/lh2_lifetime)/lh2_prod+lh2_opex+lh2_e_demand*1000*$AU92/100+Carriers!$AD$18/Carriers!$AD$23*BD92)*(FM92+lh2_st_ab_losses)/1000000</f>
        <v>58571.23779713222</v>
      </c>
      <c r="FL92" s="28">
        <f>lh2_st_nl_cost*lh2_st_nl_demand/1000000+(lh2_st_invest*(M92+1/lh2_st_lifetime+lh2_st_opex)/(Storage!$Y$63/1000000)+lh2_st_e_demand*1000*$AU92/100)*(FM92+lh2_st_ab_losses)/1000000+((FM92+lh2_st_ab_losses)/365.25*short_st_duration_hrs/24)*(h2_short_st_invest*(1/gh2_short_st_lifetime+$M92+h2_short_st_opex)+h2_short_st_e_demand*1000*$AU92/100)/1000000</f>
        <v>60942.608288522933</v>
      </c>
      <c r="FM92" s="63">
        <f>Storage!$Y$57/((1-Shipping!$Z$37)^($F92/24/Shipping!$Z$44+0.5*Shipping!$Z$59))</f>
        <v>13829699.706607798</v>
      </c>
      <c r="FN92" s="28">
        <f>IF($E92="","No Port",IF(G92="Panama","Ship cannot pass through Panama",((F92/24/Shipping!$Z$44+F92/24/Shipping!$Z$50+Shipping!$Z$59+Shipping!$Z$64)*(Shipping!$Z$22+wacc_nl*Shipping!$Z$19/365.25*1000000+Shipping!$Z$35)+(F92/24/Shipping!$Z$44*Shipping!$Z$45+Shipping!$Z$64*Shipping!$Z$65)*IF(bunker_choice="HFO",$H92,IF(bunker_choice="hydrogen",$BD92*hfo_e_density_lhv/h2_e_density_lhv,(FK92+FL92)*1000000/FM92*hfo_e_density_lhv/lh2_e_density_lhv))+(F92/24/Shipping!$Z$50*Shipping!$Z$51+Shipping!$Z$59*Shipping!$Z$60)*IF(bunker_choice="HFO",bunker_price_ROT,IF(bunker_choice="hydrogen",$BD92*hfo_e_density_lhv/h2_e_density_lhv,(FK92+FL92)*1000000/FM92*hfo_e_density_lhv/lh2_e_density_lhv))+Shipping!$Z$73+IF(G92="Panama",Shipping!$Z$55,0)+IF(G92="Suez",Shipping!$Z$56,0))/Shipping!$Z$31*(FM92+lh2_st_ab_losses)/1000000)+IF(inland_transport_to_port="hv dc grid",$BM92/100*1000*FP92,IF(inland_transport_to_port="pipeline",$BN92,0)))</f>
        <v>3724.7567974541198</v>
      </c>
      <c r="FO92" s="28">
        <f t="shared" si="128"/>
        <v>123238.60288310927</v>
      </c>
      <c r="FP92" s="29">
        <f>((Carriers!$AD$18/Carriers!$AD$23*alk_el_e_demand)+lh2_e_demand)*(FM92+lh2_st_ab_losses)/1000000+lh2_st_e_demand*FM92/1000000</f>
        <v>801.42377517139687</v>
      </c>
      <c r="FQ92" s="100">
        <f t="shared" si="110"/>
        <v>1.361902463475859</v>
      </c>
      <c r="FR92" s="28">
        <f>IFERROR(FO92*1000000/Storage!$Y$12,"")</f>
        <v>9061.6619766992117</v>
      </c>
      <c r="FS92" s="100">
        <f>H2_retrieval!$V$25*h2_demand_kt/1000</f>
        <v>8.16</v>
      </c>
      <c r="FT92" s="28">
        <f>IFERROR(FR92*(1+H2_retrieval!$V$34)/Carrier_properties!$U$7+H2_retrieval!$V$38,"")</f>
        <v>9093.6307025676797</v>
      </c>
      <c r="FU92" s="12"/>
      <c r="FV92" s="24">
        <f t="shared" si="129"/>
        <v>2.6644335337976477</v>
      </c>
      <c r="FW92" s="24" t="str">
        <f t="shared" si="92"/>
        <v/>
      </c>
      <c r="FX92" s="24">
        <f t="shared" si="93"/>
        <v>10.23567835963817</v>
      </c>
      <c r="FY92" s="24">
        <f t="shared" si="130"/>
        <v>2.6644335337976477</v>
      </c>
      <c r="FZ92" s="28">
        <f t="shared" si="94"/>
        <v>3106.8851999617718</v>
      </c>
      <c r="GA92" s="28">
        <f t="shared" si="137"/>
        <v>718.92196944523016</v>
      </c>
      <c r="GB92" s="28">
        <f t="shared" si="138"/>
        <v>467.18258657587899</v>
      </c>
      <c r="GC92" s="28">
        <f t="shared" si="139"/>
        <v>804.53364072819795</v>
      </c>
      <c r="GD92" s="28">
        <f t="shared" si="140"/>
        <v>1173.3034845344785</v>
      </c>
      <c r="GE92" s="28">
        <f t="shared" si="141"/>
        <v>2047.354493761454</v>
      </c>
      <c r="GF92" s="28">
        <f t="shared" si="142"/>
        <v>2149.0366202924051</v>
      </c>
      <c r="GG92" s="12"/>
      <c r="GH92" s="12"/>
      <c r="GI92" s="12"/>
      <c r="GJ92" s="12"/>
      <c r="GK92" s="12"/>
      <c r="GL92" s="12"/>
      <c r="GM92" s="12"/>
      <c r="GN92" s="12"/>
      <c r="GO92" s="12"/>
      <c r="GP92" s="12"/>
      <c r="GQ92" s="12"/>
      <c r="GR92" s="12"/>
      <c r="GS92" s="12"/>
      <c r="GT92" s="12"/>
      <c r="GU92" s="12"/>
      <c r="GV92" s="12"/>
      <c r="GW92" s="12"/>
      <c r="GX92" s="12"/>
      <c r="GY92" s="12"/>
      <c r="GZ92" s="12"/>
      <c r="HA92" s="12"/>
      <c r="HB92" s="12"/>
      <c r="HC92" s="12"/>
      <c r="HD92" s="12"/>
      <c r="HE92" s="12"/>
      <c r="HF92" s="12"/>
    </row>
    <row r="93" spans="1:214" x14ac:dyDescent="0.2">
      <c r="A93" s="154" t="s">
        <v>96</v>
      </c>
      <c r="B93" s="12">
        <v>9512</v>
      </c>
      <c r="C93" s="12">
        <v>0.8</v>
      </c>
      <c r="D93" s="12">
        <f t="shared" si="111"/>
        <v>0.19999999999999996</v>
      </c>
      <c r="E93" s="12" t="s">
        <v>755</v>
      </c>
      <c r="F93" s="12">
        <v>6997</v>
      </c>
      <c r="G93" s="12" t="s">
        <v>692</v>
      </c>
      <c r="H93" s="16">
        <f t="shared" si="112"/>
        <v>382.75862068965517</v>
      </c>
      <c r="I93" s="16">
        <v>2030</v>
      </c>
      <c r="J93" s="16">
        <f t="shared" si="113"/>
        <v>25.41985580118611</v>
      </c>
      <c r="K93" s="27">
        <f t="shared" si="114"/>
        <v>30.503826961423329</v>
      </c>
      <c r="L93" s="103">
        <v>0.125</v>
      </c>
      <c r="M93" s="103">
        <f t="shared" si="115"/>
        <v>0.12982270752073657</v>
      </c>
      <c r="N93" s="122">
        <f t="shared" si="116"/>
        <v>0.9</v>
      </c>
      <c r="O93" s="46">
        <f t="shared" si="117"/>
        <v>40</v>
      </c>
      <c r="P93" s="70">
        <f t="array" ref="P93">SUMPRODUCT(IF(Solar_data!A$4:A$777=A93,Solar_data!C$4:C$777),IF(Solar_data!A$4:A$777=A93,Solar_data!I$4:I$777))/SUMIF(Solar_data!A$4:A$777,A93,Solar_data!I$4:I$777)</f>
        <v>1945.9804988889352</v>
      </c>
      <c r="Q93" s="16">
        <f t="array" ref="Q93">MAX(IF(Solar_data!$A$777:'Solar_data'!$A$4=Country_details!$A93,Solar_data!$C$4:'Solar_data'!$C$777))</f>
        <v>2098.75</v>
      </c>
      <c r="R93" s="16">
        <f t="array" ref="R93">MIN(IF(Solar_data!$A$777:'Solar_data'!$A$4=Country_details!A93,Solar_data!$C$4:'Solar_data'!$C$777))</f>
        <v>1733.75</v>
      </c>
      <c r="S93" s="24">
        <f t="shared" si="95"/>
        <v>2.3853377127282265</v>
      </c>
      <c r="T93" s="24">
        <f t="shared" si="96"/>
        <v>2.2117072887354214</v>
      </c>
      <c r="U93" s="24">
        <f t="shared" si="97"/>
        <v>2.6773298758376156</v>
      </c>
      <c r="V93" s="16">
        <f t="array" ref="V93">SUM(IF(Solar_data!$A$777:'Solar_data'!$A$4=Country_details!$A93,Solar_data!$I$4:'Solar_data'!$I$777))</f>
        <v>10.801359569734201</v>
      </c>
      <c r="W93" s="148"/>
      <c r="X93" s="16" t="str">
        <f>IFERROR(INDEX(Onshore_wind_data!$J$5:'Onshore_wind_data'!$J$221,MATCH(A93,Onshore_wind_data!$B$5:'Onshore_wind_data'!$B$221,0)),"")</f>
        <v/>
      </c>
      <c r="Y93" s="16" t="str">
        <f>IFERROR(INDEX(Onshore_wind_data!$K$5:'Onshore_wind_data'!$K$221,MATCH(A93,Onshore_wind_data!$B$5:'Onshore_wind_data'!$B$221,0)),"")</f>
        <v/>
      </c>
      <c r="Z93" s="16" t="str">
        <f>IFERROR(INDEX(Onshore_wind_data!$L$5:'Onshore_wind_data'!$L$221,MATCH(A93,Onshore_wind_data!$B$5:'Onshore_wind_data'!$B$221,0)),"")</f>
        <v/>
      </c>
      <c r="AA93" s="24" t="str">
        <f t="shared" si="118"/>
        <v/>
      </c>
      <c r="AB93" s="24" t="str">
        <f t="shared" si="119"/>
        <v/>
      </c>
      <c r="AC93" s="24" t="str">
        <f t="shared" si="120"/>
        <v/>
      </c>
      <c r="AD93" s="16">
        <f>IFERROR(INDEX(Onshore_wind_data!$I$5:'Onshore_wind_data'!$I$221,MATCH(A93,Onshore_wind_data!$B$5:'Onshore_wind_data'!$B$221,0)),"")</f>
        <v>0</v>
      </c>
      <c r="AE93" s="148"/>
      <c r="AF93" s="16">
        <f>INDEX(Offshore_wind_data!$AA$7:$AA$192,MATCH(Country_details!A93,Offshore_wind_data!$A$7:$A$192,0))</f>
        <v>4204.6329724208372</v>
      </c>
      <c r="AG93" s="16">
        <f>INDEX(Offshore_wind_data!$Y$7:$Y$192,MATCH(Country_details!A93,Offshore_wind_data!$A$7:$A$192,0))</f>
        <v>4204.8</v>
      </c>
      <c r="AH93" s="16">
        <f>INDEX(Offshore_wind_data!$Z$7:$Z$192,MATCH(Country_details!A93,Offshore_wind_data!$A$7:$A$192,0))</f>
        <v>3854.4</v>
      </c>
      <c r="AI93" s="24">
        <f t="shared" si="98"/>
        <v>6.6534176077671479</v>
      </c>
      <c r="AJ93" s="24">
        <f t="shared" si="99"/>
        <v>6.6531533135709475</v>
      </c>
      <c r="AK93" s="24">
        <f t="shared" si="100"/>
        <v>7.2579854329864881</v>
      </c>
      <c r="AL93" s="16">
        <f>INDEX(Offshore_wind_data!$W$7:$W$191,MATCH(A93,Offshore_wind_data!$A$7:$A$191,0))</f>
        <v>1234.9007039999999</v>
      </c>
      <c r="AM93" s="148"/>
      <c r="AN93" s="12">
        <v>1.3</v>
      </c>
      <c r="AO93" s="12">
        <v>1.2</v>
      </c>
      <c r="AP93" s="34"/>
      <c r="AQ93" s="15">
        <f t="shared" si="101"/>
        <v>50</v>
      </c>
      <c r="AR93" s="12">
        <f t="shared" si="131"/>
        <v>60</v>
      </c>
      <c r="AS93" s="16">
        <f t="shared" si="121"/>
        <v>1185.702063569734</v>
      </c>
      <c r="AT93" s="12"/>
      <c r="AU93" s="24">
        <f t="shared" si="122"/>
        <v>2.3853377127282265</v>
      </c>
      <c r="AV93" s="16">
        <f t="shared" si="123"/>
        <v>1945.9804988889352</v>
      </c>
      <c r="AW93" s="149">
        <f>HV_DC_Grid!$E$3/(1-AX93)*AU93/100*1000</f>
        <v>2934.3718009808167</v>
      </c>
      <c r="AX93" s="31">
        <f>(1-(1-HV_DC_Grid!$E$25)^(B93*C93*HV_DC_Grid!$E$8/1000))+(1-(1-HV_DC_Grid!$E$26)^(B93*D93*HV_DC_Grid!$E$8/1000))+HV_DC_Grid!$E$35*HV_DC_Grid!$E$28</f>
        <v>0.18710447260605323</v>
      </c>
      <c r="AY93" s="28">
        <f>B93*nl_e_demand/IF(hv_dc_flh="electricity FLH",$AV93,hv_dc_custom)*1000*hv_dc_capacity_multiplier*hv_dc_length_multiplier*1000*(C93*hv_dc_overhead_invest*(hv_dc_overhead_opex+M93+1/hv_dc_lifetime)+D93*hv_dc_sea_invest*(hv_dc_sea_opex+M93+1/hv_dc_lifetime))/1000000+HV_DC_Grid!$E$10*1000*hv_dc_station_invest*hv_dc_station_number*(hv_dc_station_opex+M93+1/hv_dc_lifetime)/1000000</f>
        <v>12274.785379304778</v>
      </c>
      <c r="AZ93" s="24">
        <f>(AW93+AY93)/(HV_DC_Grid!$E$3*1000)*100</f>
        <v>15.209157180285594</v>
      </c>
      <c r="BA93" s="28">
        <f>MIN(((Carriers!$F$26+Carriers!$F$27)*(alk_el_opex+wacc_nl+1/alk_el_lifetime)+IF(hv_dc_flh="electricity FLH",$AV93,hv_dc_custom)*AZ93/100)/(IF(hv_dc_flh="electricity FLH",$AV93,hv_dc_custom)/alk_el_e_demand)*1000,((Carriers!$H$26+Carriers!$H$27)*(pem_el_opex+wacc_nl+1/pem_el_lifetime)+IF(hv_dc_flh="electricity FLH",$AV93,hv_dc_custom)*AZ93/100)/(IF(hv_dc_flh="electricity FLH",$AV93,hv_dc_custom)/pem_el_e_demand)*1000)</f>
        <v>8119.2068597960333</v>
      </c>
      <c r="BB93" s="12"/>
      <c r="BC93" s="12"/>
      <c r="BD93" s="149">
        <f>MIN(((Carriers!$F$26+Carriers!$F$27)*(alk_el_opex+M93+1/alk_el_lifetime)+$AV93*$AU93/100)/($AV93/alk_el_e_demand)*1000,((Carriers!$H$26+Carriers!$H$27)*(pem_el_opex+M93+1/pem_el_lifetime)+$AV93*$AU93/100)/($AV93/pem_el_e_demand)*1000)</f>
        <v>3009.9748271919257</v>
      </c>
      <c r="BE93" s="28">
        <f>Storage!$AC$50</f>
        <v>8.1664117557772418</v>
      </c>
      <c r="BF93" s="28">
        <f>((Pipeline!$D$22*Pipeline!$D$24*B93*(pipeline_opex+M93+1/pipeline_lifetime))*(Pipeline!$D$39/Pipeline!$D$3)+(Pipeline!$D$57*(pipeline_comp_opex+M93+1/pipeline_comp_lifetime)+Pipeline!$D$47*1000*Pipeline!$D$45*$AU93/100/1000000))*(Pipeline!$D$75/Pipeline!$D$45)</f>
        <v>21874.885943656416</v>
      </c>
      <c r="BG93" s="28">
        <f>BD93+(BE93+BF93)/Storage!$AC$12*1000000</f>
        <v>4619.0227945016459</v>
      </c>
      <c r="BH93" s="28"/>
      <c r="BI93" s="28"/>
      <c r="BJ93" s="28">
        <f>IF($E93="","No Port",BK93*HV_DC_Grid!$E$3*$AU93/100*1000)</f>
        <v>34.80263824366908</v>
      </c>
      <c r="BK93" s="31">
        <f>IFERROR((1-(1-HV_DC_Grid!$E$25)^(K93*HV_DC_Grid!$E$8/1000))+HV_DC_Grid!$E$35*HV_DC_Grid!$E$28,"")</f>
        <v>1.4590235193097089E-2</v>
      </c>
      <c r="BL93" s="28">
        <f>IFERROR(K93*nl_e_demand/IF(hv_dc_flh="electricity FLH",$AV93,hv_dc_custom)*1000*hv_dc_capacity_multiplier*hv_dc_length_multiplier*1000*(hv_dc_overhead_invest*(hv_dc_overhead_opex+M93+1/hv_dc_lifetime))/1000000+HV_DC_Grid!$E$10*1000*hv_dc_station_invest*hv_dc_station_number*(hv_dc_station_opex+M93+1/hv_dc_lifetime)/1000000,"")</f>
        <v>461.67832714024098</v>
      </c>
      <c r="BM93" s="29">
        <f>IFERROR((BJ93+BL93)/(HV_DC_Grid!$E$3*1000)*100,"")</f>
        <v>0.49648096538391007</v>
      </c>
      <c r="BN93" s="28">
        <f>IFERROR(((Pipeline!$D$22*Pipeline!$D$24*K93*(pipeline_opex+M93+1/pipeline_lifetime))*(Pipeline!$D$39/Pipeline!$D$3)+(Pipeline!$D$57*(pipeline_comp_opex+M93+1/pipeline_comp_lifetime)+Pipeline!$D$47*1000*Pipeline!$D$45*S93/100/1000000))*(Pipeline!$D$75/Pipeline!$D$45),"")</f>
        <v>149.69247296558791</v>
      </c>
      <c r="BO93" s="28"/>
      <c r="BP93" s="150">
        <f t="shared" si="124"/>
        <v>114.53071118037353</v>
      </c>
      <c r="BQ93" s="34">
        <f t="shared" si="125"/>
        <v>34.340087581903028</v>
      </c>
      <c r="BR93" s="151">
        <f>(nh3_invest*(M93+1/nh3_lifetime)/nh3_prod+nh3_opex+nh3_e_demand*1000*$AU93/100+Carriers!$N$18/Carriers!$N$23*BD93+Carriers!$N$19/Carriers!$N$23*BQ93)*(BT93+nh3_st_ab_losses)/1000000</f>
        <v>54637.638719334478</v>
      </c>
      <c r="BS93" s="63">
        <f>nh3_st_nl_cost*nh3_st_nl_demand/1000000+(nh3_st_invest*(M93+1/nh3_st_lifetime+nh3_st_opex)/(Storage!$G$63/1000000)+nh3_st_e_demand*1000*$AU93/100)*(BT93+nh3_st_ab_losses)/1000000+Carriers!$N$18/Carriers!$N$23*((BT93+nh3_st_ab_losses)/365.25*short_st_duration_hrs/24)*(h2_short_st_invest*(1/gh2_short_st_lifetime+$M93+h2_short_st_opex)+h2_short_st_e_demand*1000*$AU93/100)/1000000+Carriers!$N$19/Carriers!$N$23*((BT93+nh3_st_ab_losses)/365.25*short_st_duration_hrs/24)*(n2_short_st_invest*(1/n2_short_st_lifetime+$M93+n2_short_st_opex)+n2_short_st_e_demand*1000*$AU93/100)/1000000</f>
        <v>3527.9931544063793</v>
      </c>
      <c r="BT93" s="63">
        <f>Storage!$G$57/((1-Shipping!$H$37)^(F93/24/Shipping!$H$44+0.5*Shipping!$H$59))</f>
        <v>80331876.250605181</v>
      </c>
      <c r="BU93" s="63">
        <f>IF($E93="","No Port",((F93/24/Shipping!$H$44+F93/24/Shipping!$H$50+Shipping!$H$59+Shipping!$H$64)*(Shipping!$H$22+wacc_nl*Shipping!$H$19/365.25*1000000+Shipping!$H$35)+(F93/24/Shipping!$H$44*Shipping!$H$45+Shipping!$H$64*Shipping!$H$65)*IF(bunker_choice="HFO",H93,IF(bunker_choice="hydrogen",BD93*hfo_e_density_lhv/h2_e_density_lhv,(BR93+BS93)*1000000/BT93*hfo_e_density_lhv/nh3_e_density_lhv))+(F93/24/Shipping!$H$50*Shipping!$H$51+Shipping!$H$59*Shipping!$H$60)*IF(bunker_choice="HFO",bunker_price_ROT,IF(bunker_choice="hydrogen",BD93*hfo_e_density_lhv/h2_e_density_lhv,(BR93+BS93)*1000000/BT93*hfo_e_density_lhv/nh3_e_density_lhv))+Shipping!$H$73+IF(G93="Panama",Shipping!$H$55,0)+IF(G93="Suez",Shipping!$H$56,0))/Shipping!$H$31*BT93/1000000+IF(inland_transport_to_port="hv dc grid",$BM93/100*1000*BW93,IF(inland_transport_to_port="pipeline",$BN93,0)))</f>
        <v>5277.811584063028</v>
      </c>
      <c r="BV93" s="63">
        <f t="shared" si="126"/>
        <v>63443.443457803885</v>
      </c>
      <c r="BW93" s="33">
        <f>((Carriers!$N$18/Carriers!$N$23*alk_el_e_demand)+(Carriers!$N$19/Carriers!$N$23*n2_e_demand)+nh3_e_demand)*(BT93+nh3_st_ab_losses)/1000000+nh3_st_e_demand*BT93/1000000</f>
        <v>793.28726663967063</v>
      </c>
      <c r="BX93" s="33">
        <f t="shared" si="102"/>
        <v>0.76626754477640768</v>
      </c>
      <c r="BY93" s="63">
        <f>IFERROR(BV93*1000000/Storage!$G$12,"")</f>
        <v>828.6440467108672</v>
      </c>
      <c r="BZ93" s="63">
        <f>H2_retrieval!$F$25*h2_demand_kt/1000</f>
        <v>80</v>
      </c>
      <c r="CA93" s="63">
        <f>IFERROR(BY93*(1+H2_retrieval!$F$34)/Carrier_properties!$E$7+H2_retrieval!$F$38,"")</f>
        <v>5074.1850574234322</v>
      </c>
      <c r="CB93" s="149">
        <f>(FA_invest*(M93+1/FA_lifetime)/FA_prod+FA_opex+FA_e_demand*1000*$AU93/100+Carriers!$P$18/Carriers!$P$23*BD93+Carriers!$P$20/Carriers!$P$23*co2_liq_cost)*(CF93+FA_st_ab_losses)/1000000</f>
        <v>104726.48150934371</v>
      </c>
      <c r="CC93" s="86">
        <f>(FA_invest*(M93+1/FA_lifetime)/FA_prod+FA_opex+FA_e_demand*1000*$AU93/100+Carriers!$P$18/Carriers!$P$23*BD93+Carriers!$P$20/Carriers!$P$23*BP93)*(CF93+FA_st_ab_losses)/1000000</f>
        <v>132369.79345008501</v>
      </c>
      <c r="CD93" s="63">
        <f>FA_st_nl_cost*FA_st_nl_demand/1000000+(FA_st_invest*(M93+1/FA_st_lifetime+FA_st_opex)/(Storage!$I$63/1000000)+FA_st_e_demand*1000*$AU93/100)*(CF93+FA_st_ab_losses)/1000000+co2_st_nl_cost*Storage!$I$12*co2_density/FA_density/1000000+(co2_st_opex_lev+co2_st_invest_lev+co2_st_e_demand*1000*$AU93/100)*Storage!$I$12/1000000+co2_st_invest_lev*Storage!$I$12*co2_st_lifetime*M93/1000000+Carriers!$P$18/Carriers!$P$23*((CF93+FA_st_ab_losses)/365.25*short_st_duration_hrs/24)*(h2_short_st_invest*(1/gh2_short_st_lifetime+$M93+h2_short_st_opex)+h2_short_st_e_demand*1000*$AU93/100)/1000000+Carriers!$P$20/Carriers!$P$23*((CF93+FA_st_ab_losses)/365.25*short_st_duration_hrs/24)*(co2_short_st_invest*(1/co2_short_st_lifetime+$M93+co2_short_st_opex)+co2_short_st_e_demand*1000*$AU93/100)/1000000</f>
        <v>11841.324035341966</v>
      </c>
      <c r="CE93" s="63">
        <f>FA_st_nl_cost*FA_st_nl_demand/1000000+(FA_st_invest*(M93+1/FA_st_lifetime+FA_st_opex)/(Storage!$I$63/1000000)+FA_st_e_demand*1000*$AU93/100)*(CF93+FA_st_ab_losses)/1000000+Carriers!$P$18/Carriers!$P$23*((CF93+FA_st_ab_losses)/365.25*short_st_duration_hrs/24)*(h2_short_st_invest*(1/gh2_short_st_lifetime+$M93+h2_short_st_opex)+h2_short_st_e_demand*1000*$AU93/100)/1000000+Carriers!$P$20/Carriers!$P$23*((CF93+FA_st_ab_losses)/365.25*short_st_duration_hrs/24)*(co2_short_st_invest*(1/co2_short_st_lifetime+$M93+co2_short_st_opex)+co2_short_st_e_demand*1000*$AU93/100)/1000000</f>
        <v>5177.2052797684037</v>
      </c>
      <c r="CF93" s="63">
        <f>Storage!$I$57/((1-Shipping!$J$37)^($F93/24/Shipping!$J$44+0.5*Shipping!$J$59))</f>
        <v>310425396.82539684</v>
      </c>
      <c r="CG93" s="28">
        <f>IF($E93="","No Port",((F93/24/Shipping!$J$44+F93/24/Shipping!$J$50+Shipping!$J$59+Shipping!$J$64)*(Shipping!$J$22+wacc_nl*Shipping!$J$19/365.25*1000000+Shipping!$J$35)+(F93/24/Shipping!$J$44*Shipping!$J$45+Shipping!$J$64*Shipping!$J$65)*IF(bunker_choice="HFO",$H93,IF(bunker_choice="hydrogen",$BD93*hfo_e_density_lhv/h2_e_density_lhv,(CB93+CD93)*1000000/CF93*hfo_e_density_lhv/FA_e_density_lhv))+(F93/24/Shipping!$J$50*Shipping!$J$51+Shipping!$J$59*Shipping!$J$60)*IF(bunker_choice="HFO",bunker_price_ROT,IF(bunker_choice="hydrogen",$BD93*hfo_e_density_lhv/h2_e_density_lhv,(CB93+CD93)*1000000/CF93*hfo_e_density_lhv/FA_e_density_lhv))+Shipping!$J$73+IF(G93="Panama",Shipping!$J$55,0)+IF(G93="Suez",Shipping!$J$56,0))/Shipping!$J$31*CF93/1000000+IF(inland_transport_to_port="hv dc grid",$BM93/100*1000*CI93,IF(inland_transport_to_port="pipeline",$BN93,0)))</f>
        <v>22439.117857066856</v>
      </c>
      <c r="CH93" s="28">
        <f t="shared" si="132"/>
        <v>159986.11658692028</v>
      </c>
      <c r="CI93" s="29">
        <f>((Carriers!$P$18/Carriers!$P$23*alk_el_e_demand)+FA_e_demand)*(CF93+FA_st_ab_losses)/1000000+FA_st_e_demand*CF93/1000000</f>
        <v>1897.8881241622576</v>
      </c>
      <c r="CJ93" s="29">
        <f t="shared" si="103"/>
        <v>0.46563809523809524</v>
      </c>
      <c r="CK93" s="28">
        <f>IFERROR(CH93*1000000/Storage!$I$12,"")</f>
        <v>515.37702205759524</v>
      </c>
      <c r="CL93" s="28">
        <f>IF($E93="","No Port",((F93/24/Shipping!$J$44+F93/24/Shipping!$J$50+Shipping!$J$59+Shipping!$J$64)*Carriers!$P$39*wacc_nl))</f>
        <v>334.73180167359396</v>
      </c>
      <c r="CM93" s="29">
        <f>H2_retrieval!$H$25*h2_demand_kt/1000+(co2_liq_e_demand+co2_st_e_demand*2)*Storage!$I$12*co2_density/FA_density/1000000</f>
        <v>94.204253879484654</v>
      </c>
      <c r="CN93" s="28">
        <f>IFERROR((((CB93+CD93+CG93)*(1+H2_retrieval!$H$34)+CL93)*1000000/H2_retrieval!$H$8)+h2_regen_fa,"")</f>
        <v>10335.397309195348</v>
      </c>
      <c r="CO93" s="149">
        <f>(meoh_invest*(M93+1/meoh_lifetime)/meoh_prod+meoh_opex+meoh_e_demand*1000*$AU93/100+Carriers!$R$18/Carriers!$R$23*BD93+Carriers!$R$20/Carriers!$R$23*co2_liq_cost)*(CS93+meoh_st_ab_losses)/1000000</f>
        <v>65781.682736794726</v>
      </c>
      <c r="CP93" s="86">
        <f>(meoh_invest*(M93+1/meoh_lifetime)/meoh_prod+meoh_opex+meoh_e_demand*1000*$AU93/100+Carriers!$R$18/Carriers!$R$23*BD93+Carriers!$R$20/Carriers!$R$23*BP93)*(CS93+meoh_st_ab_losses)/1000000</f>
        <v>82009.160245814535</v>
      </c>
      <c r="CQ93" s="63">
        <f>meoh_st_nl_cost*meoh_st_nl_demand/1000000+(meoh_st_invest*(M93+1/meoh_st_lifetime+meoh_st_opex)/(Storage!$K$63/1000000)+meoh_st_e_demand*1000*$AU93/100)*(CS93+meoh_st_ab_losses)/1000000+co2_st_nl_cost*Storage!$K$12*co2_density/meoh_density/1000000+(co2_st_opex_lev+co2_st_invest_lev+co2_st_e_demand*1000*IFERROR(MIN(S93,AA93,AI93),S93)/100)*Storage!$K$12/1000000+co2_st_invest_lev*Storage!$K$12*co2_st_lifetime*M93/1000000+Carriers!$R$18/Carriers!$R$23*((CS93+meoh_st_ab_losses)/365.25*short_st_duration_hrs/24)*(h2_short_st_invest*(1/gh2_short_st_lifetime+$M93+h2_short_st_opex)+h2_short_st_e_demand*1000*$AU93/100)/1000000+Carriers!$R$20/Carriers!$R$23*((CF93+meoh_st_ab_losses)/365.25*short_st_duration_hrs/24)*(co2_short_st_invest*(1/co2_short_st_lifetime+$M93+co2_short_st_opex)+co2_short_st_e_demand*1000*$AU93/100)/1000000</f>
        <v>4963.9702760148502</v>
      </c>
      <c r="CR93" s="63">
        <f>meoh_st_nl_cost*meoh_st_nl_demand/1000000+(meoh_st_invest*(M93+1/meoh_st_lifetime+meoh_st_opex)/(Storage!$K$63/1000000)+meoh_st_e_demand*1000*$AU93/100)*(CS93+meoh_st_ab_losses)/1000000+Carriers!$R$18/Carriers!$R$23*((CS93+meoh_st_ab_losses)/365.25*short_st_duration_hrs/24)*(h2_short_st_invest*(1/gh2_short_st_lifetime+$M93+h2_short_st_opex)+h2_short_st_e_demand*1000*$AU93/100)/1000000+Carriers!$R$20/Carriers!$R$23*((CF93+meoh_st_ab_losses)/365.25*short_st_duration_hrs/24)*(co2_short_st_invest*(1/co2_short_st_lifetime+$M93+co2_short_st_opex)+co2_short_st_e_demand*1000*$AU93/100)/1000000</f>
        <v>2045.5073044960154</v>
      </c>
      <c r="CS93" s="63">
        <f>Storage!$K$57/((1-Shipping!$L$37)^($F93/24/Shipping!$L$44+0.5*Shipping!$L$59))</f>
        <v>108044444.44444443</v>
      </c>
      <c r="CT93" s="28">
        <f>IF($E93="","No Port",IF(AND(ship_choice="VLCC",G93="Panama"),"Ship cannot pass through Panama",IF(ship_choice="VLCC",((F93/24/Shipping!$AD$44+F93/24/Shipping!$AD$50+Shipping!$AD$59+Shipping!$AD$64)*(Shipping!$AD$22+wacc_nl*Shipping!$AD$19/365.25*1000000+Shipping!$AD$35)+(F93/24/Shipping!$AD$44*Shipping!$AD$45+Shipping!$AD$64*Shipping!$AD$65)*IF(bunker_choice="HFO",$H93,IF(bunker_choice="hydrogen",$BD93*hfo_e_density_lhv/h2_e_density_lhv,(CO93+CQ93)*1000000/CS93*hfo_e_density_lhv/meoh_e_density_lhv))+(F93/24/Shipping!$AD$50*Shipping!$AD$51+Shipping!$AD$59*Shipping!$AD$60)*IF(bunker_choice="HFO",bunker_price_ROT,IF(bunker_choice="hydrogen",$BD93*hfo_e_density_lhv/h2_e_density_lhv,(CO93+CQ93)*1000000/CS93*hfo_e_density_lhv/meoh_e_density_lhv))+Shipping!$AD$73+IF(G93="Panama",Shipping!$AD$55,0)+IF(G93="Suez",Shipping!$AD$56,0))/Shipping!$AD$31*CS93/1000000+IF(inland_transport_to_port="hv dc grid",$BM93/100*1000*CV93,IF(inland_transport_to_port="pipeline",$BN93,0)),((F93/24/Shipping!$L$44+F93/24/Shipping!$L$50+Shipping!$L$59+Shipping!$L$64)*(Shipping!$L$22+wacc_nl*Shipping!$L$19/365.25*1000000+Shipping!$L$35)+(F93/24/Shipping!$L$44*Shipping!$L$45+Shipping!$L$64*Shipping!$L$65)*IF(bunker_choice="HFO",$H93,IF(bunker_choice="hydrogen",$BD93*hfo_e_density_lhv/h2_e_density_lhv,(CO93+CQ93)*1000000/CS93*hfo_e_density_lhv/meoh_e_density_lhv))+(F93/24/Shipping!$L$50*Shipping!$L$51+Shipping!$L$59*Shipping!$L$60)*IF(bunker_choice="HFO",bunker_price_ROT,IF(bunker_choice="hydrogen",$BD93*hfo_e_density_lhv/h2_e_density_lhv,(CO93+CQ93)*1000000/CS93*hfo_e_density_lhv/meoh_e_density_lhv))+Shipping!$L$73+IF(G93="Panama",Shipping!$L$55,0)+IF(G93="Suez",Shipping!$L$56,0))/Shipping!$L$31*CS93/1000000+IF(inland_transport_to_port="hv dc grid",$BM93/100*1000*CV93,IF(inland_transport_to_port="pipeline",$BN93,0)))))</f>
        <v>7553.3646045692622</v>
      </c>
      <c r="CU93" s="28">
        <f t="shared" si="133"/>
        <v>91608.032154879809</v>
      </c>
      <c r="CV93" s="29">
        <f>((Carriers!$R$18/Carriers!$R$23*alk_el_e_demand)+meoh_e_demand)*(CS93+meoh_st_ab_losses)/1000000+meoh_st_e_demand*CS93/1000000</f>
        <v>1119.9789871111109</v>
      </c>
      <c r="CW93" s="29">
        <f t="shared" si="104"/>
        <v>0.16206666666666666</v>
      </c>
      <c r="CX93" s="28">
        <f>IFERROR(CU93*1000000/Storage!$K$12,"")</f>
        <v>847.87360077531707</v>
      </c>
      <c r="CY93" s="28">
        <f>IF($E93="","No Port",((F93/24/Shipping!$L$44+F93/24/Shipping!$L$50+Shipping!$L$59+Shipping!$L$64)*Carriers!$R$39*wacc_nl))</f>
        <v>119.98457206801268</v>
      </c>
      <c r="CZ93" s="29">
        <f>H2_retrieval!$J$25*h2_demand_kt/1000+(co2_liq_e_demand+co2_st_e_demand*2)*Storage!$K$12*co2_density/meoh_density/1000000</f>
        <v>251.05079059698966</v>
      </c>
      <c r="DA93" s="28">
        <f>IFERROR((((CO93+CQ93+CT93)*(1+H2_retrieval!$J$34)+CY93)*1000000/H2_retrieval!$J$8)+h2_regen_meoh,"")</f>
        <v>6936.2316453613257</v>
      </c>
      <c r="DB93" s="149">
        <f>(DBT_invest*(M93+1/DBT_lifetime)/DBT_prod+DBT_opex+DBT_e_demand*1000*$AU93/100+Carriers!$T$18/Carriers!$T$23*BD93)*(DD93+DBT_st_ab_losses)/1000000</f>
        <v>44237.695691261069</v>
      </c>
      <c r="DC93" s="28">
        <f>2*(DBT_st_nl_cost*DBT_st_nl_demand/1000000+(DBT_st_invest*(M93+1/DBT_st_lifetime+DBT_st_opex)/(Storage!$M$63/1000000)+DBT_st_e_demand*1000*$AU93/100)*(DD93+DBT_st_ab_losses)/1000000)+Carriers!$T$18/Carriers!$T$23*((DD93+DBT_st_ab_losses)/365.25*short_st_duration_hrs/24)*(h2_short_st_invest*(1/gh2_short_st_lifetime+$M93+h2_short_st_opex)+h2_short_st_e_demand*1000*$AU93/100)/1000000</f>
        <v>4208.6798490308793</v>
      </c>
      <c r="DD93" s="63">
        <f>Storage!$M$57/((1-Shipping!$N$37)^($F93/24/Shipping!$N$44+0.5*Shipping!$N$59))</f>
        <v>219354838.70967743</v>
      </c>
      <c r="DE93" s="28">
        <f>IF($E93="","No Port",IF(AND(ship_choice="VLCC",G93="Panama"),"Ship cannot pass through Panama",IF(ship_choice="VLCC",((F93/24/Shipping!$AD$44+F93/24/Shipping!$AD$50+Shipping!$AD$59+Shipping!$AD$64)*(Shipping!$AD$22+wacc_nl*Shipping!$AD$19/365.25*1000000+Shipping!$AD$35)+(F93/24/Shipping!$AD$44*Shipping!$AD$45+Shipping!$AD$64*Shipping!$AD$65)*IF(bunker_choice="HFO",$H93,IF(bunker_choice="hydrogen",$BD93*hfo_e_density_lhv/h2_e_density_lhv,(DB93+DC93)*1000000/DD93*hfo_e_density_lhv/DBT_e_density_lhv))+(F93/24/Shipping!$AD$50*Shipping!$AD$51+Shipping!$AD$59*Shipping!$AD$60)*IF(bunker_choice="HFO",bunker_price_ROT,IF(bunker_choice="hydrogen",$BD93*hfo_e_density_lhv/h2_e_density_lhv,(DB93+DC93)*1000000/DD93*hfo_e_density_lhv/DBT_e_density_lhv))+Shipping!$AD$73+IF(G93="Panama",Shipping!$AD$55,0)+IF(G93="Suez",Shipping!$AD$56,0))/Shipping!$AD$31*DD93/1000000+IF(inland_transport_to_port="hv dc grid",$BM93/100*1000*DG93,IF(inland_transport_to_port="pipeline",$BN93,0)),((F93/24/Shipping!$N$44+F93/24/Shipping!$N$50+Shipping!$N$59+Shipping!$N$64)*(Shipping!$N$22+wacc_nl*Shipping!$N$19/365.25*1000000+Shipping!$N$35)+(F93/24/Shipping!$N$44*Shipping!$N$45+Shipping!$N$64*Shipping!$N$65)*IF(bunker_choice="HFO",$H93,IF(bunker_choice="hydrogen",$BD93*hfo_e_density_lhv/h2_e_density_lhv,(DB93+DC93)*1000000/DD93*hfo_e_density_lhv/DBT_e_density_lhv))+(F93/24/Shipping!$N$50*Shipping!$N$51+Shipping!$N$59*Shipping!$N$60)*IF(bunker_choice="HFO",bunker_price_ROT,IF(bunker_choice="hydrogen",$BD93*hfo_e_density_lhv/h2_e_density_lhv,(DB93+DC93)*1000000/DD93*hfo_e_density_lhv/DBT_e_density_lhv))+Shipping!$N$73+IF(G93="Panama",Shipping!$N$55,0)+IF(G93="Suez",Shipping!$N$56,0))/Shipping!$N$31*Shipping!$N$86/1000000+IF(inland_transport_to_port="hv dc grid",$BM93/100*1000*DG93,IF(inland_transport_to_port="pipeline",$BN93,0)))))</f>
        <v>14107.822263721035</v>
      </c>
      <c r="DF93" s="28">
        <f t="shared" si="82"/>
        <v>62554.197804012983</v>
      </c>
      <c r="DG93" s="29">
        <f>((Carriers!$T$18/Carriers!$T$23*alk_el_e_demand)+DBT_e_demand)*(DD93+DBT_st_ab_losses)/1000000+DBT_st_e_demand*DD93/1000000</f>
        <v>703.88335483870969</v>
      </c>
      <c r="DH93" s="29">
        <f t="shared" si="105"/>
        <v>0.21935483870967742</v>
      </c>
      <c r="DI93" s="28">
        <f>IFERROR(DF93*1000000/Storage!$M$12,"")</f>
        <v>285.17354881241215</v>
      </c>
      <c r="DJ93" s="28">
        <f>IF($E93="","No Port",((F93/24/Shipping!$N$44+F93/24/Shipping!$N$50+Shipping!$N$59+Shipping!$N$64)*Carriers!$T$39*wacc_nl))</f>
        <v>8738.8706075175232</v>
      </c>
      <c r="DK93" s="100">
        <f>H2_retrieval!$L$25*h2_demand_kt/1000+(co2_liq_e_demand+co2_st_e_demand*2)*Storage!$M$12*co2_density/DBT_density/1000000</f>
        <v>206.61934861671787</v>
      </c>
      <c r="DL93" s="28">
        <f>IFERROR(((DF93*(1+H2_retrieval!$L$34)+DJ93)*1000000/H2_retrieval!$L$8)+h2_regen_lohc,"")</f>
        <v>5712.7871638395673</v>
      </c>
      <c r="DM93" s="149">
        <f t="shared" si="127"/>
        <v>49109.532282126471</v>
      </c>
      <c r="DN93" s="16">
        <f>2*(nabh4_st_nl_cost*nabh4_st_nl_demand/1000000+(nabh4_st_invest*(M93+1/nabh4_st_lifetime+nabh4_st_opex)/(Storage!$O$63/1000000)+nabh4_st_e_demand*1000*$AU93/100)*(DO93+nabh4_st_ab_losses)/1000000)+(h2_demand_kt*1000/365.25*short_st_duration_hrs/24)*(h2_short_st_invest*(1/gh2_short_st_lifetime+$M93+h2_short_st_opex)+h2_short_st_e_demand*1000*$AU93/100)/1000000</f>
        <v>1412.7881819450608</v>
      </c>
      <c r="DO93" s="63">
        <f>Storage!$O$57/((1-Shipping!$P$37)^($F93/24/Shipping!$P$44+0.5*Shipping!$P$59))</f>
        <v>63920000</v>
      </c>
      <c r="DP93" s="16">
        <f>IF($E93="","No Port",((F93/24/Shipping!$P$44+F93/24/Shipping!$P$50+Shipping!$P$59+Shipping!$P$64)*(Shipping!$P$22+wacc_nl*Shipping!$P$19/365.25*1000000+Shipping!$P$35)+(F93/24/Shipping!$P$44*Shipping!$P$45+Shipping!$P$64*Shipping!$P$65)*IF(bunker_choice="HFO",$H93,IF(bunker_choice="hydrogen",$BD93*hfo_e_density_lhv/h2_e_density_lhv,(DM93+DN93)*1000000/DO93*hfo_e_density_lhv/nabh4_e_density_lhv))+(F93/24/Shipping!$P$50*Shipping!$P$51+Shipping!$P$59*Shipping!$P$60)*IF(bunker_choice="HFO",bunker_price_ROT,IF(bunker_choice="hydrogen",$BD93*hfo_e_density_lhv/h2_e_density_lhv,(DM93+DN93)*1000000/DO93*hfo_e_density_lhv/nabh4_e_density_lhv))+Shipping!$P$73+IF(G93="Panama",Shipping!$P$55,0)+IF(G93="Suez",Shipping!$P$56,0))/Shipping!$P$31*(DO93+nabh4_st_ab_losses)/1000000+IF(inland_transport_to_port="hv dc grid",$BM93/100*1000*DR93,IF(inland_transport_to_port="pipeline",$BN93,0)))</f>
        <v>3572.5728370690376</v>
      </c>
      <c r="DQ93" s="28">
        <f t="shared" si="60"/>
        <v>54094.893301140575</v>
      </c>
      <c r="DR93" s="29">
        <f>((Carriers!$V$18/Carriers!$V$23*alk_el_e_demand)+nabh4_e_demand)*(DO93+nabh4_st_ab_losses)/1000000+nabh4_st_e_demand*DO93/1000000</f>
        <v>980.02139682539689</v>
      </c>
      <c r="DS93" s="28">
        <f t="shared" si="106"/>
        <v>3.1960000000000002</v>
      </c>
      <c r="DT93" s="28">
        <f>IFERROR(DQ93*1000000/Storage!$O$12,"")</f>
        <v>846.29057104412664</v>
      </c>
      <c r="DU93" s="28">
        <f>IF($E93="","No Port",((F93/24/Shipping!$P$44+F93/24/Shipping!$P$50+Shipping!$P$59+Shipping!$P$64)*Carriers!$V$39*wacc_nl))</f>
        <v>804.71078415800218</v>
      </c>
      <c r="DV93" s="100">
        <f>H2_retrieval!$N$25*h2_demand_kt/1000+(co2_liq_e_demand+co2_st_e_demand*2)*Storage!$O$12*co2_density/nabh4_density/1000000</f>
        <v>18.783638728971958</v>
      </c>
      <c r="DW93" s="28">
        <f>IFERROR(((DQ93*(1+H2_retrieval!$N$34)+DU93)*1000000/H2_retrieval!$N$8)+h2_regen_nabh4,"")</f>
        <v>4123.1611186360351</v>
      </c>
      <c r="DX93" s="149">
        <f>(Dme_invest*(M93+1/Dme_lifetime)/Dme_prod+Dme_opex+Dme_e_demand*1000*$AU93/100+Carriers!$X$21/Carriers!$X$23*(CO93*1000000/CS93))*(EB93+Dme_st_ab_losses)/1000000</f>
        <v>92360.958971330489</v>
      </c>
      <c r="DY93" s="86">
        <f>(Dme_invest*(M93+1/Dme_lifetime)/Dme_prod+Dme_opex+Dme_e_demand*1000*$AU93/100+Carriers!$X$21/Carriers!$X$23*(CP93*1000000/CS93))*(EB93+Dme_st_ab_losses)/1000000</f>
        <v>114376.19371275355</v>
      </c>
      <c r="DZ93" s="63">
        <f>Dme_st_nl_cost*Dme_st_nl_demand/1000000+(Dme_st_invest*(M93+1/Dme_st_lifetime+Dme_st_opex)/(Storage!$Q$63/1000000)+Dme_st_e_demand*1000*$AU93/100)*(EB93+Dme_st_ab_losses)/1000000+co2_st_nl_cost*Storage!$Q$12*co2_density/Dme_density/1000000+(co2_st_opex_lev+co2_st_invest_lev+co2_st_e_demand*1000*$AU93/100)*Storage!$Q$12/1000000+co2_st_invest_lev*Storage!$Q$12*co2_st_lifetime*M93/1000000+(h2_demand_kt*1000/365.25*short_st_duration_hrs/24)*(h2_short_st_invest*(1/gh2_short_st_lifetime+$M93+h2_short_st_opex)+h2_short_st_e_demand*1000*$AU93/100)/1000000</f>
        <v>5985.6613270109856</v>
      </c>
      <c r="EA93" s="63">
        <f>Dme_st_nl_cost*Dme_st_nl_demand/1000000+(Dme_st_invest*(M93+1/Dme_st_lifetime+Dme_st_opex)/(Storage!$Q$63/1000000)+Dme_st_e_demand*1000*$AU93/100)*(EB93+Dme_st_ab_losses)/1000000+(h2_demand_kt*1000/365.25*short_st_duration_hrs/24)*(h2_short_st_invest*(1/gh2_short_st_lifetime+$M93+h2_short_st_opex)+h2_short_st_e_demand*1000*$AU93/100)/1000000</f>
        <v>3061.7788031892233</v>
      </c>
      <c r="EB93" s="63">
        <f>Storage!$Q$57/((1-Shipping!$R$37)^($F93/24/Shipping!$R$44+0.5*Shipping!$R$59))</f>
        <v>103547089.94708996</v>
      </c>
      <c r="EC93" s="153">
        <f>IF($E93="","No Port",IF(AND(ship_choice="VLCC",G93="Panama"),"Ship cannot pass through Panama",IF(ship_choice="VLCC",((F93/24/Shipping!$AD$44+F93/24/Shipping!$AD$50+Shipping!$AD$59+Shipping!$AD$64)*(Shipping!$AD$22+wacc_nl*Shipping!$AD$19/365.25*1000000+Shipping!$AD$35)+(F93/24/Shipping!$AD$44*Shipping!$AD$45+Shipping!$AD$64*Shipping!$AD$65)*IF(bunker_choice="HFO",$H93,IF(bunker_choice="hydrogen",$BD93*hfo_e_density_lhv/h2_e_density_lhv,(DX93+DZ93)*1000000/EB93*hfo_e_density_lhv/Dme_e_density_lhv))+(F93/24/Shipping!$AD$50*Shipping!$AD$51+Shipping!$AD$59*Shipping!$AD$60)*IF(bunker_choice="HFO",bunker_price_ROT,IF(bunker_choice="hydrogen",$BD93*hfo_e_density_lhv/h2_e_density_lhv,(DX93+DZ93)*1000000/EB93*hfo_e_density_lhv/Dme_e_density_lhv))+Shipping!$AD$73+IF(G93="Panama",Shipping!$AD$55,0)+IF(G93="Suez",Shipping!$AD$56,0))/Shipping!$AD$31*(EB93+Dme_st_ab_losses)/1000000+IF(inland_transport_to_port="hv dc grid",$BM93/100*1000*EE93,IF(inland_transport_to_port="pipeline",$BN93,0)),((F93/24/Shipping!$R$44+F93/24/Shipping!$R$50+Shipping!$R$59+Shipping!$R$64)*(Shipping!$R$22+wacc_nl*Shipping!$R$19/365.25*1000000+Shipping!$R$35)+(F93/24/Shipping!$R$44*Shipping!$R$45+Shipping!$R$64*Shipping!$R$65)*IF(bunker_choice="HFO",$H93,IF(bunker_choice="hydrogen",$BD93*hfo_e_density_lhv/h2_e_density_lhv,(DX93+DZ93)*1000000/EB93*hfo_e_density_lhv/Dme_e_density_lhv))+(F93/24/Shipping!$R$50*Shipping!$R$51+Shipping!$R$59*Shipping!$R$60)*IF(bunker_choice="HFO",bunker_price_ROT,IF(bunker_choice="hydrogen",$BD93*hfo_e_density_lhv/h2_e_density_lhv,(DX93+DZ93)*1000000/EB93*hfo_e_density_lhv/Dme_e_density_lhv))+Shipping!$R$73+IF(G93="Panama",Shipping!$R$55,0)+IF(G93="Suez",Shipping!$R$56,0))/Shipping!$R$31*(EB93+Dme_st_ab_losses)/1000000+IF(inland_transport_to_port="hv dc grid",$BM93/100*1000*EE93,IF(inland_transport_to_port="pipeline",$BN93,0)))))</f>
        <v>7469.4821561269891</v>
      </c>
      <c r="ED93" s="28">
        <f t="shared" si="134"/>
        <v>124907.45467206977</v>
      </c>
      <c r="EE93" s="29">
        <f>(Dme_e_demand)*(EB93+Dme_st_ab_losses)/1000000+Dme_st_e_demand*DZ93/1000000+$CV93*(Carriers!$X$21/Carriers!$X$23*EB93)/$CS93</f>
        <v>1550.216820023669</v>
      </c>
      <c r="EF93" s="29">
        <f t="shared" si="107"/>
        <v>1.0354708994708997</v>
      </c>
      <c r="EG93" s="28">
        <f>IFERROR(ED93*1000000/Storage!$Q$12,"")</f>
        <v>1206.2864802467595</v>
      </c>
      <c r="EH93" s="28">
        <f>IF($E93="","No Port",((F93/24/Shipping!$R$44+F93/24/Shipping!$R$50+Shipping!$R$59+Shipping!$R$64)*Carriers!$X$39*wacc_nl))</f>
        <v>124.94513441451618</v>
      </c>
      <c r="EI93" s="100">
        <f>H2_retrieval!$P$25*h2_demand_kt/1000+(co2_liq_e_demand+co2_st_e_demand*2)*Storage!$Q$12*co2_density/Dme_density/1000000</f>
        <v>252.45335899349112</v>
      </c>
      <c r="EJ93" s="28">
        <f>IFERROR((((DX93+DZ93+EC93)*(1+H2_retrieval!$P$34)+EH93)*1000000/H2_retrieval!$P$8)+h2_regen_dme,"")</f>
        <v>8959.9114541433937</v>
      </c>
      <c r="EK93" s="149">
        <f>(ome_invest*(M93+1/ome_lifetime)/ome_prod+ome_opex+ome_e_demand*1000*$AU93/100+Carriers!$Z$21/Carriers!$Z$23*(CO93*1000000/CS93))*(EO93+ome_st_ab_losses)/1000000</f>
        <v>200554.84096385242</v>
      </c>
      <c r="EL93" s="86">
        <f>(ome_invest*(M93+1/ome_lifetime)/ome_prod+ome_opex+ome_e_demand*1000*$AU93/100+Carriers!$Z$21/Carriers!$Z$23*(CP93*1000000/CS93))*(EO93+ome_st_ab_losses)/1000000</f>
        <v>246769.10423847454</v>
      </c>
      <c r="EM93" s="63">
        <f>ome_st_nl_cost*ome_st_nl_demand/1000000+(ome_st_invest*(M93+1/ome_st_lifetime+ome_st_opex)/(Storage!$S$63/1000000)+ome_st_e_demand*1000*$AU93/100)*(EO93+ome_st_ab_losses)/1000000+co2_st_nl_cost*Storage!$S$12*co2_density/ome_density/1000000+(co2_st_opex_lev+co2_st_invest_lev+co2_st_e_demand*1000*$AU93/100)*Storage!$S$12/1000000+co2_st_invest_lev*Storage!$S$12*co2_st_lifetime*M93/1000000+(h2_demand_kt*1000/365.25*short_st_duration_hrs/24)*(h2_short_st_invest*(1/gh2_short_st_lifetime+$M93+h2_short_st_opex)+h2_short_st_e_demand*1000*$AU93/100)/1000000</f>
        <v>5125.2004510835668</v>
      </c>
      <c r="EN93" s="63">
        <f>ome_st_nl_cost*ome_st_nl_demand/1000000+(ome_st_invest*(M93+1/ome_st_lifetime+ome_st_opex)/(Storage!$S$63/1000000)+ome_st_e_demand*1000*$AU93/100)*(EO93+ome_st_ab_losses)/1000000+(h2_demand_kt*1000/365.25*short_st_duration_hrs/24)*(h2_short_st_invest*(1/gh2_short_st_lifetime+$M93+h2_short_st_opex)+h2_short_st_e_demand*1000*$AU93/100)/1000000</f>
        <v>1841.8252945120903</v>
      </c>
      <c r="EO93" s="63">
        <f>Storage!$S$57/((1-Shipping!$T$37)^($F93/24/Shipping!$T$44+0.5*Shipping!$T$59))</f>
        <v>128282539.68253967</v>
      </c>
      <c r="EP93" s="28">
        <f>IF($E93="","No Port",IF(AND(ship_choice="VLCC",G93="Panama"),"Ship cannot pass through Panama",IF(ship_choice="VLCC",((F93/24/Shipping!$AD$44+F93/24/Shipping!$AD$50+Shipping!$AD$59+Shipping!$AD$64)*(Shipping!$AD$22+wacc_nl*Shipping!$AD$19/365.25*1000000+Shipping!$AD$35)+(F93/24/Shipping!$AD$44*Shipping!$AD$45+Shipping!$AD$64*Shipping!$AD$65)*IF(bunker_choice="HFO",$H93,IF(bunker_choice="hydrogen",$BD93*hfo_e_density_lhv/h2_e_density_lhv,(EK93+EM93)*1000000/EO93*hfo_e_density_lhv/Dme_e_density_lhv))+(F93/24/Shipping!$AD$50*Shipping!$AD$51+Shipping!$AD$59*Shipping!$AD$60)*IF(bunker_choice="HFO",bunker_price_ROT,IF(bunker_choice="hydrogen",$BD93*hfo_e_density_lhv/h2_e_density_lhv,(EK93+EM93)*1000000/EO93*hfo_e_density_lhv/ome_e_density_lhv))+Shipping!$AD$73+IF(G93="Panama",Shipping!$AD$55,0)+IF(G93="Suez",Shipping!$AD$56,0))/Shipping!$AD$31*(EO93+ome_st_ab_losses)/1000000+IF(inland_transport_to_port="hv dc grid",$BM93/100*1000*ER93,IF(inland_transport_to_port="pipeline",$BN93,0)),((F93/24/Shipping!$T$44+F93/24/Shipping!$T$50+Shipping!$T$59+Shipping!$T$64)*(Shipping!$T$22+wacc_nl*Shipping!$T$19/365.25*1000000+Shipping!$T$35)+(F93/24/Shipping!$T$44*Shipping!$T$45+Shipping!$T$64*Shipping!$T$65)*IF(bunker_choice="HFO",$H93,IF(bunker_choice="hydrogen",$BD93*hfo_e_density_lhv/h2_e_density_lhv,(EK93+EM93)*1000000/EO93*hfo_e_density_lhv/Dme_e_density_lhv))+(F93/24/Shipping!$T$50*Shipping!$T$51+Shipping!$T$59*Shipping!$T$60)*IF(bunker_choice="HFO",bunker_price_ROT,IF(bunker_choice="hydrogen",$BD93*hfo_e_density_lhv/h2_e_density_lhv,(EK93+EM93)*1000000/EO93*hfo_e_density_lhv/ome_e_density_lhv))+Shipping!$T$73+IF(G93="Panama",Shipping!$T$55,0)+IF(G93="Suez",Shipping!$T$56,0))/Shipping!$T$31*(EO93+ome_st_ab_losses)/1000000+IF(inland_transport_to_port="hv dc grid",$BM93/100*1000*ER93,IF(inland_transport_to_port="pipeline",$BN93,0)))))</f>
        <v>8443.3678225791027</v>
      </c>
      <c r="EQ93" s="28">
        <f t="shared" si="135"/>
        <v>257054.29735556574</v>
      </c>
      <c r="ER93" s="29">
        <f>(ome_e_demand)*(EO93+ome_st_ab_losses)/1000000+ome_st_e_demand*EM93/1000000+$CV93*(Carriers!$Z$21/Carriers!$Z$23*EO93)/$CS93</f>
        <v>3352.081457828584</v>
      </c>
      <c r="ES93" s="29">
        <f t="shared" si="108"/>
        <v>0.1924238095238095</v>
      </c>
      <c r="ET93" s="28">
        <f>IFERROR(EQ93*1000000/Storage!$S$12,"")</f>
        <v>2003.8135976392193</v>
      </c>
      <c r="EU93" s="28">
        <f>IF($E93="","No Port",((F93/24/Shipping!$T$44+F93/24/Shipping!$T$50+Shipping!$T$59+Shipping!$T$64)*Carriers!$Z$39*wacc_nl))</f>
        <v>142.45920469813493</v>
      </c>
      <c r="EV93" s="100">
        <f>H2_retrieval!$R$25*h2_demand_kt/1000+(co2_liq_e_demand+co2_st_e_demand*2)*Storage!$S$12*co2_density/ome_density/1000000</f>
        <v>254.51942895252085</v>
      </c>
      <c r="EW93" s="28">
        <f>IFERROR((((EK93+EM93+EP93)*(1+H2_retrieval!$R$34)+EU93)*1000000/H2_retrieval!$R$8)+h2_regen_ome,"")</f>
        <v>16924.971811005911</v>
      </c>
      <c r="EX93" s="149">
        <f>(sng_invest*(M93+1/sng_lifetime)/sng_prod+lng_invest*(M93+1/lng_lifetime)/lng_prod+sng_opex+lng_opex+(sng_e_demand+lng_e_demand)*1000*$AU93/100+Carriers!$AB$18/Carriers!$AB$23*BD93+Carriers!$AB$20/Carriers!$AB$23*co2_liq_cost)*(FB93+lng_st_ab_losses)/1000000</f>
        <v>72022.973116685607</v>
      </c>
      <c r="EY93" s="86">
        <f>(sng_invest*(M93+1/sng_lifetime)/sng_prod+lng_invest*(M93+1/lng_lifetime)/lng_prod+sng_opex+lng_opex+(sng_e_demand+lng_e_demand)*1000*$AU93/100+Carriers!$AB$18/Carriers!$AB$23*BD93+Carriers!$AB$20/Carriers!$AB$23*BP93)*(FB93+lng_st_ab_losses)/1000000</f>
        <v>84295.127053505334</v>
      </c>
      <c r="EZ93" s="63">
        <f>lng_st_nl_cost*lng_st_nl_demand/1000000+(lng_st_invest*(M93+1/lng_st_lifetime+lng_st_opex)/(Storage!$U$63/1000000)+lng_st_e_demand*1000*$AU93/100)*(FB93+lng_st_ab_losses)/1000000+co2_st_nl_cost*Storage!$U$12*co2_density/lng_density/1000000+(co2_st_opex_lev+co2_st_invest_lev+co2_st_e_demand*1000*$AU93/100)*Storage!$U$12/1000000+co2_st_invest_lev*Storage!$U$12*co2_st_lifetime*M93/1000000+Carriers!$AB$18/Carriers!$AB$23*((FB93+lng_st_ab_losses)/365.25*short_st_duration_hrs/24)*(h2_short_st_invest*(1/gh2_short_st_lifetime+$M93+h2_short_st_opex)+h2_short_st_e_demand*1000*$AU93/100)/1000000+Carriers!$AB$20/Carriers!$AB$23*((FB93+lng_st_ab_losses)/365.25*short_st_duration_hrs/24)*(co2_short_st_invest*(1/co2_short_st_lifetime+$M93+co2_short_st_opex)+co2_short_st_e_demand*1000*$AU93/100)/1000000</f>
        <v>6410.1210925798287</v>
      </c>
      <c r="FA93" s="63">
        <f>lng_st_nl_cost*lng_st_nl_demand/1000000+(lng_st_invest*(M93+1/lng_st_lifetime+lng_st_opex)/(Storage!$U$63/1000000)+lng_st_e_demand*1000*$AU93/100)*(FB93+lng_st_ab_losses)/1000000+Carriers!$AB$18/Carriers!$AB$23*((FB93+lng_st_ab_losses)/365.25*short_st_duration_hrs/24)*(h2_short_st_invest*(1/gh2_short_st_lifetime+$M93+h2_short_st_opex)+h2_short_st_e_demand*1000*$AU93/100)/1000000+Carriers!$AB$20/Carriers!$AB$23*((FB93+lng_st_ab_losses)/365.25*short_st_duration_hrs/24)*(co2_short_st_invest*(1/co2_short_st_lifetime+$M93+co2_short_st_opex)+co2_short_st_e_demand*1000*$AU93/100)/1000000</f>
        <v>4826.4496035401135</v>
      </c>
      <c r="FB93" s="63">
        <f>Storage!$U$57/((1-Shipping!$V$37)^($F93/24/Shipping!$V$44+0.5*Shipping!$V$59))</f>
        <v>41633924.40170335</v>
      </c>
      <c r="FC93" s="28">
        <f>IF($E93="","No Port",IF(G93="Panama","Ship cannot pass through Panama",((F93/24/Shipping!$V$44+F93/24/Shipping!$V$50+Shipping!$V$59+Shipping!$V$64)*(Shipping!$V$22+wacc_nl*Shipping!$V$19/365.25*1000000+Shipping!$V$35)+(F93/24/Shipping!$V$44*Shipping!$V$45+Shipping!$V$64*Shipping!$V$65)*IF(bunker_choice="HFO",$H93,IF(bunker_choice="hydrogen",$BD93*hfo_e_density_lhv/h2_e_density_lhv,(EX93+EZ93)*1000000/FB93*hfo_e_density_lhv/lng_e_density_lhv))+(F93/24/Shipping!$V$50*Shipping!$V$51+Shipping!$V$59*Shipping!$V$60)*IF(bunker_choice="HFO",bunker_price_ROT,IF(bunker_choice="hydrogen",$BD93*hfo_e_density_lhv/h2_e_density_lhv,(EX93+EZ93)*1000000/FB93*hfo_e_density_lhv/lng_e_density_lhv))+Shipping!$V$73+IF(G93="Panama",Shipping!$V$55,0)+IF(G93="Suez",Shipping!$V$56,0))/Shipping!$V$31*(FB93+lng_st_ab_losses)/1000000)+IF(inland_transport_to_port="hv dc grid",$BM93/100*1000*FE93,IF(inland_transport_to_port="pipeline",$BN93,0)))</f>
        <v>2855.4774970054059</v>
      </c>
      <c r="FD93" s="28">
        <f t="shared" si="136"/>
        <v>91977.054154050857</v>
      </c>
      <c r="FE93" s="29">
        <f>((Carriers!$AB$18/Carriers!$AB$23*alk_el_e_demand)+sng_e_demand+lng_e_demand)*(FB93+lng_st_ab_losses)/1000000+lng_st_e_demand*EZ93/1000000</f>
        <v>1116.5768800624601</v>
      </c>
      <c r="FF93" s="29">
        <f t="shared" si="109"/>
        <v>0.8126185861001558</v>
      </c>
      <c r="FG93" s="28">
        <f>IFERROR(FD93*1000000/Storage!$U$12,"")</f>
        <v>2266.330730485452</v>
      </c>
      <c r="FH93" s="28">
        <f>IF($E93="","No Port",((F93/24/Shipping!$V$44+F93/24/Shipping!$V$50+Shipping!$V$59+Shipping!$V$64)*Carriers!$AB$39*wacc_nl))</f>
        <v>41.791244826644778</v>
      </c>
      <c r="FI93" s="100">
        <f>H2_retrieval!$T$25*h2_demand_kt/1000+(co2_liq_e_demand+co2_st_e_demand*2)*Storage!$U$12*co2_density/lng_density/1000000</f>
        <v>236.51371749646054</v>
      </c>
      <c r="FJ93" s="28">
        <f>IFERROR((((EX93+EZ93+FC93)*(1+H2_retrieval!$T$34)+FH93)*1000000/H2_retrieval!$T$8)+h2_regen_lng,"")</f>
        <v>7150.3022896003422</v>
      </c>
      <c r="FK93" s="149">
        <f>(lh2_invest*(M93+1/lh2_lifetime)/lh2_prod+lh2_opex+lh2_e_demand*1000*$AU93/100+Carriers!$AD$18/Carriers!$AD$23*BD93)*(FM93+lh2_st_ab_losses)/1000000</f>
        <v>56436.182313649027</v>
      </c>
      <c r="FL93" s="28">
        <f>lh2_st_nl_cost*lh2_st_nl_demand/1000000+(lh2_st_invest*(M93+1/lh2_st_lifetime+lh2_st_opex)/(Storage!$Y$63/1000000)+lh2_st_e_demand*1000*$AU93/100)*(FM93+lh2_st_ab_losses)/1000000+((FM93+lh2_st_ab_losses)/365.25*short_st_duration_hrs/24)*(h2_short_st_invest*(1/gh2_short_st_lifetime+$M93+h2_short_st_opex)+h2_short_st_e_demand*1000*$AU93/100)/1000000</f>
        <v>56188.893978705179</v>
      </c>
      <c r="FM93" s="63">
        <f>Storage!$Y$57/((1-Shipping!$Z$37)^($F93/24/Shipping!$Z$44+0.5*Shipping!$Z$59))</f>
        <v>14161110.759523101</v>
      </c>
      <c r="FN93" s="28">
        <f>IF($E93="","No Port",IF(G93="Panama","Ship cannot pass through Panama",((F93/24/Shipping!$Z$44+F93/24/Shipping!$Z$50+Shipping!$Z$59+Shipping!$Z$64)*(Shipping!$Z$22+wacc_nl*Shipping!$Z$19/365.25*1000000+Shipping!$Z$35)+(F93/24/Shipping!$Z$44*Shipping!$Z$45+Shipping!$Z$64*Shipping!$Z$65)*IF(bunker_choice="HFO",$H93,IF(bunker_choice="hydrogen",$BD93*hfo_e_density_lhv/h2_e_density_lhv,(FK93+FL93)*1000000/FM93*hfo_e_density_lhv/lh2_e_density_lhv))+(F93/24/Shipping!$Z$50*Shipping!$Z$51+Shipping!$Z$59*Shipping!$Z$60)*IF(bunker_choice="HFO",bunker_price_ROT,IF(bunker_choice="hydrogen",$BD93*hfo_e_density_lhv/h2_e_density_lhv,(FK93+FL93)*1000000/FM93*hfo_e_density_lhv/lh2_e_density_lhv))+Shipping!$Z$73+IF(G93="Panama",Shipping!$Z$55,0)+IF(G93="Suez",Shipping!$Z$56,0))/Shipping!$Z$31*(FM93+lh2_st_ab_losses)/1000000)+IF(inland_transport_to_port="hv dc grid",$BM93/100*1000*FP93,IF(inland_transport_to_port="pipeline",$BN93,0)))</f>
        <v>5073.5388417985414</v>
      </c>
      <c r="FO93" s="28">
        <f t="shared" si="128"/>
        <v>117698.61513415274</v>
      </c>
      <c r="FP93" s="29">
        <f>((Carriers!$AD$18/Carriers!$AD$23*alk_el_e_demand)+lh2_e_demand)*(FM93+lh2_st_ab_losses)/1000000+lh2_st_e_demand*FM93/1000000</f>
        <v>820.60253280360564</v>
      </c>
      <c r="FQ93" s="100">
        <f t="shared" si="110"/>
        <v>1.361902463475859</v>
      </c>
      <c r="FR93" s="28">
        <f>IFERROR(FO93*1000000/Storage!$Y$12,"")</f>
        <v>8654.309936334761</v>
      </c>
      <c r="FS93" s="100">
        <f>H2_retrieval!$V$25*h2_demand_kt/1000</f>
        <v>8.16</v>
      </c>
      <c r="FT93" s="28">
        <f>IFERROR(FR93*(1+H2_retrieval!$V$34)/Carrier_properties!$U$7+H2_retrieval!$V$38,"")</f>
        <v>8686.278662203229</v>
      </c>
      <c r="FU93" s="12"/>
      <c r="FV93" s="24">
        <f t="shared" si="129"/>
        <v>2.3853377127282265</v>
      </c>
      <c r="FW93" s="24" t="str">
        <f t="shared" si="92"/>
        <v/>
      </c>
      <c r="FX93" s="24">
        <f t="shared" si="93"/>
        <v>6.6534176077671479</v>
      </c>
      <c r="FY93" s="24">
        <f t="shared" si="130"/>
        <v>2.3853377127282265</v>
      </c>
      <c r="FZ93" s="28">
        <f t="shared" si="94"/>
        <v>3009.9748271919257</v>
      </c>
      <c r="GA93" s="28">
        <f t="shared" si="137"/>
        <v>680.14891808185382</v>
      </c>
      <c r="GB93" s="28">
        <f t="shared" si="138"/>
        <v>426.41418776872263</v>
      </c>
      <c r="GC93" s="28">
        <f t="shared" si="139"/>
        <v>759.03171761860438</v>
      </c>
      <c r="GD93" s="28">
        <f t="shared" si="140"/>
        <v>1104.5814399148928</v>
      </c>
      <c r="GE93" s="28">
        <f t="shared" si="141"/>
        <v>1923.6375024157858</v>
      </c>
      <c r="GF93" s="28">
        <f t="shared" si="142"/>
        <v>2024.6740672387014</v>
      </c>
      <c r="GG93" s="12"/>
      <c r="GH93" s="12"/>
      <c r="GI93" s="12"/>
      <c r="GJ93" s="12"/>
      <c r="GK93" s="12"/>
      <c r="GL93" s="12"/>
      <c r="GM93" s="12"/>
      <c r="GN93" s="12"/>
      <c r="GO93" s="12"/>
      <c r="GP93" s="12"/>
      <c r="GQ93" s="12"/>
      <c r="GR93" s="12"/>
      <c r="GS93" s="12"/>
      <c r="GT93" s="12"/>
      <c r="GU93" s="12"/>
      <c r="GV93" s="12"/>
      <c r="GW93" s="12"/>
      <c r="GX93" s="12"/>
      <c r="GY93" s="12"/>
      <c r="GZ93" s="12"/>
      <c r="HA93" s="12"/>
      <c r="HB93" s="12"/>
      <c r="HC93" s="12"/>
      <c r="HD93" s="12"/>
      <c r="HE93" s="12"/>
      <c r="HF93" s="12"/>
    </row>
    <row r="94" spans="1:214" x14ac:dyDescent="0.2">
      <c r="A94" s="154" t="s">
        <v>97</v>
      </c>
      <c r="B94" s="12">
        <v>9086</v>
      </c>
      <c r="C94" s="12">
        <v>0.3</v>
      </c>
      <c r="D94" s="12">
        <f t="shared" si="111"/>
        <v>0.7</v>
      </c>
      <c r="E94" s="12" t="s">
        <v>756</v>
      </c>
      <c r="F94" s="12">
        <v>6565</v>
      </c>
      <c r="G94" s="14" t="s">
        <v>113</v>
      </c>
      <c r="H94" s="16">
        <f t="shared" si="112"/>
        <v>382.75862068965517</v>
      </c>
      <c r="I94" s="16">
        <v>1943950</v>
      </c>
      <c r="J94" s="16">
        <f t="shared" si="113"/>
        <v>786.62475377207647</v>
      </c>
      <c r="K94" s="27">
        <f t="shared" si="114"/>
        <v>943.9497045264917</v>
      </c>
      <c r="L94" s="103">
        <v>0.09</v>
      </c>
      <c r="M94" s="103">
        <f t="shared" si="115"/>
        <v>0.10507397017920742</v>
      </c>
      <c r="N94" s="122">
        <f t="shared" si="116"/>
        <v>0.8</v>
      </c>
      <c r="O94" s="46">
        <f t="shared" si="117"/>
        <v>40</v>
      </c>
      <c r="P94" s="70">
        <f t="array" ref="P94">SUMPRODUCT(IF(Solar_data!A$4:A$777=A94,Solar_data!C$4:C$777),IF(Solar_data!A$4:A$777=A94,Solar_data!I$4:I$777))/SUMIF(Solar_data!A$4:A$777,A94,Solar_data!I$4:I$777)</f>
        <v>2224.9871990773959</v>
      </c>
      <c r="Q94" s="16">
        <f t="array" ref="Q94">MAX(IF(Solar_data!$A$777:'Solar_data'!$A$4=Country_details!$A94,Solar_data!$C$4:'Solar_data'!$C$777))</f>
        <v>2463.75</v>
      </c>
      <c r="R94" s="16">
        <f t="array" ref="R94">MIN(IF(Solar_data!$A$777:'Solar_data'!$A$4=Country_details!A94,Solar_data!$C$4:'Solar_data'!$C$777))</f>
        <v>1733.75</v>
      </c>
      <c r="S94" s="24">
        <f t="shared" si="95"/>
        <v>2.0049664037889374</v>
      </c>
      <c r="T94" s="24">
        <f t="shared" si="96"/>
        <v>1.8106644679901074</v>
      </c>
      <c r="U94" s="24">
        <f t="shared" si="97"/>
        <v>2.5730495071438373</v>
      </c>
      <c r="V94" s="16">
        <f t="array" ref="V94">SUM(IF(Solar_data!$A$777:'Solar_data'!$A$4=Country_details!$A94,Solar_data!$I$4:'Solar_data'!$I$777))</f>
        <v>15525.974298816167</v>
      </c>
      <c r="W94" s="148"/>
      <c r="X94" s="16">
        <f>IFERROR(INDEX(Onshore_wind_data!$J$5:'Onshore_wind_data'!$J$221,MATCH(A94,Onshore_wind_data!$B$5:'Onshore_wind_data'!$B$221,0)),"")</f>
        <v>3132.8118826475625</v>
      </c>
      <c r="Y94" s="16">
        <f>IFERROR(INDEX(Onshore_wind_data!$K$5:'Onshore_wind_data'!$K$221,MATCH(A94,Onshore_wind_data!$B$5:'Onshore_wind_data'!$B$221,0)),"")</f>
        <v>3971</v>
      </c>
      <c r="Z94" s="16">
        <f>IFERROR(INDEX(Onshore_wind_data!$L$5:'Onshore_wind_data'!$L$221,MATCH(A94,Onshore_wind_data!$B$5:'Onshore_wind_data'!$B$221,0)),"")</f>
        <v>2847.5</v>
      </c>
      <c r="AA94" s="24">
        <f t="shared" si="118"/>
        <v>4.1047029820675993</v>
      </c>
      <c r="AB94" s="24">
        <f t="shared" si="119"/>
        <v>3.2382931949031128</v>
      </c>
      <c r="AC94" s="24">
        <f t="shared" si="120"/>
        <v>4.5159832403723472</v>
      </c>
      <c r="AD94" s="16">
        <f>IFERROR(INDEX(Onshore_wind_data!$I$5:'Onshore_wind_data'!$I$221,MATCH(A94,Onshore_wind_data!$B$5:'Onshore_wind_data'!$B$221,0)),"")</f>
        <v>606.00494954150008</v>
      </c>
      <c r="AE94" s="148"/>
      <c r="AF94" s="16">
        <f>INDEX(Offshore_wind_data!$AA$7:$AA$192,MATCH(Country_details!A94,Offshore_wind_data!$A$7:$A$192,0))</f>
        <v>3444.3995211547017</v>
      </c>
      <c r="AG94" s="16">
        <f>INDEX(Offshore_wind_data!$Y$7:$Y$192,MATCH(Country_details!A94,Offshore_wind_data!$A$7:$A$192,0))</f>
        <v>4204.8</v>
      </c>
      <c r="AH94" s="16">
        <f>INDEX(Offshore_wind_data!$Z$7:$Z$192,MATCH(Country_details!A94,Offshore_wind_data!$A$7:$A$192,0))</f>
        <v>3153.6</v>
      </c>
      <c r="AI94" s="24">
        <f t="shared" si="98"/>
        <v>7.1160025643227875</v>
      </c>
      <c r="AJ94" s="24">
        <f t="shared" si="99"/>
        <v>5.8291371349621954</v>
      </c>
      <c r="AK94" s="24">
        <f t="shared" si="100"/>
        <v>7.7721828466162606</v>
      </c>
      <c r="AL94" s="16">
        <f>INDEX(Offshore_wind_data!$W$7:$W$191,MATCH(A94,Offshore_wind_data!$A$7:$A$191,0))</f>
        <v>4028.1563520000004</v>
      </c>
      <c r="AM94" s="148"/>
      <c r="AN94" s="12">
        <v>129.19999999999999</v>
      </c>
      <c r="AO94" s="12">
        <v>164.3</v>
      </c>
      <c r="AP94" s="34">
        <f>1.5458*11.63</f>
        <v>17.977654000000001</v>
      </c>
      <c r="AQ94" s="15">
        <f t="shared" si="101"/>
        <v>50</v>
      </c>
      <c r="AR94" s="12">
        <f t="shared" si="131"/>
        <v>8215</v>
      </c>
      <c r="AS94" s="16">
        <f t="shared" si="121"/>
        <v>11945.135600357669</v>
      </c>
      <c r="AT94" s="12"/>
      <c r="AU94" s="24">
        <f t="shared" si="122"/>
        <v>3.2327242204824476</v>
      </c>
      <c r="AV94" s="16">
        <f t="shared" si="123"/>
        <v>5357.7990817249583</v>
      </c>
      <c r="AW94" s="149">
        <f>HV_DC_Grid!$E$3/(1-AX94)*AU94/100*1000</f>
        <v>3948.2144053971278</v>
      </c>
      <c r="AX94" s="31">
        <f>(1-(1-HV_DC_Grid!$E$25)^(B94*C94*HV_DC_Grid!$E$8/1000))+(1-(1-HV_DC_Grid!$E$26)^(B94*D94*HV_DC_Grid!$E$8/1000))+HV_DC_Grid!$E$35*HV_DC_Grid!$E$28</f>
        <v>0.18121867544392223</v>
      </c>
      <c r="AY94" s="28">
        <f>B94*nl_e_demand/IF(hv_dc_flh="electricity FLH",$AV94,hv_dc_custom)*1000*hv_dc_capacity_multiplier*hv_dc_length_multiplier*1000*(C94*hv_dc_overhead_invest*(hv_dc_overhead_opex+M94+1/hv_dc_lifetime)+D94*hv_dc_sea_invest*(hv_dc_sea_opex+M94+1/hv_dc_lifetime))/1000000+HV_DC_Grid!$E$10*1000*hv_dc_station_invest*hv_dc_station_number*(hv_dc_station_opex+M94+1/hv_dc_lifetime)/1000000</f>
        <v>17058.128543016373</v>
      </c>
      <c r="AZ94" s="24">
        <f>(AW94+AY94)/(HV_DC_Grid!$E$3*1000)*100</f>
        <v>21.006342948413501</v>
      </c>
      <c r="BA94" s="28">
        <f>MIN(((Carriers!$F$26+Carriers!$F$27)*(alk_el_opex+wacc_nl+1/alk_el_lifetime)+IF(hv_dc_flh="electricity FLH",$AV94,hv_dc_custom)*AZ94/100)/(IF(hv_dc_flh="electricity FLH",$AV94,hv_dc_custom)/alk_el_e_demand)*1000,((Carriers!$H$26+Carriers!$H$27)*(pem_el_opex+wacc_nl+1/pem_el_lifetime)+IF(hv_dc_flh="electricity FLH",$AV94,hv_dc_custom)*AZ94/100)/(IF(hv_dc_flh="electricity FLH",$AV94,hv_dc_custom)/pem_el_e_demand)*1000)</f>
        <v>11008.524246630981</v>
      </c>
      <c r="BB94" s="12"/>
      <c r="BC94" s="12"/>
      <c r="BD94" s="149">
        <f>MIN(((Carriers!$F$26+Carriers!$F$27)*(alk_el_opex+M94+1/alk_el_lifetime)+$AV94*$AU94/100)/($AV94/alk_el_e_demand)*1000,((Carriers!$H$26+Carriers!$H$27)*(pem_el_opex+M94+1/pem_el_lifetime)+$AV94*$AU94/100)/($AV94/pem_el_e_demand)*1000)</f>
        <v>2225.7853069084076</v>
      </c>
      <c r="BE94" s="28">
        <f>Storage!$AC$50</f>
        <v>8.1664117557772418</v>
      </c>
      <c r="BF94" s="28">
        <f>((Pipeline!$D$22*Pipeline!$D$24*B94*(pipeline_opex+M94+1/pipeline_lifetime))*(Pipeline!$D$39/Pipeline!$D$3)+(Pipeline!$D$57*(pipeline_comp_opex+M94+1/pipeline_comp_lifetime)+Pipeline!$D$47*1000*Pipeline!$D$45*$AU94/100/1000000))*(Pipeline!$D$75/Pipeline!$D$45)</f>
        <v>18275.856025164307</v>
      </c>
      <c r="BG94" s="28">
        <f>BD94+(BE94+BF94)/Storage!$AC$12*1000000</f>
        <v>3570.1987213878256</v>
      </c>
      <c r="BH94" s="28"/>
      <c r="BI94" s="28"/>
      <c r="BJ94" s="28">
        <f>IF($E94="","No Port",BK94*HV_DC_Grid!$E$3*$AU94/100*1000)</f>
        <v>103.78499029093692</v>
      </c>
      <c r="BK94" s="31">
        <f>IFERROR((1-(1-HV_DC_Grid!$E$25)^(K94*HV_DC_Grid!$E$8/1000))+HV_DC_Grid!$E$35*HV_DC_Grid!$E$28,"")</f>
        <v>3.2104498624831099E-2</v>
      </c>
      <c r="BL94" s="28">
        <f>IFERROR(K94*nl_e_demand/IF(hv_dc_flh="electricity FLH",$AV94,hv_dc_custom)*1000*hv_dc_capacity_multiplier*hv_dc_length_multiplier*1000*(hv_dc_overhead_invest*(hv_dc_overhead_opex+M94+1/hv_dc_lifetime))/1000000+HV_DC_Grid!$E$10*1000*hv_dc_station_invest*hv_dc_station_number*(hv_dc_station_opex+M94+1/hv_dc_lifetime)/1000000,"")</f>
        <v>1067.9315742591891</v>
      </c>
      <c r="BM94" s="29">
        <f>IFERROR((BJ94+BL94)/(HV_DC_Grid!$E$3*1000)*100,"")</f>
        <v>1.1717165645501262</v>
      </c>
      <c r="BN94" s="28">
        <f>IFERROR(((Pipeline!$D$22*Pipeline!$D$24*K94*(pipeline_opex+M94+1/pipeline_lifetime))*(Pipeline!$D$39/Pipeline!$D$3)+(Pipeline!$D$57*(pipeline_comp_opex+M94+1/pipeline_comp_lifetime)+Pipeline!$D$47*1000*Pipeline!$D$45*S94/100/1000000))*(Pipeline!$D$75/Pipeline!$D$45),"")</f>
        <v>1955.7907231485292</v>
      </c>
      <c r="BO94" s="28"/>
      <c r="BP94" s="150">
        <f t="shared" si="124"/>
        <v>106.81696830225718</v>
      </c>
      <c r="BQ94" s="34">
        <f t="shared" si="125"/>
        <v>31.371854265357779</v>
      </c>
      <c r="BR94" s="151">
        <f>(nh3_invest*(M94+1/nh3_lifetime)/nh3_prod+nh3_opex+nh3_e_demand*1000*$AU94/100+Carriers!$N$18/Carriers!$N$23*BD94+Carriers!$N$19/Carriers!$N$23*BQ94)*(BT94+nh3_st_ab_losses)/1000000</f>
        <v>42600.520872315392</v>
      </c>
      <c r="BS94" s="63">
        <f>nh3_st_nl_cost*nh3_st_nl_demand/1000000+(nh3_st_invest*(M94+1/nh3_st_lifetime+nh3_st_opex)/(Storage!$G$63/1000000)+nh3_st_e_demand*1000*$AU94/100)*(BT94+nh3_st_ab_losses)/1000000+Carriers!$N$18/Carriers!$N$23*((BT94+nh3_st_ab_losses)/365.25*short_st_duration_hrs/24)*(h2_short_st_invest*(1/gh2_short_st_lifetime+$M94+h2_short_st_opex)+h2_short_st_e_demand*1000*$AU94/100)/1000000+Carriers!$N$19/Carriers!$N$23*((BT94+nh3_st_ab_losses)/365.25*short_st_duration_hrs/24)*(n2_short_st_invest*(1/n2_short_st_lifetime+$M94+n2_short_st_opex)+n2_short_st_e_demand*1000*$AU94/100)/1000000</f>
        <v>3229.3849087671338</v>
      </c>
      <c r="BT94" s="63">
        <f>Storage!$G$57/((1-Shipping!$H$37)^(F94/24/Shipping!$H$44+0.5*Shipping!$H$59))</f>
        <v>80112869.017178923</v>
      </c>
      <c r="BU94" s="63">
        <f>IF($E94="","No Port",((F94/24/Shipping!$H$44+F94/24/Shipping!$H$50+Shipping!$H$59+Shipping!$H$64)*(Shipping!$H$22+wacc_nl*Shipping!$H$19/365.25*1000000+Shipping!$H$35)+(F94/24/Shipping!$H$44*Shipping!$H$45+Shipping!$H$64*Shipping!$H$65)*IF(bunker_choice="HFO",H94,IF(bunker_choice="hydrogen",BD94*hfo_e_density_lhv/h2_e_density_lhv,(BR94+BS94)*1000000/BT94*hfo_e_density_lhv/nh3_e_density_lhv))+(F94/24/Shipping!$H$50*Shipping!$H$51+Shipping!$H$59*Shipping!$H$60)*IF(bunker_choice="HFO",bunker_price_ROT,IF(bunker_choice="hydrogen",BD94*hfo_e_density_lhv/h2_e_density_lhv,(BR94+BS94)*1000000/BT94*hfo_e_density_lhv/nh3_e_density_lhv))+Shipping!$H$73+IF(G94="Panama",Shipping!$H$55,0)+IF(G94="Suez",Shipping!$H$56,0))/Shipping!$H$31*BT94/1000000+IF(inland_transport_to_port="hv dc grid",$BM94/100*1000*BW94,IF(inland_transport_to_port="pipeline",$BN94,0)))</f>
        <v>6404.9825647799626</v>
      </c>
      <c r="BV94" s="63">
        <f t="shared" si="126"/>
        <v>52234.888345862491</v>
      </c>
      <c r="BW94" s="33">
        <f>((Carriers!$N$18/Carriers!$N$23*alk_el_e_demand)+(Carriers!$N$19/Carriers!$N$23*n2_e_demand)+nh3_e_demand)*(BT94+nh3_st_ab_losses)/1000000+nh3_st_e_demand*BT94/1000000</f>
        <v>791.12625729530782</v>
      </c>
      <c r="BX94" s="33">
        <f t="shared" si="102"/>
        <v>0.76626754477640768</v>
      </c>
      <c r="BY94" s="63">
        <f>IFERROR(BV94*1000000/Storage!$G$12,"")</f>
        <v>682.24747742757688</v>
      </c>
      <c r="BZ94" s="63">
        <f>H2_retrieval!$F$25*h2_demand_kt/1000</f>
        <v>80</v>
      </c>
      <c r="CA94" s="63">
        <f>IFERROR(BY94*(1+H2_retrieval!$F$34)/Carrier_properties!$E$7+H2_retrieval!$F$38,"")</f>
        <v>4250.0265933100945</v>
      </c>
      <c r="CB94" s="149">
        <f>(FA_invest*(M94+1/FA_lifetime)/FA_prod+FA_opex+FA_e_demand*1000*$AU94/100+Carriers!$P$18/Carriers!$P$23*BD94+Carriers!$P$20/Carriers!$P$23*co2_liq_cost)*(CF94+FA_st_ab_losses)/1000000</f>
        <v>95521.233557127416</v>
      </c>
      <c r="CC94" s="86">
        <f>(FA_invest*(M94+1/FA_lifetime)/FA_prod+FA_opex+FA_e_demand*1000*$AU94/100+Carriers!$P$18/Carriers!$P$23*BD94+Carriers!$P$20/Carriers!$P$23*BP94)*(CF94+FA_st_ab_losses)/1000000</f>
        <v>121176.91938589852</v>
      </c>
      <c r="CD94" s="63">
        <f>FA_st_nl_cost*FA_st_nl_demand/1000000+(FA_st_invest*(M94+1/FA_st_lifetime+FA_st_opex)/(Storage!$I$63/1000000)+FA_st_e_demand*1000*$AU94/100)*(CF94+FA_st_ab_losses)/1000000+co2_st_nl_cost*Storage!$I$12*co2_density/FA_density/1000000+(co2_st_opex_lev+co2_st_invest_lev+co2_st_e_demand*1000*$AU94/100)*Storage!$I$12/1000000+co2_st_invest_lev*Storage!$I$12*co2_st_lifetime*M94/1000000+Carriers!$P$18/Carriers!$P$23*((CF94+FA_st_ab_losses)/365.25*short_st_duration_hrs/24)*(h2_short_st_invest*(1/gh2_short_st_lifetime+$M94+h2_short_st_opex)+h2_short_st_e_demand*1000*$AU94/100)/1000000+Carriers!$P$20/Carriers!$P$23*((CF94+FA_st_ab_losses)/365.25*short_st_duration_hrs/24)*(co2_short_st_invest*(1/co2_short_st_lifetime+$M94+co2_short_st_opex)+co2_short_st_e_demand*1000*$AU94/100)/1000000</f>
        <v>11311.282992406001</v>
      </c>
      <c r="CE94" s="63">
        <f>FA_st_nl_cost*FA_st_nl_demand/1000000+(FA_st_invest*(M94+1/FA_st_lifetime+FA_st_opex)/(Storage!$I$63/1000000)+FA_st_e_demand*1000*$AU94/100)*(CF94+FA_st_ab_losses)/1000000+Carriers!$P$18/Carriers!$P$23*((CF94+FA_st_ab_losses)/365.25*short_st_duration_hrs/24)*(h2_short_st_invest*(1/gh2_short_st_lifetime+$M94+h2_short_st_opex)+h2_short_st_e_demand*1000*$AU94/100)/1000000+Carriers!$P$20/Carriers!$P$23*((CF94+FA_st_ab_losses)/365.25*short_st_duration_hrs/24)*(co2_short_st_invest*(1/co2_short_st_lifetime+$M94+co2_short_st_opex)+co2_short_st_e_demand*1000*$AU94/100)/1000000</f>
        <v>4744.3833827133012</v>
      </c>
      <c r="CF94" s="63">
        <f>Storage!$I$57/((1-Shipping!$J$37)^($F94/24/Shipping!$J$44+0.5*Shipping!$J$59))</f>
        <v>310425396.82539684</v>
      </c>
      <c r="CG94" s="28">
        <f>IF($E94="","No Port",((F94/24/Shipping!$J$44+F94/24/Shipping!$J$50+Shipping!$J$59+Shipping!$J$64)*(Shipping!$J$22+wacc_nl*Shipping!$J$19/365.25*1000000+Shipping!$J$35)+(F94/24/Shipping!$J$44*Shipping!$J$45+Shipping!$J$64*Shipping!$J$65)*IF(bunker_choice="HFO",$H94,IF(bunker_choice="hydrogen",$BD94*hfo_e_density_lhv/h2_e_density_lhv,(CB94+CD94)*1000000/CF94*hfo_e_density_lhv/FA_e_density_lhv))+(F94/24/Shipping!$J$50*Shipping!$J$51+Shipping!$J$59*Shipping!$J$60)*IF(bunker_choice="HFO",bunker_price_ROT,IF(bunker_choice="hydrogen",$BD94*hfo_e_density_lhv/h2_e_density_lhv,(CB94+CD94)*1000000/CF94*hfo_e_density_lhv/FA_e_density_lhv))+Shipping!$J$73+IF(G94="Panama",Shipping!$J$55,0)+IF(G94="Suez",Shipping!$J$56,0))/Shipping!$J$31*CF94/1000000+IF(inland_transport_to_port="hv dc grid",$BM94/100*1000*CI94,IF(inland_transport_to_port="pipeline",$BN94,0)))</f>
        <v>19294.81388613618</v>
      </c>
      <c r="CH94" s="28">
        <f t="shared" si="132"/>
        <v>145216.11665474801</v>
      </c>
      <c r="CI94" s="29">
        <f>((Carriers!$P$18/Carriers!$P$23*alk_el_e_demand)+FA_e_demand)*(CF94+FA_st_ab_losses)/1000000+FA_st_e_demand*CF94/1000000</f>
        <v>1897.8881241622576</v>
      </c>
      <c r="CJ94" s="29">
        <f t="shared" si="103"/>
        <v>0.46563809523809524</v>
      </c>
      <c r="CK94" s="28">
        <f>IFERROR(CH94*1000000/Storage!$I$12,"")</f>
        <v>467.79715235872561</v>
      </c>
      <c r="CL94" s="28">
        <f>IF($E94="","No Port",((F94/24/Shipping!$J$44+F94/24/Shipping!$J$50+Shipping!$J$59+Shipping!$J$64)*Carriers!$P$39*wacc_nl))</f>
        <v>316.82860267359484</v>
      </c>
      <c r="CM94" s="29">
        <f>H2_retrieval!$H$25*h2_demand_kt/1000+(co2_liq_e_demand+co2_st_e_demand*2)*Storage!$I$12*co2_density/FA_density/1000000</f>
        <v>94.204253879484654</v>
      </c>
      <c r="CN94" s="28">
        <f>IFERROR((((CB94+CD94+CG94)*(1+H2_retrieval!$H$34)+CL94)*1000000/H2_retrieval!$H$8)+h2_regen_fa,"")</f>
        <v>9387.0520029392483</v>
      </c>
      <c r="CO94" s="149">
        <f>(meoh_invest*(M94+1/meoh_lifetime)/meoh_prod+meoh_opex+meoh_e_demand*1000*$AU94/100+Carriers!$R$18/Carriers!$R$23*BD94+Carriers!$R$20/Carriers!$R$23*co2_liq_cost)*(CS94+meoh_st_ab_losses)/1000000</f>
        <v>49747.241760312441</v>
      </c>
      <c r="CP94" s="86">
        <f>(meoh_invest*(M94+1/meoh_lifetime)/meoh_prod+meoh_opex+meoh_e_demand*1000*$AU94/100+Carriers!$R$18/Carriers!$R$23*BD94+Carriers!$R$20/Carriers!$R$23*BP94)*(CS94+meoh_st_ab_losses)/1000000</f>
        <v>64807.921379937514</v>
      </c>
      <c r="CQ94" s="63">
        <f>meoh_st_nl_cost*meoh_st_nl_demand/1000000+(meoh_st_invest*(M94+1/meoh_st_lifetime+meoh_st_opex)/(Storage!$K$63/1000000)+meoh_st_e_demand*1000*$AU94/100)*(CS94+meoh_st_ab_losses)/1000000+co2_st_nl_cost*Storage!$K$12*co2_density/meoh_density/1000000+(co2_st_opex_lev+co2_st_invest_lev+co2_st_e_demand*1000*IFERROR(MIN(S94,AA94,AI94),S94)/100)*Storage!$K$12/1000000+co2_st_invest_lev*Storage!$K$12*co2_st_lifetime*M94/1000000+Carriers!$R$18/Carriers!$R$23*((CS94+meoh_st_ab_losses)/365.25*short_st_duration_hrs/24)*(h2_short_st_invest*(1/gh2_short_st_lifetime+$M94+h2_short_st_opex)+h2_short_st_e_demand*1000*$AU94/100)/1000000+Carriers!$R$20/Carriers!$R$23*((CF94+meoh_st_ab_losses)/365.25*short_st_duration_hrs/24)*(co2_short_st_invest*(1/co2_short_st_lifetime+$M94+co2_short_st_opex)+co2_short_st_e_demand*1000*$AU94/100)/1000000</f>
        <v>4598.9633135911727</v>
      </c>
      <c r="CR94" s="63">
        <f>meoh_st_nl_cost*meoh_st_nl_demand/1000000+(meoh_st_invest*(M94+1/meoh_st_lifetime+meoh_st_opex)/(Storage!$K$63/1000000)+meoh_st_e_demand*1000*$AU94/100)*(CS94+meoh_st_ab_losses)/1000000+Carriers!$R$18/Carriers!$R$23*((CS94+meoh_st_ab_losses)/365.25*short_st_duration_hrs/24)*(h2_short_st_invest*(1/gh2_short_st_lifetime+$M94+h2_short_st_opex)+h2_short_st_e_demand*1000*$AU94/100)/1000000+Carriers!$R$20/Carriers!$R$23*((CF94+meoh_st_ab_losses)/365.25*short_st_duration_hrs/24)*(co2_short_st_invest*(1/co2_short_st_lifetime+$M94+co2_short_st_opex)+co2_short_st_e_demand*1000*$AU94/100)/1000000</f>
        <v>1846.990154202645</v>
      </c>
      <c r="CS94" s="63">
        <f>Storage!$K$57/((1-Shipping!$L$37)^($F94/24/Shipping!$L$44+0.5*Shipping!$L$59))</f>
        <v>108044444.44444443</v>
      </c>
      <c r="CT94" s="28">
        <f>IF($E94="","No Port",IF(AND(ship_choice="VLCC",G94="Panama"),"Ship cannot pass through Panama",IF(ship_choice="VLCC",((F94/24/Shipping!$AD$44+F94/24/Shipping!$AD$50+Shipping!$AD$59+Shipping!$AD$64)*(Shipping!$AD$22+wacc_nl*Shipping!$AD$19/365.25*1000000+Shipping!$AD$35)+(F94/24/Shipping!$AD$44*Shipping!$AD$45+Shipping!$AD$64*Shipping!$AD$65)*IF(bunker_choice="HFO",$H94,IF(bunker_choice="hydrogen",$BD94*hfo_e_density_lhv/h2_e_density_lhv,(CO94+CQ94)*1000000/CS94*hfo_e_density_lhv/meoh_e_density_lhv))+(F94/24/Shipping!$AD$50*Shipping!$AD$51+Shipping!$AD$59*Shipping!$AD$60)*IF(bunker_choice="HFO",bunker_price_ROT,IF(bunker_choice="hydrogen",$BD94*hfo_e_density_lhv/h2_e_density_lhv,(CO94+CQ94)*1000000/CS94*hfo_e_density_lhv/meoh_e_density_lhv))+Shipping!$AD$73+IF(G94="Panama",Shipping!$AD$55,0)+IF(G94="Suez",Shipping!$AD$56,0))/Shipping!$AD$31*CS94/1000000+IF(inland_transport_to_port="hv dc grid",$BM94/100*1000*CV94,IF(inland_transport_to_port="pipeline",$BN94,0)),((F94/24/Shipping!$L$44+F94/24/Shipping!$L$50+Shipping!$L$59+Shipping!$L$64)*(Shipping!$L$22+wacc_nl*Shipping!$L$19/365.25*1000000+Shipping!$L$35)+(F94/24/Shipping!$L$44*Shipping!$L$45+Shipping!$L$64*Shipping!$L$65)*IF(bunker_choice="HFO",$H94,IF(bunker_choice="hydrogen",$BD94*hfo_e_density_lhv/h2_e_density_lhv,(CO94+CQ94)*1000000/CS94*hfo_e_density_lhv/meoh_e_density_lhv))+(F94/24/Shipping!$L$50*Shipping!$L$51+Shipping!$L$59*Shipping!$L$60)*IF(bunker_choice="HFO",bunker_price_ROT,IF(bunker_choice="hydrogen",$BD94*hfo_e_density_lhv/h2_e_density_lhv,(CO94+CQ94)*1000000/CS94*hfo_e_density_lhv/meoh_e_density_lhv))+Shipping!$L$73+IF(G94="Panama",Shipping!$L$55,0)+IF(G94="Suez",Shipping!$L$56,0))/Shipping!$L$31*CS94/1000000+IF(inland_transport_to_port="hv dc grid",$BM94/100*1000*CV94,IF(inland_transport_to_port="pipeline",$BN94,0)))))</f>
        <v>7670.8294763295307</v>
      </c>
      <c r="CU94" s="28">
        <f t="shared" si="133"/>
        <v>74325.74101046969</v>
      </c>
      <c r="CV94" s="29">
        <f>((Carriers!$R$18/Carriers!$R$23*alk_el_e_demand)+meoh_e_demand)*(CS94+meoh_st_ab_losses)/1000000+meoh_st_e_demand*CS94/1000000</f>
        <v>1119.9789871111109</v>
      </c>
      <c r="CW94" s="29">
        <f t="shared" si="104"/>
        <v>0.16206666666666666</v>
      </c>
      <c r="CX94" s="28">
        <f>IFERROR(CU94*1000000/Storage!$K$12,"")</f>
        <v>687.91821173820165</v>
      </c>
      <c r="CY94" s="28">
        <f>IF($E94="","No Port",((F94/24/Shipping!$L$44+F94/24/Shipping!$L$50+Shipping!$L$59+Shipping!$L$64)*Carriers!$R$39*wacc_nl))</f>
        <v>113.53844159501411</v>
      </c>
      <c r="CZ94" s="29">
        <f>H2_retrieval!$J$25*h2_demand_kt/1000+(co2_liq_e_demand+co2_st_e_demand*2)*Storage!$K$12*co2_density/meoh_density/1000000</f>
        <v>251.05079059698966</v>
      </c>
      <c r="DA94" s="28">
        <f>IFERROR((((CO94+CQ94+CT94)*(1+H2_retrieval!$J$34)+CY94)*1000000/H2_retrieval!$J$8)+h2_regen_meoh,"")</f>
        <v>5738.553027889363</v>
      </c>
      <c r="DB94" s="149">
        <f>(DBT_invest*(M94+1/DBT_lifetime)/DBT_prod+DBT_opex+DBT_e_demand*1000*$AU94/100+Carriers!$T$18/Carriers!$T$23*BD94)*(DD94+DBT_st_ab_losses)/1000000</f>
        <v>33343.530855310688</v>
      </c>
      <c r="DC94" s="28">
        <f>2*(DBT_st_nl_cost*DBT_st_nl_demand/1000000+(DBT_st_invest*(M94+1/DBT_st_lifetime+DBT_st_opex)/(Storage!$M$63/1000000)+DBT_st_e_demand*1000*$AU94/100)*(DD94+DBT_st_ab_losses)/1000000)+Carriers!$T$18/Carriers!$T$23*((DD94+DBT_st_ab_losses)/365.25*short_st_duration_hrs/24)*(h2_short_st_invest*(1/gh2_short_st_lifetime+$M94+h2_short_st_opex)+h2_short_st_e_demand*1000*$AU94/100)/1000000</f>
        <v>3860.2307075893182</v>
      </c>
      <c r="DD94" s="63">
        <f>Storage!$M$57/((1-Shipping!$N$37)^($F94/24/Shipping!$N$44+0.5*Shipping!$N$59))</f>
        <v>219354838.70967743</v>
      </c>
      <c r="DE94" s="28">
        <f>IF($E94="","No Port",IF(AND(ship_choice="VLCC",G94="Panama"),"Ship cannot pass through Panama",IF(ship_choice="VLCC",((F94/24/Shipping!$AD$44+F94/24/Shipping!$AD$50+Shipping!$AD$59+Shipping!$AD$64)*(Shipping!$AD$22+wacc_nl*Shipping!$AD$19/365.25*1000000+Shipping!$AD$35)+(F94/24/Shipping!$AD$44*Shipping!$AD$45+Shipping!$AD$64*Shipping!$AD$65)*IF(bunker_choice="HFO",$H94,IF(bunker_choice="hydrogen",$BD94*hfo_e_density_lhv/h2_e_density_lhv,(DB94+DC94)*1000000/DD94*hfo_e_density_lhv/DBT_e_density_lhv))+(F94/24/Shipping!$AD$50*Shipping!$AD$51+Shipping!$AD$59*Shipping!$AD$60)*IF(bunker_choice="HFO",bunker_price_ROT,IF(bunker_choice="hydrogen",$BD94*hfo_e_density_lhv/h2_e_density_lhv,(DB94+DC94)*1000000/DD94*hfo_e_density_lhv/DBT_e_density_lhv))+Shipping!$AD$73+IF(G94="Panama",Shipping!$AD$55,0)+IF(G94="Suez",Shipping!$AD$56,0))/Shipping!$AD$31*DD94/1000000+IF(inland_transport_to_port="hv dc grid",$BM94/100*1000*DG94,IF(inland_transport_to_port="pipeline",$BN94,0)),((F94/24/Shipping!$N$44+F94/24/Shipping!$N$50+Shipping!$N$59+Shipping!$N$64)*(Shipping!$N$22+wacc_nl*Shipping!$N$19/365.25*1000000+Shipping!$N$35)+(F94/24/Shipping!$N$44*Shipping!$N$45+Shipping!$N$64*Shipping!$N$65)*IF(bunker_choice="HFO",$H94,IF(bunker_choice="hydrogen",$BD94*hfo_e_density_lhv/h2_e_density_lhv,(DB94+DC94)*1000000/DD94*hfo_e_density_lhv/DBT_e_density_lhv))+(F94/24/Shipping!$N$50*Shipping!$N$51+Shipping!$N$59*Shipping!$N$60)*IF(bunker_choice="HFO",bunker_price_ROT,IF(bunker_choice="hydrogen",$BD94*hfo_e_density_lhv/h2_e_density_lhv,(DB94+DC94)*1000000/DD94*hfo_e_density_lhv/DBT_e_density_lhv))+Shipping!$N$73+IF(G94="Panama",Shipping!$N$55,0)+IF(G94="Suez",Shipping!$N$56,0))/Shipping!$N$31*Shipping!$N$86/1000000+IF(inland_transport_to_port="hv dc grid",$BM94/100*1000*DG94,IF(inland_transport_to_port="pipeline",$BN94,0)))))</f>
        <v>12669.922079896491</v>
      </c>
      <c r="DF94" s="28">
        <f t="shared" si="82"/>
        <v>49873.683642796495</v>
      </c>
      <c r="DG94" s="29">
        <f>((Carriers!$T$18/Carriers!$T$23*alk_el_e_demand)+DBT_e_demand)*(DD94+DBT_st_ab_losses)/1000000+DBT_st_e_demand*DD94/1000000</f>
        <v>703.88335483870969</v>
      </c>
      <c r="DH94" s="29">
        <f t="shared" si="105"/>
        <v>0.21935483870967742</v>
      </c>
      <c r="DI94" s="28">
        <f>IFERROR(DF94*1000000/Storage!$M$12,"")</f>
        <v>227.3653224892193</v>
      </c>
      <c r="DJ94" s="28">
        <f>IF($E94="","No Port",((F94/24/Shipping!$N$44+F94/24/Shipping!$N$50+Shipping!$N$59+Shipping!$N$64)*Carriers!$T$39*wacc_nl))</f>
        <v>8269.3777456287571</v>
      </c>
      <c r="DK94" s="100">
        <f>H2_retrieval!$L$25*h2_demand_kt/1000+(co2_liq_e_demand+co2_st_e_demand*2)*Storage!$M$12*co2_density/DBT_density/1000000</f>
        <v>206.61934861671787</v>
      </c>
      <c r="DL94" s="28">
        <f>IFERROR(((DF94*(1+H2_retrieval!$L$34)+DJ94)*1000000/H2_retrieval!$L$8)+h2_regen_lohc,"")</f>
        <v>4745.8748827288873</v>
      </c>
      <c r="DM94" s="149">
        <f t="shared" si="127"/>
        <v>55330.497821009812</v>
      </c>
      <c r="DN94" s="16">
        <f>2*(nabh4_st_nl_cost*nabh4_st_nl_demand/1000000+(nabh4_st_invest*(M94+1/nabh4_st_lifetime+nabh4_st_opex)/(Storage!$O$63/1000000)+nabh4_st_e_demand*1000*$AU94/100)*(DO94+nabh4_st_ab_losses)/1000000)+(h2_demand_kt*1000/365.25*short_st_duration_hrs/24)*(h2_short_st_invest*(1/gh2_short_st_lifetime+$M94+h2_short_st_opex)+h2_short_st_e_demand*1000*$AU94/100)/1000000</f>
        <v>1362.9554778128268</v>
      </c>
      <c r="DO94" s="63">
        <f>Storage!$O$57/((1-Shipping!$P$37)^($F94/24/Shipping!$P$44+0.5*Shipping!$P$59))</f>
        <v>63920000</v>
      </c>
      <c r="DP94" s="16">
        <f>IF($E94="","No Port",((F94/24/Shipping!$P$44+F94/24/Shipping!$P$50+Shipping!$P$59+Shipping!$P$64)*(Shipping!$P$22+wacc_nl*Shipping!$P$19/365.25*1000000+Shipping!$P$35)+(F94/24/Shipping!$P$44*Shipping!$P$45+Shipping!$P$64*Shipping!$P$65)*IF(bunker_choice="HFO",$H94,IF(bunker_choice="hydrogen",$BD94*hfo_e_density_lhv/h2_e_density_lhv,(DM94+DN94)*1000000/DO94*hfo_e_density_lhv/nabh4_e_density_lhv))+(F94/24/Shipping!$P$50*Shipping!$P$51+Shipping!$P$59*Shipping!$P$60)*IF(bunker_choice="HFO",bunker_price_ROT,IF(bunker_choice="hydrogen",$BD94*hfo_e_density_lhv/h2_e_density_lhv,(DM94+DN94)*1000000/DO94*hfo_e_density_lhv/nabh4_e_density_lhv))+Shipping!$P$73+IF(G94="Panama",Shipping!$P$55,0)+IF(G94="Suez",Shipping!$P$56,0))/Shipping!$P$31*(DO94+nabh4_st_ab_losses)/1000000+IF(inland_transport_to_port="hv dc grid",$BM94/100*1000*DR94,IF(inland_transport_to_port="pipeline",$BN94,0)))</f>
        <v>5379.5804268327338</v>
      </c>
      <c r="DQ94" s="28">
        <f t="shared" si="60"/>
        <v>62073.033725655376</v>
      </c>
      <c r="DR94" s="29">
        <f>((Carriers!$V$18/Carriers!$V$23*alk_el_e_demand)+nabh4_e_demand)*(DO94+nabh4_st_ab_losses)/1000000+nabh4_st_e_demand*DO94/1000000</f>
        <v>980.02139682539689</v>
      </c>
      <c r="DS94" s="28">
        <f t="shared" si="106"/>
        <v>3.1960000000000002</v>
      </c>
      <c r="DT94" s="28">
        <f>IFERROR(DQ94*1000000/Storage!$O$12,"")</f>
        <v>971.10503325493391</v>
      </c>
      <c r="DU94" s="28">
        <f>IF($E94="","No Port",((F94/24/Shipping!$P$44+F94/24/Shipping!$P$50+Shipping!$P$59+Shipping!$P$64)*Carriers!$V$39*wacc_nl))</f>
        <v>762.68222082455736</v>
      </c>
      <c r="DV94" s="100">
        <f>H2_retrieval!$N$25*h2_demand_kt/1000+(co2_liq_e_demand+co2_st_e_demand*2)*Storage!$O$12*co2_density/nabh4_density/1000000</f>
        <v>18.783638728971958</v>
      </c>
      <c r="DW94" s="28">
        <f>IFERROR(((DQ94*(1+H2_retrieval!$N$34)+DU94)*1000000/H2_retrieval!$N$8)+h2_regen_nabh4,"")</f>
        <v>4718.4313149354221</v>
      </c>
      <c r="DX94" s="149">
        <f>(Dme_invest*(M94+1/Dme_lifetime)/Dme_prod+Dme_opex+Dme_e_demand*1000*$AU94/100+Carriers!$X$21/Carriers!$X$23*(CO94*1000000/CS94))*(EB94+Dme_st_ab_losses)/1000000</f>
        <v>70601.156239951219</v>
      </c>
      <c r="DY94" s="86">
        <f>(Dme_invest*(M94+1/Dme_lifetime)/Dme_prod+Dme_opex+Dme_e_demand*1000*$AU94/100+Carriers!$X$21/Carriers!$X$23*(CP94*1000000/CS94))*(EB94+Dme_st_ab_losses)/1000000</f>
        <v>91033.438275598281</v>
      </c>
      <c r="DZ94" s="63">
        <f>Dme_st_nl_cost*Dme_st_nl_demand/1000000+(Dme_st_invest*(M94+1/Dme_st_lifetime+Dme_st_opex)/(Storage!$Q$63/1000000)+Dme_st_e_demand*1000*$AU94/100)*(EB94+Dme_st_ab_losses)/1000000+co2_st_nl_cost*Storage!$Q$12*co2_density/Dme_density/1000000+(co2_st_opex_lev+co2_st_invest_lev+co2_st_e_demand*1000*$AU94/100)*Storage!$Q$12/1000000+co2_st_invest_lev*Storage!$Q$12*co2_st_lifetime*M94/1000000+(h2_demand_kt*1000/365.25*short_st_duration_hrs/24)*(h2_short_st_invest*(1/gh2_short_st_lifetime+$M94+h2_short_st_opex)+h2_short_st_e_demand*1000*$AU94/100)/1000000</f>
        <v>5702.2509432870129</v>
      </c>
      <c r="EA94" s="63">
        <f>Dme_st_nl_cost*Dme_st_nl_demand/1000000+(Dme_st_invest*(M94+1/Dme_st_lifetime+Dme_st_opex)/(Storage!$Q$63/1000000)+Dme_st_e_demand*1000*$AU94/100)*(EB94+Dme_st_ab_losses)/1000000+(h2_demand_kt*1000/365.25*short_st_duration_hrs/24)*(h2_short_st_invest*(1/gh2_short_st_lifetime+$M94+h2_short_st_opex)+h2_short_st_e_demand*1000*$AU94/100)/1000000</f>
        <v>2810.7973371570833</v>
      </c>
      <c r="EB94" s="63">
        <f>Storage!$Q$57/((1-Shipping!$R$37)^($F94/24/Shipping!$R$44+0.5*Shipping!$R$59))</f>
        <v>103547089.94708996</v>
      </c>
      <c r="EC94" s="153">
        <f>IF($E94="","No Port",IF(AND(ship_choice="VLCC",G94="Panama"),"Ship cannot pass through Panama",IF(ship_choice="VLCC",((F94/24/Shipping!$AD$44+F94/24/Shipping!$AD$50+Shipping!$AD$59+Shipping!$AD$64)*(Shipping!$AD$22+wacc_nl*Shipping!$AD$19/365.25*1000000+Shipping!$AD$35)+(F94/24/Shipping!$AD$44*Shipping!$AD$45+Shipping!$AD$64*Shipping!$AD$65)*IF(bunker_choice="HFO",$H94,IF(bunker_choice="hydrogen",$BD94*hfo_e_density_lhv/h2_e_density_lhv,(DX94+DZ94)*1000000/EB94*hfo_e_density_lhv/Dme_e_density_lhv))+(F94/24/Shipping!$AD$50*Shipping!$AD$51+Shipping!$AD$59*Shipping!$AD$60)*IF(bunker_choice="HFO",bunker_price_ROT,IF(bunker_choice="hydrogen",$BD94*hfo_e_density_lhv/h2_e_density_lhv,(DX94+DZ94)*1000000/EB94*hfo_e_density_lhv/Dme_e_density_lhv))+Shipping!$AD$73+IF(G94="Panama",Shipping!$AD$55,0)+IF(G94="Suez",Shipping!$AD$56,0))/Shipping!$AD$31*(EB94+Dme_st_ab_losses)/1000000+IF(inland_transport_to_port="hv dc grid",$BM94/100*1000*EE94,IF(inland_transport_to_port="pipeline",$BN94,0)),((F94/24/Shipping!$R$44+F94/24/Shipping!$R$50+Shipping!$R$59+Shipping!$R$64)*(Shipping!$R$22+wacc_nl*Shipping!$R$19/365.25*1000000+Shipping!$R$35)+(F94/24/Shipping!$R$44*Shipping!$R$45+Shipping!$R$64*Shipping!$R$65)*IF(bunker_choice="HFO",$H94,IF(bunker_choice="hydrogen",$BD94*hfo_e_density_lhv/h2_e_density_lhv,(DX94+DZ94)*1000000/EB94*hfo_e_density_lhv/Dme_e_density_lhv))+(F94/24/Shipping!$R$50*Shipping!$R$51+Shipping!$R$59*Shipping!$R$60)*IF(bunker_choice="HFO",bunker_price_ROT,IF(bunker_choice="hydrogen",$BD94*hfo_e_density_lhv/h2_e_density_lhv,(DX94+DZ94)*1000000/EB94*hfo_e_density_lhv/Dme_e_density_lhv))+Shipping!$R$73+IF(G94="Panama",Shipping!$R$55,0)+IF(G94="Suez",Shipping!$R$56,0))/Shipping!$R$31*(EB94+Dme_st_ab_losses)/1000000+IF(inland_transport_to_port="hv dc grid",$BM94/100*1000*EE94,IF(inland_transport_to_port="pipeline",$BN94,0)))))</f>
        <v>7794.9529399517141</v>
      </c>
      <c r="ED94" s="28">
        <f t="shared" si="134"/>
        <v>101639.18855270708</v>
      </c>
      <c r="EE94" s="29">
        <f>(Dme_e_demand)*(EB94+Dme_st_ab_losses)/1000000+Dme_st_e_demand*DZ94/1000000+$CV94*(Carriers!$X$21/Carriers!$X$23*EB94)/$CS94</f>
        <v>1550.2168171895653</v>
      </c>
      <c r="EF94" s="29">
        <f t="shared" si="107"/>
        <v>1.0354708994708997</v>
      </c>
      <c r="EG94" s="28">
        <f>IFERROR(ED94*1000000/Storage!$Q$12,"")</f>
        <v>981.57455322638452</v>
      </c>
      <c r="EH94" s="28">
        <f>IF($E94="","No Port",((F94/24/Shipping!$R$44+F94/24/Shipping!$R$50+Shipping!$R$59+Shipping!$R$64)*Carriers!$X$39*wacc_nl))</f>
        <v>118.15344177704088</v>
      </c>
      <c r="EI94" s="100">
        <f>H2_retrieval!$P$25*h2_demand_kt/1000+(co2_liq_e_demand+co2_st_e_demand*2)*Storage!$Q$12*co2_density/Dme_density/1000000</f>
        <v>252.45335899349112</v>
      </c>
      <c r="EJ94" s="28">
        <f>IFERROR((((DX94+DZ94+EC94)*(1+H2_retrieval!$P$34)+EH94)*1000000/H2_retrieval!$P$8)+h2_regen_dme,"")</f>
        <v>7362.5192465025129</v>
      </c>
      <c r="EK94" s="149">
        <f>(ome_invest*(M94+1/ome_lifetime)/ome_prod+ome_opex+ome_e_demand*1000*$AU94/100+Carriers!$Z$21/Carriers!$Z$23*(CO94*1000000/CS94))*(EO94+ome_st_ab_losses)/1000000</f>
        <v>155165.70190141717</v>
      </c>
      <c r="EL94" s="86">
        <f>(ome_invest*(M94+1/ome_lifetime)/ome_prod+ome_opex+ome_e_demand*1000*$AU94/100+Carriers!$Z$21/Carriers!$Z$23*(CP94*1000000/CS94))*(EO94+ome_st_ab_losses)/1000000</f>
        <v>198057.03930424008</v>
      </c>
      <c r="EM94" s="63">
        <f>ome_st_nl_cost*ome_st_nl_demand/1000000+(ome_st_invest*(M94+1/ome_st_lifetime+ome_st_opex)/(Storage!$S$63/1000000)+ome_st_e_demand*1000*$AU94/100)*(EO94+ome_st_ab_losses)/1000000+co2_st_nl_cost*Storage!$S$12*co2_density/ome_density/1000000+(co2_st_opex_lev+co2_st_invest_lev+co2_st_e_demand*1000*$AU94/100)*Storage!$S$12/1000000+co2_st_invest_lev*Storage!$S$12*co2_st_lifetime*M94/1000000+(h2_demand_kt*1000/365.25*short_st_duration_hrs/24)*(h2_short_st_invest*(1/gh2_short_st_lifetime+$M94+h2_short_st_opex)+h2_short_st_e_demand*1000*$AU94/100)/1000000</f>
        <v>4917.1405087147159</v>
      </c>
      <c r="EN94" s="63">
        <f>ome_st_nl_cost*ome_st_nl_demand/1000000+(ome_st_invest*(M94+1/ome_st_lifetime+ome_st_opex)/(Storage!$S$63/1000000)+ome_st_e_demand*1000*$AU94/100)*(EO94+ome_st_ab_losses)/1000000+(h2_demand_kt*1000/365.25*short_st_duration_hrs/24)*(h2_short_st_invest*(1/gh2_short_st_lifetime+$M94+h2_short_st_opex)+h2_short_st_e_demand*1000*$AU94/100)/1000000</f>
        <v>1673.9409275533249</v>
      </c>
      <c r="EO94" s="63">
        <f>Storage!$S$57/((1-Shipping!$T$37)^($F94/24/Shipping!$T$44+0.5*Shipping!$T$59))</f>
        <v>128282539.68253967</v>
      </c>
      <c r="EP94" s="28">
        <f>IF($E94="","No Port",IF(AND(ship_choice="VLCC",G94="Panama"),"Ship cannot pass through Panama",IF(ship_choice="VLCC",((F94/24/Shipping!$AD$44+F94/24/Shipping!$AD$50+Shipping!$AD$59+Shipping!$AD$64)*(Shipping!$AD$22+wacc_nl*Shipping!$AD$19/365.25*1000000+Shipping!$AD$35)+(F94/24/Shipping!$AD$44*Shipping!$AD$45+Shipping!$AD$64*Shipping!$AD$65)*IF(bunker_choice="HFO",$H94,IF(bunker_choice="hydrogen",$BD94*hfo_e_density_lhv/h2_e_density_lhv,(EK94+EM94)*1000000/EO94*hfo_e_density_lhv/Dme_e_density_lhv))+(F94/24/Shipping!$AD$50*Shipping!$AD$51+Shipping!$AD$59*Shipping!$AD$60)*IF(bunker_choice="HFO",bunker_price_ROT,IF(bunker_choice="hydrogen",$BD94*hfo_e_density_lhv/h2_e_density_lhv,(EK94+EM94)*1000000/EO94*hfo_e_density_lhv/ome_e_density_lhv))+Shipping!$AD$73+IF(G94="Panama",Shipping!$AD$55,0)+IF(G94="Suez",Shipping!$AD$56,0))/Shipping!$AD$31*(EO94+ome_st_ab_losses)/1000000+IF(inland_transport_to_port="hv dc grid",$BM94/100*1000*ER94,IF(inland_transport_to_port="pipeline",$BN94,0)),((F94/24/Shipping!$T$44+F94/24/Shipping!$T$50+Shipping!$T$59+Shipping!$T$64)*(Shipping!$T$22+wacc_nl*Shipping!$T$19/365.25*1000000+Shipping!$T$35)+(F94/24/Shipping!$T$44*Shipping!$T$45+Shipping!$T$64*Shipping!$T$65)*IF(bunker_choice="HFO",$H94,IF(bunker_choice="hydrogen",$BD94*hfo_e_density_lhv/h2_e_density_lhv,(EK94+EM94)*1000000/EO94*hfo_e_density_lhv/Dme_e_density_lhv))+(F94/24/Shipping!$T$50*Shipping!$T$51+Shipping!$T$59*Shipping!$T$60)*IF(bunker_choice="HFO",bunker_price_ROT,IF(bunker_choice="hydrogen",$BD94*hfo_e_density_lhv/h2_e_density_lhv,(EK94+EM94)*1000000/EO94*hfo_e_density_lhv/ome_e_density_lhv))+Shipping!$T$73+IF(G94="Panama",Shipping!$T$55,0)+IF(G94="Suez",Shipping!$T$56,0))/Shipping!$T$31*(EO94+ome_st_ab_losses)/1000000+IF(inland_transport_to_port="hv dc grid",$BM94/100*1000*ER94,IF(inland_transport_to_port="pipeline",$BN94,0)))))</f>
        <v>8345.2964028090155</v>
      </c>
      <c r="EQ94" s="28">
        <f t="shared" si="135"/>
        <v>208076.2766346024</v>
      </c>
      <c r="ER94" s="29">
        <f>(ome_e_demand)*(EO94+ome_st_ab_losses)/1000000+ome_st_e_demand*EM94/1000000+$CV94*(Carriers!$Z$21/Carriers!$Z$23*EO94)/$CS94</f>
        <v>3352.0814575164941</v>
      </c>
      <c r="ES94" s="29">
        <f t="shared" si="108"/>
        <v>0.1924238095238095</v>
      </c>
      <c r="ET94" s="28">
        <f>IFERROR(EQ94*1000000/Storage!$S$12,"")</f>
        <v>1622.0155693013874</v>
      </c>
      <c r="EU94" s="28">
        <f>IF($E94="","No Port",((F94/24/Shipping!$T$44+F94/24/Shipping!$T$50+Shipping!$T$59+Shipping!$T$64)*Carriers!$Z$39*wacc_nl))</f>
        <v>134.80563220347079</v>
      </c>
      <c r="EV94" s="100">
        <f>H2_retrieval!$R$25*h2_demand_kt/1000+(co2_liq_e_demand+co2_st_e_demand*2)*Storage!$S$12*co2_density/ome_density/1000000</f>
        <v>254.51942895252085</v>
      </c>
      <c r="EW94" s="28">
        <f>IFERROR((((EK94+EM94+EP94)*(1+H2_retrieval!$R$34)+EU94)*1000000/H2_retrieval!$R$8)+h2_regen_ome,"")</f>
        <v>13564.462693574376</v>
      </c>
      <c r="EX94" s="149">
        <f>(sng_invest*(M94+1/sng_lifetime)/sng_prod+lng_invest*(M94+1/lng_lifetime)/lng_prod+sng_opex+lng_opex+(sng_e_demand+lng_e_demand)*1000*$AU94/100+Carriers!$AB$18/Carriers!$AB$23*BD94+Carriers!$AB$20/Carriers!$AB$23*co2_liq_cost)*(FB94+lng_st_ab_losses)/1000000</f>
        <v>55033.783960760855</v>
      </c>
      <c r="EY94" s="86">
        <f>(sng_invest*(M94+1/sng_lifetime)/sng_prod+lng_invest*(M94+1/lng_lifetime)/lng_prod+sng_opex+lng_opex+(sng_e_demand+lng_e_demand)*1000*$AU94/100+Carriers!$AB$18/Carriers!$AB$23*BD94+Carriers!$AB$20/Carriers!$AB$23*BP94)*(FB94+lng_st_ab_losses)/1000000</f>
        <v>66407.737830417187</v>
      </c>
      <c r="EZ94" s="63">
        <f>lng_st_nl_cost*lng_st_nl_demand/1000000+(lng_st_invest*(M94+1/lng_st_lifetime+lng_st_opex)/(Storage!$U$63/1000000)+lng_st_e_demand*1000*$AU94/100)*(FB94+lng_st_ab_losses)/1000000+co2_st_nl_cost*Storage!$U$12*co2_density/lng_density/1000000+(co2_st_opex_lev+co2_st_invest_lev+co2_st_e_demand*1000*$AU94/100)*Storage!$U$12/1000000+co2_st_invest_lev*Storage!$U$12*co2_st_lifetime*M94/1000000+Carriers!$AB$18/Carriers!$AB$23*((FB94+lng_st_ab_losses)/365.25*short_st_duration_hrs/24)*(h2_short_st_invest*(1/gh2_short_st_lifetime+$M94+h2_short_st_opex)+h2_short_st_e_demand*1000*$AU94/100)/1000000+Carriers!$AB$20/Carriers!$AB$23*((FB94+lng_st_ab_losses)/365.25*short_st_duration_hrs/24)*(co2_short_st_invest*(1/co2_short_st_lifetime+$M94+co2_short_st_opex)+co2_short_st_e_demand*1000*$AU94/100)/1000000</f>
        <v>5986.9521408465471</v>
      </c>
      <c r="FA94" s="63">
        <f>lng_st_nl_cost*lng_st_nl_demand/1000000+(lng_st_invest*(M94+1/lng_st_lifetime+lng_st_opex)/(Storage!$U$63/1000000)+lng_st_e_demand*1000*$AU94/100)*(FB94+lng_st_ab_losses)/1000000+Carriers!$AB$18/Carriers!$AB$23*((FB94+lng_st_ab_losses)/365.25*short_st_duration_hrs/24)*(h2_short_st_invest*(1/gh2_short_st_lifetime+$M94+h2_short_st_opex)+h2_short_st_e_demand*1000*$AU94/100)/1000000+Carriers!$AB$20/Carriers!$AB$23*((FB94+lng_st_ab_losses)/365.25*short_st_duration_hrs/24)*(co2_short_st_invest*(1/co2_short_st_lifetime+$M94+co2_short_st_opex)+co2_short_st_e_demand*1000*$AU94/100)/1000000</f>
        <v>4415.9908043976538</v>
      </c>
      <c r="FB94" s="63">
        <f>Storage!$U$57/((1-Shipping!$V$37)^($F94/24/Shipping!$V$44+0.5*Shipping!$V$59))</f>
        <v>41576103.52380684</v>
      </c>
      <c r="FC94" s="28" t="e">
        <f>IF($E94="","No Port",IF(G94="Panama","Ship cannot pass through Panama",((F94/24/Shipping!$V$44+F94/24/Shipping!$V$50+Shipping!$V$59+Shipping!$V$64)*(Shipping!$V$22+wacc_nl*Shipping!$V$19/365.25*1000000+Shipping!$V$35)+(F94/24/Shipping!$V$44*Shipping!$V$45+Shipping!$V$64*Shipping!$V$65)*IF(bunker_choice="HFO",$H94,IF(bunker_choice="hydrogen",$BD94*hfo_e_density_lhv/h2_e_density_lhv,(EX94+EZ94)*1000000/FB94*hfo_e_density_lhv/lng_e_density_lhv))+(F94/24/Shipping!$V$50*Shipping!$V$51+Shipping!$V$59*Shipping!$V$60)*IF(bunker_choice="HFO",bunker_price_ROT,IF(bunker_choice="hydrogen",$BD94*hfo_e_density_lhv/h2_e_density_lhv,(EX94+EZ94)*1000000/FB94*hfo_e_density_lhv/lng_e_density_lhv))+Shipping!$V$73+IF(G94="Panama",Shipping!$V$55,0)+IF(G94="Suez",Shipping!$V$56,0))/Shipping!$V$31*(FB94+lng_st_ab_losses)/1000000)+IF(inland_transport_to_port="hv dc grid",$BM94/100*1000*FE94,IF(inland_transport_to_port="pipeline",$BN94,0)))</f>
        <v>#VALUE!</v>
      </c>
      <c r="FD94" s="28" t="str">
        <f t="shared" si="136"/>
        <v/>
      </c>
      <c r="FE94" s="29">
        <f>((Carriers!$AB$18/Carriers!$AB$23*alk_el_e_demand)+sng_e_demand+lng_e_demand)*(FB94+lng_st_ab_losses)/1000000+lng_st_e_demand*EZ94/1000000</f>
        <v>1115.0279195267942</v>
      </c>
      <c r="FF94" s="29">
        <f t="shared" si="109"/>
        <v>0.8126185861001558</v>
      </c>
      <c r="FG94" s="28" t="str">
        <f>IFERROR(FD94*1000000/Storage!$U$12,"")</f>
        <v/>
      </c>
      <c r="FH94" s="28">
        <f>IF($E94="","No Port",((F94/24/Shipping!$V$44+F94/24/Shipping!$V$50+Shipping!$V$59+Shipping!$V$64)*Carriers!$AB$39*wacc_nl))</f>
        <v>39.579688641095792</v>
      </c>
      <c r="FI94" s="100">
        <f>H2_retrieval!$T$25*h2_demand_kt/1000+(co2_liq_e_demand+co2_st_e_demand*2)*Storage!$U$12*co2_density/lng_density/1000000</f>
        <v>236.51371749646054</v>
      </c>
      <c r="FJ94" s="28" t="str">
        <f>IFERROR((((EX94+EZ94+FC94)*(1+H2_retrieval!$T$34)+FH94)*1000000/H2_retrieval!$T$8)+h2_regen_lng,"")</f>
        <v/>
      </c>
      <c r="FK94" s="149">
        <f>(lh2_invest*(M94+1/lh2_lifetime)/lh2_prod+lh2_opex+lh2_e_demand*1000*$AU94/100+Carriers!$AD$18/Carriers!$AD$23*BD94)*(FM94+lh2_st_ab_losses)/1000000</f>
        <v>44501.377631315831</v>
      </c>
      <c r="FL94" s="28">
        <f>lh2_st_nl_cost*lh2_st_nl_demand/1000000+(lh2_st_invest*(M94+1/lh2_st_lifetime+lh2_st_opex)/(Storage!$Y$63/1000000)+lh2_st_e_demand*1000*$AU94/100)*(FM94+lh2_st_ab_losses)/1000000+((FM94+lh2_st_ab_losses)/365.25*short_st_duration_hrs/24)*(h2_short_st_invest*(1/gh2_short_st_lifetime+$M94+h2_short_st_opex)+h2_short_st_e_demand*1000*$AU94/100)/1000000</f>
        <v>51728.789806615539</v>
      </c>
      <c r="FM94" s="63">
        <f>Storage!$Y$57/((1-Shipping!$Z$37)^($F94/24/Shipping!$Z$44+0.5*Shipping!$Z$59))</f>
        <v>14129645.123146497</v>
      </c>
      <c r="FN94" s="28" t="e">
        <f>IF($E94="","No Port",IF(G94="Panama","Ship cannot pass through Panama",((F94/24/Shipping!$Z$44+F94/24/Shipping!$Z$50+Shipping!$Z$59+Shipping!$Z$64)*(Shipping!$Z$22+wacc_nl*Shipping!$Z$19/365.25*1000000+Shipping!$Z$35)+(F94/24/Shipping!$Z$44*Shipping!$Z$45+Shipping!$Z$64*Shipping!$Z$65)*IF(bunker_choice="HFO",$H94,IF(bunker_choice="hydrogen",$BD94*hfo_e_density_lhv/h2_e_density_lhv,(FK94+FL94)*1000000/FM94*hfo_e_density_lhv/lh2_e_density_lhv))+(F94/24/Shipping!$Z$50*Shipping!$Z$51+Shipping!$Z$59*Shipping!$Z$60)*IF(bunker_choice="HFO",bunker_price_ROT,IF(bunker_choice="hydrogen",$BD94*hfo_e_density_lhv/h2_e_density_lhv,(FK94+FL94)*1000000/FM94*hfo_e_density_lhv/lh2_e_density_lhv))+Shipping!$Z$73+IF(G94="Panama",Shipping!$Z$55,0)+IF(G94="Suez",Shipping!$Z$56,0))/Shipping!$Z$31*(FM94+lh2_st_ab_losses)/1000000)+IF(inland_transport_to_port="hv dc grid",$BM94/100*1000*FP94,IF(inland_transport_to_port="pipeline",$BN94,0)))</f>
        <v>#VALUE!</v>
      </c>
      <c r="FO94" s="28" t="str">
        <f t="shared" si="128"/>
        <v/>
      </c>
      <c r="FP94" s="29">
        <f>((Carriers!$AD$18/Carriers!$AD$23*alk_el_e_demand)+lh2_e_demand)*(FM94+lh2_st_ab_losses)/1000000+lh2_st_e_demand*FM94/1000000</f>
        <v>818.78161642649138</v>
      </c>
      <c r="FQ94" s="100">
        <f t="shared" si="110"/>
        <v>1.361902463475859</v>
      </c>
      <c r="FR94" s="28" t="str">
        <f>IFERROR(FO94*1000000/Storage!$Y$12,"")</f>
        <v/>
      </c>
      <c r="FS94" s="100">
        <f>H2_retrieval!$V$25*h2_demand_kt/1000</f>
        <v>8.16</v>
      </c>
      <c r="FT94" s="28" t="str">
        <f>IFERROR(FR94*(1+H2_retrieval!$V$34)/Carrier_properties!$U$7+H2_retrieval!$V$38,"")</f>
        <v/>
      </c>
      <c r="FU94" s="12"/>
      <c r="FV94" s="24">
        <f t="shared" si="129"/>
        <v>2.0049664037889374</v>
      </c>
      <c r="FW94" s="24">
        <f t="shared" si="92"/>
        <v>4.1047029820675993</v>
      </c>
      <c r="FX94" s="24">
        <f t="shared" si="93"/>
        <v>7.1160025643227875</v>
      </c>
      <c r="FY94" s="24">
        <f t="shared" si="130"/>
        <v>2.0049664037889374</v>
      </c>
      <c r="FZ94" s="28">
        <f t="shared" si="94"/>
        <v>2225.7853069084076</v>
      </c>
      <c r="GA94" s="28">
        <f t="shared" si="137"/>
        <v>531.75627580108744</v>
      </c>
      <c r="GB94" s="28">
        <f t="shared" si="138"/>
        <v>390.35762094573789</v>
      </c>
      <c r="GC94" s="28">
        <f t="shared" si="139"/>
        <v>599.82650392784626</v>
      </c>
      <c r="GD94" s="28">
        <f t="shared" si="140"/>
        <v>879.15013663941841</v>
      </c>
      <c r="GE94" s="28">
        <f t="shared" si="141"/>
        <v>1543.9126773945318</v>
      </c>
      <c r="GF94" s="28">
        <f t="shared" si="142"/>
        <v>1597.2573714704058</v>
      </c>
      <c r="GG94" s="12"/>
      <c r="GH94" s="12"/>
      <c r="GI94" s="12"/>
      <c r="GJ94" s="12"/>
      <c r="GK94" s="12"/>
      <c r="GL94" s="12"/>
      <c r="GM94" s="12"/>
      <c r="GN94" s="12"/>
      <c r="GO94" s="12"/>
      <c r="GP94" s="12"/>
      <c r="GQ94" s="12"/>
      <c r="GR94" s="12"/>
      <c r="GS94" s="12"/>
      <c r="GT94" s="12"/>
      <c r="GU94" s="12"/>
      <c r="GV94" s="12"/>
      <c r="GW94" s="12"/>
      <c r="GX94" s="12"/>
      <c r="GY94" s="12"/>
      <c r="GZ94" s="12"/>
      <c r="HA94" s="12"/>
      <c r="HB94" s="12"/>
      <c r="HC94" s="12"/>
      <c r="HD94" s="12"/>
      <c r="HE94" s="12"/>
      <c r="HF94" s="12"/>
    </row>
    <row r="95" spans="1:214" x14ac:dyDescent="0.2">
      <c r="A95" s="154" t="s">
        <v>98</v>
      </c>
      <c r="B95" s="12">
        <v>1730</v>
      </c>
      <c r="C95" s="12">
        <v>1</v>
      </c>
      <c r="D95" s="12">
        <f t="shared" si="111"/>
        <v>0</v>
      </c>
      <c r="E95" s="12"/>
      <c r="F95" s="12"/>
      <c r="G95" s="12"/>
      <c r="H95" s="16">
        <f t="shared" si="112"/>
        <v>382.75862068965517</v>
      </c>
      <c r="I95" s="16">
        <v>32870</v>
      </c>
      <c r="J95" s="16">
        <f t="shared" si="113"/>
        <v>102.28805384237791</v>
      </c>
      <c r="K95" s="16" t="str">
        <f t="shared" si="114"/>
        <v/>
      </c>
      <c r="L95" s="103">
        <v>0.13900000000000001</v>
      </c>
      <c r="M95" s="103">
        <f t="shared" si="115"/>
        <v>0.13972220245734826</v>
      </c>
      <c r="N95" s="122">
        <f t="shared" si="116"/>
        <v>0.9</v>
      </c>
      <c r="O95" s="46">
        <f t="shared" si="117"/>
        <v>40</v>
      </c>
      <c r="P95" s="70">
        <f t="array" ref="P95">SUMPRODUCT(IF(Solar_data!A$4:A$777=A95,Solar_data!C$4:C$777),IF(Solar_data!A$4:A$777=A95,Solar_data!I$4:I$777))/SUMIF(Solar_data!A$4:A$777,A95,Solar_data!I$4:I$777)</f>
        <v>1476.1237056567008</v>
      </c>
      <c r="Q95" s="16">
        <f t="array" ref="Q95">MAX(IF(Solar_data!$A$777:'Solar_data'!$A$4=Country_details!$A95,Solar_data!$C$4:'Solar_data'!$C$777))</f>
        <v>1551.25</v>
      </c>
      <c r="R95" s="16">
        <f t="array" ref="R95">MIN(IF(Solar_data!$A$777:'Solar_data'!$A$4=Country_details!A95,Solar_data!$C$4:'Solar_data'!$C$777))</f>
        <v>1368.75</v>
      </c>
      <c r="S95" s="24">
        <f t="shared" si="95"/>
        <v>3.3279100175293759</v>
      </c>
      <c r="T95" s="24">
        <f t="shared" si="96"/>
        <v>3.1667409296809148</v>
      </c>
      <c r="U95" s="24">
        <f t="shared" si="97"/>
        <v>3.5889730536383704</v>
      </c>
      <c r="V95" s="16">
        <f t="array" ref="V95">SUM(IF(Solar_data!$A$777:'Solar_data'!$A$4=Country_details!$A95,Solar_data!$I$4:'Solar_data'!$I$777))</f>
        <v>200.74545941349638</v>
      </c>
      <c r="W95" s="148"/>
      <c r="X95" s="16" t="str">
        <f>IFERROR(INDEX(Onshore_wind_data!$J$5:'Onshore_wind_data'!$J$221,MATCH(A95,Onshore_wind_data!$B$5:'Onshore_wind_data'!$B$221,0)),"")</f>
        <v/>
      </c>
      <c r="Y95" s="16" t="str">
        <f>IFERROR(INDEX(Onshore_wind_data!$K$5:'Onshore_wind_data'!$K$221,MATCH(A95,Onshore_wind_data!$B$5:'Onshore_wind_data'!$B$221,0)),"")</f>
        <v/>
      </c>
      <c r="Z95" s="16" t="str">
        <f>IFERROR(INDEX(Onshore_wind_data!$L$5:'Onshore_wind_data'!$L$221,MATCH(A95,Onshore_wind_data!$B$5:'Onshore_wind_data'!$B$221,0)),"")</f>
        <v/>
      </c>
      <c r="AA95" s="24" t="str">
        <f t="shared" si="118"/>
        <v/>
      </c>
      <c r="AB95" s="24" t="str">
        <f t="shared" si="119"/>
        <v/>
      </c>
      <c r="AC95" s="24" t="str">
        <f t="shared" si="120"/>
        <v/>
      </c>
      <c r="AD95" s="16">
        <f>IFERROR(INDEX(Onshore_wind_data!$I$5:'Onshore_wind_data'!$I$221,MATCH(A95,Onshore_wind_data!$B$5:'Onshore_wind_data'!$B$221,0)),"")</f>
        <v>0</v>
      </c>
      <c r="AE95" s="148"/>
      <c r="AF95" s="16" t="str">
        <f>INDEX(Offshore_wind_data!$AA$7:$AA$192,MATCH(Country_details!A95,Offshore_wind_data!$A$7:$A$192,0))</f>
        <v/>
      </c>
      <c r="AG95" s="16" t="str">
        <f>INDEX(Offshore_wind_data!$Y$7:$Y$192,MATCH(Country_details!A95,Offshore_wind_data!$A$7:$A$192,0))</f>
        <v/>
      </c>
      <c r="AH95" s="16" t="str">
        <f>INDEX(Offshore_wind_data!$Z$7:$Z$192,MATCH(Country_details!A95,Offshore_wind_data!$A$7:$A$192,0))</f>
        <v/>
      </c>
      <c r="AI95" s="24" t="str">
        <f t="shared" si="98"/>
        <v/>
      </c>
      <c r="AJ95" s="24" t="str">
        <f t="shared" si="99"/>
        <v/>
      </c>
      <c r="AK95" s="24" t="str">
        <f t="shared" si="100"/>
        <v/>
      </c>
      <c r="AL95" s="16">
        <f>INDEX(Offshore_wind_data!$W$7:$W$191,MATCH(A95,Offshore_wind_data!$A$7:$A$191,0))</f>
        <v>0</v>
      </c>
      <c r="AM95" s="148"/>
      <c r="AN95" s="12">
        <v>3.6</v>
      </c>
      <c r="AO95" s="12">
        <v>3.2</v>
      </c>
      <c r="AP95" s="34">
        <f>0.862*11.63</f>
        <v>10.02506</v>
      </c>
      <c r="AQ95" s="15">
        <f t="shared" si="101"/>
        <v>50</v>
      </c>
      <c r="AR95" s="12">
        <f t="shared" si="131"/>
        <v>160</v>
      </c>
      <c r="AS95" s="16">
        <f t="shared" si="121"/>
        <v>40.745459413496377</v>
      </c>
      <c r="AT95" s="12"/>
      <c r="AU95" s="24">
        <f t="shared" si="122"/>
        <v>3.3279100175293759</v>
      </c>
      <c r="AV95" s="16">
        <f t="shared" si="123"/>
        <v>1476.1237056567008</v>
      </c>
      <c r="AW95" s="149">
        <f>HV_DC_Grid!$E$3/(1-AX95)*AU95/100*1000</f>
        <v>3491.7799232305388</v>
      </c>
      <c r="AX95" s="31">
        <f>(1-(1-HV_DC_Grid!$E$25)^(B95*C95*HV_DC_Grid!$E$8/1000))+(1-(1-HV_DC_Grid!$E$26)^(B95*D95*HV_DC_Grid!$E$8/1000))+HV_DC_Grid!$E$35*HV_DC_Grid!$E$28</f>
        <v>4.6930192997258854E-2</v>
      </c>
      <c r="AY95" s="28">
        <f>B95*nl_e_demand/IF(hv_dc_flh="electricity FLH",$AV95,hv_dc_custom)*1000*hv_dc_capacity_multiplier*hv_dc_length_multiplier*1000*(C95*hv_dc_overhead_invest*(hv_dc_overhead_opex+M95+1/hv_dc_lifetime)+D95*hv_dc_sea_invest*(hv_dc_sea_opex+M95+1/hv_dc_lifetime))/1000000+HV_DC_Grid!$E$10*1000*hv_dc_station_invest*hv_dc_station_number*(hv_dc_station_opex+M95+1/hv_dc_lifetime)/1000000</f>
        <v>2057.2491006138016</v>
      </c>
      <c r="AZ95" s="24">
        <f>(AW95+AY95)/(HV_DC_Grid!$E$3*1000)*100</f>
        <v>5.5490290238443398</v>
      </c>
      <c r="BA95" s="28">
        <f>MIN(((Carriers!$F$26+Carriers!$F$27)*(alk_el_opex+wacc_nl+1/alk_el_lifetime)+IF(hv_dc_flh="electricity FLH",$AV95,hv_dc_custom)*AZ95/100)/(IF(hv_dc_flh="electricity FLH",$AV95,hv_dc_custom)/alk_el_e_demand)*1000,((Carriers!$H$26+Carriers!$H$27)*(pem_el_opex+wacc_nl+1/pem_el_lifetime)+IF(hv_dc_flh="electricity FLH",$AV95,hv_dc_custom)*AZ95/100)/(IF(hv_dc_flh="electricity FLH",$AV95,hv_dc_custom)/pem_el_e_demand)*1000)</f>
        <v>3174.5826194159808</v>
      </c>
      <c r="BB95" s="12"/>
      <c r="BC95" s="12"/>
      <c r="BD95" s="149">
        <f>MIN(((Carriers!$F$26+Carriers!$F$27)*(alk_el_opex+M95+1/alk_el_lifetime)+$AV95*$AU95/100)/($AV95/alk_el_e_demand)*1000,((Carriers!$H$26+Carriers!$H$27)*(pem_el_opex+M95+1/pem_el_lifetime)+$AV95*$AU95/100)/($AV95/pem_el_e_demand)*1000)</f>
        <v>4182.806894673954</v>
      </c>
      <c r="BE95" s="28">
        <f>Storage!$AC$50</f>
        <v>8.1664117557772418</v>
      </c>
      <c r="BF95" s="28">
        <f>((Pipeline!$D$22*Pipeline!$D$24*B95*(pipeline_opex+M95+1/pipeline_lifetime))*(Pipeline!$D$39/Pipeline!$D$3)+(Pipeline!$D$57*(pipeline_comp_opex+M95+1/pipeline_comp_lifetime)+Pipeline!$D$47*1000*Pipeline!$D$45*$AU95/100/1000000))*(Pipeline!$D$75/Pipeline!$D$45)</f>
        <v>4271.8962986892993</v>
      </c>
      <c r="BG95" s="28">
        <f>BD95+(BE95+BF95)/Storage!$AC$12*1000000</f>
        <v>4497.5173880890334</v>
      </c>
      <c r="BH95" s="28"/>
      <c r="BI95" s="28"/>
      <c r="BJ95" s="28" t="str">
        <f>IF($E95="","No Port",BK95*HV_DC_Grid!$E$3*$AU95/100*1000)</f>
        <v>No Port</v>
      </c>
      <c r="BK95" s="31" t="str">
        <f>IFERROR((1-(1-HV_DC_Grid!$E$25)^(K95*HV_DC_Grid!$E$8/1000))+HV_DC_Grid!$E$35*HV_DC_Grid!$E$28,"")</f>
        <v/>
      </c>
      <c r="BL95" s="28" t="str">
        <f>IFERROR(K95*nl_e_demand/IF(hv_dc_flh="electricity FLH",$AV95,hv_dc_custom)*1000*hv_dc_capacity_multiplier*hv_dc_length_multiplier*1000*(hv_dc_overhead_invest*(hv_dc_overhead_opex+M95+1/hv_dc_lifetime))/1000000+HV_DC_Grid!$E$10*1000*hv_dc_station_invest*hv_dc_station_number*(hv_dc_station_opex+M95+1/hv_dc_lifetime)/1000000,"")</f>
        <v/>
      </c>
      <c r="BM95" s="29" t="str">
        <f>IFERROR((BJ95+BL95)/(HV_DC_Grid!$E$3*1000)*100,"")</f>
        <v/>
      </c>
      <c r="BN95" s="28" t="str">
        <f>IFERROR(((Pipeline!$D$22*Pipeline!$D$24*K95*(pipeline_opex+M95+1/pipeline_lifetime))*(Pipeline!$D$39/Pipeline!$D$3)+(Pipeline!$D$57*(pipeline_comp_opex+M95+1/pipeline_comp_lifetime)+Pipeline!$D$47*1000*Pipeline!$D$45*S95/100/1000000))*(Pipeline!$D$75/Pipeline!$D$45),"")</f>
        <v/>
      </c>
      <c r="BO95" s="28"/>
      <c r="BP95" s="150">
        <f t="shared" si="124"/>
        <v>124.6646063250857</v>
      </c>
      <c r="BQ95" s="34">
        <f t="shared" si="125"/>
        <v>36.913736405809779</v>
      </c>
      <c r="BR95" s="151">
        <f>(nh3_invest*(M95+1/nh3_lifetime)/nh3_prod+nh3_opex+nh3_e_demand*1000*$AU95/100+Carriers!$N$18/Carriers!$N$23*BD95+Carriers!$N$19/Carriers!$N$23*BQ95)*(BT95+nh3_st_ab_losses)/1000000</f>
        <v>69300.085708720711</v>
      </c>
      <c r="BS95" s="63">
        <f>nh3_st_nl_cost*nh3_st_nl_demand/1000000+(nh3_st_invest*(M95+1/nh3_st_lifetime+nh3_st_opex)/(Storage!$G$63/1000000)+nh3_st_e_demand*1000*$AU95/100)*(BT95+nh3_st_ab_losses)/1000000+Carriers!$N$18/Carriers!$N$23*((BT95+nh3_st_ab_losses)/365.25*short_st_duration_hrs/24)*(h2_short_st_invest*(1/gh2_short_st_lifetime+$M95+h2_short_st_opex)+h2_short_st_e_demand*1000*$AU95/100)/1000000+Carriers!$N$19/Carriers!$N$23*((BT95+nh3_st_ab_losses)/365.25*short_st_duration_hrs/24)*(n2_short_st_invest*(1/n2_short_st_lifetime+$M95+n2_short_st_opex)+n2_short_st_e_demand*1000*$AU95/100)/1000000</f>
        <v>3549.8444924929668</v>
      </c>
      <c r="BT95" s="63">
        <f>Storage!$G$57/((1-Shipping!$H$37)^(F95/24/Shipping!$H$44+0.5*Shipping!$H$59))</f>
        <v>76857210.785724297</v>
      </c>
      <c r="BU95" s="63" t="str">
        <f>IF($E95="","No Port",((F95/24/Shipping!$H$44+F95/24/Shipping!$H$50+Shipping!$H$59+Shipping!$H$64)*(Shipping!$H$22+wacc_nl*Shipping!$H$19/365.25*1000000+Shipping!$H$35)+(F95/24/Shipping!$H$44*Shipping!$H$45+Shipping!$H$64*Shipping!$H$65)*IF(bunker_choice="HFO",H95,IF(bunker_choice="hydrogen",BD95*hfo_e_density_lhv/h2_e_density_lhv,(BR95+BS95)*1000000/BT95*hfo_e_density_lhv/nh3_e_density_lhv))+(F95/24/Shipping!$H$50*Shipping!$H$51+Shipping!$H$59*Shipping!$H$60)*IF(bunker_choice="HFO",bunker_price_ROT,IF(bunker_choice="hydrogen",BD95*hfo_e_density_lhv/h2_e_density_lhv,(BR95+BS95)*1000000/BT95*hfo_e_density_lhv/nh3_e_density_lhv))+Shipping!$H$73+IF(G95="Panama",Shipping!$H$55,0)+IF(G95="Suez",Shipping!$H$56,0))/Shipping!$H$31*BT95/1000000+IF(inland_transport_to_port="hv dc grid",$BM95/100*1000*BW95,IF(inland_transport_to_port="pipeline",$BN95,0)))</f>
        <v>No Port</v>
      </c>
      <c r="BV95" s="63" t="str">
        <f t="shared" si="126"/>
        <v/>
      </c>
      <c r="BW95" s="33">
        <f>((Carriers!$N$18/Carriers!$N$23*alk_el_e_demand)+(Carriers!$N$19/Carriers!$N$23*n2_e_demand)+nh3_e_demand)*(BT95+nh3_st_ab_losses)/1000000+nh3_st_e_demand*BT95/1000000</f>
        <v>759.00171168026975</v>
      </c>
      <c r="BX95" s="33">
        <f t="shared" si="102"/>
        <v>0.76626754477640768</v>
      </c>
      <c r="BY95" s="63" t="str">
        <f>IFERROR(BV95*1000000/Storage!$G$12,"")</f>
        <v/>
      </c>
      <c r="BZ95" s="63">
        <f>H2_retrieval!$F$25*h2_demand_kt/1000</f>
        <v>80</v>
      </c>
      <c r="CA95" s="63" t="str">
        <f>IFERROR(BY95*(1+H2_retrieval!$F$34)/Carrier_properties!$E$7+H2_retrieval!$F$38,"")</f>
        <v/>
      </c>
      <c r="CB95" s="149">
        <f>(FA_invest*(M95+1/FA_lifetime)/FA_prod+FA_opex+FA_e_demand*1000*$AU95/100+Carriers!$P$18/Carriers!$P$23*BD95+Carriers!$P$20/Carriers!$P$23*co2_liq_cost)*(CF95+FA_st_ab_losses)/1000000</f>
        <v>136412.26149495246</v>
      </c>
      <c r="CC95" s="86">
        <f>(FA_invest*(M95+1/FA_lifetime)/FA_prod+FA_opex+FA_e_demand*1000*$AU95/100+Carriers!$P$18/Carriers!$P$23*BD95+Carriers!$P$20/Carriers!$P$23*BP95)*(CF95+FA_st_ab_losses)/1000000</f>
        <v>166666.80833473886</v>
      </c>
      <c r="CD95" s="63">
        <f>FA_st_nl_cost*FA_st_nl_demand/1000000+(FA_st_invest*(M95+1/FA_st_lifetime+FA_st_opex)/(Storage!$I$63/1000000)+FA_st_e_demand*1000*$AU95/100)*(CF95+FA_st_ab_losses)/1000000+co2_st_nl_cost*Storage!$I$12*co2_density/FA_density/1000000+(co2_st_opex_lev+co2_st_invest_lev+co2_st_e_demand*1000*$AU95/100)*Storage!$I$12/1000000+co2_st_invest_lev*Storage!$I$12*co2_st_lifetime*M95/1000000+Carriers!$P$18/Carriers!$P$23*((CF95+FA_st_ab_losses)/365.25*short_st_duration_hrs/24)*(h2_short_st_invest*(1/gh2_short_st_lifetime+$M95+h2_short_st_opex)+h2_short_st_e_demand*1000*$AU95/100)/1000000+Carriers!$P$20/Carriers!$P$23*((CF95+FA_st_ab_losses)/365.25*short_st_duration_hrs/24)*(co2_short_st_invest*(1/co2_short_st_lifetime+$M95+co2_short_st_opex)+co2_short_st_e_demand*1000*$AU95/100)/1000000</f>
        <v>12457.449063926875</v>
      </c>
      <c r="CE95" s="63">
        <f>FA_st_nl_cost*FA_st_nl_demand/1000000+(FA_st_invest*(M95+1/FA_st_lifetime+FA_st_opex)/(Storage!$I$63/1000000)+FA_st_e_demand*1000*$AU95/100)*(CF95+FA_st_ab_losses)/1000000+Carriers!$P$18/Carriers!$P$23*((CF95+FA_st_ab_losses)/365.25*short_st_duration_hrs/24)*(h2_short_st_invest*(1/gh2_short_st_lifetime+$M95+h2_short_st_opex)+h2_short_st_e_demand*1000*$AU95/100)/1000000+Carriers!$P$20/Carriers!$P$23*((CF95+FA_st_ab_losses)/365.25*short_st_duration_hrs/24)*(co2_short_st_invest*(1/co2_short_st_lifetime+$M95+co2_short_st_opex)+co2_short_st_e_demand*1000*$AU95/100)/1000000</f>
        <v>5356.6241510728041</v>
      </c>
      <c r="CF95" s="63">
        <f>Storage!$I$57/((1-Shipping!$J$37)^($F95/24/Shipping!$J$44+0.5*Shipping!$J$59))</f>
        <v>310425396.82539684</v>
      </c>
      <c r="CG95" s="28" t="str">
        <f>IF($E95="","No Port",((F95/24/Shipping!$J$44+F95/24/Shipping!$J$50+Shipping!$J$59+Shipping!$J$64)*(Shipping!$J$22+wacc_nl*Shipping!$J$19/365.25*1000000+Shipping!$J$35)+(F95/24/Shipping!$J$44*Shipping!$J$45+Shipping!$J$64*Shipping!$J$65)*IF(bunker_choice="HFO",$H95,IF(bunker_choice="hydrogen",$BD95*hfo_e_density_lhv/h2_e_density_lhv,(CB95+CD95)*1000000/CF95*hfo_e_density_lhv/FA_e_density_lhv))+(F95/24/Shipping!$J$50*Shipping!$J$51+Shipping!$J$59*Shipping!$J$60)*IF(bunker_choice="HFO",bunker_price_ROT,IF(bunker_choice="hydrogen",$BD95*hfo_e_density_lhv/h2_e_density_lhv,(CB95+CD95)*1000000/CF95*hfo_e_density_lhv/FA_e_density_lhv))+Shipping!$J$73+IF(G95="Panama",Shipping!$J$55,0)+IF(G95="Suez",Shipping!$J$56,0))/Shipping!$J$31*CF95/1000000+IF(inland_transport_to_port="hv dc grid",$BM95/100*1000*CI95,IF(inland_transport_to_port="pipeline",$BN95,0)))</f>
        <v>No Port</v>
      </c>
      <c r="CH95" s="28" t="str">
        <f t="shared" si="132"/>
        <v/>
      </c>
      <c r="CI95" s="29">
        <f>((Carriers!$P$18/Carriers!$P$23*alk_el_e_demand)+FA_e_demand)*(CF95+FA_st_ab_losses)/1000000+FA_st_e_demand*CF95/1000000</f>
        <v>1897.8881241622576</v>
      </c>
      <c r="CJ95" s="29">
        <f t="shared" si="103"/>
        <v>0.46563809523809524</v>
      </c>
      <c r="CK95" s="28" t="str">
        <f>IFERROR(CH95*1000000/Storage!$I$12,"")</f>
        <v/>
      </c>
      <c r="CL95" s="28" t="str">
        <f>IF($E95="","No Port",((F95/24/Shipping!$J$44+F95/24/Shipping!$J$50+Shipping!$J$59+Shipping!$J$64)*Carriers!$P$39*wacc_nl))</f>
        <v>No Port</v>
      </c>
      <c r="CM95" s="29">
        <f>H2_retrieval!$H$25*h2_demand_kt/1000+(co2_liq_e_demand+co2_st_e_demand*2)*Storage!$I$12*co2_density/FA_density/1000000</f>
        <v>94.204253879484654</v>
      </c>
      <c r="CN95" s="28" t="str">
        <f>IFERROR((((CB95+CD95+CG95)*(1+H2_retrieval!$H$34)+CL95)*1000000/H2_retrieval!$H$8)+h2_regen_fa,"")</f>
        <v/>
      </c>
      <c r="CO95" s="149">
        <f>(meoh_invest*(M95+1/meoh_lifetime)/meoh_prod+meoh_opex+meoh_e_demand*1000*$AU95/100+Carriers!$R$18/Carriers!$R$23*BD95+Carriers!$R$20/Carriers!$R$23*co2_liq_cost)*(CS95+meoh_st_ab_losses)/1000000</f>
        <v>90734.160231758811</v>
      </c>
      <c r="CP95" s="86">
        <f>(meoh_invest*(M95+1/meoh_lifetime)/meoh_prod+meoh_opex+meoh_e_demand*1000*$AU95/100+Carriers!$R$18/Carriers!$R$23*BD95+Carriers!$R$20/Carriers!$R$23*BP95)*(CS95+meoh_st_ab_losses)/1000000</f>
        <v>108494.51324013475</v>
      </c>
      <c r="CQ95" s="63">
        <f>meoh_st_nl_cost*meoh_st_nl_demand/1000000+(meoh_st_invest*(M95+1/meoh_st_lifetime+meoh_st_opex)/(Storage!$K$63/1000000)+meoh_st_e_demand*1000*$AU95/100)*(CS95+meoh_st_ab_losses)/1000000+co2_st_nl_cost*Storage!$K$12*co2_density/meoh_density/1000000+(co2_st_opex_lev+co2_st_invest_lev+co2_st_e_demand*1000*IFERROR(MIN(S95,AA95,AI95),S95)/100)*Storage!$K$12/1000000+co2_st_invest_lev*Storage!$K$12*co2_st_lifetime*M95/1000000+Carriers!$R$18/Carriers!$R$23*((CS95+meoh_st_ab_losses)/365.25*short_st_duration_hrs/24)*(h2_short_st_invest*(1/gh2_short_st_lifetime+$M95+h2_short_st_opex)+h2_short_st_e_demand*1000*$AU95/100)/1000000+Carriers!$R$20/Carriers!$R$23*((CF95+meoh_st_ab_losses)/365.25*short_st_duration_hrs/24)*(co2_short_st_invest*(1/co2_short_st_lifetime+$M95+co2_short_st_opex)+co2_short_st_e_demand*1000*$AU95/100)/1000000</f>
        <v>5197.983553489632</v>
      </c>
      <c r="CR95" s="63">
        <f>meoh_st_nl_cost*meoh_st_nl_demand/1000000+(meoh_st_invest*(M95+1/meoh_st_lifetime+meoh_st_opex)/(Storage!$K$63/1000000)+meoh_st_e_demand*1000*$AU95/100)*(CS95+meoh_st_ab_losses)/1000000+Carriers!$R$18/Carriers!$R$23*((CS95+meoh_st_ab_losses)/365.25*short_st_duration_hrs/24)*(h2_short_st_invest*(1/gh2_short_st_lifetime+$M95+h2_short_st_opex)+h2_short_st_e_demand*1000*$AU95/100)/1000000+Carriers!$R$20/Carriers!$R$23*((CF95+meoh_st_ab_losses)/365.25*short_st_duration_hrs/24)*(co2_short_st_invest*(1/co2_short_st_lifetime+$M95+co2_short_st_opex)+co2_short_st_e_demand*1000*$AU95/100)/1000000</f>
        <v>2127.5237588004943</v>
      </c>
      <c r="CS95" s="63">
        <f>Storage!$K$57/((1-Shipping!$L$37)^($F95/24/Shipping!$L$44+0.5*Shipping!$L$59))</f>
        <v>108044444.44444443</v>
      </c>
      <c r="CT95" s="28" t="str">
        <f>IF($E95="","No Port",IF(AND(ship_choice="VLCC",G95="Panama"),"Ship cannot pass through Panama",IF(ship_choice="VLCC",((F95/24/Shipping!$AD$44+F95/24/Shipping!$AD$50+Shipping!$AD$59+Shipping!$AD$64)*(Shipping!$AD$22+wacc_nl*Shipping!$AD$19/365.25*1000000+Shipping!$AD$35)+(F95/24/Shipping!$AD$44*Shipping!$AD$45+Shipping!$AD$64*Shipping!$AD$65)*IF(bunker_choice="HFO",$H95,IF(bunker_choice="hydrogen",$BD95*hfo_e_density_lhv/h2_e_density_lhv,(CO95+CQ95)*1000000/CS95*hfo_e_density_lhv/meoh_e_density_lhv))+(F95/24/Shipping!$AD$50*Shipping!$AD$51+Shipping!$AD$59*Shipping!$AD$60)*IF(bunker_choice="HFO",bunker_price_ROT,IF(bunker_choice="hydrogen",$BD95*hfo_e_density_lhv/h2_e_density_lhv,(CO95+CQ95)*1000000/CS95*hfo_e_density_lhv/meoh_e_density_lhv))+Shipping!$AD$73+IF(G95="Panama",Shipping!$AD$55,0)+IF(G95="Suez",Shipping!$AD$56,0))/Shipping!$AD$31*CS95/1000000+IF(inland_transport_to_port="hv dc grid",$BM95/100*1000*CV95,IF(inland_transport_to_port="pipeline",$BN95,0)),((F95/24/Shipping!$L$44+F95/24/Shipping!$L$50+Shipping!$L$59+Shipping!$L$64)*(Shipping!$L$22+wacc_nl*Shipping!$L$19/365.25*1000000+Shipping!$L$35)+(F95/24/Shipping!$L$44*Shipping!$L$45+Shipping!$L$64*Shipping!$L$65)*IF(bunker_choice="HFO",$H95,IF(bunker_choice="hydrogen",$BD95*hfo_e_density_lhv/h2_e_density_lhv,(CO95+CQ95)*1000000/CS95*hfo_e_density_lhv/meoh_e_density_lhv))+(F95/24/Shipping!$L$50*Shipping!$L$51+Shipping!$L$59*Shipping!$L$60)*IF(bunker_choice="HFO",bunker_price_ROT,IF(bunker_choice="hydrogen",$BD95*hfo_e_density_lhv/h2_e_density_lhv,(CO95+CQ95)*1000000/CS95*hfo_e_density_lhv/meoh_e_density_lhv))+Shipping!$L$73+IF(G95="Panama",Shipping!$L$55,0)+IF(G95="Suez",Shipping!$L$56,0))/Shipping!$L$31*CS95/1000000+IF(inland_transport_to_port="hv dc grid",$BM95/100*1000*CV95,IF(inland_transport_to_port="pipeline",$BN95,0)))))</f>
        <v>No Port</v>
      </c>
      <c r="CU95" s="28" t="str">
        <f t="shared" si="133"/>
        <v/>
      </c>
      <c r="CV95" s="29">
        <f>((Carriers!$R$18/Carriers!$R$23*alk_el_e_demand)+meoh_e_demand)*(CS95+meoh_st_ab_losses)/1000000+meoh_st_e_demand*CS95/1000000</f>
        <v>1119.9789871111109</v>
      </c>
      <c r="CW95" s="29">
        <f t="shared" si="104"/>
        <v>0.16206666666666666</v>
      </c>
      <c r="CX95" s="28" t="str">
        <f>IFERROR(CU95*1000000/Storage!$K$12,"")</f>
        <v/>
      </c>
      <c r="CY95" s="28" t="str">
        <f>IF($E95="","No Port",((F95/24/Shipping!$L$44+F95/24/Shipping!$L$50+Shipping!$L$59+Shipping!$L$64)*Carriers!$R$39*wacc_nl))</f>
        <v>No Port</v>
      </c>
      <c r="CZ95" s="29">
        <f>H2_retrieval!$J$25*h2_demand_kt/1000+(co2_liq_e_demand+co2_st_e_demand*2)*Storage!$K$12*co2_density/meoh_density/1000000</f>
        <v>251.05079059698966</v>
      </c>
      <c r="DA95" s="28" t="str">
        <f>IFERROR((((CO95+CQ95+CT95)*(1+H2_retrieval!$J$34)+CY95)*1000000/H2_retrieval!$J$8)+h2_regen_meoh,"")</f>
        <v/>
      </c>
      <c r="DB95" s="149">
        <f>(DBT_invest*(M95+1/DBT_lifetime)/DBT_prod+DBT_opex+DBT_e_demand*1000*$AU95/100+Carriers!$T$18/Carriers!$T$23*BD95)*(DD95+DBT_st_ab_losses)/1000000</f>
        <v>60344.373187060148</v>
      </c>
      <c r="DC95" s="28">
        <f>2*(DBT_st_nl_cost*DBT_st_nl_demand/1000000+(DBT_st_invest*(M95+1/DBT_st_lifetime+DBT_st_opex)/(Storage!$M$63/1000000)+DBT_st_e_demand*1000*$AU95/100)*(DD95+DBT_st_ab_losses)/1000000)+Carriers!$T$18/Carriers!$T$23*((DD95+DBT_st_ab_losses)/365.25*short_st_duration_hrs/24)*(h2_short_st_invest*(1/gh2_short_st_lifetime+$M95+h2_short_st_opex)+h2_short_st_e_demand*1000*$AU95/100)/1000000</f>
        <v>4353.6975939580616</v>
      </c>
      <c r="DD95" s="63">
        <f>Storage!$M$57/((1-Shipping!$N$37)^($F95/24/Shipping!$N$44+0.5*Shipping!$N$59))</f>
        <v>219354838.70967743</v>
      </c>
      <c r="DE95" s="28" t="str">
        <f>IF($E95="","No Port",IF(AND(ship_choice="VLCC",G95="Panama"),"Ship cannot pass through Panama",IF(ship_choice="VLCC",((F95/24/Shipping!$AD$44+F95/24/Shipping!$AD$50+Shipping!$AD$59+Shipping!$AD$64)*(Shipping!$AD$22+wacc_nl*Shipping!$AD$19/365.25*1000000+Shipping!$AD$35)+(F95/24/Shipping!$AD$44*Shipping!$AD$45+Shipping!$AD$64*Shipping!$AD$65)*IF(bunker_choice="HFO",$H95,IF(bunker_choice="hydrogen",$BD95*hfo_e_density_lhv/h2_e_density_lhv,(DB95+DC95)*1000000/DD95*hfo_e_density_lhv/DBT_e_density_lhv))+(F95/24/Shipping!$AD$50*Shipping!$AD$51+Shipping!$AD$59*Shipping!$AD$60)*IF(bunker_choice="HFO",bunker_price_ROT,IF(bunker_choice="hydrogen",$BD95*hfo_e_density_lhv/h2_e_density_lhv,(DB95+DC95)*1000000/DD95*hfo_e_density_lhv/DBT_e_density_lhv))+Shipping!$AD$73+IF(G95="Panama",Shipping!$AD$55,0)+IF(G95="Suez",Shipping!$AD$56,0))/Shipping!$AD$31*DD95/1000000+IF(inland_transport_to_port="hv dc grid",$BM95/100*1000*DG95,IF(inland_transport_to_port="pipeline",$BN95,0)),((F95/24/Shipping!$N$44+F95/24/Shipping!$N$50+Shipping!$N$59+Shipping!$N$64)*(Shipping!$N$22+wacc_nl*Shipping!$N$19/365.25*1000000+Shipping!$N$35)+(F95/24/Shipping!$N$44*Shipping!$N$45+Shipping!$N$64*Shipping!$N$65)*IF(bunker_choice="HFO",$H95,IF(bunker_choice="hydrogen",$BD95*hfo_e_density_lhv/h2_e_density_lhv,(DB95+DC95)*1000000/DD95*hfo_e_density_lhv/DBT_e_density_lhv))+(F95/24/Shipping!$N$50*Shipping!$N$51+Shipping!$N$59*Shipping!$N$60)*IF(bunker_choice="HFO",bunker_price_ROT,IF(bunker_choice="hydrogen",$BD95*hfo_e_density_lhv/h2_e_density_lhv,(DB95+DC95)*1000000/DD95*hfo_e_density_lhv/DBT_e_density_lhv))+Shipping!$N$73+IF(G95="Panama",Shipping!$N$55,0)+IF(G95="Suez",Shipping!$N$56,0))/Shipping!$N$31*Shipping!$N$86/1000000+IF(inland_transport_to_port="hv dc grid",$BM95/100*1000*DG95,IF(inland_transport_to_port="pipeline",$BN95,0)))))</f>
        <v>No Port</v>
      </c>
      <c r="DF95" s="28" t="str">
        <f t="shared" si="82"/>
        <v/>
      </c>
      <c r="DG95" s="29">
        <f>((Carriers!$T$18/Carriers!$T$23*alk_el_e_demand)+DBT_e_demand)*(DD95+DBT_st_ab_losses)/1000000+DBT_st_e_demand*DD95/1000000</f>
        <v>703.88335483870969</v>
      </c>
      <c r="DH95" s="29">
        <f t="shared" si="105"/>
        <v>0.21935483870967742</v>
      </c>
      <c r="DI95" s="28" t="str">
        <f>IFERROR(DF95*1000000/Storage!$M$12,"")</f>
        <v/>
      </c>
      <c r="DJ95" s="28" t="str">
        <f>IF($E95="","No Port",((F95/24/Shipping!$N$44+F95/24/Shipping!$N$50+Shipping!$N$59+Shipping!$N$64)*Carriers!$T$39*wacc_nl))</f>
        <v>No Port</v>
      </c>
      <c r="DK95" s="100">
        <f>H2_retrieval!$L$25*h2_demand_kt/1000+(co2_liq_e_demand+co2_st_e_demand*2)*Storage!$M$12*co2_density/DBT_density/1000000</f>
        <v>206.61934861671787</v>
      </c>
      <c r="DL95" s="28" t="str">
        <f>IFERROR(((DF95*(1+H2_retrieval!$L$34)+DJ95)*1000000/H2_retrieval!$L$8)+h2_regen_lohc,"")</f>
        <v/>
      </c>
      <c r="DM95" s="149">
        <f t="shared" si="127"/>
        <v>59139.426370119261</v>
      </c>
      <c r="DN95" s="16">
        <f>2*(nabh4_st_nl_cost*nabh4_st_nl_demand/1000000+(nabh4_st_invest*(M95+1/nabh4_st_lifetime+nabh4_st_opex)/(Storage!$O$63/1000000)+nabh4_st_e_demand*1000*$AU95/100)*(DO95+nabh4_st_ab_losses)/1000000)+(h2_demand_kt*1000/365.25*short_st_duration_hrs/24)*(h2_short_st_invest*(1/gh2_short_st_lifetime+$M95+h2_short_st_opex)+h2_short_st_e_demand*1000*$AU95/100)/1000000</f>
        <v>1514.65236933796</v>
      </c>
      <c r="DO95" s="63">
        <f>Storage!$O$57/((1-Shipping!$P$37)^($F95/24/Shipping!$P$44+0.5*Shipping!$P$59))</f>
        <v>63920000</v>
      </c>
      <c r="DP95" s="16" t="str">
        <f>IF($E95="","No Port",((F95/24/Shipping!$P$44+F95/24/Shipping!$P$50+Shipping!$P$59+Shipping!$P$64)*(Shipping!$P$22+wacc_nl*Shipping!$P$19/365.25*1000000+Shipping!$P$35)+(F95/24/Shipping!$P$44*Shipping!$P$45+Shipping!$P$64*Shipping!$P$65)*IF(bunker_choice="HFO",$H95,IF(bunker_choice="hydrogen",$BD95*hfo_e_density_lhv/h2_e_density_lhv,(DM95+DN95)*1000000/DO95*hfo_e_density_lhv/nabh4_e_density_lhv))+(F95/24/Shipping!$P$50*Shipping!$P$51+Shipping!$P$59*Shipping!$P$60)*IF(bunker_choice="HFO",bunker_price_ROT,IF(bunker_choice="hydrogen",$BD95*hfo_e_density_lhv/h2_e_density_lhv,(DM95+DN95)*1000000/DO95*hfo_e_density_lhv/nabh4_e_density_lhv))+Shipping!$P$73+IF(G95="Panama",Shipping!$P$55,0)+IF(G95="Suez",Shipping!$P$56,0))/Shipping!$P$31*(DO95+nabh4_st_ab_losses)/1000000+IF(inland_transport_to_port="hv dc grid",$BM95/100*1000*DR95,IF(inland_transport_to_port="pipeline",$BN95,0)))</f>
        <v>No Port</v>
      </c>
      <c r="DQ95" s="28" t="str">
        <f t="shared" si="60"/>
        <v/>
      </c>
      <c r="DR95" s="29">
        <f>((Carriers!$V$18/Carriers!$V$23*alk_el_e_demand)+nabh4_e_demand)*(DO95+nabh4_st_ab_losses)/1000000+nabh4_st_e_demand*DO95/1000000</f>
        <v>980.02139682539689</v>
      </c>
      <c r="DS95" s="28">
        <f t="shared" si="106"/>
        <v>3.1960000000000002</v>
      </c>
      <c r="DT95" s="28" t="str">
        <f>IFERROR(DQ95*1000000/Storage!$O$12,"")</f>
        <v/>
      </c>
      <c r="DU95" s="28" t="str">
        <f>IF($E95="","No Port",((F95/24/Shipping!$P$44+F95/24/Shipping!$P$50+Shipping!$P$59+Shipping!$P$64)*Carriers!$V$39*wacc_nl))</f>
        <v>No Port</v>
      </c>
      <c r="DV95" s="100">
        <f>H2_retrieval!$N$25*h2_demand_kt/1000+(co2_liq_e_demand+co2_st_e_demand*2)*Storage!$O$12*co2_density/nabh4_density/1000000</f>
        <v>18.783638728971958</v>
      </c>
      <c r="DW95" s="28" t="str">
        <f>IFERROR(((DQ95*(1+H2_retrieval!$N$34)+DU95)*1000000/H2_retrieval!$N$8)+h2_regen_nabh4,"")</f>
        <v/>
      </c>
      <c r="DX95" s="149">
        <f>(Dme_invest*(M95+1/Dme_lifetime)/Dme_prod+Dme_opex+Dme_e_demand*1000*$AU95/100+Carriers!$X$21/Carriers!$X$23*(CO95*1000000/CS95))*(EB95+Dme_st_ab_losses)/1000000</f>
        <v>126625.80234001928</v>
      </c>
      <c r="DY95" s="86">
        <f>(Dme_invest*(M95+1/Dme_lifetime)/Dme_prod+Dme_opex+Dme_e_demand*1000*$AU95/100+Carriers!$X$21/Carriers!$X$23*(CP95*1000000/CS95))*(EB95+Dme_st_ab_losses)/1000000</f>
        <v>150720.63410623831</v>
      </c>
      <c r="DZ95" s="63">
        <f>Dme_st_nl_cost*Dme_st_nl_demand/1000000+(Dme_st_invest*(M95+1/Dme_st_lifetime+Dme_st_opex)/(Storage!$Q$63/1000000)+Dme_st_e_demand*1000*$AU95/100)*(EB95+Dme_st_ab_losses)/1000000+co2_st_nl_cost*Storage!$Q$12*co2_density/Dme_density/1000000+(co2_st_opex_lev+co2_st_invest_lev+co2_st_e_demand*1000*$AU95/100)*Storage!$Q$12/1000000+co2_st_invest_lev*Storage!$Q$12*co2_st_lifetime*M95/1000000+(h2_demand_kt*1000/365.25*short_st_duration_hrs/24)*(h2_short_st_invest*(1/gh2_short_st_lifetime+$M95+h2_short_st_opex)+h2_short_st_e_demand*1000*$AU95/100)/1000000</f>
        <v>6245.0202867813314</v>
      </c>
      <c r="EA95" s="63">
        <f>Dme_st_nl_cost*Dme_st_nl_demand/1000000+(Dme_st_invest*(M95+1/Dme_st_lifetime+Dme_st_opex)/(Storage!$Q$63/1000000)+Dme_st_e_demand*1000*$AU95/100)*(EB95+Dme_st_ab_losses)/1000000+(h2_demand_kt*1000/365.25*short_st_duration_hrs/24)*(h2_short_st_invest*(1/gh2_short_st_lifetime+$M95+h2_short_st_opex)+h2_short_st_e_demand*1000*$AU95/100)/1000000</f>
        <v>3175.4678138806048</v>
      </c>
      <c r="EB95" s="63">
        <f>Storage!$Q$57/((1-Shipping!$R$37)^($F95/24/Shipping!$R$44+0.5*Shipping!$R$59))</f>
        <v>103547089.94708996</v>
      </c>
      <c r="EC95" s="153" t="str">
        <f>IF($E95="","No Port",IF(AND(ship_choice="VLCC",G95="Panama"),"Ship cannot pass through Panama",IF(ship_choice="VLCC",((F95/24/Shipping!$AD$44+F95/24/Shipping!$AD$50+Shipping!$AD$59+Shipping!$AD$64)*(Shipping!$AD$22+wacc_nl*Shipping!$AD$19/365.25*1000000+Shipping!$AD$35)+(F95/24/Shipping!$AD$44*Shipping!$AD$45+Shipping!$AD$64*Shipping!$AD$65)*IF(bunker_choice="HFO",$H95,IF(bunker_choice="hydrogen",$BD95*hfo_e_density_lhv/h2_e_density_lhv,(DX95+DZ95)*1000000/EB95*hfo_e_density_lhv/Dme_e_density_lhv))+(F95/24/Shipping!$AD$50*Shipping!$AD$51+Shipping!$AD$59*Shipping!$AD$60)*IF(bunker_choice="HFO",bunker_price_ROT,IF(bunker_choice="hydrogen",$BD95*hfo_e_density_lhv/h2_e_density_lhv,(DX95+DZ95)*1000000/EB95*hfo_e_density_lhv/Dme_e_density_lhv))+Shipping!$AD$73+IF(G95="Panama",Shipping!$AD$55,0)+IF(G95="Suez",Shipping!$AD$56,0))/Shipping!$AD$31*(EB95+Dme_st_ab_losses)/1000000+IF(inland_transport_to_port="hv dc grid",$BM95/100*1000*EE95,IF(inland_transport_to_port="pipeline",$BN95,0)),((F95/24/Shipping!$R$44+F95/24/Shipping!$R$50+Shipping!$R$59+Shipping!$R$64)*(Shipping!$R$22+wacc_nl*Shipping!$R$19/365.25*1000000+Shipping!$R$35)+(F95/24/Shipping!$R$44*Shipping!$R$45+Shipping!$R$64*Shipping!$R$65)*IF(bunker_choice="HFO",$H95,IF(bunker_choice="hydrogen",$BD95*hfo_e_density_lhv/h2_e_density_lhv,(DX95+DZ95)*1000000/EB95*hfo_e_density_lhv/Dme_e_density_lhv))+(F95/24/Shipping!$R$50*Shipping!$R$51+Shipping!$R$59*Shipping!$R$60)*IF(bunker_choice="HFO",bunker_price_ROT,IF(bunker_choice="hydrogen",$BD95*hfo_e_density_lhv/h2_e_density_lhv,(DX95+DZ95)*1000000/EB95*hfo_e_density_lhv/Dme_e_density_lhv))+Shipping!$R$73+IF(G95="Panama",Shipping!$R$55,0)+IF(G95="Suez",Shipping!$R$56,0))/Shipping!$R$31*(EB95+Dme_st_ab_losses)/1000000+IF(inland_transport_to_port="hv dc grid",$BM95/100*1000*EE95,IF(inland_transport_to_port="pipeline",$BN95,0)))))</f>
        <v>No Port</v>
      </c>
      <c r="ED95" s="28" t="str">
        <f t="shared" si="134"/>
        <v/>
      </c>
      <c r="EE95" s="29">
        <f>(Dme_e_demand)*(EB95+Dme_st_ab_losses)/1000000+Dme_st_e_demand*DZ95/1000000+$CV95*(Carriers!$X$21/Carriers!$X$23*EB95)/$CS95</f>
        <v>1550.2168226172587</v>
      </c>
      <c r="EF95" s="29">
        <f t="shared" si="107"/>
        <v>1.0354708994708997</v>
      </c>
      <c r="EG95" s="28" t="str">
        <f>IFERROR(ED95*1000000/Storage!$Q$12,"")</f>
        <v/>
      </c>
      <c r="EH95" s="28" t="str">
        <f>IF($E95="","No Port",((F95/24/Shipping!$R$44+F95/24/Shipping!$R$50+Shipping!$R$59+Shipping!$R$64)*Carriers!$X$39*wacc_nl))</f>
        <v>No Port</v>
      </c>
      <c r="EI95" s="100">
        <f>H2_retrieval!$P$25*h2_demand_kt/1000+(co2_liq_e_demand+co2_st_e_demand*2)*Storage!$Q$12*co2_density/Dme_density/1000000</f>
        <v>252.45335899349112</v>
      </c>
      <c r="EJ95" s="28" t="str">
        <f>IFERROR((((DX95+DZ95+EC95)*(1+H2_retrieval!$P$34)+EH95)*1000000/H2_retrieval!$P$8)+h2_regen_dme,"")</f>
        <v/>
      </c>
      <c r="EK95" s="149">
        <f>(ome_invest*(M95+1/ome_lifetime)/ome_prod+ome_opex+ome_e_demand*1000*$AU95/100+Carriers!$Z$21/Carriers!$Z$23*(CO95*1000000/CS95))*(EO95+ome_st_ab_losses)/1000000</f>
        <v>273589.26649232046</v>
      </c>
      <c r="EL95" s="86">
        <f>(ome_invest*(M95+1/ome_lifetime)/ome_prod+ome_opex+ome_e_demand*1000*$AU95/100+Carriers!$Z$21/Carriers!$Z$23*(CP95*1000000/CS95))*(EO95+ome_st_ab_losses)/1000000</f>
        <v>324169.00874265435</v>
      </c>
      <c r="EM95" s="63">
        <f>ome_st_nl_cost*ome_st_nl_demand/1000000+(ome_st_invest*(M95+1/ome_st_lifetime+ome_st_opex)/(Storage!$S$63/1000000)+ome_st_e_demand*1000*$AU95/100)*(EO95+ome_st_ab_losses)/1000000+co2_st_nl_cost*Storage!$S$12*co2_density/ome_density/1000000+(co2_st_opex_lev+co2_st_invest_lev+co2_st_e_demand*1000*$AU95/100)*Storage!$S$12/1000000+co2_st_invest_lev*Storage!$S$12*co2_st_lifetime*M95/1000000+(h2_demand_kt*1000/365.25*short_st_duration_hrs/24)*(h2_short_st_invest*(1/gh2_short_st_lifetime+$M95+h2_short_st_opex)+h2_short_st_e_demand*1000*$AU95/100)/1000000</f>
        <v>5375.3038231315104</v>
      </c>
      <c r="EN95" s="63">
        <f>ome_st_nl_cost*ome_st_nl_demand/1000000+(ome_st_invest*(M95+1/ome_st_lifetime+ome_st_opex)/(Storage!$S$63/1000000)+ome_st_e_demand*1000*$AU95/100)*(EO95+ome_st_ab_losses)/1000000+(h2_demand_kt*1000/365.25*short_st_duration_hrs/24)*(h2_short_st_invest*(1/gh2_short_st_lifetime+$M95+h2_short_st_opex)+h2_short_st_e_demand*1000*$AU95/100)/1000000</f>
        <v>1911.4609099787117</v>
      </c>
      <c r="EO95" s="63">
        <f>Storage!$S$57/((1-Shipping!$T$37)^($F95/24/Shipping!$T$44+0.5*Shipping!$T$59))</f>
        <v>128282539.68253967</v>
      </c>
      <c r="EP95" s="28" t="str">
        <f>IF($E95="","No Port",IF(AND(ship_choice="VLCC",G95="Panama"),"Ship cannot pass through Panama",IF(ship_choice="VLCC",((F95/24/Shipping!$AD$44+F95/24/Shipping!$AD$50+Shipping!$AD$59+Shipping!$AD$64)*(Shipping!$AD$22+wacc_nl*Shipping!$AD$19/365.25*1000000+Shipping!$AD$35)+(F95/24/Shipping!$AD$44*Shipping!$AD$45+Shipping!$AD$64*Shipping!$AD$65)*IF(bunker_choice="HFO",$H95,IF(bunker_choice="hydrogen",$BD95*hfo_e_density_lhv/h2_e_density_lhv,(EK95+EM95)*1000000/EO95*hfo_e_density_lhv/Dme_e_density_lhv))+(F95/24/Shipping!$AD$50*Shipping!$AD$51+Shipping!$AD$59*Shipping!$AD$60)*IF(bunker_choice="HFO",bunker_price_ROT,IF(bunker_choice="hydrogen",$BD95*hfo_e_density_lhv/h2_e_density_lhv,(EK95+EM95)*1000000/EO95*hfo_e_density_lhv/ome_e_density_lhv))+Shipping!$AD$73+IF(G95="Panama",Shipping!$AD$55,0)+IF(G95="Suez",Shipping!$AD$56,0))/Shipping!$AD$31*(EO95+ome_st_ab_losses)/1000000+IF(inland_transport_to_port="hv dc grid",$BM95/100*1000*ER95,IF(inland_transport_to_port="pipeline",$BN95,0)),((F95/24/Shipping!$T$44+F95/24/Shipping!$T$50+Shipping!$T$59+Shipping!$T$64)*(Shipping!$T$22+wacc_nl*Shipping!$T$19/365.25*1000000+Shipping!$T$35)+(F95/24/Shipping!$T$44*Shipping!$T$45+Shipping!$T$64*Shipping!$T$65)*IF(bunker_choice="HFO",$H95,IF(bunker_choice="hydrogen",$BD95*hfo_e_density_lhv/h2_e_density_lhv,(EK95+EM95)*1000000/EO95*hfo_e_density_lhv/Dme_e_density_lhv))+(F95/24/Shipping!$T$50*Shipping!$T$51+Shipping!$T$59*Shipping!$T$60)*IF(bunker_choice="HFO",bunker_price_ROT,IF(bunker_choice="hydrogen",$BD95*hfo_e_density_lhv/h2_e_density_lhv,(EK95+EM95)*1000000/EO95*hfo_e_density_lhv/ome_e_density_lhv))+Shipping!$T$73+IF(G95="Panama",Shipping!$T$55,0)+IF(G95="Suez",Shipping!$T$56,0))/Shipping!$T$31*(EO95+ome_st_ab_losses)/1000000+IF(inland_transport_to_port="hv dc grid",$BM95/100*1000*ER95,IF(inland_transport_to_port="pipeline",$BN95,0)))))</f>
        <v>No Port</v>
      </c>
      <c r="EQ95" s="28" t="str">
        <f t="shared" si="135"/>
        <v/>
      </c>
      <c r="ER95" s="29">
        <f>(ome_e_demand)*(EO95+ome_st_ab_losses)/1000000+ome_st_e_demand*EM95/1000000+$CV95*(Carriers!$Z$21/Carriers!$Z$23*EO95)/$CS95</f>
        <v>3352.0814582037392</v>
      </c>
      <c r="ES95" s="29">
        <f t="shared" si="108"/>
        <v>0.1924238095238095</v>
      </c>
      <c r="ET95" s="28" t="str">
        <f>IFERROR(EQ95*1000000/Storage!$S$12,"")</f>
        <v/>
      </c>
      <c r="EU95" s="28" t="str">
        <f>IF($E95="","No Port",((F95/24/Shipping!$T$44+F95/24/Shipping!$T$50+Shipping!$T$59+Shipping!$T$64)*Carriers!$Z$39*wacc_nl))</f>
        <v>No Port</v>
      </c>
      <c r="EV95" s="100">
        <f>H2_retrieval!$R$25*h2_demand_kt/1000+(co2_liq_e_demand+co2_st_e_demand*2)*Storage!$S$12*co2_density/ome_density/1000000</f>
        <v>254.51942895252085</v>
      </c>
      <c r="EW95" s="28" t="str">
        <f>IFERROR((((EK95+EM95+EP95)*(1+H2_retrieval!$R$34)+EU95)*1000000/H2_retrieval!$R$8)+h2_regen_ome,"")</f>
        <v/>
      </c>
      <c r="EX95" s="149">
        <f>(sng_invest*(M95+1/sng_lifetime)/sng_prod+lng_invest*(M95+1/lng_lifetime)/lng_prod+sng_opex+lng_opex+(sng_e_demand+lng_e_demand)*1000*$AU95/100+Carriers!$AB$18/Carriers!$AB$23*BD95+Carriers!$AB$20/Carriers!$AB$23*co2_liq_cost)*(FB95+lng_st_ab_losses)/1000000</f>
        <v>95144.397773193574</v>
      </c>
      <c r="EY95" s="86">
        <f>(sng_invest*(M95+1/sng_lifetime)/sng_prod+lng_invest*(M95+1/lng_lifetime)/lng_prod+sng_opex+lng_opex+(sng_e_demand+lng_e_demand)*1000*$AU95/100+Carriers!$AB$18/Carriers!$AB$23*BD95+Carriers!$AB$20/Carriers!$AB$23*BP95)*(FB95+lng_st_ab_losses)/1000000</f>
        <v>108277.17844190041</v>
      </c>
      <c r="EZ95" s="63">
        <f>lng_st_nl_cost*lng_st_nl_demand/1000000+(lng_st_invest*(M95+1/lng_st_lifetime+lng_st_opex)/(Storage!$U$63/1000000)+lng_st_e_demand*1000*$AU95/100)*(FB95+lng_st_ab_losses)/1000000+co2_st_nl_cost*Storage!$U$12*co2_density/lng_density/1000000+(co2_st_opex_lev+co2_st_invest_lev+co2_st_e_demand*1000*$AU95/100)*Storage!$U$12/1000000+co2_st_invest_lev*Storage!$U$12*co2_st_lifetime*M95/1000000+Carriers!$AB$18/Carriers!$AB$23*((FB95+lng_st_ab_losses)/365.25*short_st_duration_hrs/24)*(h2_short_st_invest*(1/gh2_short_st_lifetime+$M95+h2_short_st_opex)+h2_short_st_e_demand*1000*$AU95/100)/1000000+Carriers!$AB$20/Carriers!$AB$23*((FB95+lng_st_ab_losses)/365.25*short_st_duration_hrs/24)*(co2_short_st_invest*(1/co2_short_st_lifetime+$M95+co2_short_st_opex)+co2_short_st_e_demand*1000*$AU95/100)/1000000</f>
        <v>6565.7960089631224</v>
      </c>
      <c r="FA95" s="63">
        <f>lng_st_nl_cost*lng_st_nl_demand/1000000+(lng_st_invest*(M95+1/lng_st_lifetime+lng_st_opex)/(Storage!$U$63/1000000)+lng_st_e_demand*1000*$AU95/100)*(FB95+lng_st_ab_losses)/1000000+Carriers!$AB$18/Carriers!$AB$23*((FB95+lng_st_ab_losses)/365.25*short_st_duration_hrs/24)*(h2_short_st_invest*(1/gh2_short_st_lifetime+$M95+h2_short_st_opex)+h2_short_st_e_demand*1000*$AU95/100)/1000000+Carriers!$AB$20/Carriers!$AB$23*((FB95+lng_st_ab_losses)/365.25*short_st_duration_hrs/24)*(co2_short_st_invest*(1/co2_short_st_lifetime+$M95+co2_short_st_opex)+co2_short_st_e_demand*1000*$AU95/100)/1000000</f>
        <v>4925.0308081231733</v>
      </c>
      <c r="FB95" s="63">
        <f>Storage!$U$57/((1-Shipping!$V$37)^($F95/24/Shipping!$V$44+0.5*Shipping!$V$59))</f>
        <v>40707231.50721889</v>
      </c>
      <c r="FC95" s="28" t="str">
        <f>IF($E95="","No Port",IF(G95="Panama","Ship cannot pass through Panama",((F95/24/Shipping!$V$44+F95/24/Shipping!$V$50+Shipping!$V$59+Shipping!$V$64)*(Shipping!$V$22+wacc_nl*Shipping!$V$19/365.25*1000000+Shipping!$V$35)+(F95/24/Shipping!$V$44*Shipping!$V$45+Shipping!$V$64*Shipping!$V$65)*IF(bunker_choice="HFO",$H95,IF(bunker_choice="hydrogen",$BD95*hfo_e_density_lhv/h2_e_density_lhv,(EX95+EZ95)*1000000/FB95*hfo_e_density_lhv/lng_e_density_lhv))+(F95/24/Shipping!$V$50*Shipping!$V$51+Shipping!$V$59*Shipping!$V$60)*IF(bunker_choice="HFO",bunker_price_ROT,IF(bunker_choice="hydrogen",$BD95*hfo_e_density_lhv/h2_e_density_lhv,(EX95+EZ95)*1000000/FB95*hfo_e_density_lhv/lng_e_density_lhv))+Shipping!$V$73+IF(G95="Panama",Shipping!$V$55,0)+IF(G95="Suez",Shipping!$V$56,0))/Shipping!$V$31*(FB95+lng_st_ab_losses)/1000000)+IF(inland_transport_to_port="hv dc grid",$BM95/100*1000*FE95,IF(inland_transport_to_port="pipeline",$BN95,0)))</f>
        <v>No Port</v>
      </c>
      <c r="FD95" s="28" t="str">
        <f t="shared" si="136"/>
        <v/>
      </c>
      <c r="FE95" s="29">
        <f>((Carriers!$AB$18/Carriers!$AB$23*alk_el_e_demand)+sng_e_demand+lng_e_demand)*(FB95+lng_st_ab_losses)/1000000+lng_st_e_demand*EZ95/1000000</f>
        <v>1091.7518903445696</v>
      </c>
      <c r="FF95" s="29">
        <f t="shared" si="109"/>
        <v>0.8126185861001558</v>
      </c>
      <c r="FG95" s="28" t="str">
        <f>IFERROR(FD95*1000000/Storage!$U$12,"")</f>
        <v/>
      </c>
      <c r="FH95" s="28" t="str">
        <f>IF($E95="","No Port",((F95/24/Shipping!$V$44+F95/24/Shipping!$V$50+Shipping!$V$59+Shipping!$V$64)*Carriers!$AB$39*wacc_nl))</f>
        <v>No Port</v>
      </c>
      <c r="FI95" s="100">
        <f>H2_retrieval!$T$25*h2_demand_kt/1000+(co2_liq_e_demand+co2_st_e_demand*2)*Storage!$U$12*co2_density/lng_density/1000000</f>
        <v>236.51371749646054</v>
      </c>
      <c r="FJ95" s="28" t="str">
        <f>IFERROR((((EX95+EZ95+FC95)*(1+H2_retrieval!$T$34)+FH95)*1000000/H2_retrieval!$T$8)+h2_regen_lng,"")</f>
        <v/>
      </c>
      <c r="FK95" s="149">
        <f>(lh2_invest*(M95+1/lh2_lifetime)/lh2_prod+lh2_opex+lh2_e_demand*1000*$AU95/100+Carriers!$AD$18/Carriers!$AD$23*BD95)*(FM95+lh2_st_ab_losses)/1000000</f>
        <v>71883.07510558638</v>
      </c>
      <c r="FL95" s="28">
        <f>lh2_st_nl_cost*lh2_st_nl_demand/1000000+(lh2_st_invest*(M95+1/lh2_st_lifetime+lh2_st_opex)/(Storage!$Y$63/1000000)+lh2_st_e_demand*1000*$AU95/100)*(FM95+lh2_st_ab_losses)/1000000+((FM95+lh2_st_ab_losses)/365.25*short_st_duration_hrs/24)*(h2_short_st_invest*(1/gh2_short_st_lifetime+$M95+h2_short_st_opex)+h2_short_st_e_demand*1000*$AU95/100)/1000000</f>
        <v>56716.388257752486</v>
      </c>
      <c r="FM95" s="63">
        <f>Storage!$Y$57/((1-Shipping!$Z$37)^($F95/24/Shipping!$Z$44+0.5*Shipping!$Z$59))</f>
        <v>13659984.090217989</v>
      </c>
      <c r="FN95" s="28" t="str">
        <f>IF($E95="","No Port",IF(G95="Panama","Ship cannot pass through Panama",((F95/24/Shipping!$Z$44+F95/24/Shipping!$Z$50+Shipping!$Z$59+Shipping!$Z$64)*(Shipping!$Z$22+wacc_nl*Shipping!$Z$19/365.25*1000000+Shipping!$Z$35)+(F95/24/Shipping!$Z$44*Shipping!$Z$45+Shipping!$Z$64*Shipping!$Z$65)*IF(bunker_choice="HFO",$H95,IF(bunker_choice="hydrogen",$BD95*hfo_e_density_lhv/h2_e_density_lhv,(FK95+FL95)*1000000/FM95*hfo_e_density_lhv/lh2_e_density_lhv))+(F95/24/Shipping!$Z$50*Shipping!$Z$51+Shipping!$Z$59*Shipping!$Z$60)*IF(bunker_choice="HFO",bunker_price_ROT,IF(bunker_choice="hydrogen",$BD95*hfo_e_density_lhv/h2_e_density_lhv,(FK95+FL95)*1000000/FM95*hfo_e_density_lhv/lh2_e_density_lhv))+Shipping!$Z$73+IF(G95="Panama",Shipping!$Z$55,0)+IF(G95="Suez",Shipping!$Z$56,0))/Shipping!$Z$31*(FM95+lh2_st_ab_losses)/1000000)+IF(inland_transport_to_port="hv dc grid",$BM95/100*1000*FP95,IF(inland_transport_to_port="pipeline",$BN95,0)))</f>
        <v>No Port</v>
      </c>
      <c r="FO95" s="28" t="str">
        <f t="shared" si="128"/>
        <v/>
      </c>
      <c r="FP95" s="29">
        <f>((Carriers!$AD$18/Carriers!$AD$23*alk_el_e_demand)+lh2_e_demand)*(FM95+lh2_st_ab_losses)/1000000+lh2_st_e_demand*FM95/1000000</f>
        <v>791.60233245091877</v>
      </c>
      <c r="FQ95" s="100">
        <f t="shared" si="110"/>
        <v>1.361902463475859</v>
      </c>
      <c r="FR95" s="28" t="str">
        <f>IFERROR(FO95*1000000/Storage!$Y$12,"")</f>
        <v/>
      </c>
      <c r="FS95" s="100">
        <f>H2_retrieval!$V$25*h2_demand_kt/1000</f>
        <v>8.16</v>
      </c>
      <c r="FT95" s="28" t="str">
        <f>IFERROR(FR95*(1+H2_retrieval!$V$34)/Carrier_properties!$U$7+H2_retrieval!$V$38,"")</f>
        <v/>
      </c>
      <c r="FU95" s="12"/>
      <c r="FV95" s="24">
        <f t="shared" si="129"/>
        <v>3.3279100175293759</v>
      </c>
      <c r="FW95" s="24" t="str">
        <f t="shared" si="92"/>
        <v/>
      </c>
      <c r="FX95" s="24" t="str">
        <f t="shared" si="93"/>
        <v/>
      </c>
      <c r="FY95" s="24">
        <f t="shared" si="130"/>
        <v>3.3279100175293759</v>
      </c>
      <c r="FZ95" s="28">
        <f t="shared" si="94"/>
        <v>4182.806894673954</v>
      </c>
      <c r="GA95" s="28">
        <f t="shared" si="137"/>
        <v>901.67318069774058</v>
      </c>
      <c r="GB95" s="28">
        <f t="shared" si="138"/>
        <v>536.898108335134</v>
      </c>
      <c r="GC95" s="28">
        <f t="shared" si="139"/>
        <v>1004.1655894294661</v>
      </c>
      <c r="GD95" s="28">
        <f t="shared" si="140"/>
        <v>1455.5757596206024</v>
      </c>
      <c r="GE95" s="28">
        <f t="shared" si="141"/>
        <v>2526.9924460871621</v>
      </c>
      <c r="GF95" s="28">
        <f t="shared" si="142"/>
        <v>2659.9003280952397</v>
      </c>
      <c r="GG95" s="12"/>
      <c r="GH95" s="12"/>
      <c r="GI95" s="12"/>
      <c r="GJ95" s="12"/>
      <c r="GK95" s="12"/>
      <c r="GL95" s="12"/>
      <c r="GM95" s="12"/>
      <c r="GN95" s="12"/>
      <c r="GO95" s="12"/>
      <c r="GP95" s="12"/>
      <c r="GQ95" s="12"/>
      <c r="GR95" s="12"/>
      <c r="GS95" s="12"/>
      <c r="GT95" s="12"/>
      <c r="GU95" s="12"/>
      <c r="GV95" s="12"/>
      <c r="GW95" s="12"/>
      <c r="GX95" s="12"/>
      <c r="GY95" s="12"/>
      <c r="GZ95" s="12"/>
      <c r="HA95" s="12"/>
      <c r="HB95" s="12"/>
      <c r="HC95" s="12"/>
      <c r="HD95" s="12"/>
      <c r="HE95" s="12"/>
      <c r="HF95" s="12"/>
    </row>
    <row r="96" spans="1:214" x14ac:dyDescent="0.2">
      <c r="A96" s="154" t="s">
        <v>99</v>
      </c>
      <c r="B96" s="12">
        <v>6571</v>
      </c>
      <c r="C96" s="12">
        <v>1</v>
      </c>
      <c r="D96" s="12">
        <f t="shared" si="111"/>
        <v>0</v>
      </c>
      <c r="E96" s="12"/>
      <c r="F96" s="12"/>
      <c r="G96" s="12"/>
      <c r="H96" s="16">
        <f t="shared" si="112"/>
        <v>382.75862068965517</v>
      </c>
      <c r="I96" s="16">
        <v>1553560</v>
      </c>
      <c r="J96" s="16">
        <f t="shared" si="113"/>
        <v>703.21654330632032</v>
      </c>
      <c r="K96" s="16" t="str">
        <f t="shared" si="114"/>
        <v/>
      </c>
      <c r="L96" s="103">
        <v>0.16600000000000001</v>
      </c>
      <c r="M96" s="103">
        <f t="shared" si="115"/>
        <v>0.15881408554938503</v>
      </c>
      <c r="N96" s="122">
        <f t="shared" si="116"/>
        <v>0.85</v>
      </c>
      <c r="O96" s="46">
        <f t="shared" si="117"/>
        <v>40</v>
      </c>
      <c r="P96" s="70">
        <f t="array" ref="P96">SUMPRODUCT(IF(Solar_data!A$4:A$777=A96,Solar_data!C$4:C$777),IF(Solar_data!A$4:A$777=A96,Solar_data!I$4:I$777))/SUMIF(Solar_data!A$4:A$777,A96,Solar_data!I$4:I$777)</f>
        <v>2059.5970879052184</v>
      </c>
      <c r="Q96" s="16">
        <f t="array" ref="Q96">MAX(IF(Solar_data!$A$777:'Solar_data'!$A$4=Country_details!$A96,Solar_data!$C$4:'Solar_data'!$C$777))</f>
        <v>2281.25</v>
      </c>
      <c r="R96" s="16">
        <f t="array" ref="R96">MIN(IF(Solar_data!$A$777:'Solar_data'!$A$4=Country_details!A96,Solar_data!$C$4:'Solar_data'!$C$777))</f>
        <v>1551.25</v>
      </c>
      <c r="S96" s="24">
        <f t="shared" si="95"/>
        <v>2.7937083269891332</v>
      </c>
      <c r="T96" s="24">
        <f t="shared" si="96"/>
        <v>2.5222634672760016</v>
      </c>
      <c r="U96" s="24">
        <f t="shared" si="97"/>
        <v>3.7092109812882379</v>
      </c>
      <c r="V96" s="16">
        <f t="array" ref="V96">SUM(IF(Solar_data!$A$777:'Solar_data'!$A$4=Country_details!$A96,Solar_data!$I$4:'Solar_data'!$I$777))</f>
        <v>12174.189229310063</v>
      </c>
      <c r="W96" s="148"/>
      <c r="X96" s="16">
        <f>IFERROR(INDEX(Onshore_wind_data!$J$5:'Onshore_wind_data'!$J$221,MATCH(A96,Onshore_wind_data!$B$5:'Onshore_wind_data'!$B$221,0)),"")</f>
        <v>2958.667305607034</v>
      </c>
      <c r="Y96" s="16">
        <f>IFERROR(INDEX(Onshore_wind_data!$K$5:'Onshore_wind_data'!$K$221,MATCH(A96,Onshore_wind_data!$B$5:'Onshore_wind_data'!$B$221,0)),"")</f>
        <v>3971</v>
      </c>
      <c r="Z96" s="16">
        <f>IFERROR(INDEX(Onshore_wind_data!$L$5:'Onshore_wind_data'!$L$221,MATCH(A96,Onshore_wind_data!$B$5:'Onshore_wind_data'!$B$221,0)),"")</f>
        <v>2847.5</v>
      </c>
      <c r="AA96" s="24">
        <f t="shared" si="118"/>
        <v>5.7612483945030188</v>
      </c>
      <c r="AB96" s="24">
        <f t="shared" si="119"/>
        <v>4.2925251232176009</v>
      </c>
      <c r="AC96" s="24">
        <f t="shared" si="120"/>
        <v>5.9861693641078473</v>
      </c>
      <c r="AD96" s="16">
        <f>IFERROR(INDEX(Onshore_wind_data!$I$5:'Onshore_wind_data'!$I$221,MATCH(A96,Onshore_wind_data!$B$5:'Onshore_wind_data'!$B$221,0)),"")</f>
        <v>2380.3387953144997</v>
      </c>
      <c r="AE96" s="148"/>
      <c r="AF96" s="16" t="str">
        <f>INDEX(Offshore_wind_data!$AA$7:$AA$192,MATCH(Country_details!A96,Offshore_wind_data!$A$7:$A$192,0))</f>
        <v/>
      </c>
      <c r="AG96" s="16" t="str">
        <f>INDEX(Offshore_wind_data!$Y$7:$Y$192,MATCH(Country_details!A96,Offshore_wind_data!$A$7:$A$192,0))</f>
        <v/>
      </c>
      <c r="AH96" s="16" t="str">
        <f>INDEX(Offshore_wind_data!$Z$7:$Z$192,MATCH(Country_details!A96,Offshore_wind_data!$A$7:$A$192,0))</f>
        <v/>
      </c>
      <c r="AI96" s="24" t="str">
        <f t="shared" si="98"/>
        <v/>
      </c>
      <c r="AJ96" s="24" t="str">
        <f t="shared" si="99"/>
        <v/>
      </c>
      <c r="AK96" s="24" t="str">
        <f t="shared" si="100"/>
        <v/>
      </c>
      <c r="AL96" s="16">
        <f>INDEX(Offshore_wind_data!$W$7:$W$191,MATCH(A96,Offshore_wind_data!$A$7:$A$191,0))</f>
        <v>0</v>
      </c>
      <c r="AM96" s="148"/>
      <c r="AN96" s="12">
        <v>3.1</v>
      </c>
      <c r="AO96" s="12">
        <v>4.0999999999999996</v>
      </c>
      <c r="AP96" s="34">
        <f>1.826*11.63</f>
        <v>21.23638</v>
      </c>
      <c r="AQ96" s="15">
        <f t="shared" si="101"/>
        <v>50</v>
      </c>
      <c r="AR96" s="12">
        <f t="shared" si="131"/>
        <v>204.99999999999997</v>
      </c>
      <c r="AS96" s="16">
        <f t="shared" si="121"/>
        <v>14349.528024624562</v>
      </c>
      <c r="AT96" s="12"/>
      <c r="AU96" s="24">
        <f t="shared" si="122"/>
        <v>4.5433099994684065</v>
      </c>
      <c r="AV96" s="16">
        <f t="shared" si="123"/>
        <v>5018.2643935122524</v>
      </c>
      <c r="AW96" s="149">
        <f>HV_DC_Grid!$E$3/(1-AX96)*AU96/100*1000</f>
        <v>5242.8524891084671</v>
      </c>
      <c r="AX96" s="31">
        <f>(1-(1-HV_DC_Grid!$E$25)^(B96*C96*HV_DC_Grid!$E$8/1000))+(1-(1-HV_DC_Grid!$E$26)^(B96*D96*HV_DC_Grid!$E$8/1000))+HV_DC_Grid!$E$35*HV_DC_Grid!$E$28</f>
        <v>0.13342784125498353</v>
      </c>
      <c r="AY96" s="28">
        <f>B96*nl_e_demand/IF(hv_dc_flh="electricity FLH",$AV96,hv_dc_custom)*1000*hv_dc_capacity_multiplier*hv_dc_length_multiplier*1000*(C96*hv_dc_overhead_invest*(hv_dc_overhead_opex+M96+1/hv_dc_lifetime)+D96*hv_dc_sea_invest*(hv_dc_sea_opex+M96+1/hv_dc_lifetime))/1000000+HV_DC_Grid!$E$10*1000*hv_dc_station_invest*hv_dc_station_number*(hv_dc_station_opex+M96+1/hv_dc_lifetime)/1000000</f>
        <v>7236.0256262960238</v>
      </c>
      <c r="AZ96" s="24">
        <f>(AW96+AY96)/(HV_DC_Grid!$E$3*1000)*100</f>
        <v>12.478878115404491</v>
      </c>
      <c r="BA96" s="28">
        <f>MIN(((Carriers!$F$26+Carriers!$F$27)*(alk_el_opex+wacc_nl+1/alk_el_lifetime)+IF(hv_dc_flh="electricity FLH",$AV96,hv_dc_custom)*AZ96/100)/(IF(hv_dc_flh="electricity FLH",$AV96,hv_dc_custom)/alk_el_e_demand)*1000,((Carriers!$H$26+Carriers!$H$27)*(pem_el_opex+wacc_nl+1/pem_el_lifetime)+IF(hv_dc_flh="electricity FLH",$AV96,hv_dc_custom)*AZ96/100)/(IF(hv_dc_flh="electricity FLH",$AV96,hv_dc_custom)/pem_el_e_demand)*1000)</f>
        <v>6734.4460977504305</v>
      </c>
      <c r="BB96" s="12"/>
      <c r="BC96" s="12"/>
      <c r="BD96" s="149">
        <f>MIN(((Carriers!$F$26+Carriers!$F$27)*(alk_el_opex+M96+1/alk_el_lifetime)+$AV96*$AU96/100)/($AV96/alk_el_e_demand)*1000,((Carriers!$H$26+Carriers!$H$27)*(pem_el_opex+M96+1/pem_el_lifetime)+$AV96*$AU96/100)/($AV96/pem_el_e_demand)*1000)</f>
        <v>3129.8108783515022</v>
      </c>
      <c r="BE96" s="28">
        <f>Storage!$AC$50</f>
        <v>8.1664117557772418</v>
      </c>
      <c r="BF96" s="28">
        <f>((Pipeline!$D$22*Pipeline!$D$24*B96*(pipeline_opex+M96+1/pipeline_lifetime))*(Pipeline!$D$39/Pipeline!$D$3)+(Pipeline!$D$57*(pipeline_comp_opex+M96+1/pipeline_comp_lifetime)+Pipeline!$D$47*1000*Pipeline!$D$45*$AU96/100/1000000))*(Pipeline!$D$75/Pipeline!$D$45)</f>
        <v>17438.12131522808</v>
      </c>
      <c r="BG96" s="28">
        <f>BD96+(BE96+BF96)/Storage!$AC$12*1000000</f>
        <v>4412.6261523944322</v>
      </c>
      <c r="BH96" s="28"/>
      <c r="BI96" s="28"/>
      <c r="BJ96" s="28" t="str">
        <f>IF($E96="","No Port",BK96*HV_DC_Grid!$E$3*$AU96/100*1000)</f>
        <v>No Port</v>
      </c>
      <c r="BK96" s="31" t="str">
        <f>IFERROR((1-(1-HV_DC_Grid!$E$25)^(K96*HV_DC_Grid!$E$8/1000))+HV_DC_Grid!$E$35*HV_DC_Grid!$E$28,"")</f>
        <v/>
      </c>
      <c r="BL96" s="28" t="str">
        <f>IFERROR(K96*nl_e_demand/IF(hv_dc_flh="electricity FLH",$AV96,hv_dc_custom)*1000*hv_dc_capacity_multiplier*hv_dc_length_multiplier*1000*(hv_dc_overhead_invest*(hv_dc_overhead_opex+M96+1/hv_dc_lifetime))/1000000+HV_DC_Grid!$E$10*1000*hv_dc_station_invest*hv_dc_station_number*(hv_dc_station_opex+M96+1/hv_dc_lifetime)/1000000,"")</f>
        <v/>
      </c>
      <c r="BM96" s="29" t="str">
        <f>IFERROR((BJ96+BL96)/(HV_DC_Grid!$E$3*1000)*100,"")</f>
        <v/>
      </c>
      <c r="BN96" s="28" t="str">
        <f>IFERROR(((Pipeline!$D$22*Pipeline!$D$24*K96*(pipeline_opex+M96+1/pipeline_lifetime))*(Pipeline!$D$39/Pipeline!$D$3)+(Pipeline!$D$57*(pipeline_comp_opex+M96+1/pipeline_comp_lifetime)+Pipeline!$D$47*1000*Pipeline!$D$45*S96/100/1000000))*(Pipeline!$D$75/Pipeline!$D$45),"")</f>
        <v/>
      </c>
      <c r="BO96" s="28"/>
      <c r="BP96" s="150">
        <f t="shared" si="124"/>
        <v>140.89524777176877</v>
      </c>
      <c r="BQ96" s="34">
        <f t="shared" si="125"/>
        <v>41.225506311604825</v>
      </c>
      <c r="BR96" s="151">
        <f>(nh3_invest*(M96+1/nh3_lifetime)/nh3_prod+nh3_opex+nh3_e_demand*1000*$AU96/100+Carriers!$N$18/Carriers!$N$23*BD96+Carriers!$N$19/Carriers!$N$23*BQ96)*(BT96+nh3_st_ab_losses)/1000000</f>
        <v>56491.061741544618</v>
      </c>
      <c r="BS96" s="63">
        <f>nh3_st_nl_cost*nh3_st_nl_demand/1000000+(nh3_st_invest*(M96+1/nh3_st_lifetime+nh3_st_opex)/(Storage!$G$63/1000000)+nh3_st_e_demand*1000*$AU96/100)*(BT96+nh3_st_ab_losses)/1000000+Carriers!$N$18/Carriers!$N$23*((BT96+nh3_st_ab_losses)/365.25*short_st_duration_hrs/24)*(h2_short_st_invest*(1/gh2_short_st_lifetime+$M96+h2_short_st_opex)+h2_short_st_e_demand*1000*$AU96/100)/1000000+Carriers!$N$19/Carriers!$N$23*((BT96+nh3_st_ab_losses)/365.25*short_st_duration_hrs/24)*(n2_short_st_invest*(1/n2_short_st_lifetime+$M96+n2_short_st_opex)+n2_short_st_e_demand*1000*$AU96/100)/1000000</f>
        <v>3780.6769377014971</v>
      </c>
      <c r="BT96" s="63">
        <f>Storage!$G$57/((1-Shipping!$H$37)^(F96/24/Shipping!$H$44+0.5*Shipping!$H$59))</f>
        <v>76857210.785724297</v>
      </c>
      <c r="BU96" s="63" t="str">
        <f>IF($E96="","No Port",((F96/24/Shipping!$H$44+F96/24/Shipping!$H$50+Shipping!$H$59+Shipping!$H$64)*(Shipping!$H$22+wacc_nl*Shipping!$H$19/365.25*1000000+Shipping!$H$35)+(F96/24/Shipping!$H$44*Shipping!$H$45+Shipping!$H$64*Shipping!$H$65)*IF(bunker_choice="HFO",H96,IF(bunker_choice="hydrogen",BD96*hfo_e_density_lhv/h2_e_density_lhv,(BR96+BS96)*1000000/BT96*hfo_e_density_lhv/nh3_e_density_lhv))+(F96/24/Shipping!$H$50*Shipping!$H$51+Shipping!$H$59*Shipping!$H$60)*IF(bunker_choice="HFO",bunker_price_ROT,IF(bunker_choice="hydrogen",BD96*hfo_e_density_lhv/h2_e_density_lhv,(BR96+BS96)*1000000/BT96*hfo_e_density_lhv/nh3_e_density_lhv))+Shipping!$H$73+IF(G96="Panama",Shipping!$H$55,0)+IF(G96="Suez",Shipping!$H$56,0))/Shipping!$H$31*BT96/1000000+IF(inland_transport_to_port="hv dc grid",$BM96/100*1000*BW96,IF(inland_transport_to_port="pipeline",$BN96,0)))</f>
        <v>No Port</v>
      </c>
      <c r="BV96" s="63" t="str">
        <f t="shared" si="126"/>
        <v/>
      </c>
      <c r="BW96" s="33">
        <f>((Carriers!$N$18/Carriers!$N$23*alk_el_e_demand)+(Carriers!$N$19/Carriers!$N$23*n2_e_demand)+nh3_e_demand)*(BT96+nh3_st_ab_losses)/1000000+nh3_st_e_demand*BT96/1000000</f>
        <v>759.00171168026975</v>
      </c>
      <c r="BX96" s="33">
        <f t="shared" si="102"/>
        <v>0.76626754477640768</v>
      </c>
      <c r="BY96" s="63" t="str">
        <f>IFERROR(BV96*1000000/Storage!$G$12,"")</f>
        <v/>
      </c>
      <c r="BZ96" s="63">
        <f>H2_retrieval!$F$25*h2_demand_kt/1000</f>
        <v>80</v>
      </c>
      <c r="CA96" s="63" t="str">
        <f>IFERROR(BY96*(1+H2_retrieval!$F$34)/Carrier_properties!$E$7+H2_retrieval!$F$38,"")</f>
        <v/>
      </c>
      <c r="CB96" s="149">
        <f>(FA_invest*(M96+1/FA_lifetime)/FA_prod+FA_opex+FA_e_demand*1000*$AU96/100+Carriers!$P$18/Carriers!$P$23*BD96+Carriers!$P$20/Carriers!$P$23*co2_liq_cost)*(CF96+FA_st_ab_losses)/1000000</f>
        <v>130905.24572381403</v>
      </c>
      <c r="CC96" s="86">
        <f>(FA_invest*(M96+1/FA_lifetime)/FA_prod+FA_opex+FA_e_demand*1000*$AU96/100+Carriers!$P$18/Carriers!$P$23*BD96+Carriers!$P$20/Carriers!$P$23*BP96)*(CF96+FA_st_ab_losses)/1000000</f>
        <v>165341.99661981486</v>
      </c>
      <c r="CD96" s="63">
        <f>FA_st_nl_cost*FA_st_nl_demand/1000000+(FA_st_invest*(M96+1/FA_st_lifetime+FA_st_opex)/(Storage!$I$63/1000000)+FA_st_e_demand*1000*$AU96/100)*(CF96+FA_st_ab_losses)/1000000+co2_st_nl_cost*Storage!$I$12*co2_density/FA_density/1000000+(co2_st_opex_lev+co2_st_invest_lev+co2_st_e_demand*1000*$AU96/100)*Storage!$I$12/1000000+co2_st_invest_lev*Storage!$I$12*co2_st_lifetime*M96/1000000+Carriers!$P$18/Carriers!$P$23*((CF96+FA_st_ab_losses)/365.25*short_st_duration_hrs/24)*(h2_short_st_invest*(1/gh2_short_st_lifetime+$M96+h2_short_st_opex)+h2_short_st_e_demand*1000*$AU96/100)/1000000+Carriers!$P$20/Carriers!$P$23*((CF96+FA_st_ab_losses)/365.25*short_st_duration_hrs/24)*(co2_short_st_invest*(1/co2_short_st_lifetime+$M96+co2_short_st_opex)+co2_short_st_e_demand*1000*$AU96/100)/1000000</f>
        <v>13455.727487481048</v>
      </c>
      <c r="CE96" s="63">
        <f>FA_st_nl_cost*FA_st_nl_demand/1000000+(FA_st_invest*(M96+1/FA_st_lifetime+FA_st_opex)/(Storage!$I$63/1000000)+FA_st_e_demand*1000*$AU96/100)*(CF96+FA_st_ab_losses)/1000000+Carriers!$P$18/Carriers!$P$23*((CF96+FA_st_ab_losses)/365.25*short_st_duration_hrs/24)*(h2_short_st_invest*(1/gh2_short_st_lifetime+$M96+h2_short_st_opex)+h2_short_st_e_demand*1000*$AU96/100)/1000000+Carriers!$P$20/Carriers!$P$23*((CF96+FA_st_ab_losses)/365.25*short_st_duration_hrs/24)*(co2_short_st_invest*(1/co2_short_st_lifetime+$M96+co2_short_st_opex)+co2_short_st_e_demand*1000*$AU96/100)/1000000</f>
        <v>5699.6894144175803</v>
      </c>
      <c r="CF96" s="63">
        <f>Storage!$I$57/((1-Shipping!$J$37)^($F96/24/Shipping!$J$44+0.5*Shipping!$J$59))</f>
        <v>310425396.82539684</v>
      </c>
      <c r="CG96" s="28" t="str">
        <f>IF($E96="","No Port",((F96/24/Shipping!$J$44+F96/24/Shipping!$J$50+Shipping!$J$59+Shipping!$J$64)*(Shipping!$J$22+wacc_nl*Shipping!$J$19/365.25*1000000+Shipping!$J$35)+(F96/24/Shipping!$J$44*Shipping!$J$45+Shipping!$J$64*Shipping!$J$65)*IF(bunker_choice="HFO",$H96,IF(bunker_choice="hydrogen",$BD96*hfo_e_density_lhv/h2_e_density_lhv,(CB96+CD96)*1000000/CF96*hfo_e_density_lhv/FA_e_density_lhv))+(F96/24/Shipping!$J$50*Shipping!$J$51+Shipping!$J$59*Shipping!$J$60)*IF(bunker_choice="HFO",bunker_price_ROT,IF(bunker_choice="hydrogen",$BD96*hfo_e_density_lhv/h2_e_density_lhv,(CB96+CD96)*1000000/CF96*hfo_e_density_lhv/FA_e_density_lhv))+Shipping!$J$73+IF(G96="Panama",Shipping!$J$55,0)+IF(G96="Suez",Shipping!$J$56,0))/Shipping!$J$31*CF96/1000000+IF(inland_transport_to_port="hv dc grid",$BM96/100*1000*CI96,IF(inland_transport_to_port="pipeline",$BN96,0)))</f>
        <v>No Port</v>
      </c>
      <c r="CH96" s="28" t="str">
        <f t="shared" si="132"/>
        <v/>
      </c>
      <c r="CI96" s="29">
        <f>((Carriers!$P$18/Carriers!$P$23*alk_el_e_demand)+FA_e_demand)*(CF96+FA_st_ab_losses)/1000000+FA_st_e_demand*CF96/1000000</f>
        <v>1897.8881241622576</v>
      </c>
      <c r="CJ96" s="29">
        <f t="shared" si="103"/>
        <v>0.46563809523809524</v>
      </c>
      <c r="CK96" s="28" t="str">
        <f>IFERROR(CH96*1000000/Storage!$I$12,"")</f>
        <v/>
      </c>
      <c r="CL96" s="28" t="str">
        <f>IF($E96="","No Port",((F96/24/Shipping!$J$44+F96/24/Shipping!$J$50+Shipping!$J$59+Shipping!$J$64)*Carriers!$P$39*wacc_nl))</f>
        <v>No Port</v>
      </c>
      <c r="CM96" s="29">
        <f>H2_retrieval!$H$25*h2_demand_kt/1000+(co2_liq_e_demand+co2_st_e_demand*2)*Storage!$I$12*co2_density/FA_density/1000000</f>
        <v>94.204253879484654</v>
      </c>
      <c r="CN96" s="28" t="str">
        <f>IFERROR((((CB96+CD96+CG96)*(1+H2_retrieval!$H$34)+CL96)*1000000/H2_retrieval!$H$8)+h2_regen_fa,"")</f>
        <v/>
      </c>
      <c r="CO96" s="149">
        <f>(meoh_invest*(M96+1/meoh_lifetime)/meoh_prod+meoh_opex+meoh_e_demand*1000*$AU96/100+Carriers!$R$18/Carriers!$R$23*BD96+Carriers!$R$20/Carriers!$R$23*co2_liq_cost)*(CS96+meoh_st_ab_losses)/1000000</f>
        <v>69439.972600714827</v>
      </c>
      <c r="CP96" s="86">
        <f>(meoh_invest*(M96+1/meoh_lifetime)/meoh_prod+meoh_opex+meoh_e_demand*1000*$AU96/100+Carriers!$R$18/Carriers!$R$23*BD96+Carriers!$R$20/Carriers!$R$23*BP96)*(CS96+meoh_st_ab_losses)/1000000</f>
        <v>89655.408502408158</v>
      </c>
      <c r="CQ96" s="63">
        <f>meoh_st_nl_cost*meoh_st_nl_demand/1000000+(meoh_st_invest*(M96+1/meoh_st_lifetime+meoh_st_opex)/(Storage!$K$63/1000000)+meoh_st_e_demand*1000*$AU96/100)*(CS96+meoh_st_ab_losses)/1000000+co2_st_nl_cost*Storage!$K$12*co2_density/meoh_density/1000000+(co2_st_opex_lev+co2_st_invest_lev+co2_st_e_demand*1000*IFERROR(MIN(S96,AA96,AI96),S96)/100)*Storage!$K$12/1000000+co2_st_invest_lev*Storage!$K$12*co2_st_lifetime*M96/1000000+Carriers!$R$18/Carriers!$R$23*((CS96+meoh_st_ab_losses)/365.25*short_st_duration_hrs/24)*(h2_short_st_invest*(1/gh2_short_st_lifetime+$M96+h2_short_st_opex)+h2_short_st_e_demand*1000*$AU96/100)/1000000+Carriers!$R$20/Carriers!$R$23*((CF96+meoh_st_ab_losses)/365.25*short_st_duration_hrs/24)*(co2_short_st_invest*(1/co2_short_st_lifetime+$M96+co2_short_st_opex)+co2_short_st_e_demand*1000*$AU96/100)/1000000</f>
        <v>5393.9454980857035</v>
      </c>
      <c r="CR96" s="63">
        <f>meoh_st_nl_cost*meoh_st_nl_demand/1000000+(meoh_st_invest*(M96+1/meoh_st_lifetime+meoh_st_opex)/(Storage!$K$63/1000000)+meoh_st_e_demand*1000*$AU96/100)*(CS96+meoh_st_ab_losses)/1000000+Carriers!$R$18/Carriers!$R$23*((CS96+meoh_st_ab_losses)/365.25*short_st_duration_hrs/24)*(h2_short_st_invest*(1/gh2_short_st_lifetime+$M96+h2_short_st_opex)+h2_short_st_e_demand*1000*$AU96/100)/1000000+Carriers!$R$20/Carriers!$R$23*((CF96+meoh_st_ab_losses)/365.25*short_st_duration_hrs/24)*(co2_short_st_invest*(1/co2_short_st_lifetime+$M96+co2_short_st_opex)+co2_short_st_e_demand*1000*$AU96/100)/1000000</f>
        <v>2284.471635555682</v>
      </c>
      <c r="CS96" s="63">
        <f>Storage!$K$57/((1-Shipping!$L$37)^($F96/24/Shipping!$L$44+0.5*Shipping!$L$59))</f>
        <v>108044444.44444443</v>
      </c>
      <c r="CT96" s="28" t="str">
        <f>IF($E96="","No Port",IF(AND(ship_choice="VLCC",G96="Panama"),"Ship cannot pass through Panama",IF(ship_choice="VLCC",((F96/24/Shipping!$AD$44+F96/24/Shipping!$AD$50+Shipping!$AD$59+Shipping!$AD$64)*(Shipping!$AD$22+wacc_nl*Shipping!$AD$19/365.25*1000000+Shipping!$AD$35)+(F96/24/Shipping!$AD$44*Shipping!$AD$45+Shipping!$AD$64*Shipping!$AD$65)*IF(bunker_choice="HFO",$H96,IF(bunker_choice="hydrogen",$BD96*hfo_e_density_lhv/h2_e_density_lhv,(CO96+CQ96)*1000000/CS96*hfo_e_density_lhv/meoh_e_density_lhv))+(F96/24/Shipping!$AD$50*Shipping!$AD$51+Shipping!$AD$59*Shipping!$AD$60)*IF(bunker_choice="HFO",bunker_price_ROT,IF(bunker_choice="hydrogen",$BD96*hfo_e_density_lhv/h2_e_density_lhv,(CO96+CQ96)*1000000/CS96*hfo_e_density_lhv/meoh_e_density_lhv))+Shipping!$AD$73+IF(G96="Panama",Shipping!$AD$55,0)+IF(G96="Suez",Shipping!$AD$56,0))/Shipping!$AD$31*CS96/1000000+IF(inland_transport_to_port="hv dc grid",$BM96/100*1000*CV96,IF(inland_transport_to_port="pipeline",$BN96,0)),((F96/24/Shipping!$L$44+F96/24/Shipping!$L$50+Shipping!$L$59+Shipping!$L$64)*(Shipping!$L$22+wacc_nl*Shipping!$L$19/365.25*1000000+Shipping!$L$35)+(F96/24/Shipping!$L$44*Shipping!$L$45+Shipping!$L$64*Shipping!$L$65)*IF(bunker_choice="HFO",$H96,IF(bunker_choice="hydrogen",$BD96*hfo_e_density_lhv/h2_e_density_lhv,(CO96+CQ96)*1000000/CS96*hfo_e_density_lhv/meoh_e_density_lhv))+(F96/24/Shipping!$L$50*Shipping!$L$51+Shipping!$L$59*Shipping!$L$60)*IF(bunker_choice="HFO",bunker_price_ROT,IF(bunker_choice="hydrogen",$BD96*hfo_e_density_lhv/h2_e_density_lhv,(CO96+CQ96)*1000000/CS96*hfo_e_density_lhv/meoh_e_density_lhv))+Shipping!$L$73+IF(G96="Panama",Shipping!$L$55,0)+IF(G96="Suez",Shipping!$L$56,0))/Shipping!$L$31*CS96/1000000+IF(inland_transport_to_port="hv dc grid",$BM96/100*1000*CV96,IF(inland_transport_to_port="pipeline",$BN96,0)))))</f>
        <v>No Port</v>
      </c>
      <c r="CU96" s="28" t="str">
        <f t="shared" si="133"/>
        <v/>
      </c>
      <c r="CV96" s="29">
        <f>((Carriers!$R$18/Carriers!$R$23*alk_el_e_demand)+meoh_e_demand)*(CS96+meoh_st_ab_losses)/1000000+meoh_st_e_demand*CS96/1000000</f>
        <v>1119.9789871111109</v>
      </c>
      <c r="CW96" s="29">
        <f t="shared" si="104"/>
        <v>0.16206666666666666</v>
      </c>
      <c r="CX96" s="28" t="str">
        <f>IFERROR(CU96*1000000/Storage!$K$12,"")</f>
        <v/>
      </c>
      <c r="CY96" s="28" t="str">
        <f>IF($E96="","No Port",((F96/24/Shipping!$L$44+F96/24/Shipping!$L$50+Shipping!$L$59+Shipping!$L$64)*Carriers!$R$39*wacc_nl))</f>
        <v>No Port</v>
      </c>
      <c r="CZ96" s="29">
        <f>H2_retrieval!$J$25*h2_demand_kt/1000+(co2_liq_e_demand+co2_st_e_demand*2)*Storage!$K$12*co2_density/meoh_density/1000000</f>
        <v>251.05079059698966</v>
      </c>
      <c r="DA96" s="28" t="str">
        <f>IFERROR((((CO96+CQ96+CT96)*(1+H2_retrieval!$J$34)+CY96)*1000000/H2_retrieval!$J$8)+h2_regen_meoh,"")</f>
        <v/>
      </c>
      <c r="DB96" s="149">
        <f>(DBT_invest*(M96+1/DBT_lifetime)/DBT_prod+DBT_opex+DBT_e_demand*1000*$AU96/100+Carriers!$T$18/Carriers!$T$23*BD96)*(DD96+DBT_st_ab_losses)/1000000</f>
        <v>46294.482061521623</v>
      </c>
      <c r="DC96" s="28">
        <f>2*(DBT_st_nl_cost*DBT_st_nl_demand/1000000+(DBT_st_invest*(M96+1/DBT_st_lifetime+DBT_st_opex)/(Storage!$M$63/1000000)+DBT_st_e_demand*1000*$AU96/100)*(DD96+DBT_st_ab_losses)/1000000)+Carriers!$T$18/Carriers!$T$23*((DD96+DBT_st_ab_losses)/365.25*short_st_duration_hrs/24)*(h2_short_st_invest*(1/gh2_short_st_lifetime+$M96+h2_short_st_opex)+h2_short_st_e_demand*1000*$AU96/100)/1000000</f>
        <v>4630.724330278983</v>
      </c>
      <c r="DD96" s="63">
        <f>Storage!$M$57/((1-Shipping!$N$37)^($F96/24/Shipping!$N$44+0.5*Shipping!$N$59))</f>
        <v>219354838.70967743</v>
      </c>
      <c r="DE96" s="28" t="str">
        <f>IF($E96="","No Port",IF(AND(ship_choice="VLCC",G96="Panama"),"Ship cannot pass through Panama",IF(ship_choice="VLCC",((F96/24/Shipping!$AD$44+F96/24/Shipping!$AD$50+Shipping!$AD$59+Shipping!$AD$64)*(Shipping!$AD$22+wacc_nl*Shipping!$AD$19/365.25*1000000+Shipping!$AD$35)+(F96/24/Shipping!$AD$44*Shipping!$AD$45+Shipping!$AD$64*Shipping!$AD$65)*IF(bunker_choice="HFO",$H96,IF(bunker_choice="hydrogen",$BD96*hfo_e_density_lhv/h2_e_density_lhv,(DB96+DC96)*1000000/DD96*hfo_e_density_lhv/DBT_e_density_lhv))+(F96/24/Shipping!$AD$50*Shipping!$AD$51+Shipping!$AD$59*Shipping!$AD$60)*IF(bunker_choice="HFO",bunker_price_ROT,IF(bunker_choice="hydrogen",$BD96*hfo_e_density_lhv/h2_e_density_lhv,(DB96+DC96)*1000000/DD96*hfo_e_density_lhv/DBT_e_density_lhv))+Shipping!$AD$73+IF(G96="Panama",Shipping!$AD$55,0)+IF(G96="Suez",Shipping!$AD$56,0))/Shipping!$AD$31*DD96/1000000+IF(inland_transport_to_port="hv dc grid",$BM96/100*1000*DG96,IF(inland_transport_to_port="pipeline",$BN96,0)),((F96/24/Shipping!$N$44+F96/24/Shipping!$N$50+Shipping!$N$59+Shipping!$N$64)*(Shipping!$N$22+wacc_nl*Shipping!$N$19/365.25*1000000+Shipping!$N$35)+(F96/24/Shipping!$N$44*Shipping!$N$45+Shipping!$N$64*Shipping!$N$65)*IF(bunker_choice="HFO",$H96,IF(bunker_choice="hydrogen",$BD96*hfo_e_density_lhv/h2_e_density_lhv,(DB96+DC96)*1000000/DD96*hfo_e_density_lhv/DBT_e_density_lhv))+(F96/24/Shipping!$N$50*Shipping!$N$51+Shipping!$N$59*Shipping!$N$60)*IF(bunker_choice="HFO",bunker_price_ROT,IF(bunker_choice="hydrogen",$BD96*hfo_e_density_lhv/h2_e_density_lhv,(DB96+DC96)*1000000/DD96*hfo_e_density_lhv/DBT_e_density_lhv))+Shipping!$N$73+IF(G96="Panama",Shipping!$N$55,0)+IF(G96="Suez",Shipping!$N$56,0))/Shipping!$N$31*Shipping!$N$86/1000000+IF(inland_transport_to_port="hv dc grid",$BM96/100*1000*DG96,IF(inland_transport_to_port="pipeline",$BN96,0)))))</f>
        <v>No Port</v>
      </c>
      <c r="DF96" s="28" t="str">
        <f t="shared" si="82"/>
        <v/>
      </c>
      <c r="DG96" s="29">
        <f>((Carriers!$T$18/Carriers!$T$23*alk_el_e_demand)+DBT_e_demand)*(DD96+DBT_st_ab_losses)/1000000+DBT_st_e_demand*DD96/1000000</f>
        <v>703.88335483870969</v>
      </c>
      <c r="DH96" s="29">
        <f t="shared" si="105"/>
        <v>0.21935483870967742</v>
      </c>
      <c r="DI96" s="28" t="str">
        <f>IFERROR(DF96*1000000/Storage!$M$12,"")</f>
        <v/>
      </c>
      <c r="DJ96" s="28" t="str">
        <f>IF($E96="","No Port",((F96/24/Shipping!$N$44+F96/24/Shipping!$N$50+Shipping!$N$59+Shipping!$N$64)*Carriers!$T$39*wacc_nl))</f>
        <v>No Port</v>
      </c>
      <c r="DK96" s="100">
        <f>H2_retrieval!$L$25*h2_demand_kt/1000+(co2_liq_e_demand+co2_st_e_demand*2)*Storage!$M$12*co2_density/DBT_density/1000000</f>
        <v>206.61934861671787</v>
      </c>
      <c r="DL96" s="28" t="str">
        <f>IFERROR(((DF96*(1+H2_retrieval!$L$34)+DJ96)*1000000/H2_retrieval!$L$8)+h2_regen_lohc,"")</f>
        <v/>
      </c>
      <c r="DM96" s="149">
        <f t="shared" si="127"/>
        <v>72598.221184126902</v>
      </c>
      <c r="DN96" s="16">
        <f>2*(nabh4_st_nl_cost*nabh4_st_nl_demand/1000000+(nabh4_st_invest*(M96+1/nabh4_st_lifetime+nabh4_st_opex)/(Storage!$O$63/1000000)+nabh4_st_e_demand*1000*$AU96/100)*(DO96+nabh4_st_ab_losses)/1000000)+(h2_demand_kt*1000/365.25*short_st_duration_hrs/24)*(h2_short_st_invest*(1/gh2_short_st_lifetime+$M96+h2_short_st_opex)+h2_short_st_e_demand*1000*$AU96/100)/1000000</f>
        <v>1672.5906930098702</v>
      </c>
      <c r="DO96" s="63">
        <f>Storage!$O$57/((1-Shipping!$P$37)^($F96/24/Shipping!$P$44+0.5*Shipping!$P$59))</f>
        <v>63920000</v>
      </c>
      <c r="DP96" s="16" t="str">
        <f>IF($E96="","No Port",((F96/24/Shipping!$P$44+F96/24/Shipping!$P$50+Shipping!$P$59+Shipping!$P$64)*(Shipping!$P$22+wacc_nl*Shipping!$P$19/365.25*1000000+Shipping!$P$35)+(F96/24/Shipping!$P$44*Shipping!$P$45+Shipping!$P$64*Shipping!$P$65)*IF(bunker_choice="HFO",$H96,IF(bunker_choice="hydrogen",$BD96*hfo_e_density_lhv/h2_e_density_lhv,(DM96+DN96)*1000000/DO96*hfo_e_density_lhv/nabh4_e_density_lhv))+(F96/24/Shipping!$P$50*Shipping!$P$51+Shipping!$P$59*Shipping!$P$60)*IF(bunker_choice="HFO",bunker_price_ROT,IF(bunker_choice="hydrogen",$BD96*hfo_e_density_lhv/h2_e_density_lhv,(DM96+DN96)*1000000/DO96*hfo_e_density_lhv/nabh4_e_density_lhv))+Shipping!$P$73+IF(G96="Panama",Shipping!$P$55,0)+IF(G96="Suez",Shipping!$P$56,0))/Shipping!$P$31*(DO96+nabh4_st_ab_losses)/1000000+IF(inland_transport_to_port="hv dc grid",$BM96/100*1000*DR96,IF(inland_transport_to_port="pipeline",$BN96,0)))</f>
        <v>No Port</v>
      </c>
      <c r="DQ96" s="28" t="str">
        <f t="shared" si="60"/>
        <v/>
      </c>
      <c r="DR96" s="29">
        <f>((Carriers!$V$18/Carriers!$V$23*alk_el_e_demand)+nabh4_e_demand)*(DO96+nabh4_st_ab_losses)/1000000+nabh4_st_e_demand*DO96/1000000</f>
        <v>980.02139682539689</v>
      </c>
      <c r="DS96" s="28">
        <f t="shared" si="106"/>
        <v>3.1960000000000002</v>
      </c>
      <c r="DT96" s="28" t="str">
        <f>IFERROR(DQ96*1000000/Storage!$O$12,"")</f>
        <v/>
      </c>
      <c r="DU96" s="28" t="str">
        <f>IF($E96="","No Port",((F96/24/Shipping!$P$44+F96/24/Shipping!$P$50+Shipping!$P$59+Shipping!$P$64)*Carriers!$V$39*wacc_nl))</f>
        <v>No Port</v>
      </c>
      <c r="DV96" s="100">
        <f>H2_retrieval!$N$25*h2_demand_kt/1000+(co2_liq_e_demand+co2_st_e_demand*2)*Storage!$O$12*co2_density/nabh4_density/1000000</f>
        <v>18.783638728971958</v>
      </c>
      <c r="DW96" s="28" t="str">
        <f>IFERROR(((DQ96*(1+H2_retrieval!$N$34)+DU96)*1000000/H2_retrieval!$N$8)+h2_regen_nabh4,"")</f>
        <v/>
      </c>
      <c r="DX96" s="149">
        <f>(Dme_invest*(M96+1/Dme_lifetime)/Dme_prod+Dme_opex+Dme_e_demand*1000*$AU96/100+Carriers!$X$21/Carriers!$X$23*(CO96*1000000/CS96))*(EB96+Dme_st_ab_losses)/1000000</f>
        <v>98339.900000439316</v>
      </c>
      <c r="DY96" s="86">
        <f>(Dme_invest*(M96+1/Dme_lifetime)/Dme_prod+Dme_opex+Dme_e_demand*1000*$AU96/100+Carriers!$X$21/Carriers!$X$23*(CP96*1000000/CS96))*(EB96+Dme_st_ab_losses)/1000000</f>
        <v>125765.45437440758</v>
      </c>
      <c r="DZ96" s="63">
        <f>Dme_st_nl_cost*Dme_st_nl_demand/1000000+(Dme_st_invest*(M96+1/Dme_st_lifetime+Dme_st_opex)/(Storage!$Q$63/1000000)+Dme_st_e_demand*1000*$AU96/100)*(EB96+Dme_st_ab_losses)/1000000+co2_st_nl_cost*Storage!$Q$12*co2_density/Dme_density/1000000+(co2_st_opex_lev+co2_st_invest_lev+co2_st_e_demand*1000*$AU96/100)*Storage!$Q$12/1000000+co2_st_invest_lev*Storage!$Q$12*co2_st_lifetime*M96/1000000+(h2_demand_kt*1000/365.25*short_st_duration_hrs/24)*(h2_short_st_invest*(1/gh2_short_st_lifetime+$M96+h2_short_st_opex)+h2_short_st_e_demand*1000*$AU96/100)/1000000</f>
        <v>6676.5835709586772</v>
      </c>
      <c r="EA96" s="63">
        <f>Dme_st_nl_cost*Dme_st_nl_demand/1000000+(Dme_st_invest*(M96+1/Dme_st_lifetime+Dme_st_opex)/(Storage!$Q$63/1000000)+Dme_st_e_demand*1000*$AU96/100)*(EB96+Dme_st_ab_losses)/1000000+(h2_demand_kt*1000/365.25*short_st_duration_hrs/24)*(h2_short_st_invest*(1/gh2_short_st_lifetime+$M96+h2_short_st_opex)+h2_short_st_e_demand*1000*$AU96/100)/1000000</f>
        <v>3388.4748306631141</v>
      </c>
      <c r="EB96" s="63">
        <f>Storage!$Q$57/((1-Shipping!$R$37)^($F96/24/Shipping!$R$44+0.5*Shipping!$R$59))</f>
        <v>103547089.94708996</v>
      </c>
      <c r="EC96" s="153" t="str">
        <f>IF($E96="","No Port",IF(AND(ship_choice="VLCC",G96="Panama"),"Ship cannot pass through Panama",IF(ship_choice="VLCC",((F96/24/Shipping!$AD$44+F96/24/Shipping!$AD$50+Shipping!$AD$59+Shipping!$AD$64)*(Shipping!$AD$22+wacc_nl*Shipping!$AD$19/365.25*1000000+Shipping!$AD$35)+(F96/24/Shipping!$AD$44*Shipping!$AD$45+Shipping!$AD$64*Shipping!$AD$65)*IF(bunker_choice="HFO",$H96,IF(bunker_choice="hydrogen",$BD96*hfo_e_density_lhv/h2_e_density_lhv,(DX96+DZ96)*1000000/EB96*hfo_e_density_lhv/Dme_e_density_lhv))+(F96/24/Shipping!$AD$50*Shipping!$AD$51+Shipping!$AD$59*Shipping!$AD$60)*IF(bunker_choice="HFO",bunker_price_ROT,IF(bunker_choice="hydrogen",$BD96*hfo_e_density_lhv/h2_e_density_lhv,(DX96+DZ96)*1000000/EB96*hfo_e_density_lhv/Dme_e_density_lhv))+Shipping!$AD$73+IF(G96="Panama",Shipping!$AD$55,0)+IF(G96="Suez",Shipping!$AD$56,0))/Shipping!$AD$31*(EB96+Dme_st_ab_losses)/1000000+IF(inland_transport_to_port="hv dc grid",$BM96/100*1000*EE96,IF(inland_transport_to_port="pipeline",$BN96,0)),((F96/24/Shipping!$R$44+F96/24/Shipping!$R$50+Shipping!$R$59+Shipping!$R$64)*(Shipping!$R$22+wacc_nl*Shipping!$R$19/365.25*1000000+Shipping!$R$35)+(F96/24/Shipping!$R$44*Shipping!$R$45+Shipping!$R$64*Shipping!$R$65)*IF(bunker_choice="HFO",$H96,IF(bunker_choice="hydrogen",$BD96*hfo_e_density_lhv/h2_e_density_lhv,(DX96+DZ96)*1000000/EB96*hfo_e_density_lhv/Dme_e_density_lhv))+(F96/24/Shipping!$R$50*Shipping!$R$51+Shipping!$R$59*Shipping!$R$60)*IF(bunker_choice="HFO",bunker_price_ROT,IF(bunker_choice="hydrogen",$BD96*hfo_e_density_lhv/h2_e_density_lhv,(DX96+DZ96)*1000000/EB96*hfo_e_density_lhv/Dme_e_density_lhv))+Shipping!$R$73+IF(G96="Panama",Shipping!$R$55,0)+IF(G96="Suez",Shipping!$R$56,0))/Shipping!$R$31*(EB96+Dme_st_ab_losses)/1000000+IF(inland_transport_to_port="hv dc grid",$BM96/100*1000*EE96,IF(inland_transport_to_port="pipeline",$BN96,0)))))</f>
        <v>No Port</v>
      </c>
      <c r="ED96" s="28" t="str">
        <f t="shared" si="134"/>
        <v/>
      </c>
      <c r="EE96" s="29">
        <f>(Dme_e_demand)*(EB96+Dme_st_ab_losses)/1000000+Dme_st_e_demand*DZ96/1000000+$CV96*(Carriers!$X$21/Carriers!$X$23*EB96)/$CS96</f>
        <v>1550.2168269328915</v>
      </c>
      <c r="EF96" s="29">
        <f t="shared" si="107"/>
        <v>1.0354708994708997</v>
      </c>
      <c r="EG96" s="28" t="str">
        <f>IFERROR(ED96*1000000/Storage!$Q$12,"")</f>
        <v/>
      </c>
      <c r="EH96" s="28" t="str">
        <f>IF($E96="","No Port",((F96/24/Shipping!$R$44+F96/24/Shipping!$R$50+Shipping!$R$59+Shipping!$R$64)*Carriers!$X$39*wacc_nl))</f>
        <v>No Port</v>
      </c>
      <c r="EI96" s="100">
        <f>H2_retrieval!$P$25*h2_demand_kt/1000+(co2_liq_e_demand+co2_st_e_demand*2)*Storage!$Q$12*co2_density/Dme_density/1000000</f>
        <v>252.45335899349112</v>
      </c>
      <c r="EJ96" s="28" t="str">
        <f>IFERROR((((DX96+DZ96+EC96)*(1+H2_retrieval!$P$34)+EH96)*1000000/H2_retrieval!$P$8)+h2_regen_dme,"")</f>
        <v/>
      </c>
      <c r="EK96" s="149">
        <f>(ome_invest*(M96+1/ome_lifetime)/ome_prod+ome_opex+ome_e_demand*1000*$AU96/100+Carriers!$Z$21/Carriers!$Z$23*(CO96*1000000/CS96))*(EO96+ome_st_ab_losses)/1000000</f>
        <v>215770.19816155592</v>
      </c>
      <c r="EL96" s="86">
        <f>(ome_invest*(M96+1/ome_lifetime)/ome_prod+ome_opex+ome_e_demand*1000*$AU96/100+Carriers!$Z$21/Carriers!$Z$23*(CP96*1000000/CS96))*(EO96+ome_st_ab_losses)/1000000</f>
        <v>273341.77553412167</v>
      </c>
      <c r="EM96" s="63">
        <f>ome_st_nl_cost*ome_st_nl_demand/1000000+(ome_st_invest*(M96+1/ome_st_lifetime+ome_st_opex)/(Storage!$S$63/1000000)+ome_st_e_demand*1000*$AU96/100)*(EO96+ome_st_ab_losses)/1000000+co2_st_nl_cost*Storage!$S$12*co2_density/ome_density/1000000+(co2_st_opex_lev+co2_st_invest_lev+co2_st_e_demand*1000*$AU96/100)*Storage!$S$12/1000000+co2_st_invest_lev*Storage!$S$12*co2_st_lifetime*M96/1000000+(h2_demand_kt*1000/365.25*short_st_duration_hrs/24)*(h2_short_st_invest*(1/gh2_short_st_lifetime+$M96+h2_short_st_opex)+h2_short_st_e_demand*1000*$AU96/100)/1000000</f>
        <v>5779.1996525440773</v>
      </c>
      <c r="EN96" s="63">
        <f>ome_st_nl_cost*ome_st_nl_demand/1000000+(ome_st_invest*(M96+1/ome_st_lifetime+ome_st_opex)/(Storage!$S$63/1000000)+ome_st_e_demand*1000*$AU96/100)*(EO96+ome_st_ab_losses)/1000000+(h2_demand_kt*1000/365.25*short_st_duration_hrs/24)*(h2_short_st_invest*(1/gh2_short_st_lifetime+$M96+h2_short_st_opex)+h2_short_st_e_demand*1000*$AU96/100)/1000000</f>
        <v>2044.5914956816582</v>
      </c>
      <c r="EO96" s="63">
        <f>Storage!$S$57/((1-Shipping!$T$37)^($F96/24/Shipping!$T$44+0.5*Shipping!$T$59))</f>
        <v>128282539.68253967</v>
      </c>
      <c r="EP96" s="28" t="str">
        <f>IF($E96="","No Port",IF(AND(ship_choice="VLCC",G96="Panama"),"Ship cannot pass through Panama",IF(ship_choice="VLCC",((F96/24/Shipping!$AD$44+F96/24/Shipping!$AD$50+Shipping!$AD$59+Shipping!$AD$64)*(Shipping!$AD$22+wacc_nl*Shipping!$AD$19/365.25*1000000+Shipping!$AD$35)+(F96/24/Shipping!$AD$44*Shipping!$AD$45+Shipping!$AD$64*Shipping!$AD$65)*IF(bunker_choice="HFO",$H96,IF(bunker_choice="hydrogen",$BD96*hfo_e_density_lhv/h2_e_density_lhv,(EK96+EM96)*1000000/EO96*hfo_e_density_lhv/Dme_e_density_lhv))+(F96/24/Shipping!$AD$50*Shipping!$AD$51+Shipping!$AD$59*Shipping!$AD$60)*IF(bunker_choice="HFO",bunker_price_ROT,IF(bunker_choice="hydrogen",$BD96*hfo_e_density_lhv/h2_e_density_lhv,(EK96+EM96)*1000000/EO96*hfo_e_density_lhv/ome_e_density_lhv))+Shipping!$AD$73+IF(G96="Panama",Shipping!$AD$55,0)+IF(G96="Suez",Shipping!$AD$56,0))/Shipping!$AD$31*(EO96+ome_st_ab_losses)/1000000+IF(inland_transport_to_port="hv dc grid",$BM96/100*1000*ER96,IF(inland_transport_to_port="pipeline",$BN96,0)),((F96/24/Shipping!$T$44+F96/24/Shipping!$T$50+Shipping!$T$59+Shipping!$T$64)*(Shipping!$T$22+wacc_nl*Shipping!$T$19/365.25*1000000+Shipping!$T$35)+(F96/24/Shipping!$T$44*Shipping!$T$45+Shipping!$T$64*Shipping!$T$65)*IF(bunker_choice="HFO",$H96,IF(bunker_choice="hydrogen",$BD96*hfo_e_density_lhv/h2_e_density_lhv,(EK96+EM96)*1000000/EO96*hfo_e_density_lhv/Dme_e_density_lhv))+(F96/24/Shipping!$T$50*Shipping!$T$51+Shipping!$T$59*Shipping!$T$60)*IF(bunker_choice="HFO",bunker_price_ROT,IF(bunker_choice="hydrogen",$BD96*hfo_e_density_lhv/h2_e_density_lhv,(EK96+EM96)*1000000/EO96*hfo_e_density_lhv/ome_e_density_lhv))+Shipping!$T$73+IF(G96="Panama",Shipping!$T$55,0)+IF(G96="Suez",Shipping!$T$56,0))/Shipping!$T$31*(EO96+ome_st_ab_losses)/1000000+IF(inland_transport_to_port="hv dc grid",$BM96/100*1000*ER96,IF(inland_transport_to_port="pipeline",$BN96,0)))))</f>
        <v>No Port</v>
      </c>
      <c r="EQ96" s="28" t="str">
        <f t="shared" si="135"/>
        <v/>
      </c>
      <c r="ER96" s="29">
        <f>(ome_e_demand)*(EO96+ome_st_ab_losses)/1000000+ome_st_e_demand*EM96/1000000+$CV96*(Carriers!$Z$21/Carriers!$Z$23*EO96)/$CS96</f>
        <v>3352.0814588095827</v>
      </c>
      <c r="ES96" s="29">
        <f t="shared" si="108"/>
        <v>0.1924238095238095</v>
      </c>
      <c r="ET96" s="28" t="str">
        <f>IFERROR(EQ96*1000000/Storage!$S$12,"")</f>
        <v/>
      </c>
      <c r="EU96" s="28" t="str">
        <f>IF($E96="","No Port",((F96/24/Shipping!$T$44+F96/24/Shipping!$T$50+Shipping!$T$59+Shipping!$T$64)*Carriers!$Z$39*wacc_nl))</f>
        <v>No Port</v>
      </c>
      <c r="EV96" s="100">
        <f>H2_retrieval!$R$25*h2_demand_kt/1000+(co2_liq_e_demand+co2_st_e_demand*2)*Storage!$S$12*co2_density/ome_density/1000000</f>
        <v>254.51942895252085</v>
      </c>
      <c r="EW96" s="28" t="str">
        <f>IFERROR((((EK96+EM96+EP96)*(1+H2_retrieval!$R$34)+EU96)*1000000/H2_retrieval!$R$8)+h2_regen_ome,"")</f>
        <v/>
      </c>
      <c r="EX96" s="149">
        <f>(sng_invest*(M96+1/sng_lifetime)/sng_prod+lng_invest*(M96+1/lng_lifetime)/lng_prod+sng_opex+lng_opex+(sng_e_demand+lng_e_demand)*1000*$AU96/100+Carriers!$AB$18/Carriers!$AB$23*BD96+Carriers!$AB$20/Carriers!$AB$23*co2_liq_cost)*(FB96+lng_st_ab_losses)/1000000</f>
        <v>74638.723210483193</v>
      </c>
      <c r="EY96" s="86">
        <f>(sng_invest*(M96+1/sng_lifetime)/sng_prod+lng_invest*(M96+1/lng_lifetime)/lng_prod+sng_opex+lng_opex+(sng_e_demand+lng_e_demand)*1000*$AU96/100+Carriers!$AB$18/Carriers!$AB$23*BD96+Carriers!$AB$20/Carriers!$AB$23*BP96)*(FB96+lng_st_ab_losses)/1000000</f>
        <v>89586.89939223112</v>
      </c>
      <c r="EZ96" s="63">
        <f>lng_st_nl_cost*lng_st_nl_demand/1000000+(lng_st_invest*(M96+1/lng_st_lifetime+lng_st_opex)/(Storage!$U$63/1000000)+lng_st_e_demand*1000*$AU96/100)*(FB96+lng_st_ab_losses)/1000000+co2_st_nl_cost*Storage!$U$12*co2_density/lng_density/1000000+(co2_st_opex_lev+co2_st_invest_lev+co2_st_e_demand*1000*$AU96/100)*Storage!$U$12/1000000+co2_st_invest_lev*Storage!$U$12*co2_st_lifetime*M96/1000000+Carriers!$AB$18/Carriers!$AB$23*((FB96+lng_st_ab_losses)/365.25*short_st_duration_hrs/24)*(h2_short_st_invest*(1/gh2_short_st_lifetime+$M96+h2_short_st_opex)+h2_short_st_e_demand*1000*$AU96/100)/1000000+Carriers!$AB$20/Carriers!$AB$23*((FB96+lng_st_ab_losses)/365.25*short_st_duration_hrs/24)*(co2_short_st_invest*(1/co2_short_st_lifetime+$M96+co2_short_st_opex)+co2_short_st_e_demand*1000*$AU96/100)/1000000</f>
        <v>6973.5989854998907</v>
      </c>
      <c r="FA96" s="63">
        <f>lng_st_nl_cost*lng_st_nl_demand/1000000+(lng_st_invest*(M96+1/lng_st_lifetime+lng_st_opex)/(Storage!$U$63/1000000)+lng_st_e_demand*1000*$AU96/100)*(FB96+lng_st_ab_losses)/1000000+Carriers!$AB$18/Carriers!$AB$23*((FB96+lng_st_ab_losses)/365.25*short_st_duration_hrs/24)*(h2_short_st_invest*(1/gh2_short_st_lifetime+$M96+h2_short_st_opex)+h2_short_st_e_demand*1000*$AU96/100)/1000000+Carriers!$AB$20/Carriers!$AB$23*((FB96+lng_st_ab_losses)/365.25*short_st_duration_hrs/24)*(co2_short_st_invest*(1/co2_short_st_lifetime+$M96+co2_short_st_opex)+co2_short_st_e_demand*1000*$AU96/100)/1000000</f>
        <v>5247.1730933391027</v>
      </c>
      <c r="FB96" s="63">
        <f>Storage!$U$57/((1-Shipping!$V$37)^($F96/24/Shipping!$V$44+0.5*Shipping!$V$59))</f>
        <v>40707231.50721889</v>
      </c>
      <c r="FC96" s="28" t="str">
        <f>IF($E96="","No Port",IF(G96="Panama","Ship cannot pass through Panama",((F96/24/Shipping!$V$44+F96/24/Shipping!$V$50+Shipping!$V$59+Shipping!$V$64)*(Shipping!$V$22+wacc_nl*Shipping!$V$19/365.25*1000000+Shipping!$V$35)+(F96/24/Shipping!$V$44*Shipping!$V$45+Shipping!$V$64*Shipping!$V$65)*IF(bunker_choice="HFO",$H96,IF(bunker_choice="hydrogen",$BD96*hfo_e_density_lhv/h2_e_density_lhv,(EX96+EZ96)*1000000/FB96*hfo_e_density_lhv/lng_e_density_lhv))+(F96/24/Shipping!$V$50*Shipping!$V$51+Shipping!$V$59*Shipping!$V$60)*IF(bunker_choice="HFO",bunker_price_ROT,IF(bunker_choice="hydrogen",$BD96*hfo_e_density_lhv/h2_e_density_lhv,(EX96+EZ96)*1000000/FB96*hfo_e_density_lhv/lng_e_density_lhv))+Shipping!$V$73+IF(G96="Panama",Shipping!$V$55,0)+IF(G96="Suez",Shipping!$V$56,0))/Shipping!$V$31*(FB96+lng_st_ab_losses)/1000000)+IF(inland_transport_to_port="hv dc grid",$BM96/100*1000*FE96,IF(inland_transport_to_port="pipeline",$BN96,0)))</f>
        <v>No Port</v>
      </c>
      <c r="FD96" s="28" t="str">
        <f t="shared" si="136"/>
        <v/>
      </c>
      <c r="FE96" s="29">
        <f>((Carriers!$AB$18/Carriers!$AB$23*alk_el_e_demand)+sng_e_demand+lng_e_demand)*(FB96+lng_st_ab_losses)/1000000+lng_st_e_demand*EZ96/1000000</f>
        <v>1091.7518985006291</v>
      </c>
      <c r="FF96" s="29">
        <f t="shared" si="109"/>
        <v>0.8126185861001558</v>
      </c>
      <c r="FG96" s="28" t="str">
        <f>IFERROR(FD96*1000000/Storage!$U$12,"")</f>
        <v/>
      </c>
      <c r="FH96" s="28" t="str">
        <f>IF($E96="","No Port",((F96/24/Shipping!$V$44+F96/24/Shipping!$V$50+Shipping!$V$59+Shipping!$V$64)*Carriers!$AB$39*wacc_nl))</f>
        <v>No Port</v>
      </c>
      <c r="FI96" s="100">
        <f>H2_retrieval!$T$25*h2_demand_kt/1000+(co2_liq_e_demand+co2_st_e_demand*2)*Storage!$U$12*co2_density/lng_density/1000000</f>
        <v>236.51371749646054</v>
      </c>
      <c r="FJ96" s="28" t="str">
        <f>IFERROR((((EX96+EZ96+FC96)*(1+H2_retrieval!$T$34)+FH96)*1000000/H2_retrieval!$T$8)+h2_regen_lng,"")</f>
        <v/>
      </c>
      <c r="FK96" s="149">
        <f>(lh2_invest*(M96+1/lh2_lifetime)/lh2_prod+lh2_opex+lh2_e_demand*1000*$AU96/100+Carriers!$AD$18/Carriers!$AD$23*BD96)*(FM96+lh2_st_ab_losses)/1000000</f>
        <v>59648.213527929256</v>
      </c>
      <c r="FL96" s="28">
        <f>lh2_st_nl_cost*lh2_st_nl_demand/1000000+(lh2_st_invest*(M96+1/lh2_st_lifetime+lh2_st_opex)/(Storage!$Y$63/1000000)+lh2_st_e_demand*1000*$AU96/100)*(FM96+lh2_st_ab_losses)/1000000+((FM96+lh2_st_ab_losses)/365.25*short_st_duration_hrs/24)*(h2_short_st_invest*(1/gh2_short_st_lifetime+$M96+h2_short_st_opex)+h2_short_st_e_demand*1000*$AU96/100)/1000000</f>
        <v>60012.875633479714</v>
      </c>
      <c r="FM96" s="63">
        <f>Storage!$Y$57/((1-Shipping!$Z$37)^($F96/24/Shipping!$Z$44+0.5*Shipping!$Z$59))</f>
        <v>13659984.090217989</v>
      </c>
      <c r="FN96" s="28" t="str">
        <f>IF($E96="","No Port",IF(G96="Panama","Ship cannot pass through Panama",((F96/24/Shipping!$Z$44+F96/24/Shipping!$Z$50+Shipping!$Z$59+Shipping!$Z$64)*(Shipping!$Z$22+wacc_nl*Shipping!$Z$19/365.25*1000000+Shipping!$Z$35)+(F96/24/Shipping!$Z$44*Shipping!$Z$45+Shipping!$Z$64*Shipping!$Z$65)*IF(bunker_choice="HFO",$H96,IF(bunker_choice="hydrogen",$BD96*hfo_e_density_lhv/h2_e_density_lhv,(FK96+FL96)*1000000/FM96*hfo_e_density_lhv/lh2_e_density_lhv))+(F96/24/Shipping!$Z$50*Shipping!$Z$51+Shipping!$Z$59*Shipping!$Z$60)*IF(bunker_choice="HFO",bunker_price_ROT,IF(bunker_choice="hydrogen",$BD96*hfo_e_density_lhv/h2_e_density_lhv,(FK96+FL96)*1000000/FM96*hfo_e_density_lhv/lh2_e_density_lhv))+Shipping!$Z$73+IF(G96="Panama",Shipping!$Z$55,0)+IF(G96="Suez",Shipping!$Z$56,0))/Shipping!$Z$31*(FM96+lh2_st_ab_losses)/1000000)+IF(inland_transport_to_port="hv dc grid",$BM96/100*1000*FP96,IF(inland_transport_to_port="pipeline",$BN96,0)))</f>
        <v>No Port</v>
      </c>
      <c r="FO96" s="28" t="str">
        <f t="shared" si="128"/>
        <v/>
      </c>
      <c r="FP96" s="29">
        <f>((Carriers!$AD$18/Carriers!$AD$23*alk_el_e_demand)+lh2_e_demand)*(FM96+lh2_st_ab_losses)/1000000+lh2_st_e_demand*FM96/1000000</f>
        <v>791.60233245091877</v>
      </c>
      <c r="FQ96" s="100">
        <f t="shared" si="110"/>
        <v>1.361902463475859</v>
      </c>
      <c r="FR96" s="28" t="str">
        <f>IFERROR(FO96*1000000/Storage!$Y$12,"")</f>
        <v/>
      </c>
      <c r="FS96" s="100">
        <f>H2_retrieval!$V$25*h2_demand_kt/1000</f>
        <v>8.16</v>
      </c>
      <c r="FT96" s="28" t="str">
        <f>IFERROR(FR96*(1+H2_retrieval!$V$34)/Carrier_properties!$U$7+H2_retrieval!$V$38,"")</f>
        <v/>
      </c>
      <c r="FU96" s="12"/>
      <c r="FV96" s="24">
        <f t="shared" si="129"/>
        <v>2.7937083269891332</v>
      </c>
      <c r="FW96" s="24">
        <f t="shared" ref="FW96:FW154" si="143">AA96</f>
        <v>5.7612483945030188</v>
      </c>
      <c r="FX96" s="24" t="str">
        <f t="shared" ref="FX96:FX154" si="144">AI96</f>
        <v/>
      </c>
      <c r="FY96" s="24">
        <f t="shared" si="130"/>
        <v>2.7937083269891332</v>
      </c>
      <c r="FZ96" s="28">
        <f t="shared" ref="FZ96:FZ154" si="145">BD96</f>
        <v>3129.8108783515022</v>
      </c>
      <c r="GA96" s="28">
        <f t="shared" si="137"/>
        <v>735.01316485502025</v>
      </c>
      <c r="GB96" s="28">
        <f t="shared" si="138"/>
        <v>532.6303785408827</v>
      </c>
      <c r="GC96" s="28">
        <f t="shared" si="139"/>
        <v>829.80118934766915</v>
      </c>
      <c r="GD96" s="28">
        <f t="shared" si="140"/>
        <v>1214.5725624802267</v>
      </c>
      <c r="GE96" s="28">
        <f t="shared" si="141"/>
        <v>2130.779264353197</v>
      </c>
      <c r="GF96" s="28">
        <f t="shared" si="142"/>
        <v>2200.7612916723178</v>
      </c>
      <c r="GG96" s="12"/>
      <c r="GH96" s="12"/>
      <c r="GI96" s="12"/>
      <c r="GJ96" s="12"/>
      <c r="GK96" s="12"/>
      <c r="GL96" s="12"/>
      <c r="GM96" s="12"/>
      <c r="GN96" s="12"/>
      <c r="GO96" s="12"/>
      <c r="GP96" s="12"/>
      <c r="GQ96" s="12"/>
      <c r="GR96" s="12"/>
      <c r="GS96" s="12"/>
      <c r="GT96" s="12"/>
      <c r="GU96" s="12"/>
      <c r="GV96" s="12"/>
      <c r="GW96" s="12"/>
      <c r="GX96" s="12"/>
      <c r="GY96" s="12"/>
      <c r="GZ96" s="12"/>
      <c r="HA96" s="12"/>
      <c r="HB96" s="12"/>
      <c r="HC96" s="12"/>
      <c r="HD96" s="12"/>
      <c r="HE96" s="12"/>
      <c r="HF96" s="12"/>
    </row>
    <row r="97" spans="1:214" x14ac:dyDescent="0.2">
      <c r="A97" s="154" t="s">
        <v>100</v>
      </c>
      <c r="B97" s="12">
        <v>2475</v>
      </c>
      <c r="C97" s="12">
        <v>0.9</v>
      </c>
      <c r="D97" s="12">
        <f t="shared" si="111"/>
        <v>9.9999999999999978E-2</v>
      </c>
      <c r="E97" s="12" t="s">
        <v>757</v>
      </c>
      <c r="F97" s="12">
        <v>1386</v>
      </c>
      <c r="G97" s="12"/>
      <c r="H97" s="16">
        <f t="shared" si="112"/>
        <v>382.75862068965517</v>
      </c>
      <c r="I97" s="16">
        <v>446300</v>
      </c>
      <c r="J97" s="16">
        <f t="shared" si="113"/>
        <v>376.91073506047263</v>
      </c>
      <c r="K97" s="27">
        <f t="shared" si="114"/>
        <v>452.29288207256712</v>
      </c>
      <c r="L97" s="103">
        <v>0.11799999999999999</v>
      </c>
      <c r="M97" s="103">
        <f t="shared" si="115"/>
        <v>0.12487296005243075</v>
      </c>
      <c r="N97" s="122">
        <f t="shared" si="116"/>
        <v>0.8</v>
      </c>
      <c r="O97" s="46">
        <f t="shared" si="117"/>
        <v>40</v>
      </c>
      <c r="P97" s="70">
        <f t="array" ref="P97">SUMPRODUCT(IF(Solar_data!A$4:A$777=A97,Solar_data!C$4:C$777),IF(Solar_data!A$4:A$777=A97,Solar_data!I$4:I$777))/SUMIF(Solar_data!A$4:A$777,A97,Solar_data!I$4:I$777)</f>
        <v>2179.051493107771</v>
      </c>
      <c r="Q97" s="16">
        <f t="array" ref="Q97">MAX(IF(Solar_data!$A$777:'Solar_data'!$A$4=Country_details!$A97,Solar_data!$C$4:'Solar_data'!$C$777))</f>
        <v>2463.75</v>
      </c>
      <c r="R97" s="16">
        <f t="array" ref="R97">MIN(IF(Solar_data!$A$777:'Solar_data'!$A$4=Country_details!A97,Solar_data!$C$4:'Solar_data'!$C$777))</f>
        <v>1916.25</v>
      </c>
      <c r="S97" s="24">
        <f t="shared" si="95"/>
        <v>2.3266285985658905</v>
      </c>
      <c r="T97" s="24">
        <f t="shared" si="96"/>
        <v>2.0577751482951783</v>
      </c>
      <c r="U97" s="24">
        <f t="shared" si="97"/>
        <v>2.6457109049509433</v>
      </c>
      <c r="V97" s="16">
        <f t="array" ref="V97">SUM(IF(Solar_data!$A$777:'Solar_data'!$A$4=Country_details!$A97,Solar_data!$I$4:'Solar_data'!$I$777))</f>
        <v>3156.2909153877345</v>
      </c>
      <c r="W97" s="148"/>
      <c r="X97" s="16">
        <f>IFERROR(INDEX(Onshore_wind_data!$J$5:'Onshore_wind_data'!$J$221,MATCH(A97,Onshore_wind_data!$B$5:'Onshore_wind_data'!$B$221,0)),"")</f>
        <v>2847.5</v>
      </c>
      <c r="Y97" s="16">
        <f>IFERROR(INDEX(Onshore_wind_data!$K$5:'Onshore_wind_data'!$K$221,MATCH(A97,Onshore_wind_data!$B$5:'Onshore_wind_data'!$B$221,0)),"")</f>
        <v>2847.5</v>
      </c>
      <c r="Z97" s="16">
        <f>IFERROR(INDEX(Onshore_wind_data!$L$5:'Onshore_wind_data'!$L$221,MATCH(A97,Onshore_wind_data!$B$5:'Onshore_wind_data'!$B$221,0)),"")</f>
        <v>2847.5</v>
      </c>
      <c r="AA97" s="24">
        <f t="shared" si="118"/>
        <v>5.0576307596433212</v>
      </c>
      <c r="AB97" s="24">
        <f t="shared" si="119"/>
        <v>5.0576307596433212</v>
      </c>
      <c r="AC97" s="24">
        <f t="shared" si="120"/>
        <v>5.0576307596433212</v>
      </c>
      <c r="AD97" s="16">
        <f>IFERROR(INDEX(Onshore_wind_data!$I$5:'Onshore_wind_data'!$I$221,MATCH(A97,Onshore_wind_data!$B$5:'Onshore_wind_data'!$B$221,0)),"")</f>
        <v>32.771165625000002</v>
      </c>
      <c r="AE97" s="148"/>
      <c r="AF97" s="16">
        <f>INDEX(Offshore_wind_data!$AA$7:$AA$192,MATCH(Country_details!A97,Offshore_wind_data!$A$7:$A$192,0))</f>
        <v>3470.4792248316639</v>
      </c>
      <c r="AG97" s="16">
        <f>INDEX(Offshore_wind_data!$Y$7:$Y$192,MATCH(Country_details!A97,Offshore_wind_data!$A$7:$A$192,0))</f>
        <v>3854.4</v>
      </c>
      <c r="AH97" s="16">
        <f>INDEX(Offshore_wind_data!$Z$7:$Z$192,MATCH(Country_details!A97,Offshore_wind_data!$A$7:$A$192,0))</f>
        <v>3153.6</v>
      </c>
      <c r="AI97" s="24">
        <f t="shared" si="98"/>
        <v>7.8612239520504916</v>
      </c>
      <c r="AJ97" s="24">
        <f t="shared" si="99"/>
        <v>7.0782000849263964</v>
      </c>
      <c r="AK97" s="24">
        <f t="shared" si="100"/>
        <v>8.6511334371322626</v>
      </c>
      <c r="AL97" s="16">
        <f>INDEX(Offshore_wind_data!$W$7:$W$191,MATCH(A97,Offshore_wind_data!$A$7:$A$191,0))</f>
        <v>845.26992000000007</v>
      </c>
      <c r="AM97" s="148"/>
      <c r="AN97" s="12">
        <v>35.700000000000003</v>
      </c>
      <c r="AO97" s="12">
        <v>45.7</v>
      </c>
      <c r="AP97" s="34">
        <f>0.564*11.63</f>
        <v>6.5593199999999996</v>
      </c>
      <c r="AQ97" s="15">
        <f t="shared" si="101"/>
        <v>50</v>
      </c>
      <c r="AR97" s="12">
        <f t="shared" si="131"/>
        <v>2285</v>
      </c>
      <c r="AS97" s="16">
        <f t="shared" si="121"/>
        <v>1749.3320010127345</v>
      </c>
      <c r="AT97" s="12"/>
      <c r="AU97" s="24">
        <f t="shared" si="122"/>
        <v>3.8737188182385398</v>
      </c>
      <c r="AV97" s="16">
        <f t="shared" si="123"/>
        <v>5026.5514931077705</v>
      </c>
      <c r="AW97" s="149">
        <f>HV_DC_Grid!$E$3/(1-AX97)*AU97/100*1000</f>
        <v>4125.2634437155994</v>
      </c>
      <c r="AX97" s="31">
        <f>(1-(1-HV_DC_Grid!$E$25)^(B97*C97*HV_DC_Grid!$E$8/1000))+(1-(1-HV_DC_Grid!$E$26)^(B97*D97*HV_DC_Grid!$E$8/1000))+HV_DC_Grid!$E$35*HV_DC_Grid!$E$28</f>
        <v>6.0976620986536431E-2</v>
      </c>
      <c r="AY97" s="28">
        <f>B97*nl_e_demand/IF(hv_dc_flh="electricity FLH",$AV97,hv_dc_custom)*1000*hv_dc_capacity_multiplier*hv_dc_length_multiplier*1000*(C97*hv_dc_overhead_invest*(hv_dc_overhead_opex+M97+1/hv_dc_lifetime)+D97*hv_dc_sea_invest*(hv_dc_sea_opex+M97+1/hv_dc_lifetime))/1000000+HV_DC_Grid!$E$10*1000*hv_dc_station_invest*hv_dc_station_number*(hv_dc_station_opex+M97+1/hv_dc_lifetime)/1000000</f>
        <v>2959.5650862954535</v>
      </c>
      <c r="AZ97" s="24">
        <f>(AW97+AY97)/(HV_DC_Grid!$E$3*1000)*100</f>
        <v>7.0848285300110527</v>
      </c>
      <c r="BA97" s="28">
        <f>MIN(((Carriers!$F$26+Carriers!$F$27)*(alk_el_opex+wacc_nl+1/alk_el_lifetime)+IF(hv_dc_flh="electricity FLH",$AV97,hv_dc_custom)*AZ97/100)/(IF(hv_dc_flh="electricity FLH",$AV97,hv_dc_custom)/alk_el_e_demand)*1000,((Carriers!$H$26+Carriers!$H$27)*(pem_el_opex+wacc_nl+1/pem_el_lifetime)+IF(hv_dc_flh="electricity FLH",$AV97,hv_dc_custom)*AZ97/100)/(IF(hv_dc_flh="electricity FLH",$AV97,hv_dc_custom)/pem_el_e_demand)*1000)</f>
        <v>3963.5228257338217</v>
      </c>
      <c r="BB97" s="12"/>
      <c r="BC97" s="12"/>
      <c r="BD97" s="149">
        <f>MIN(((Carriers!$F$26+Carriers!$F$27)*(alk_el_opex+M97+1/alk_el_lifetime)+$AV97*$AU97/100)/($AV97/alk_el_e_demand)*1000,((Carriers!$H$26+Carriers!$H$27)*(pem_el_opex+M97+1/pem_el_lifetime)+$AV97*$AU97/100)/($AV97/pem_el_e_demand)*1000)</f>
        <v>2663.1254947920779</v>
      </c>
      <c r="BE97" s="28">
        <f>Storage!$AC$50</f>
        <v>8.1664117557772418</v>
      </c>
      <c r="BF97" s="28">
        <f>((Pipeline!$D$22*Pipeline!$D$24*B97*(pipeline_opex+M97+1/pipeline_lifetime))*(Pipeline!$D$39/Pipeline!$D$3)+(Pipeline!$D$57*(pipeline_comp_opex+M97+1/pipeline_comp_lifetime)+Pipeline!$D$47*1000*Pipeline!$D$45*$AU97/100/1000000))*(Pipeline!$D$75/Pipeline!$D$45)</f>
        <v>5647.5157588385673</v>
      </c>
      <c r="BG97" s="28">
        <f>BD97+(BE97+BF97)/Storage!$AC$12*1000000</f>
        <v>3078.9844779240152</v>
      </c>
      <c r="BH97" s="28"/>
      <c r="BI97" s="28"/>
      <c r="BJ97" s="28">
        <f>IF($E97="","No Port",BK97*HV_DC_Grid!$E$3*$AU97/100*1000)</f>
        <v>87.995546708798827</v>
      </c>
      <c r="BK97" s="31">
        <f>IFERROR((1-(1-HV_DC_Grid!$E$25)^(K97*HV_DC_Grid!$E$8/1000))+HV_DC_Grid!$E$35*HV_DC_Grid!$E$28,"")</f>
        <v>2.2716038731177765E-2</v>
      </c>
      <c r="BL97" s="28">
        <f>IFERROR(K97*nl_e_demand/IF(hv_dc_flh="electricity FLH",$AV97,hv_dc_custom)*1000*hv_dc_capacity_multiplier*hv_dc_length_multiplier*1000*(hv_dc_overhead_invest*(hv_dc_overhead_opex+M97+1/hv_dc_lifetime))/1000000+HV_DC_Grid!$E$10*1000*hv_dc_station_invest*hv_dc_station_number*(hv_dc_station_opex+M97+1/hv_dc_lifetime)/1000000,"")</f>
        <v>803.85825639927282</v>
      </c>
      <c r="BM97" s="29">
        <f>IFERROR((BJ97+BL97)/(HV_DC_Grid!$E$3*1000)*100,"")</f>
        <v>0.89185380310807161</v>
      </c>
      <c r="BN97" s="28">
        <f>IFERROR(((Pipeline!$D$22*Pipeline!$D$24*K97*(pipeline_opex+M97+1/pipeline_lifetime))*(Pipeline!$D$39/Pipeline!$D$3)+(Pipeline!$D$57*(pipeline_comp_opex+M97+1/pipeline_comp_lifetime)+Pipeline!$D$47*1000*Pipeline!$D$45*S97/100/1000000))*(Pipeline!$D$75/Pipeline!$D$45),"")</f>
        <v>1087.8687333969883</v>
      </c>
      <c r="BO97" s="28"/>
      <c r="BP97" s="150">
        <f t="shared" si="124"/>
        <v>120.24193352652733</v>
      </c>
      <c r="BQ97" s="34">
        <f t="shared" si="125"/>
        <v>35.173230732946237</v>
      </c>
      <c r="BR97" s="151">
        <f>(nh3_invest*(M97+1/nh3_lifetime)/nh3_prod+nh3_opex+nh3_e_demand*1000*$AU97/100+Carriers!$N$18/Carriers!$N$23*BD97+Carriers!$N$19/Carriers!$N$23*BQ97)*(BT97+nh3_st_ab_losses)/1000000</f>
        <v>48562.669400775267</v>
      </c>
      <c r="BS97" s="63">
        <f>nh3_st_nl_cost*nh3_st_nl_demand/1000000+(nh3_st_invest*(M97+1/nh3_st_lifetime+nh3_st_opex)/(Storage!$G$63/1000000)+nh3_st_e_demand*1000*$AU97/100)*(BT97+nh3_st_ab_losses)/1000000+Carriers!$N$18/Carriers!$N$23*((BT97+nh3_st_ab_losses)/365.25*short_st_duration_hrs/24)*(h2_short_st_invest*(1/gh2_short_st_lifetime+$M97+h2_short_st_opex)+h2_short_st_e_demand*1000*$AU97/100)/1000000+Carriers!$N$19/Carriers!$N$23*((BT97+nh3_st_ab_losses)/365.25*short_st_duration_hrs/24)*(n2_short_st_invest*(1/n2_short_st_lifetime+$M97+n2_short_st_opex)+n2_short_st_e_demand*1000*$AU97/100)/1000000</f>
        <v>3400.9899680095295</v>
      </c>
      <c r="BT97" s="63">
        <f>Storage!$G$57/((1-Shipping!$H$37)^(F97/24/Shipping!$H$44+0.5*Shipping!$H$59))</f>
        <v>77533341.490068957</v>
      </c>
      <c r="BU97" s="63">
        <f>IF($E97="","No Port",((F97/24/Shipping!$H$44+F97/24/Shipping!$H$50+Shipping!$H$59+Shipping!$H$64)*(Shipping!$H$22+wacc_nl*Shipping!$H$19/365.25*1000000+Shipping!$H$35)+(F97/24/Shipping!$H$44*Shipping!$H$45+Shipping!$H$64*Shipping!$H$65)*IF(bunker_choice="HFO",H97,IF(bunker_choice="hydrogen",BD97*hfo_e_density_lhv/h2_e_density_lhv,(BR97+BS97)*1000000/BT97*hfo_e_density_lhv/nh3_e_density_lhv))+(F97/24/Shipping!$H$50*Shipping!$H$51+Shipping!$H$59*Shipping!$H$60)*IF(bunker_choice="HFO",bunker_price_ROT,IF(bunker_choice="hydrogen",BD97*hfo_e_density_lhv/h2_e_density_lhv,(BR97+BS97)*1000000/BT97*hfo_e_density_lhv/nh3_e_density_lhv))+Shipping!$H$73+IF(G97="Panama",Shipping!$H$55,0)+IF(G97="Suez",Shipping!$H$56,0))/Shipping!$H$31*BT97/1000000+IF(inland_transport_to_port="hv dc grid",$BM97/100*1000*BW97,IF(inland_transport_to_port="pipeline",$BN97,0)))</f>
        <v>2283.1784328361723</v>
      </c>
      <c r="BV97" s="63">
        <f t="shared" si="126"/>
        <v>54246.837801620968</v>
      </c>
      <c r="BW97" s="33">
        <f>((Carriers!$N$18/Carriers!$N$23*alk_el_e_demand)+(Carriers!$N$19/Carriers!$N$23*n2_e_demand)+nh3_e_demand)*(BT97+nh3_st_ab_losses)/1000000+nh3_st_e_demand*BT97/1000000</f>
        <v>765.67329392548083</v>
      </c>
      <c r="BX97" s="33">
        <f t="shared" si="102"/>
        <v>0.76626754477640768</v>
      </c>
      <c r="BY97" s="63">
        <f>IFERROR(BV97*1000000/Storage!$G$12,"")</f>
        <v>708.52584202968558</v>
      </c>
      <c r="BZ97" s="63">
        <f>H2_retrieval!$F$25*h2_demand_kt/1000</f>
        <v>80</v>
      </c>
      <c r="CA97" s="63">
        <f>IFERROR(BY97*(1+H2_retrieval!$F$34)/Carrier_properties!$E$7+H2_retrieval!$F$38,"")</f>
        <v>4397.9640532923358</v>
      </c>
      <c r="CB97" s="149">
        <f>(FA_invest*(M97+1/FA_lifetime)/FA_prod+FA_opex+FA_e_demand*1000*$AU97/100+Carriers!$P$18/Carriers!$P$23*BD97+Carriers!$P$20/Carriers!$P$23*co2_liq_cost)*(CF97+FA_st_ab_losses)/1000000</f>
        <v>111981.18596912335</v>
      </c>
      <c r="CC97" s="86">
        <f>(FA_invest*(M97+1/FA_lifetime)/FA_prod+FA_opex+FA_e_demand*1000*$AU97/100+Carriers!$P$18/Carriers!$P$23*BD97+Carriers!$P$20/Carriers!$P$23*BP97)*(CF97+FA_st_ab_losses)/1000000</f>
        <v>141096.12781065996</v>
      </c>
      <c r="CD97" s="63">
        <f>FA_st_nl_cost*FA_st_nl_demand/1000000+(FA_st_invest*(M97+1/FA_st_lifetime+FA_st_opex)/(Storage!$I$63/1000000)+FA_st_e_demand*1000*$AU97/100)*(CF97+FA_st_ab_losses)/1000000+co2_st_nl_cost*Storage!$I$12*co2_density/FA_density/1000000+(co2_st_opex_lev+co2_st_invest_lev+co2_st_e_demand*1000*$AU97/100)*Storage!$I$12/1000000+co2_st_invest_lev*Storage!$I$12*co2_st_lifetime*M97/1000000+Carriers!$P$18/Carriers!$P$23*((CF97+FA_st_ab_losses)/365.25*short_st_duration_hrs/24)*(h2_short_st_invest*(1/gh2_short_st_lifetime+$M97+h2_short_st_opex)+h2_short_st_e_demand*1000*$AU97/100)/1000000+Carriers!$P$20/Carriers!$P$23*((CF97+FA_st_ab_losses)/365.25*short_st_duration_hrs/24)*(co2_short_st_invest*(1/co2_short_st_lifetime+$M97+co2_short_st_opex)+co2_short_st_e_demand*1000*$AU97/100)/1000000</f>
        <v>12151.210632798538</v>
      </c>
      <c r="CE97" s="63">
        <f>FA_st_nl_cost*FA_st_nl_demand/1000000+(FA_st_invest*(M97+1/FA_st_lifetime+FA_st_opex)/(Storage!$I$63/1000000)+FA_st_e_demand*1000*$AU97/100)*(CF97+FA_st_ab_losses)/1000000+Carriers!$P$18/Carriers!$P$23*((CF97+FA_st_ab_losses)/365.25*short_st_duration_hrs/24)*(h2_short_st_invest*(1/gh2_short_st_lifetime+$M97+h2_short_st_opex)+h2_short_st_e_demand*1000*$AU97/100)/1000000+Carriers!$P$20/Carriers!$P$23*((CF97+FA_st_ab_losses)/365.25*short_st_duration_hrs/24)*(co2_short_st_invest*(1/co2_short_st_lifetime+$M97+co2_short_st_opex)+co2_short_st_e_demand*1000*$AU97/100)/1000000</f>
        <v>5097.1144696825031</v>
      </c>
      <c r="CF97" s="63">
        <f>Storage!$I$57/((1-Shipping!$J$37)^($F97/24/Shipping!$J$44+0.5*Shipping!$J$59))</f>
        <v>310425396.82539684</v>
      </c>
      <c r="CG97" s="28">
        <f>IF($E97="","No Port",((F97/24/Shipping!$J$44+F97/24/Shipping!$J$50+Shipping!$J$59+Shipping!$J$64)*(Shipping!$J$22+wacc_nl*Shipping!$J$19/365.25*1000000+Shipping!$J$35)+(F97/24/Shipping!$J$44*Shipping!$J$45+Shipping!$J$64*Shipping!$J$65)*IF(bunker_choice="HFO",$H97,IF(bunker_choice="hydrogen",$BD97*hfo_e_density_lhv/h2_e_density_lhv,(CB97+CD97)*1000000/CF97*hfo_e_density_lhv/FA_e_density_lhv))+(F97/24/Shipping!$J$50*Shipping!$J$51+Shipping!$J$59*Shipping!$J$60)*IF(bunker_choice="HFO",bunker_price_ROT,IF(bunker_choice="hydrogen",$BD97*hfo_e_density_lhv/h2_e_density_lhv,(CB97+CD97)*1000000/CF97*hfo_e_density_lhv/FA_e_density_lhv))+Shipping!$J$73+IF(G97="Panama",Shipping!$J$55,0)+IF(G97="Suez",Shipping!$J$56,0))/Shipping!$J$31*CF97/1000000+IF(inland_transport_to_port="hv dc grid",$BM97/100*1000*CI97,IF(inland_transport_to_port="pipeline",$BN97,0)))</f>
        <v>6155.3838056679569</v>
      </c>
      <c r="CH97" s="28">
        <f t="shared" si="132"/>
        <v>152348.62608601042</v>
      </c>
      <c r="CI97" s="29">
        <f>((Carriers!$P$18/Carriers!$P$23*alk_el_e_demand)+FA_e_demand)*(CF97+FA_st_ab_losses)/1000000+FA_st_e_demand*CF97/1000000</f>
        <v>1897.8881241622576</v>
      </c>
      <c r="CJ97" s="29">
        <f t="shared" si="103"/>
        <v>0.46563809523809524</v>
      </c>
      <c r="CK97" s="28">
        <f>IFERROR(CH97*1000000/Storage!$I$12,"")</f>
        <v>490.77371775641501</v>
      </c>
      <c r="CL97" s="28">
        <f>IF($E97="","No Port",((F97/24/Shipping!$J$44+F97/24/Shipping!$J$50+Shipping!$J$59+Shipping!$J$64)*Carriers!$P$39*wacc_nl))</f>
        <v>102.19742762499476</v>
      </c>
      <c r="CM97" s="29">
        <f>H2_retrieval!$H$25*h2_demand_kt/1000+(co2_liq_e_demand+co2_st_e_demand*2)*Storage!$I$12*co2_density/FA_density/1000000</f>
        <v>94.204253879484654</v>
      </c>
      <c r="CN97" s="28">
        <f>IFERROR((((CB97+CD97+CG97)*(1+H2_retrieval!$H$34)+CL97)*1000000/H2_retrieval!$H$8)+h2_regen_fa,"")</f>
        <v>9677.1857380033416</v>
      </c>
      <c r="CO97" s="149">
        <f>(meoh_invest*(M97+1/meoh_lifetime)/meoh_prod+meoh_opex+meoh_e_demand*1000*$AU97/100+Carriers!$R$18/Carriers!$R$23*BD97+Carriers!$R$20/Carriers!$R$23*co2_liq_cost)*(CS97+meoh_st_ab_losses)/1000000</f>
        <v>59253.81748279131</v>
      </c>
      <c r="CP97" s="86">
        <f>(meoh_invest*(M97+1/meoh_lifetime)/meoh_prod+meoh_opex+meoh_e_demand*1000*$AU97/100+Carriers!$R$18/Carriers!$R$23*BD97+Carriers!$R$20/Carriers!$R$23*BP97)*(CS97+meoh_st_ab_losses)/1000000</f>
        <v>76345.187175495535</v>
      </c>
      <c r="CQ97" s="63">
        <f>meoh_st_nl_cost*meoh_st_nl_demand/1000000+(meoh_st_invest*(M97+1/meoh_st_lifetime+meoh_st_opex)/(Storage!$K$63/1000000)+meoh_st_e_demand*1000*$AU97/100)*(CS97+meoh_st_ab_losses)/1000000+co2_st_nl_cost*Storage!$K$12*co2_density/meoh_density/1000000+(co2_st_opex_lev+co2_st_invest_lev+co2_st_e_demand*1000*IFERROR(MIN(S97,AA97,AI97),S97)/100)*Storage!$K$12/1000000+co2_st_invest_lev*Storage!$K$12*co2_st_lifetime*M97/1000000+Carriers!$R$18/Carriers!$R$23*((CS97+meoh_st_ab_losses)/365.25*short_st_duration_hrs/24)*(h2_short_st_invest*(1/gh2_short_st_lifetime+$M97+h2_short_st_opex)+h2_short_st_e_demand*1000*$AU97/100)/1000000+Carriers!$R$20/Carriers!$R$23*((CF97+meoh_st_ab_losses)/365.25*short_st_duration_hrs/24)*(co2_short_st_invest*(1/co2_short_st_lifetime+$M97+co2_short_st_opex)+co2_short_st_e_demand*1000*$AU97/100)/1000000</f>
        <v>4895.5307966294477</v>
      </c>
      <c r="CR97" s="63">
        <f>meoh_st_nl_cost*meoh_st_nl_demand/1000000+(meoh_st_invest*(M97+1/meoh_st_lifetime+meoh_st_opex)/(Storage!$K$63/1000000)+meoh_st_e_demand*1000*$AU97/100)*(CS97+meoh_st_ab_losses)/1000000+Carriers!$R$18/Carriers!$R$23*((CS97+meoh_st_ab_losses)/365.25*short_st_duration_hrs/24)*(h2_short_st_invest*(1/gh2_short_st_lifetime+$M97+h2_short_st_opex)+h2_short_st_e_demand*1000*$AU97/100)/1000000+Carriers!$R$20/Carriers!$R$23*((CF97+meoh_st_ab_losses)/365.25*short_st_duration_hrs/24)*(co2_short_st_invest*(1/co2_short_st_lifetime+$M97+co2_short_st_opex)+co2_short_st_e_demand*1000*$AU97/100)/1000000</f>
        <v>2008.48957980878</v>
      </c>
      <c r="CS97" s="63">
        <f>Storage!$K$57/((1-Shipping!$L$37)^($F97/24/Shipping!$L$44+0.5*Shipping!$L$59))</f>
        <v>108044444.44444443</v>
      </c>
      <c r="CT97" s="28">
        <f>IF($E97="","No Port",IF(AND(ship_choice="VLCC",G97="Panama"),"Ship cannot pass through Panama",IF(ship_choice="VLCC",((F97/24/Shipping!$AD$44+F97/24/Shipping!$AD$50+Shipping!$AD$59+Shipping!$AD$64)*(Shipping!$AD$22+wacc_nl*Shipping!$AD$19/365.25*1000000+Shipping!$AD$35)+(F97/24/Shipping!$AD$44*Shipping!$AD$45+Shipping!$AD$64*Shipping!$AD$65)*IF(bunker_choice="HFO",$H97,IF(bunker_choice="hydrogen",$BD97*hfo_e_density_lhv/h2_e_density_lhv,(CO97+CQ97)*1000000/CS97*hfo_e_density_lhv/meoh_e_density_lhv))+(F97/24/Shipping!$AD$50*Shipping!$AD$51+Shipping!$AD$59*Shipping!$AD$60)*IF(bunker_choice="HFO",bunker_price_ROT,IF(bunker_choice="hydrogen",$BD97*hfo_e_density_lhv/h2_e_density_lhv,(CO97+CQ97)*1000000/CS97*hfo_e_density_lhv/meoh_e_density_lhv))+Shipping!$AD$73+IF(G97="Panama",Shipping!$AD$55,0)+IF(G97="Suez",Shipping!$AD$56,0))/Shipping!$AD$31*CS97/1000000+IF(inland_transport_to_port="hv dc grid",$BM97/100*1000*CV97,IF(inland_transport_to_port="pipeline",$BN97,0)),((F97/24/Shipping!$L$44+F97/24/Shipping!$L$50+Shipping!$L$59+Shipping!$L$64)*(Shipping!$L$22+wacc_nl*Shipping!$L$19/365.25*1000000+Shipping!$L$35)+(F97/24/Shipping!$L$44*Shipping!$L$45+Shipping!$L$64*Shipping!$L$65)*IF(bunker_choice="HFO",$H97,IF(bunker_choice="hydrogen",$BD97*hfo_e_density_lhv/h2_e_density_lhv,(CO97+CQ97)*1000000/CS97*hfo_e_density_lhv/meoh_e_density_lhv))+(F97/24/Shipping!$L$50*Shipping!$L$51+Shipping!$L$59*Shipping!$L$60)*IF(bunker_choice="HFO",bunker_price_ROT,IF(bunker_choice="hydrogen",$BD97*hfo_e_density_lhv/h2_e_density_lhv,(CO97+CQ97)*1000000/CS97*hfo_e_density_lhv/meoh_e_density_lhv))+Shipping!$L$73+IF(G97="Panama",Shipping!$L$55,0)+IF(G97="Suez",Shipping!$L$56,0))/Shipping!$L$31*CS97/1000000+IF(inland_transport_to_port="hv dc grid",$BM97/100*1000*CV97,IF(inland_transport_to_port="pipeline",$BN97,0)))))</f>
        <v>2742.2354313418555</v>
      </c>
      <c r="CU97" s="28">
        <f t="shared" si="133"/>
        <v>81095.912186646179</v>
      </c>
      <c r="CV97" s="29">
        <f>((Carriers!$R$18/Carriers!$R$23*alk_el_e_demand)+meoh_e_demand)*(CS97+meoh_st_ab_losses)/1000000+meoh_st_e_demand*CS97/1000000</f>
        <v>1119.9789871111109</v>
      </c>
      <c r="CW97" s="29">
        <f t="shared" si="104"/>
        <v>0.16206666666666666</v>
      </c>
      <c r="CX97" s="28">
        <f>IFERROR(CU97*1000000/Storage!$K$12,"")</f>
        <v>750.57919547492361</v>
      </c>
      <c r="CY97" s="28">
        <f>IF($E97="","No Port",((F97/24/Shipping!$L$44+F97/24/Shipping!$L$50+Shipping!$L$59+Shipping!$L$64)*Carriers!$R$39*wacc_nl))</f>
        <v>36.259483910616936</v>
      </c>
      <c r="CZ97" s="29">
        <f>H2_retrieval!$J$25*h2_demand_kt/1000+(co2_liq_e_demand+co2_st_e_demand*2)*Storage!$K$12*co2_density/meoh_density/1000000</f>
        <v>251.05079059698966</v>
      </c>
      <c r="DA97" s="28">
        <f>IFERROR((((CO97+CQ97+CT97)*(1+H2_retrieval!$J$34)+CY97)*1000000/H2_retrieval!$J$8)+h2_regen_meoh,"")</f>
        <v>6091.2934839809122</v>
      </c>
      <c r="DB97" s="149">
        <f>(DBT_invest*(M97+1/DBT_lifetime)/DBT_prod+DBT_opex+DBT_e_demand*1000*$AU97/100+Carriers!$T$18/Carriers!$T$23*BD97)*(DD97+DBT_st_ab_losses)/1000000</f>
        <v>39541.074538019471</v>
      </c>
      <c r="DC97" s="28">
        <f>2*(DBT_st_nl_cost*DBT_st_nl_demand/1000000+(DBT_st_invest*(M97+1/DBT_st_lifetime+DBT_st_opex)/(Storage!$M$63/1000000)+DBT_st_e_demand*1000*$AU97/100)*(DD97+DBT_st_ab_losses)/1000000)+Carriers!$T$18/Carriers!$T$23*((DD97+DBT_st_ab_losses)/365.25*short_st_duration_hrs/24)*(h2_short_st_invest*(1/gh2_short_st_lifetime+$M97+h2_short_st_opex)+h2_short_st_e_demand*1000*$AU97/100)/1000000</f>
        <v>4144.7925490599637</v>
      </c>
      <c r="DD97" s="63">
        <f>Storage!$M$57/((1-Shipping!$N$37)^($F97/24/Shipping!$N$44+0.5*Shipping!$N$59))</f>
        <v>219354838.70967743</v>
      </c>
      <c r="DE97" s="28">
        <f>IF($E97="","No Port",IF(AND(ship_choice="VLCC",G97="Panama"),"Ship cannot pass through Panama",IF(ship_choice="VLCC",((F97/24/Shipping!$AD$44+F97/24/Shipping!$AD$50+Shipping!$AD$59+Shipping!$AD$64)*(Shipping!$AD$22+wacc_nl*Shipping!$AD$19/365.25*1000000+Shipping!$AD$35)+(F97/24/Shipping!$AD$44*Shipping!$AD$45+Shipping!$AD$64*Shipping!$AD$65)*IF(bunker_choice="HFO",$H97,IF(bunker_choice="hydrogen",$BD97*hfo_e_density_lhv/h2_e_density_lhv,(DB97+DC97)*1000000/DD97*hfo_e_density_lhv/DBT_e_density_lhv))+(F97/24/Shipping!$AD$50*Shipping!$AD$51+Shipping!$AD$59*Shipping!$AD$60)*IF(bunker_choice="HFO",bunker_price_ROT,IF(bunker_choice="hydrogen",$BD97*hfo_e_density_lhv/h2_e_density_lhv,(DB97+DC97)*1000000/DD97*hfo_e_density_lhv/DBT_e_density_lhv))+Shipping!$AD$73+IF(G97="Panama",Shipping!$AD$55,0)+IF(G97="Suez",Shipping!$AD$56,0))/Shipping!$AD$31*DD97/1000000+IF(inland_transport_to_port="hv dc grid",$BM97/100*1000*DG97,IF(inland_transport_to_port="pipeline",$BN97,0)),((F97/24/Shipping!$N$44+F97/24/Shipping!$N$50+Shipping!$N$59+Shipping!$N$64)*(Shipping!$N$22+wacc_nl*Shipping!$N$19/365.25*1000000+Shipping!$N$35)+(F97/24/Shipping!$N$44*Shipping!$N$45+Shipping!$N$64*Shipping!$N$65)*IF(bunker_choice="HFO",$H97,IF(bunker_choice="hydrogen",$BD97*hfo_e_density_lhv/h2_e_density_lhv,(DB97+DC97)*1000000/DD97*hfo_e_density_lhv/DBT_e_density_lhv))+(F97/24/Shipping!$N$50*Shipping!$N$51+Shipping!$N$59*Shipping!$N$60)*IF(bunker_choice="HFO",bunker_price_ROT,IF(bunker_choice="hydrogen",$BD97*hfo_e_density_lhv/h2_e_density_lhv,(DB97+DC97)*1000000/DD97*hfo_e_density_lhv/DBT_e_density_lhv))+Shipping!$N$73+IF(G97="Panama",Shipping!$N$55,0)+IF(G97="Suez",Shipping!$N$56,0))/Shipping!$N$31*Shipping!$N$86/1000000+IF(inland_transport_to_port="hv dc grid",$BM97/100*1000*DG97,IF(inland_transport_to_port="pipeline",$BN97,0)))))</f>
        <v>4178.7812101873906</v>
      </c>
      <c r="DF97" s="28">
        <f t="shared" si="82"/>
        <v>47864.648297266831</v>
      </c>
      <c r="DG97" s="29">
        <f>((Carriers!$T$18/Carriers!$T$23*alk_el_e_demand)+DBT_e_demand)*(DD97+DBT_st_ab_losses)/1000000+DBT_st_e_demand*DD97/1000000</f>
        <v>703.88335483870969</v>
      </c>
      <c r="DH97" s="29">
        <f t="shared" si="105"/>
        <v>0.21935483870967742</v>
      </c>
      <c r="DI97" s="28">
        <f>IFERROR(DF97*1000000/Storage!$M$12,"")</f>
        <v>218.20648488459878</v>
      </c>
      <c r="DJ97" s="28">
        <f>IF($E97="","No Port",((F97/24/Shipping!$N$44+F97/24/Shipping!$N$50+Shipping!$N$59+Shipping!$N$64)*Carriers!$T$39*wacc_nl))</f>
        <v>2640.8973481243102</v>
      </c>
      <c r="DK97" s="100">
        <f>H2_retrieval!$L$25*h2_demand_kt/1000+(co2_liq_e_demand+co2_st_e_demand*2)*Storage!$M$12*co2_density/DBT_density/1000000</f>
        <v>206.61934861671787</v>
      </c>
      <c r="DL97" s="28">
        <f>IFERROR(((DF97*(1+H2_retrieval!$L$34)+DJ97)*1000000/H2_retrieval!$L$8)+h2_regen_lohc,"")</f>
        <v>4184.2928427999077</v>
      </c>
      <c r="DM97" s="149">
        <f t="shared" si="127"/>
        <v>63237.112706675485</v>
      </c>
      <c r="DN97" s="16">
        <f>2*(nabh4_st_nl_cost*nabh4_st_nl_demand/1000000+(nabh4_st_invest*(M97+1/nabh4_st_lifetime+nabh4_st_opex)/(Storage!$O$63/1000000)+nabh4_st_e_demand*1000*$AU97/100)*(DO97+nabh4_st_ab_losses)/1000000)+(h2_demand_kt*1000/365.25*short_st_duration_hrs/24)*(h2_short_st_invest*(1/gh2_short_st_lifetime+$M97+h2_short_st_opex)+h2_short_st_e_demand*1000*$AU97/100)/1000000</f>
        <v>1487.1423419612775</v>
      </c>
      <c r="DO97" s="63">
        <f>Storage!$O$57/((1-Shipping!$P$37)^($F97/24/Shipping!$P$44+0.5*Shipping!$P$59))</f>
        <v>63920000</v>
      </c>
      <c r="DP97" s="16">
        <f>IF($E97="","No Port",((F97/24/Shipping!$P$44+F97/24/Shipping!$P$50+Shipping!$P$59+Shipping!$P$64)*(Shipping!$P$22+wacc_nl*Shipping!$P$19/365.25*1000000+Shipping!$P$35)+(F97/24/Shipping!$P$44*Shipping!$P$45+Shipping!$P$64*Shipping!$P$65)*IF(bunker_choice="HFO",$H97,IF(bunker_choice="hydrogen",$BD97*hfo_e_density_lhv/h2_e_density_lhv,(DM97+DN97)*1000000/DO97*hfo_e_density_lhv/nabh4_e_density_lhv))+(F97/24/Shipping!$P$50*Shipping!$P$51+Shipping!$P$59*Shipping!$P$60)*IF(bunker_choice="HFO",bunker_price_ROT,IF(bunker_choice="hydrogen",$BD97*hfo_e_density_lhv/h2_e_density_lhv,(DM97+DN97)*1000000/DO97*hfo_e_density_lhv/nabh4_e_density_lhv))+Shipping!$P$73+IF(G97="Panama",Shipping!$P$55,0)+IF(G97="Suez",Shipping!$P$56,0))/Shipping!$P$31*(DO97+nabh4_st_ab_losses)/1000000+IF(inland_transport_to_port="hv dc grid",$BM97/100*1000*DR97,IF(inland_transport_to_port="pipeline",$BN97,0)))</f>
        <v>1873.9171415060357</v>
      </c>
      <c r="DQ97" s="28">
        <f t="shared" si="60"/>
        <v>66598.172190142795</v>
      </c>
      <c r="DR97" s="29">
        <f>((Carriers!$V$18/Carriers!$V$23*alk_el_e_demand)+nabh4_e_demand)*(DO97+nabh4_st_ab_losses)/1000000+nabh4_st_e_demand*DO97/1000000</f>
        <v>980.02139682539689</v>
      </c>
      <c r="DS97" s="28">
        <f t="shared" si="106"/>
        <v>3.1960000000000002</v>
      </c>
      <c r="DT97" s="28">
        <f>IFERROR(DQ97*1000000/Storage!$O$12,"")</f>
        <v>1041.8988139884666</v>
      </c>
      <c r="DU97" s="28">
        <f>IF($E97="","No Port",((F97/24/Shipping!$P$44+F97/24/Shipping!$P$50+Shipping!$P$59+Shipping!$P$64)*Carriers!$V$39*wacc_nl))</f>
        <v>258.82590252846541</v>
      </c>
      <c r="DV97" s="100">
        <f>H2_retrieval!$N$25*h2_demand_kt/1000+(co2_liq_e_demand+co2_st_e_demand*2)*Storage!$O$12*co2_density/nabh4_density/1000000</f>
        <v>18.783638728971958</v>
      </c>
      <c r="DW97" s="28">
        <f>IFERROR(((DQ97*(1+H2_retrieval!$N$34)+DU97)*1000000/H2_retrieval!$N$8)+h2_regen_nabh4,"")</f>
        <v>5020.7684410737365</v>
      </c>
      <c r="DX97" s="149">
        <f>(Dme_invest*(M97+1/Dme_lifetime)/Dme_prod+Dme_opex+Dme_e_demand*1000*$AU97/100+Carriers!$X$21/Carriers!$X$23*(CO97*1000000/CS97))*(EB97+Dme_st_ab_losses)/1000000</f>
        <v>83925.643944880852</v>
      </c>
      <c r="DY97" s="86">
        <f>(Dme_invest*(M97+1/Dme_lifetime)/Dme_prod+Dme_opex+Dme_e_demand*1000*$AU97/100+Carriers!$X$21/Carriers!$X$23*(CP97*1000000/CS97))*(EB97+Dme_st_ab_losses)/1000000</f>
        <v>107112.89012212453</v>
      </c>
      <c r="DZ97" s="63">
        <f>Dme_st_nl_cost*Dme_st_nl_demand/1000000+(Dme_st_invest*(M97+1/Dme_st_lifetime+Dme_st_opex)/(Storage!$Q$63/1000000)+Dme_st_e_demand*1000*$AU97/100)*(EB97+Dme_st_ab_losses)/1000000+co2_st_nl_cost*Storage!$Q$12*co2_density/Dme_density/1000000+(co2_st_opex_lev+co2_st_invest_lev+co2_st_e_demand*1000*$AU97/100)*Storage!$Q$12/1000000+co2_st_invest_lev*Storage!$Q$12*co2_st_lifetime*M97/1000000+(h2_demand_kt*1000/365.25*short_st_duration_hrs/24)*(h2_short_st_invest*(1/gh2_short_st_lifetime+$M97+h2_short_st_opex)+h2_short_st_e_demand*1000*$AU97/100)/1000000</f>
        <v>6079.2321276537759</v>
      </c>
      <c r="EA97" s="63">
        <f>Dme_st_nl_cost*Dme_st_nl_demand/1000000+(Dme_st_invest*(M97+1/Dme_st_lifetime+Dme_st_opex)/(Storage!$Q$63/1000000)+Dme_st_e_demand*1000*$AU97/100)*(EB97+Dme_st_ab_losses)/1000000+(h2_demand_kt*1000/365.25*short_st_duration_hrs/24)*(h2_short_st_invest*(1/gh2_short_st_lifetime+$M97+h2_short_st_opex)+h2_short_st_e_demand*1000*$AU97/100)/1000000</f>
        <v>3025.2667365502298</v>
      </c>
      <c r="EB97" s="63">
        <f>Storage!$Q$57/((1-Shipping!$R$37)^($F97/24/Shipping!$R$44+0.5*Shipping!$R$59))</f>
        <v>103547089.94708996</v>
      </c>
      <c r="EC97" s="153">
        <f>IF($E97="","No Port",IF(AND(ship_choice="VLCC",G97="Panama"),"Ship cannot pass through Panama",IF(ship_choice="VLCC",((F97/24/Shipping!$AD$44+F97/24/Shipping!$AD$50+Shipping!$AD$59+Shipping!$AD$64)*(Shipping!$AD$22+wacc_nl*Shipping!$AD$19/365.25*1000000+Shipping!$AD$35)+(F97/24/Shipping!$AD$44*Shipping!$AD$45+Shipping!$AD$64*Shipping!$AD$65)*IF(bunker_choice="HFO",$H97,IF(bunker_choice="hydrogen",$BD97*hfo_e_density_lhv/h2_e_density_lhv,(DX97+DZ97)*1000000/EB97*hfo_e_density_lhv/Dme_e_density_lhv))+(F97/24/Shipping!$AD$50*Shipping!$AD$51+Shipping!$AD$59*Shipping!$AD$60)*IF(bunker_choice="HFO",bunker_price_ROT,IF(bunker_choice="hydrogen",$BD97*hfo_e_density_lhv/h2_e_density_lhv,(DX97+DZ97)*1000000/EB97*hfo_e_density_lhv/Dme_e_density_lhv))+Shipping!$AD$73+IF(G97="Panama",Shipping!$AD$55,0)+IF(G97="Suez",Shipping!$AD$56,0))/Shipping!$AD$31*(EB97+Dme_st_ab_losses)/1000000+IF(inland_transport_to_port="hv dc grid",$BM97/100*1000*EE97,IF(inland_transport_to_port="pipeline",$BN97,0)),((F97/24/Shipping!$R$44+F97/24/Shipping!$R$50+Shipping!$R$59+Shipping!$R$64)*(Shipping!$R$22+wacc_nl*Shipping!$R$19/365.25*1000000+Shipping!$R$35)+(F97/24/Shipping!$R$44*Shipping!$R$45+Shipping!$R$64*Shipping!$R$65)*IF(bunker_choice="HFO",$H97,IF(bunker_choice="hydrogen",$BD97*hfo_e_density_lhv/h2_e_density_lhv,(DX97+DZ97)*1000000/EB97*hfo_e_density_lhv/Dme_e_density_lhv))+(F97/24/Shipping!$R$50*Shipping!$R$51+Shipping!$R$59*Shipping!$R$60)*IF(bunker_choice="HFO",bunker_price_ROT,IF(bunker_choice="hydrogen",$BD97*hfo_e_density_lhv/h2_e_density_lhv,(DX97+DZ97)*1000000/EB97*hfo_e_density_lhv/Dme_e_density_lhv))+Shipping!$R$73+IF(G97="Panama",Shipping!$R$55,0)+IF(G97="Suez",Shipping!$R$56,0))/Shipping!$R$31*(EB97+Dme_st_ab_losses)/1000000+IF(inland_transport_to_port="hv dc grid",$BM97/100*1000*EE97,IF(inland_transport_to_port="pipeline",$BN97,0)))))</f>
        <v>2801.1729025329596</v>
      </c>
      <c r="ED97" s="28">
        <f t="shared" si="134"/>
        <v>112939.32976120771</v>
      </c>
      <c r="EE97" s="29">
        <f>(Dme_e_demand)*(EB97+Dme_st_ab_losses)/1000000+Dme_st_e_demand*DZ97/1000000+$CV97*(Carriers!$X$21/Carriers!$X$23*EB97)/$CS97</f>
        <v>1550.2168209593772</v>
      </c>
      <c r="EF97" s="29">
        <f t="shared" si="107"/>
        <v>1.0354708994708997</v>
      </c>
      <c r="EG97" s="28">
        <f>IFERROR(ED97*1000000/Storage!$Q$12,"")</f>
        <v>1090.7050098551003</v>
      </c>
      <c r="EH97" s="28">
        <f>IF($E97="","No Port",((F97/24/Shipping!$R$44+F97/24/Shipping!$R$50+Shipping!$R$59+Shipping!$R$64)*Carriers!$X$39*wacc_nl))</f>
        <v>36.731737681012099</v>
      </c>
      <c r="EI97" s="100">
        <f>H2_retrieval!$P$25*h2_demand_kt/1000+(co2_liq_e_demand+co2_st_e_demand*2)*Storage!$Q$12*co2_density/Dme_density/1000000</f>
        <v>252.45335899349112</v>
      </c>
      <c r="EJ97" s="28">
        <f>IFERROR((((DX97+DZ97+EC97)*(1+H2_retrieval!$P$34)+EH97)*1000000/H2_retrieval!$P$8)+h2_regen_dme,"")</f>
        <v>7996.8035956040994</v>
      </c>
      <c r="EK97" s="149">
        <f>(ome_invest*(M97+1/ome_lifetime)/ome_prod+ome_opex+ome_e_demand*1000*$AU97/100+Carriers!$Z$21/Carriers!$Z$23*(CO97*1000000/CS97))*(EO97+ome_st_ab_losses)/1000000</f>
        <v>184162.29927184212</v>
      </c>
      <c r="EL97" s="86">
        <f>(ome_invest*(M97+1/ome_lifetime)/ome_prod+ome_opex+ome_e_demand*1000*$AU97/100+Carriers!$Z$21/Carriers!$Z$23*(CP97*1000000/CS97))*(EO97+ome_st_ab_losses)/1000000</f>
        <v>232836.84269755293</v>
      </c>
      <c r="EM97" s="63">
        <f>ome_st_nl_cost*ome_st_nl_demand/1000000+(ome_st_invest*(M97+1/ome_st_lifetime+ome_st_opex)/(Storage!$S$63/1000000)+ome_st_e_demand*1000*$AU97/100)*(EO97+ome_st_ab_losses)/1000000+co2_st_nl_cost*Storage!$S$12*co2_density/ome_density/1000000+(co2_st_opex_lev+co2_st_invest_lev+co2_st_e_demand*1000*$AU97/100)*Storage!$S$12/1000000+co2_st_invest_lev*Storage!$S$12*co2_st_lifetime*M97/1000000+(h2_demand_kt*1000/365.25*short_st_duration_hrs/24)*(h2_short_st_invest*(1/gh2_short_st_lifetime+$M97+h2_short_st_opex)+h2_short_st_e_demand*1000*$AU97/100)/1000000</f>
        <v>5255.3350468157869</v>
      </c>
      <c r="EN97" s="63">
        <f>ome_st_nl_cost*ome_st_nl_demand/1000000+(ome_st_invest*(M97+1/ome_st_lifetime+ome_st_opex)/(Storage!$S$63/1000000)+ome_st_e_demand*1000*$AU97/100)*(EO97+ome_st_ab_losses)/1000000+(h2_demand_kt*1000/365.25*short_st_duration_hrs/24)*(h2_short_st_invest*(1/gh2_short_st_lifetime+$M97+h2_short_st_opex)+h2_short_st_e_demand*1000*$AU97/100)/1000000</f>
        <v>1810.8026757574444</v>
      </c>
      <c r="EO97" s="63">
        <f>Storage!$S$57/((1-Shipping!$T$37)^($F97/24/Shipping!$T$44+0.5*Shipping!$T$59))</f>
        <v>128282539.68253967</v>
      </c>
      <c r="EP97" s="28">
        <f>IF($E97="","No Port",IF(AND(ship_choice="VLCC",G97="Panama"),"Ship cannot pass through Panama",IF(ship_choice="VLCC",((F97/24/Shipping!$AD$44+F97/24/Shipping!$AD$50+Shipping!$AD$59+Shipping!$AD$64)*(Shipping!$AD$22+wacc_nl*Shipping!$AD$19/365.25*1000000+Shipping!$AD$35)+(F97/24/Shipping!$AD$44*Shipping!$AD$45+Shipping!$AD$64*Shipping!$AD$65)*IF(bunker_choice="HFO",$H97,IF(bunker_choice="hydrogen",$BD97*hfo_e_density_lhv/h2_e_density_lhv,(EK97+EM97)*1000000/EO97*hfo_e_density_lhv/Dme_e_density_lhv))+(F97/24/Shipping!$AD$50*Shipping!$AD$51+Shipping!$AD$59*Shipping!$AD$60)*IF(bunker_choice="HFO",bunker_price_ROT,IF(bunker_choice="hydrogen",$BD97*hfo_e_density_lhv/h2_e_density_lhv,(EK97+EM97)*1000000/EO97*hfo_e_density_lhv/ome_e_density_lhv))+Shipping!$AD$73+IF(G97="Panama",Shipping!$AD$55,0)+IF(G97="Suez",Shipping!$AD$56,0))/Shipping!$AD$31*(EO97+ome_st_ab_losses)/1000000+IF(inland_transport_to_port="hv dc grid",$BM97/100*1000*ER97,IF(inland_transport_to_port="pipeline",$BN97,0)),((F97/24/Shipping!$T$44+F97/24/Shipping!$T$50+Shipping!$T$59+Shipping!$T$64)*(Shipping!$T$22+wacc_nl*Shipping!$T$19/365.25*1000000+Shipping!$T$35)+(F97/24/Shipping!$T$44*Shipping!$T$45+Shipping!$T$64*Shipping!$T$65)*IF(bunker_choice="HFO",$H97,IF(bunker_choice="hydrogen",$BD97*hfo_e_density_lhv/h2_e_density_lhv,(EK97+EM97)*1000000/EO97*hfo_e_density_lhv/Dme_e_density_lhv))+(F97/24/Shipping!$T$50*Shipping!$T$51+Shipping!$T$59*Shipping!$T$60)*IF(bunker_choice="HFO",bunker_price_ROT,IF(bunker_choice="hydrogen",$BD97*hfo_e_density_lhv/h2_e_density_lhv,(EK97+EM97)*1000000/EO97*hfo_e_density_lhv/ome_e_density_lhv))+Shipping!$T$73+IF(G97="Panama",Shipping!$T$55,0)+IF(G97="Suez",Shipping!$T$56,0))/Shipping!$T$31*(EO97+ome_st_ab_losses)/1000000+IF(inland_transport_to_port="hv dc grid",$BM97/100*1000*ER97,IF(inland_transport_to_port="pipeline",$BN97,0)))))</f>
        <v>2934.9912559662171</v>
      </c>
      <c r="EQ97" s="28">
        <f t="shared" si="135"/>
        <v>237582.63662927659</v>
      </c>
      <c r="ER97" s="29">
        <f>(ome_e_demand)*(EO97+ome_st_ab_losses)/1000000+ome_st_e_demand*EM97/1000000+$CV97*(Carriers!$Z$21/Carriers!$Z$23*EO97)/$CS97</f>
        <v>3352.0814580237861</v>
      </c>
      <c r="ES97" s="29">
        <f t="shared" si="108"/>
        <v>0.1924238095238095</v>
      </c>
      <c r="ET97" s="28">
        <f>IFERROR(EQ97*1000000/Storage!$S$12,"")</f>
        <v>1852.0262945933364</v>
      </c>
      <c r="EU97" s="28">
        <f>IF($E97="","No Port",((F97/24/Shipping!$T$44+F97/24/Shipping!$T$50+Shipping!$T$59+Shipping!$T$64)*Carriers!$Z$39*wacc_nl))</f>
        <v>43.051345282485741</v>
      </c>
      <c r="EV97" s="100">
        <f>H2_retrieval!$R$25*h2_demand_kt/1000+(co2_liq_e_demand+co2_st_e_demand*2)*Storage!$S$12*co2_density/ome_density/1000000</f>
        <v>254.51942895252085</v>
      </c>
      <c r="EW97" s="28">
        <f>IFERROR((((EK97+EM97+EP97)*(1+H2_retrieval!$R$34)+EU97)*1000000/H2_retrieval!$R$8)+h2_regen_ome,"")</f>
        <v>15316.869493189248</v>
      </c>
      <c r="EX97" s="149">
        <f>(sng_invest*(M97+1/sng_lifetime)/sng_prod+lng_invest*(M97+1/lng_lifetime)/lng_prod+sng_opex+lng_opex+(sng_e_demand+lng_e_demand)*1000*$AU97/100+Carriers!$AB$18/Carriers!$AB$23*BD97+Carriers!$AB$20/Carriers!$AB$23*co2_liq_cost)*(FB97+lng_st_ab_losses)/1000000</f>
        <v>64014.381094920311</v>
      </c>
      <c r="EY97" s="86">
        <f>(sng_invest*(M97+1/sng_lifetime)/sng_prod+lng_invest*(M97+1/lng_lifetime)/lng_prod+sng_opex+lng_opex+(sng_e_demand+lng_e_demand)*1000*$AU97/100+Carriers!$AB$18/Carriers!$AB$23*BD97+Carriers!$AB$20/Carriers!$AB$23*BP97)*(FB97+lng_st_ab_losses)/1000000</f>
        <v>76708.898097998637</v>
      </c>
      <c r="EZ97" s="63">
        <f>lng_st_nl_cost*lng_st_nl_demand/1000000+(lng_st_invest*(M97+1/lng_st_lifetime+lng_st_opex)/(Storage!$U$63/1000000)+lng_st_e_demand*1000*$AU97/100)*(FB97+lng_st_ab_losses)/1000000+co2_st_nl_cost*Storage!$U$12*co2_density/lng_density/1000000+(co2_st_opex_lev+co2_st_invest_lev+co2_st_e_demand*1000*$AU97/100)*Storage!$U$12/1000000+co2_st_invest_lev*Storage!$U$12*co2_st_lifetime*M97/1000000+Carriers!$AB$18/Carriers!$AB$23*((FB97+lng_st_ab_losses)/365.25*short_st_duration_hrs/24)*(h2_short_st_invest*(1/gh2_short_st_lifetime+$M97+h2_short_st_opex)+h2_short_st_e_demand*1000*$AU97/100)/1000000+Carriers!$AB$20/Carriers!$AB$23*((FB97+lng_st_ab_losses)/365.25*short_st_duration_hrs/24)*(co2_short_st_invest*(1/co2_short_st_lifetime+$M97+co2_short_st_opex)+co2_short_st_e_demand*1000*$AU97/100)/1000000</f>
        <v>6335.1045361503811</v>
      </c>
      <c r="FA97" s="63">
        <f>lng_st_nl_cost*lng_st_nl_demand/1000000+(lng_st_invest*(M97+1/lng_st_lifetime+lng_st_opex)/(Storage!$U$63/1000000)+lng_st_e_demand*1000*$AU97/100)*(FB97+lng_st_ab_losses)/1000000+Carriers!$AB$18/Carriers!$AB$23*((FB97+lng_st_ab_losses)/365.25*short_st_duration_hrs/24)*(h2_short_st_invest*(1/gh2_short_st_lifetime+$M97+h2_short_st_opex)+h2_short_st_e_demand*1000*$AU97/100)/1000000+Carriers!$AB$20/Carriers!$AB$23*((FB97+lng_st_ab_losses)/365.25*short_st_duration_hrs/24)*(co2_short_st_invest*(1/co2_short_st_lifetime+$M97+co2_short_st_opex)+co2_short_st_e_demand*1000*$AU97/100)/1000000</f>
        <v>4700.4485181690907</v>
      </c>
      <c r="FB97" s="63">
        <f>Storage!$U$57/((1-Shipping!$V$37)^($F97/24/Shipping!$V$44+0.5*Shipping!$V$59))</f>
        <v>40889142.400625445</v>
      </c>
      <c r="FC97" s="28">
        <f>IF($E97="","No Port",IF(G97="Panama","Ship cannot pass through Panama",((F97/24/Shipping!$V$44+F97/24/Shipping!$V$50+Shipping!$V$59+Shipping!$V$64)*(Shipping!$V$22+wacc_nl*Shipping!$V$19/365.25*1000000+Shipping!$V$35)+(F97/24/Shipping!$V$44*Shipping!$V$45+Shipping!$V$64*Shipping!$V$65)*IF(bunker_choice="HFO",$H97,IF(bunker_choice="hydrogen",$BD97*hfo_e_density_lhv/h2_e_density_lhv,(EX97+EZ97)*1000000/FB97*hfo_e_density_lhv/lng_e_density_lhv))+(F97/24/Shipping!$V$50*Shipping!$V$51+Shipping!$V$59*Shipping!$V$60)*IF(bunker_choice="HFO",bunker_price_ROT,IF(bunker_choice="hydrogen",$BD97*hfo_e_density_lhv/h2_e_density_lhv,(EX97+EZ97)*1000000/FB97*hfo_e_density_lhv/lng_e_density_lhv))+Shipping!$V$73+IF(G97="Panama",Shipping!$V$55,0)+IF(G97="Suez",Shipping!$V$56,0))/Shipping!$V$31*(FB97+lng_st_ab_losses)/1000000)+IF(inland_transport_to_port="hv dc grid",$BM97/100*1000*FE97,IF(inland_transport_to_port="pipeline",$BN97,0)))</f>
        <v>1725.969639941761</v>
      </c>
      <c r="FD97" s="28">
        <f t="shared" si="136"/>
        <v>83135.31625610948</v>
      </c>
      <c r="FE97" s="29">
        <f>((Carriers!$AB$18/Carriers!$AB$23*alk_el_e_demand)+sng_e_demand+lng_e_demand)*(FB97+lng_st_ab_losses)/1000000+lng_st_e_demand*EZ97/1000000</f>
        <v>1096.6250607077441</v>
      </c>
      <c r="FF97" s="29">
        <f t="shared" si="109"/>
        <v>0.8126185861001558</v>
      </c>
      <c r="FG97" s="28">
        <f>IFERROR(FD97*1000000/Storage!$U$12,"")</f>
        <v>2048.4687594394936</v>
      </c>
      <c r="FH97" s="28">
        <f>IF($E97="","No Port",((F97/24/Shipping!$V$44+F97/24/Shipping!$V$50+Shipping!$V$59+Shipping!$V$64)*Carriers!$AB$39*wacc_nl))</f>
        <v>13.066611129618554</v>
      </c>
      <c r="FI97" s="100">
        <f>H2_retrieval!$T$25*h2_demand_kt/1000+(co2_liq_e_demand+co2_st_e_demand*2)*Storage!$U$12*co2_density/lng_density/1000000</f>
        <v>236.51371749646054</v>
      </c>
      <c r="FJ97" s="28">
        <f>IFERROR((((EX97+EZ97+FC97)*(1+H2_retrieval!$T$34)+FH97)*1000000/H2_retrieval!$T$8)+h2_regen_lng,"")</f>
        <v>6470.7551521771511</v>
      </c>
      <c r="FK97" s="149">
        <f>(lh2_invest*(M97+1/lh2_lifetime)/lh2_prod+lh2_opex+lh2_e_demand*1000*$AU97/100+Carriers!$AD$18/Carriers!$AD$23*BD97)*(FM97+lh2_st_ab_losses)/1000000</f>
        <v>51076.409643884377</v>
      </c>
      <c r="FL97" s="28">
        <f>lh2_st_nl_cost*lh2_st_nl_demand/1000000+(lh2_st_invest*(M97+1/lh2_st_lifetime+lh2_st_opex)/(Storage!$Y$63/1000000)+lh2_st_e_demand*1000*$AU97/100)*(FM97+lh2_st_ab_losses)/1000000+((FM97+lh2_st_ab_losses)/365.25*short_st_duration_hrs/24)*(h2_short_st_invest*(1/gh2_short_st_lifetime+$M97+h2_short_st_opex)+h2_short_st_e_demand*1000*$AU97/100)/1000000</f>
        <v>54398.494548373703</v>
      </c>
      <c r="FM97" s="63">
        <f>Storage!$Y$57/((1-Shipping!$Z$37)^($F97/24/Shipping!$Z$44+0.5*Shipping!$Z$59))</f>
        <v>13757820.942436825</v>
      </c>
      <c r="FN97" s="28">
        <f>IF($E97="","No Port",IF(G97="Panama","Ship cannot pass through Panama",((F97/24/Shipping!$Z$44+F97/24/Shipping!$Z$50+Shipping!$Z$59+Shipping!$Z$64)*(Shipping!$Z$22+wacc_nl*Shipping!$Z$19/365.25*1000000+Shipping!$Z$35)+(F97/24/Shipping!$Z$44*Shipping!$Z$45+Shipping!$Z$64*Shipping!$Z$65)*IF(bunker_choice="HFO",$H97,IF(bunker_choice="hydrogen",$BD97*hfo_e_density_lhv/h2_e_density_lhv,(FK97+FL97)*1000000/FM97*hfo_e_density_lhv/lh2_e_density_lhv))+(F97/24/Shipping!$Z$50*Shipping!$Z$51+Shipping!$Z$59*Shipping!$Z$60)*IF(bunker_choice="HFO",bunker_price_ROT,IF(bunker_choice="hydrogen",$BD97*hfo_e_density_lhv/h2_e_density_lhv,(FK97+FL97)*1000000/FM97*hfo_e_density_lhv/lh2_e_density_lhv))+Shipping!$Z$73+IF(G97="Panama",Shipping!$Z$55,0)+IF(G97="Suez",Shipping!$Z$56,0))/Shipping!$Z$31*(FM97+lh2_st_ab_losses)/1000000)+IF(inland_transport_to_port="hv dc grid",$BM97/100*1000*FP97,IF(inland_transport_to_port="pipeline",$BN97,0)))</f>
        <v>2280.8542269805321</v>
      </c>
      <c r="FO97" s="28">
        <f t="shared" si="128"/>
        <v>107755.75841923861</v>
      </c>
      <c r="FP97" s="29">
        <f>((Carriers!$AD$18/Carriers!$AD$23*alk_el_e_demand)+lh2_e_demand)*(FM97+lh2_st_ab_losses)/1000000+lh2_st_e_demand*FM97/1000000</f>
        <v>797.26415108882281</v>
      </c>
      <c r="FQ97" s="100">
        <f t="shared" si="110"/>
        <v>1.361902463475859</v>
      </c>
      <c r="FR97" s="28">
        <f>IFERROR(FO97*1000000/Storage!$Y$12,"")</f>
        <v>7923.2175308263686</v>
      </c>
      <c r="FS97" s="100">
        <f>H2_retrieval!$V$25*h2_demand_kt/1000</f>
        <v>8.16</v>
      </c>
      <c r="FT97" s="28">
        <f>IFERROR(FR97*(1+H2_retrieval!$V$34)/Carrier_properties!$U$7+H2_retrieval!$V$38,"")</f>
        <v>7955.1862566948357</v>
      </c>
      <c r="FU97" s="12"/>
      <c r="FV97" s="24">
        <f t="shared" si="129"/>
        <v>2.3266285985658905</v>
      </c>
      <c r="FW97" s="24">
        <f t="shared" si="143"/>
        <v>5.0576307596433212</v>
      </c>
      <c r="FX97" s="24">
        <f t="shared" si="144"/>
        <v>7.8612239520504916</v>
      </c>
      <c r="FY97" s="24">
        <f t="shared" si="130"/>
        <v>2.3266285985658905</v>
      </c>
      <c r="FZ97" s="28">
        <f t="shared" si="145"/>
        <v>2663.1254947920779</v>
      </c>
      <c r="GA97" s="28">
        <f t="shared" si="137"/>
        <v>626.34562715184325</v>
      </c>
      <c r="GB97" s="28">
        <f t="shared" si="138"/>
        <v>454.52507833958407</v>
      </c>
      <c r="GC97" s="28">
        <f t="shared" si="139"/>
        <v>706.60909561853134</v>
      </c>
      <c r="GD97" s="28">
        <f t="shared" si="140"/>
        <v>1034.4365078425344</v>
      </c>
      <c r="GE97" s="28">
        <f t="shared" si="141"/>
        <v>1815.0314397715651</v>
      </c>
      <c r="GF97" s="28">
        <f t="shared" si="142"/>
        <v>1876.0212025582932</v>
      </c>
      <c r="GG97" s="12"/>
      <c r="GH97" s="12"/>
      <c r="GI97" s="12"/>
      <c r="GJ97" s="12"/>
      <c r="GK97" s="12"/>
      <c r="GL97" s="12"/>
      <c r="GM97" s="12"/>
      <c r="GN97" s="12"/>
      <c r="GO97" s="12"/>
      <c r="GP97" s="12"/>
      <c r="GQ97" s="12"/>
      <c r="GR97" s="12"/>
      <c r="GS97" s="12"/>
      <c r="GT97" s="12"/>
      <c r="GU97" s="12"/>
      <c r="GV97" s="12"/>
      <c r="GW97" s="12"/>
      <c r="GX97" s="12"/>
      <c r="GY97" s="12"/>
      <c r="GZ97" s="12"/>
      <c r="HA97" s="12"/>
      <c r="HB97" s="12"/>
      <c r="HC97" s="12"/>
      <c r="HD97" s="12"/>
      <c r="HE97" s="12"/>
      <c r="HF97" s="12"/>
    </row>
    <row r="98" spans="1:214" x14ac:dyDescent="0.2">
      <c r="A98" s="154" t="s">
        <v>101</v>
      </c>
      <c r="B98" s="12">
        <v>8399</v>
      </c>
      <c r="C98" s="12">
        <v>0.9</v>
      </c>
      <c r="D98" s="12">
        <f t="shared" si="111"/>
        <v>9.9999999999999978E-2</v>
      </c>
      <c r="E98" s="12" t="s">
        <v>758</v>
      </c>
      <c r="F98" s="12">
        <v>7238</v>
      </c>
      <c r="G98" s="12"/>
      <c r="H98" s="16">
        <f t="shared" si="112"/>
        <v>382.75862068965517</v>
      </c>
      <c r="I98" s="16">
        <v>786380</v>
      </c>
      <c r="J98" s="16">
        <f t="shared" si="113"/>
        <v>500.31243068427688</v>
      </c>
      <c r="K98" s="27">
        <f t="shared" si="114"/>
        <v>600.37491682113227</v>
      </c>
      <c r="L98" s="103">
        <v>0.16200000000000001</v>
      </c>
      <c r="M98" s="103">
        <f t="shared" si="115"/>
        <v>0.15598565842463885</v>
      </c>
      <c r="N98" s="122">
        <f t="shared" si="116"/>
        <v>0.85</v>
      </c>
      <c r="O98" s="46">
        <f t="shared" si="117"/>
        <v>40</v>
      </c>
      <c r="P98" s="70">
        <f t="array" ref="P98">SUMPRODUCT(IF(Solar_data!A$4:A$777=A98,Solar_data!C$4:C$777),IF(Solar_data!A$4:A$777=A98,Solar_data!I$4:I$777))/SUMIF(Solar_data!A$4:A$777,A98,Solar_data!I$4:I$777)</f>
        <v>2102.6786019263577</v>
      </c>
      <c r="Q98" s="16">
        <f t="array" ref="Q98">MAX(IF(Solar_data!$A$777:'Solar_data'!$A$4=Country_details!$A98,Solar_data!$C$4:'Solar_data'!$C$777))</f>
        <v>2281.25</v>
      </c>
      <c r="R98" s="16">
        <f t="array" ref="R98">MIN(IF(Solar_data!$A$777:'Solar_data'!$A$4=Country_details!A98,Solar_data!$C$4:'Solar_data'!$C$777))</f>
        <v>1916.25</v>
      </c>
      <c r="S98" s="24">
        <f t="shared" si="95"/>
        <v>2.69753804550799</v>
      </c>
      <c r="T98" s="24">
        <f t="shared" si="96"/>
        <v>2.4863805046232987</v>
      </c>
      <c r="U98" s="24">
        <f t="shared" si="97"/>
        <v>2.9599767912182129</v>
      </c>
      <c r="V98" s="16">
        <f t="array" ref="V98">SUM(IF(Solar_data!$A$777:'Solar_data'!$A$4=Country_details!$A98,Solar_data!$I$4:'Solar_data'!$I$777))</f>
        <v>6317.8050675467548</v>
      </c>
      <c r="W98" s="148"/>
      <c r="X98" s="16" t="str">
        <f>IFERROR(INDEX(Onshore_wind_data!$J$5:'Onshore_wind_data'!$J$221,MATCH(A98,Onshore_wind_data!$B$5:'Onshore_wind_data'!$B$221,0)),"")</f>
        <v/>
      </c>
      <c r="Y98" s="16" t="str">
        <f>IFERROR(INDEX(Onshore_wind_data!$K$5:'Onshore_wind_data'!$K$221,MATCH(A98,Onshore_wind_data!$B$5:'Onshore_wind_data'!$B$221,0)),"")</f>
        <v/>
      </c>
      <c r="Z98" s="16" t="str">
        <f>IFERROR(INDEX(Onshore_wind_data!$L$5:'Onshore_wind_data'!$L$221,MATCH(A98,Onshore_wind_data!$B$5:'Onshore_wind_data'!$B$221,0)),"")</f>
        <v/>
      </c>
      <c r="AA98" s="24" t="str">
        <f t="shared" si="118"/>
        <v/>
      </c>
      <c r="AB98" s="24" t="str">
        <f t="shared" si="119"/>
        <v/>
      </c>
      <c r="AC98" s="24" t="str">
        <f t="shared" si="120"/>
        <v/>
      </c>
      <c r="AD98" s="16">
        <f>IFERROR(INDEX(Onshore_wind_data!$I$5:'Onshore_wind_data'!$I$221,MATCH(A98,Onshore_wind_data!$B$5:'Onshore_wind_data'!$B$221,0)),"")</f>
        <v>0</v>
      </c>
      <c r="AE98" s="148"/>
      <c r="AF98" s="16">
        <f>INDEX(Offshore_wind_data!$AA$7:$AA$192,MATCH(Country_details!A98,Offshore_wind_data!$A$7:$A$192,0))</f>
        <v>3550.7648913640282</v>
      </c>
      <c r="AG98" s="16">
        <f>INDEX(Offshore_wind_data!$Y$7:$Y$192,MATCH(Country_details!A98,Offshore_wind_data!$A$7:$A$192,0))</f>
        <v>4204.8</v>
      </c>
      <c r="AH98" s="16">
        <f>INDEX(Offshore_wind_data!$Z$7:$Z$192,MATCH(Country_details!A98,Offshore_wind_data!$A$7:$A$192,0))</f>
        <v>3153.6</v>
      </c>
      <c r="AI98" s="24">
        <f t="shared" si="98"/>
        <v>8.9101906624112441</v>
      </c>
      <c r="AJ98" s="24">
        <f t="shared" si="99"/>
        <v>7.5242561309573439</v>
      </c>
      <c r="AK98" s="24">
        <f t="shared" si="100"/>
        <v>10.032341507943125</v>
      </c>
      <c r="AL98" s="16">
        <f>INDEX(Offshore_wind_data!$W$7:$W$191,MATCH(A98,Offshore_wind_data!$A$7:$A$191,0))</f>
        <v>1810.7480640000001</v>
      </c>
      <c r="AM98" s="148"/>
      <c r="AN98" s="12">
        <v>29.6</v>
      </c>
      <c r="AO98" s="12">
        <v>67.8</v>
      </c>
      <c r="AP98" s="34">
        <f>0.407*11.63</f>
        <v>4.7334100000000001</v>
      </c>
      <c r="AQ98" s="15">
        <f t="shared" si="101"/>
        <v>50</v>
      </c>
      <c r="AR98" s="12">
        <f t="shared" si="131"/>
        <v>3390</v>
      </c>
      <c r="AS98" s="16">
        <f t="shared" si="121"/>
        <v>4738.5531315467551</v>
      </c>
      <c r="AT98" s="12"/>
      <c r="AU98" s="24">
        <f t="shared" si="122"/>
        <v>2.69753804550799</v>
      </c>
      <c r="AV98" s="16">
        <f t="shared" si="123"/>
        <v>2102.6786019263577</v>
      </c>
      <c r="AW98" s="149">
        <f>HV_DC_Grid!$E$3/(1-AX98)*AU98/100*1000</f>
        <v>3235.364929839207</v>
      </c>
      <c r="AX98" s="31">
        <f>(1-(1-HV_DC_Grid!$E$25)^(B98*C98*HV_DC_Grid!$E$8/1000))+(1-(1-HV_DC_Grid!$E$26)^(B98*D98*HV_DC_Grid!$E$8/1000))+HV_DC_Grid!$E$35*HV_DC_Grid!$E$28</f>
        <v>0.16623376218581509</v>
      </c>
      <c r="AY98" s="28">
        <f>B98*nl_e_demand/IF(hv_dc_flh="electricity FLH",$AV98,hv_dc_custom)*1000*hv_dc_capacity_multiplier*hv_dc_length_multiplier*1000*(C98*hv_dc_overhead_invest*(hv_dc_overhead_opex+M98+1/hv_dc_lifetime)+D98*hv_dc_sea_invest*(hv_dc_sea_opex+M98+1/hv_dc_lifetime))/1000000+HV_DC_Grid!$E$10*1000*hv_dc_station_invest*hv_dc_station_number*(hv_dc_station_opex+M98+1/hv_dc_lifetime)/1000000</f>
        <v>10816.986583987868</v>
      </c>
      <c r="AZ98" s="24">
        <f>(AW98+AY98)/(HV_DC_Grid!$E$3*1000)*100</f>
        <v>14.052351513827075</v>
      </c>
      <c r="BA98" s="28">
        <f>MIN(((Carriers!$F$26+Carriers!$F$27)*(alk_el_opex+wacc_nl+1/alk_el_lifetime)+IF(hv_dc_flh="electricity FLH",$AV98,hv_dc_custom)*AZ98/100)/(IF(hv_dc_flh="electricity FLH",$AV98,hv_dc_custom)/alk_el_e_demand)*1000,((Carriers!$H$26+Carriers!$H$27)*(pem_el_opex+wacc_nl+1/pem_el_lifetime)+IF(hv_dc_flh="electricity FLH",$AV98,hv_dc_custom)*AZ98/100)/(IF(hv_dc_flh="electricity FLH",$AV98,hv_dc_custom)/pem_el_e_demand)*1000)</f>
        <v>7542.6549156331075</v>
      </c>
      <c r="BB98" s="12"/>
      <c r="BC98" s="12"/>
      <c r="BD98" s="149">
        <f>MIN(((Carriers!$F$26+Carriers!$F$27)*(alk_el_opex+M98+1/alk_el_lifetime)+$AV98*$AU98/100)/($AV98/alk_el_e_demand)*1000,((Carriers!$H$26+Carriers!$H$27)*(pem_el_opex+M98+1/pem_el_lifetime)+$AV98*$AU98/100)/($AV98/pem_el_e_demand)*1000)</f>
        <v>3261.0693473672009</v>
      </c>
      <c r="BE98" s="28">
        <f>Storage!$AC$50</f>
        <v>8.1664117557772418</v>
      </c>
      <c r="BF98" s="28">
        <f>((Pipeline!$D$22*Pipeline!$D$24*B98*(pipeline_opex+M98+1/pipeline_lifetime))*(Pipeline!$D$39/Pipeline!$D$3)+(Pipeline!$D$57*(pipeline_comp_opex+M98+1/pipeline_comp_lifetime)+Pipeline!$D$47*1000*Pipeline!$D$45*$AU98/100/1000000))*(Pipeline!$D$75/Pipeline!$D$45)</f>
        <v>21919.409256298266</v>
      </c>
      <c r="BG98" s="28">
        <f>BD98+(BE98+BF98)/Storage!$AC$12*1000000</f>
        <v>4873.3910876652917</v>
      </c>
      <c r="BH98" s="28"/>
      <c r="BI98" s="28"/>
      <c r="BJ98" s="28">
        <f>IF($E98="","No Port",BK98*HV_DC_Grid!$E$3*$AU98/100*1000)</f>
        <v>68.930608835411178</v>
      </c>
      <c r="BK98" s="31">
        <f>IFERROR((1-(1-HV_DC_Grid!$E$25)^(K98*HV_DC_Grid!$E$8/1000))+HV_DC_Grid!$E$35*HV_DC_Grid!$E$28,"")</f>
        <v>2.5553155385591761E-2</v>
      </c>
      <c r="BL98" s="28">
        <f>IFERROR(K98*nl_e_demand/IF(hv_dc_flh="electricity FLH",$AV98,hv_dc_custom)*1000*hv_dc_capacity_multiplier*hv_dc_length_multiplier*1000*(hv_dc_overhead_invest*(hv_dc_overhead_opex+M98+1/hv_dc_lifetime))/1000000+HV_DC_Grid!$E$10*1000*hv_dc_station_invest*hv_dc_station_number*(hv_dc_station_opex+M98+1/hv_dc_lifetime)/1000000,"")</f>
        <v>1109.6227718560572</v>
      </c>
      <c r="BM98" s="29">
        <f>IFERROR((BJ98+BL98)/(HV_DC_Grid!$E$3*1000)*100,"")</f>
        <v>1.1785533806914683</v>
      </c>
      <c r="BN98" s="28">
        <f>IFERROR(((Pipeline!$D$22*Pipeline!$D$24*K98*(pipeline_opex+M98+1/pipeline_lifetime))*(Pipeline!$D$39/Pipeline!$D$3)+(Pipeline!$D$57*(pipeline_comp_opex+M98+1/pipeline_comp_lifetime)+Pipeline!$D$47*1000*Pipeline!$D$45*S98/100/1000000))*(Pipeline!$D$75/Pipeline!$D$45),"")</f>
        <v>1650.5486517700344</v>
      </c>
      <c r="BO98" s="28"/>
      <c r="BP98" s="150">
        <f t="shared" si="124"/>
        <v>129.32928846261339</v>
      </c>
      <c r="BQ98" s="34">
        <f t="shared" si="125"/>
        <v>38.784757993916706</v>
      </c>
      <c r="BR98" s="151">
        <f>(nh3_invest*(M98+1/nh3_lifetime)/nh3_prod+nh3_opex+nh3_e_demand*1000*$AU98/100+Carriers!$N$18/Carriers!$N$23*BD98+Carriers!$N$19/Carriers!$N$23*BQ98)*(BT98+nh3_st_ab_losses)/1000000</f>
        <v>59785.404698866478</v>
      </c>
      <c r="BS98" s="63">
        <f>nh3_st_nl_cost*nh3_st_nl_demand/1000000+(nh3_st_invest*(M98+1/nh3_st_lifetime+nh3_st_opex)/(Storage!$G$63/1000000)+nh3_st_e_demand*1000*$AU98/100)*(BT98+nh3_st_ab_losses)/1000000+Carriers!$N$18/Carriers!$N$23*((BT98+nh3_st_ab_losses)/365.25*short_st_duration_hrs/24)*(h2_short_st_invest*(1/gh2_short_st_lifetime+$M98+h2_short_st_opex)+h2_short_st_e_demand*1000*$AU98/100)/1000000+Carriers!$N$19/Carriers!$N$23*((BT98+nh3_st_ab_losses)/365.25*short_st_duration_hrs/24)*(n2_short_st_invest*(1/n2_short_st_lifetime+$M98+n2_short_st_opex)+n2_short_st_e_demand*1000*$AU98/100)/1000000</f>
        <v>3851.6483287340529</v>
      </c>
      <c r="BT98" s="63">
        <f>Storage!$G$57/((1-Shipping!$H$37)^(F98/24/Shipping!$H$44+0.5*Shipping!$H$59))</f>
        <v>80454313.957543835</v>
      </c>
      <c r="BU98" s="63">
        <f>IF($E98="","No Port",((F98/24/Shipping!$H$44+F98/24/Shipping!$H$50+Shipping!$H$59+Shipping!$H$64)*(Shipping!$H$22+wacc_nl*Shipping!$H$19/365.25*1000000+Shipping!$H$35)+(F98/24/Shipping!$H$44*Shipping!$H$45+Shipping!$H$64*Shipping!$H$65)*IF(bunker_choice="HFO",H98,IF(bunker_choice="hydrogen",BD98*hfo_e_density_lhv/h2_e_density_lhv,(BR98+BS98)*1000000/BT98*hfo_e_density_lhv/nh3_e_density_lhv))+(F98/24/Shipping!$H$50*Shipping!$H$51+Shipping!$H$59*Shipping!$H$60)*IF(bunker_choice="HFO",bunker_price_ROT,IF(bunker_choice="hydrogen",BD98*hfo_e_density_lhv/h2_e_density_lhv,(BR98+BS98)*1000000/BT98*hfo_e_density_lhv/nh3_e_density_lhv))+Shipping!$H$73+IF(G98="Panama",Shipping!$H$55,0)+IF(G98="Suez",Shipping!$H$56,0))/Shipping!$H$31*BT98/1000000+IF(inland_transport_to_port="hv dc grid",$BM98/100*1000*BW98,IF(inland_transport_to_port="pipeline",$BN98,0)))</f>
        <v>6553.6003667661826</v>
      </c>
      <c r="BV98" s="63">
        <f t="shared" si="126"/>
        <v>70190.653394366716</v>
      </c>
      <c r="BW98" s="33">
        <f>((Carriers!$N$18/Carriers!$N$23*alk_el_e_demand)+(Carriers!$N$19/Carriers!$N$23*n2_e_demand)+nh3_e_demand)*(BT98+nh3_st_ab_losses)/1000000+nh3_st_e_demand*BT98/1000000</f>
        <v>794.49539581722081</v>
      </c>
      <c r="BX98" s="33">
        <f t="shared" si="102"/>
        <v>0.76626754477640768</v>
      </c>
      <c r="BY98" s="63">
        <f>IFERROR(BV98*1000000/Storage!$G$12,"")</f>
        <v>916.77033748447229</v>
      </c>
      <c r="BZ98" s="63">
        <f>H2_retrieval!$F$25*h2_demand_kt/1000</f>
        <v>80</v>
      </c>
      <c r="CA98" s="63">
        <f>IFERROR(BY98*(1+H2_retrieval!$F$34)/Carrier_properties!$E$7+H2_retrieval!$F$38,"")</f>
        <v>5570.3034351118758</v>
      </c>
      <c r="CB98" s="149">
        <f>(FA_invest*(M98+1/FA_lifetime)/FA_prod+FA_opex+FA_e_demand*1000*$AU98/100+Carriers!$P$18/Carriers!$P$23*BD98+Carriers!$P$20/Carriers!$P$23*co2_liq_cost)*(CF98+FA_st_ab_losses)/1000000</f>
        <v>115372.93706868825</v>
      </c>
      <c r="CC98" s="86">
        <f>(FA_invest*(M98+1/FA_lifetime)/FA_prod+FA_opex+FA_e_demand*1000*$AU98/100+Carriers!$P$18/Carriers!$P$23*BD98+Carriers!$P$20/Carriers!$P$23*BP98)*(CF98+FA_st_ab_losses)/1000000</f>
        <v>146829.44826833089</v>
      </c>
      <c r="CD98" s="63">
        <f>FA_st_nl_cost*FA_st_nl_demand/1000000+(FA_st_invest*(M98+1/FA_st_lifetime+FA_st_opex)/(Storage!$I$63/1000000)+FA_st_e_demand*1000*$AU98/100)*(CF98+FA_st_ab_losses)/1000000+co2_st_nl_cost*Storage!$I$12*co2_density/FA_density/1000000+(co2_st_opex_lev+co2_st_invest_lev+co2_st_e_demand*1000*$AU98/100)*Storage!$I$12/1000000+co2_st_invest_lev*Storage!$I$12*co2_st_lifetime*M98/1000000+Carriers!$P$18/Carriers!$P$23*((CF98+FA_st_ab_losses)/365.25*short_st_duration_hrs/24)*(h2_short_st_invest*(1/gh2_short_st_lifetime+$M98+h2_short_st_opex)+h2_short_st_e_demand*1000*$AU98/100)/1000000+Carriers!$P$20/Carriers!$P$23*((CF98+FA_st_ab_losses)/365.25*short_st_duration_hrs/24)*(co2_short_st_invest*(1/co2_short_st_lifetime+$M98+co2_short_st_opex)+co2_short_st_e_demand*1000*$AU98/100)/1000000</f>
        <v>12782.579052832725</v>
      </c>
      <c r="CE98" s="63">
        <f>FA_st_nl_cost*FA_st_nl_demand/1000000+(FA_st_invest*(M98+1/FA_st_lifetime+FA_st_opex)/(Storage!$I$63/1000000)+FA_st_e_demand*1000*$AU98/100)*(CF98+FA_st_ab_losses)/1000000+Carriers!$P$18/Carriers!$P$23*((CF98+FA_st_ab_losses)/365.25*short_st_duration_hrs/24)*(h2_short_st_invest*(1/gh2_short_st_lifetime+$M98+h2_short_st_opex)+h2_short_st_e_demand*1000*$AU98/100)/1000000+Carriers!$P$20/Carriers!$P$23*((CF98+FA_st_ab_losses)/365.25*short_st_duration_hrs/24)*(co2_short_st_invest*(1/co2_short_st_lifetime+$M98+co2_short_st_opex)+co2_short_st_e_demand*1000*$AU98/100)/1000000</f>
        <v>5640.689121176888</v>
      </c>
      <c r="CF98" s="63">
        <f>Storage!$I$57/((1-Shipping!$J$37)^($F98/24/Shipping!$J$44+0.5*Shipping!$J$59))</f>
        <v>310425396.82539684</v>
      </c>
      <c r="CG98" s="28">
        <f>IF($E98="","No Port",((F98/24/Shipping!$J$44+F98/24/Shipping!$J$50+Shipping!$J$59+Shipping!$J$64)*(Shipping!$J$22+wacc_nl*Shipping!$J$19/365.25*1000000+Shipping!$J$35)+(F98/24/Shipping!$J$44*Shipping!$J$45+Shipping!$J$64*Shipping!$J$65)*IF(bunker_choice="HFO",$H98,IF(bunker_choice="hydrogen",$BD98*hfo_e_density_lhv/h2_e_density_lhv,(CB98+CD98)*1000000/CF98*hfo_e_density_lhv/FA_e_density_lhv))+(F98/24/Shipping!$J$50*Shipping!$J$51+Shipping!$J$59*Shipping!$J$60)*IF(bunker_choice="HFO",bunker_price_ROT,IF(bunker_choice="hydrogen",$BD98*hfo_e_density_lhv/h2_e_density_lhv,(CB98+CD98)*1000000/CF98*hfo_e_density_lhv/FA_e_density_lhv))+Shipping!$J$73+IF(G98="Panama",Shipping!$J$55,0)+IF(G98="Suez",Shipping!$J$56,0))/Shipping!$J$31*CF98/1000000+IF(inland_transport_to_port="hv dc grid",$BM98/100*1000*CI98,IF(inland_transport_to_port="pipeline",$BN98,0)))</f>
        <v>23134.012890262718</v>
      </c>
      <c r="CH98" s="28">
        <f t="shared" si="132"/>
        <v>175604.15027977049</v>
      </c>
      <c r="CI98" s="29">
        <f>((Carriers!$P$18/Carriers!$P$23*alk_el_e_demand)+FA_e_demand)*(CF98+FA_st_ab_losses)/1000000+FA_st_e_demand*CF98/1000000</f>
        <v>1897.8881241622576</v>
      </c>
      <c r="CJ98" s="29">
        <f t="shared" si="103"/>
        <v>0.46563809523809524</v>
      </c>
      <c r="CK98" s="28">
        <f>IFERROR(CH98*1000000/Storage!$I$12,"")</f>
        <v>565.68873576584815</v>
      </c>
      <c r="CL98" s="28">
        <f>IF($E98="","No Port",((F98/24/Shipping!$J$44+F98/24/Shipping!$J$50+Shipping!$J$59+Shipping!$J$64)*Carriers!$P$39*wacc_nl))</f>
        <v>344.71946593053787</v>
      </c>
      <c r="CM98" s="29">
        <f>H2_retrieval!$H$25*h2_demand_kt/1000+(co2_liq_e_demand+co2_st_e_demand*2)*Storage!$I$12*co2_density/FA_density/1000000</f>
        <v>94.204253879484654</v>
      </c>
      <c r="CN98" s="28">
        <f>IFERROR((((CB98+CD98+CG98)*(1+H2_retrieval!$H$34)+CL98)*1000000/H2_retrieval!$H$8)+h2_regen_fa,"")</f>
        <v>11239.264461716532</v>
      </c>
      <c r="CO98" s="149">
        <f>(meoh_invest*(M98+1/meoh_lifetime)/meoh_prod+meoh_opex+meoh_e_demand*1000*$AU98/100+Carriers!$R$18/Carriers!$R$23*BD98+Carriers!$R$20/Carriers!$R$23*co2_liq_cost)*(CS98+meoh_st_ab_losses)/1000000</f>
        <v>71268.88515857578</v>
      </c>
      <c r="CP98" s="86">
        <f>(meoh_invest*(M98+1/meoh_lifetime)/meoh_prod+meoh_opex+meoh_e_demand*1000*$AU98/100+Carriers!$R$18/Carriers!$R$23*BD98+Carriers!$R$20/Carriers!$R$23*BP98)*(CS98+meoh_st_ab_losses)/1000000</f>
        <v>89734.828353034449</v>
      </c>
      <c r="CQ98" s="63">
        <f>meoh_st_nl_cost*meoh_st_nl_demand/1000000+(meoh_st_invest*(M98+1/meoh_st_lifetime+meoh_st_opex)/(Storage!$K$63/1000000)+meoh_st_e_demand*1000*$AU98/100)*(CS98+meoh_st_ab_losses)/1000000+co2_st_nl_cost*Storage!$K$12*co2_density/meoh_density/1000000+(co2_st_opex_lev+co2_st_invest_lev+co2_st_e_demand*1000*IFERROR(MIN(S98,AA98,AI98),S98)/100)*Storage!$K$12/1000000+co2_st_invest_lev*Storage!$K$12*co2_st_lifetime*M98/1000000+Carriers!$R$18/Carriers!$R$23*((CS98+meoh_st_ab_losses)/365.25*short_st_duration_hrs/24)*(h2_short_st_invest*(1/gh2_short_st_lifetime+$M98+h2_short_st_opex)+h2_short_st_e_demand*1000*$AU98/100)/1000000+Carriers!$R$20/Carriers!$R$23*((CF98+meoh_st_ab_losses)/365.25*short_st_duration_hrs/24)*(co2_short_st_invest*(1/co2_short_st_lifetime+$M98+co2_short_st_opex)+co2_short_st_e_demand*1000*$AU98/100)/1000000</f>
        <v>5342.5807718364013</v>
      </c>
      <c r="CR98" s="63">
        <f>meoh_st_nl_cost*meoh_st_nl_demand/1000000+(meoh_st_invest*(M98+1/meoh_st_lifetime+meoh_st_opex)/(Storage!$K$63/1000000)+meoh_st_e_demand*1000*$AU98/100)*(CS98+meoh_st_ab_losses)/1000000+Carriers!$R$18/Carriers!$R$23*((CS98+meoh_st_ab_losses)/365.25*short_st_duration_hrs/24)*(h2_short_st_invest*(1/gh2_short_st_lifetime+$M98+h2_short_st_opex)+h2_short_st_e_demand*1000*$AU98/100)/1000000+Carriers!$R$20/Carriers!$R$23*((CF98+meoh_st_ab_losses)/365.25*short_st_duration_hrs/24)*(co2_short_st_invest*(1/co2_short_st_lifetime+$M98+co2_short_st_opex)+co2_short_st_e_demand*1000*$AU98/100)/1000000</f>
        <v>2257.8281802694596</v>
      </c>
      <c r="CS98" s="63">
        <f>Storage!$K$57/((1-Shipping!$L$37)^($F98/24/Shipping!$L$44+0.5*Shipping!$L$59))</f>
        <v>108044444.44444443</v>
      </c>
      <c r="CT98" s="28">
        <f>IF($E98="","No Port",IF(AND(ship_choice="VLCC",G98="Panama"),"Ship cannot pass through Panama",IF(ship_choice="VLCC",((F98/24/Shipping!$AD$44+F98/24/Shipping!$AD$50+Shipping!$AD$59+Shipping!$AD$64)*(Shipping!$AD$22+wacc_nl*Shipping!$AD$19/365.25*1000000+Shipping!$AD$35)+(F98/24/Shipping!$AD$44*Shipping!$AD$45+Shipping!$AD$64*Shipping!$AD$65)*IF(bunker_choice="HFO",$H98,IF(bunker_choice="hydrogen",$BD98*hfo_e_density_lhv/h2_e_density_lhv,(CO98+CQ98)*1000000/CS98*hfo_e_density_lhv/meoh_e_density_lhv))+(F98/24/Shipping!$AD$50*Shipping!$AD$51+Shipping!$AD$59*Shipping!$AD$60)*IF(bunker_choice="HFO",bunker_price_ROT,IF(bunker_choice="hydrogen",$BD98*hfo_e_density_lhv/h2_e_density_lhv,(CO98+CQ98)*1000000/CS98*hfo_e_density_lhv/meoh_e_density_lhv))+Shipping!$AD$73+IF(G98="Panama",Shipping!$AD$55,0)+IF(G98="Suez",Shipping!$AD$56,0))/Shipping!$AD$31*CS98/1000000+IF(inland_transport_to_port="hv dc grid",$BM98/100*1000*CV98,IF(inland_transport_to_port="pipeline",$BN98,0)),((F98/24/Shipping!$L$44+F98/24/Shipping!$L$50+Shipping!$L$59+Shipping!$L$64)*(Shipping!$L$22+wacc_nl*Shipping!$L$19/365.25*1000000+Shipping!$L$35)+(F98/24/Shipping!$L$44*Shipping!$L$45+Shipping!$L$64*Shipping!$L$65)*IF(bunker_choice="HFO",$H98,IF(bunker_choice="hydrogen",$BD98*hfo_e_density_lhv/h2_e_density_lhv,(CO98+CQ98)*1000000/CS98*hfo_e_density_lhv/meoh_e_density_lhv))+(F98/24/Shipping!$L$50*Shipping!$L$51+Shipping!$L$59*Shipping!$L$60)*IF(bunker_choice="HFO",bunker_price_ROT,IF(bunker_choice="hydrogen",$BD98*hfo_e_density_lhv/h2_e_density_lhv,(CO98+CQ98)*1000000/CS98*hfo_e_density_lhv/meoh_e_density_lhv))+Shipping!$L$73+IF(G98="Panama",Shipping!$L$55,0)+IF(G98="Suez",Shipping!$L$56,0))/Shipping!$L$31*CS98/1000000+IF(inland_transport_to_port="hv dc grid",$BM98/100*1000*CV98,IF(inland_transport_to_port="pipeline",$BN98,0)))))</f>
        <v>8699.5146306300485</v>
      </c>
      <c r="CU98" s="28">
        <f t="shared" si="133"/>
        <v>100692.17116393395</v>
      </c>
      <c r="CV98" s="29">
        <f>((Carriers!$R$18/Carriers!$R$23*alk_el_e_demand)+meoh_e_demand)*(CS98+meoh_st_ab_losses)/1000000+meoh_st_e_demand*CS98/1000000</f>
        <v>1119.9789871111109</v>
      </c>
      <c r="CW98" s="29">
        <f t="shared" si="104"/>
        <v>0.16206666666666666</v>
      </c>
      <c r="CX98" s="28">
        <f>IFERROR(CU98*1000000/Storage!$K$12,"")</f>
        <v>931.95139909029785</v>
      </c>
      <c r="CY98" s="28">
        <f>IF($E98="","No Port",((F98/24/Shipping!$L$44+F98/24/Shipping!$L$50+Shipping!$L$59+Shipping!$L$64)*Carriers!$R$39*wacc_nl))</f>
        <v>123.5806772624401</v>
      </c>
      <c r="CZ98" s="29">
        <f>H2_retrieval!$J$25*h2_demand_kt/1000+(co2_liq_e_demand+co2_st_e_demand*2)*Storage!$K$12*co2_density/meoh_density/1000000</f>
        <v>251.05079059698966</v>
      </c>
      <c r="DA98" s="28">
        <f>IFERROR((((CO98+CQ98+CT98)*(1+H2_retrieval!$J$34)+CY98)*1000000/H2_retrieval!$J$8)+h2_regen_meoh,"")</f>
        <v>7452.0815754243995</v>
      </c>
      <c r="DB98" s="149">
        <f>(DBT_invest*(M98+1/DBT_lifetime)/DBT_prod+DBT_opex+DBT_e_demand*1000*$AU98/100+Carriers!$T$18/Carriers!$T$23*BD98)*(DD98+DBT_st_ab_losses)/1000000</f>
        <v>47955.651955507303</v>
      </c>
      <c r="DC98" s="28">
        <f>2*(DBT_st_nl_cost*DBT_st_nl_demand/1000000+(DBT_st_invest*(M98+1/DBT_st_lifetime+DBT_st_opex)/(Storage!$M$63/1000000)+DBT_st_e_demand*1000*$AU98/100)*(DD98+DBT_st_ab_losses)/1000000)+Carriers!$T$18/Carriers!$T$23*((DD98+DBT_st_ab_losses)/365.25*short_st_duration_hrs/24)*(h2_short_st_invest*(1/gh2_short_st_lifetime+$M98+h2_short_st_opex)+h2_short_st_e_demand*1000*$AU98/100)/1000000</f>
        <v>4582.3550153606693</v>
      </c>
      <c r="DD98" s="63">
        <f>Storage!$M$57/((1-Shipping!$N$37)^($F98/24/Shipping!$N$44+0.5*Shipping!$N$59))</f>
        <v>219354838.70967743</v>
      </c>
      <c r="DE98" s="28">
        <f>IF($E98="","No Port",IF(AND(ship_choice="VLCC",G98="Panama"),"Ship cannot pass through Panama",IF(ship_choice="VLCC",((F98/24/Shipping!$AD$44+F98/24/Shipping!$AD$50+Shipping!$AD$59+Shipping!$AD$64)*(Shipping!$AD$22+wacc_nl*Shipping!$AD$19/365.25*1000000+Shipping!$AD$35)+(F98/24/Shipping!$AD$44*Shipping!$AD$45+Shipping!$AD$64*Shipping!$AD$65)*IF(bunker_choice="HFO",$H98,IF(bunker_choice="hydrogen",$BD98*hfo_e_density_lhv/h2_e_density_lhv,(DB98+DC98)*1000000/DD98*hfo_e_density_lhv/DBT_e_density_lhv))+(F98/24/Shipping!$AD$50*Shipping!$AD$51+Shipping!$AD$59*Shipping!$AD$60)*IF(bunker_choice="HFO",bunker_price_ROT,IF(bunker_choice="hydrogen",$BD98*hfo_e_density_lhv/h2_e_density_lhv,(DB98+DC98)*1000000/DD98*hfo_e_density_lhv/DBT_e_density_lhv))+Shipping!$AD$73+IF(G98="Panama",Shipping!$AD$55,0)+IF(G98="Suez",Shipping!$AD$56,0))/Shipping!$AD$31*DD98/1000000+IF(inland_transport_to_port="hv dc grid",$BM98/100*1000*DG98,IF(inland_transport_to_port="pipeline",$BN98,0)),((F98/24/Shipping!$N$44+F98/24/Shipping!$N$50+Shipping!$N$59+Shipping!$N$64)*(Shipping!$N$22+wacc_nl*Shipping!$N$19/365.25*1000000+Shipping!$N$35)+(F98/24/Shipping!$N$44*Shipping!$N$45+Shipping!$N$64*Shipping!$N$65)*IF(bunker_choice="HFO",$H98,IF(bunker_choice="hydrogen",$BD98*hfo_e_density_lhv/h2_e_density_lhv,(DB98+DC98)*1000000/DD98*hfo_e_density_lhv/DBT_e_density_lhv))+(F98/24/Shipping!$N$50*Shipping!$N$51+Shipping!$N$59*Shipping!$N$60)*IF(bunker_choice="HFO",bunker_price_ROT,IF(bunker_choice="hydrogen",$BD98*hfo_e_density_lhv/h2_e_density_lhv,(DB98+DC98)*1000000/DD98*hfo_e_density_lhv/DBT_e_density_lhv))+Shipping!$N$73+IF(G98="Panama",Shipping!$N$55,0)+IF(G98="Suez",Shipping!$N$56,0))/Shipping!$N$31*Shipping!$N$86/1000000+IF(inland_transport_to_port="hv dc grid",$BM98/100*1000*DG98,IF(inland_transport_to_port="pipeline",$BN98,0)))))</f>
        <v>14969.107102884393</v>
      </c>
      <c r="DF98" s="28">
        <f t="shared" si="82"/>
        <v>67507.114073752367</v>
      </c>
      <c r="DG98" s="29">
        <f>((Carriers!$T$18/Carriers!$T$23*alk_el_e_demand)+DBT_e_demand)*(DD98+DBT_st_ab_losses)/1000000+DBT_st_e_demand*DD98/1000000</f>
        <v>703.88335483870969</v>
      </c>
      <c r="DH98" s="29">
        <f t="shared" si="105"/>
        <v>0.21935483870967742</v>
      </c>
      <c r="DI98" s="28">
        <f>IFERROR(DF98*1000000/Storage!$M$12,"")</f>
        <v>307.75302004210636</v>
      </c>
      <c r="DJ98" s="28">
        <f>IF($E98="","No Port",((F98/24/Shipping!$N$44+F98/24/Shipping!$N$50+Shipping!$N$59+Shipping!$N$64)*Carriers!$T$39*wacc_nl))</f>
        <v>9000.7867642656529</v>
      </c>
      <c r="DK98" s="100">
        <f>H2_retrieval!$L$25*h2_demand_kt/1000+(co2_liq_e_demand+co2_st_e_demand*2)*Storage!$M$12*co2_density/DBT_density/1000000</f>
        <v>206.61934861671787</v>
      </c>
      <c r="DL98" s="28">
        <f>IFERROR(((DF98*(1+H2_retrieval!$L$34)+DJ98)*1000000/H2_retrieval!$L$8)+h2_regen_lohc,"")</f>
        <v>6096.2307246107084</v>
      </c>
      <c r="DM98" s="149">
        <f t="shared" si="127"/>
        <v>54333.220990003269</v>
      </c>
      <c r="DN98" s="16">
        <f>2*(nabh4_st_nl_cost*nabh4_st_nl_demand/1000000+(nabh4_st_invest*(M98+1/nabh4_st_lifetime+nabh4_st_opex)/(Storage!$O$63/1000000)+nabh4_st_e_demand*1000*$AU98/100)*(DO98+nabh4_st_ab_losses)/1000000)+(h2_demand_kt*1000/365.25*short_st_duration_hrs/24)*(h2_short_st_invest*(1/gh2_short_st_lifetime+$M98+h2_short_st_opex)+h2_short_st_e_demand*1000*$AU98/100)/1000000</f>
        <v>1542.6993930764761</v>
      </c>
      <c r="DO98" s="63">
        <f>Storage!$O$57/((1-Shipping!$P$37)^($F98/24/Shipping!$P$44+0.5*Shipping!$P$59))</f>
        <v>63920000</v>
      </c>
      <c r="DP98" s="16">
        <f>IF($E98="","No Port",((F98/24/Shipping!$P$44+F98/24/Shipping!$P$50+Shipping!$P$59+Shipping!$P$64)*(Shipping!$P$22+wacc_nl*Shipping!$P$19/365.25*1000000+Shipping!$P$35)+(F98/24/Shipping!$P$44*Shipping!$P$45+Shipping!$P$64*Shipping!$P$65)*IF(bunker_choice="HFO",$H98,IF(bunker_choice="hydrogen",$BD98*hfo_e_density_lhv/h2_e_density_lhv,(DM98+DN98)*1000000/DO98*hfo_e_density_lhv/nabh4_e_density_lhv))+(F98/24/Shipping!$P$50*Shipping!$P$51+Shipping!$P$59*Shipping!$P$60)*IF(bunker_choice="HFO",bunker_price_ROT,IF(bunker_choice="hydrogen",$BD98*hfo_e_density_lhv/h2_e_density_lhv,(DM98+DN98)*1000000/DO98*hfo_e_density_lhv/nabh4_e_density_lhv))+Shipping!$P$73+IF(G98="Panama",Shipping!$P$55,0)+IF(G98="Suez",Shipping!$P$56,0))/Shipping!$P$31*(DO98+nabh4_st_ab_losses)/1000000+IF(inland_transport_to_port="hv dc grid",$BM98/100*1000*DR98,IF(inland_transport_to_port="pipeline",$BN98,0)))</f>
        <v>5078.0332647660925</v>
      </c>
      <c r="DQ98" s="28">
        <f t="shared" si="60"/>
        <v>60953.953647845832</v>
      </c>
      <c r="DR98" s="29">
        <f>((Carriers!$V$18/Carriers!$V$23*alk_el_e_demand)+nabh4_e_demand)*(DO98+nabh4_st_ab_losses)/1000000+nabh4_st_e_demand*DO98/1000000</f>
        <v>980.02139682539689</v>
      </c>
      <c r="DS98" s="28">
        <f t="shared" si="106"/>
        <v>3.1960000000000002</v>
      </c>
      <c r="DT98" s="28">
        <f>IFERROR(DQ98*1000000/Storage!$O$12,"")</f>
        <v>953.59752265090481</v>
      </c>
      <c r="DU98" s="28">
        <f>IF($E98="","No Port",((F98/24/Shipping!$P$44+F98/24/Shipping!$P$50+Shipping!$P$59+Shipping!$P$64)*Carriers!$V$39*wacc_nl))</f>
        <v>828.15727435096562</v>
      </c>
      <c r="DV98" s="100">
        <f>H2_retrieval!$N$25*h2_demand_kt/1000+(co2_liq_e_demand+co2_st_e_demand*2)*Storage!$O$12*co2_density/nabh4_density/1000000</f>
        <v>18.783638728971958</v>
      </c>
      <c r="DW98" s="28">
        <f>IFERROR(((DQ98*(1+H2_retrieval!$N$34)+DU98)*1000000/H2_retrieval!$N$8)+h2_regen_nabh4,"")</f>
        <v>4639.3146512707654</v>
      </c>
      <c r="DX98" s="149">
        <f>(Dme_invest*(M98+1/Dme_lifetime)/Dme_prod+Dme_opex+Dme_e_demand*1000*$AU98/100+Carriers!$X$21/Carriers!$X$23*(CO98*1000000/CS98))*(EB98+Dme_st_ab_losses)/1000000</f>
        <v>100198.67683417565</v>
      </c>
      <c r="DY98" s="86">
        <f>(Dme_invest*(M98+1/Dme_lifetime)/Dme_prod+Dme_opex+Dme_e_demand*1000*$AU98/100+Carriers!$X$21/Carriers!$X$23*(CP98*1000000/CS98))*(EB98+Dme_st_ab_losses)/1000000</f>
        <v>125250.75741304732</v>
      </c>
      <c r="DZ98" s="63">
        <f>Dme_st_nl_cost*Dme_st_nl_demand/1000000+(Dme_st_invest*(M98+1/Dme_st_lifetime+Dme_st_opex)/(Storage!$Q$63/1000000)+Dme_st_e_demand*1000*$AU98/100)*(EB98+Dme_st_ab_losses)/1000000+co2_st_nl_cost*Storage!$Q$12*co2_density/Dme_density/1000000+(co2_st_opex_lev+co2_st_invest_lev+co2_st_e_demand*1000*$AU98/100)*Storage!$Q$12/1000000+co2_st_invest_lev*Storage!$Q$12*co2_st_lifetime*M98/1000000+(h2_demand_kt*1000/365.25*short_st_duration_hrs/24)*(h2_short_st_invest*(1/gh2_short_st_lifetime+$M98+h2_short_st_opex)+h2_short_st_e_demand*1000*$AU98/100)/1000000</f>
        <v>6422.8860405945352</v>
      </c>
      <c r="EA98" s="63">
        <f>Dme_st_nl_cost*Dme_st_nl_demand/1000000+(Dme_st_invest*(M98+1/Dme_st_lifetime+Dme_st_opex)/(Storage!$Q$63/1000000)+Dme_st_e_demand*1000*$AU98/100)*(EB98+Dme_st_ab_losses)/1000000+(h2_demand_kt*1000/365.25*short_st_duration_hrs/24)*(h2_short_st_invest*(1/gh2_short_st_lifetime+$M98+h2_short_st_opex)+h2_short_st_e_demand*1000*$AU98/100)/1000000</f>
        <v>3339.6357090809806</v>
      </c>
      <c r="EB98" s="63">
        <f>Storage!$Q$57/((1-Shipping!$R$37)^($F98/24/Shipping!$R$44+0.5*Shipping!$R$59))</f>
        <v>103547089.94708996</v>
      </c>
      <c r="EC98" s="153">
        <f>IF($E98="","No Port",IF(AND(ship_choice="VLCC",G98="Panama"),"Ship cannot pass through Panama",IF(ship_choice="VLCC",((F98/24/Shipping!$AD$44+F98/24/Shipping!$AD$50+Shipping!$AD$59+Shipping!$AD$64)*(Shipping!$AD$22+wacc_nl*Shipping!$AD$19/365.25*1000000+Shipping!$AD$35)+(F98/24/Shipping!$AD$44*Shipping!$AD$45+Shipping!$AD$64*Shipping!$AD$65)*IF(bunker_choice="HFO",$H98,IF(bunker_choice="hydrogen",$BD98*hfo_e_density_lhv/h2_e_density_lhv,(DX98+DZ98)*1000000/EB98*hfo_e_density_lhv/Dme_e_density_lhv))+(F98/24/Shipping!$AD$50*Shipping!$AD$51+Shipping!$AD$59*Shipping!$AD$60)*IF(bunker_choice="HFO",bunker_price_ROT,IF(bunker_choice="hydrogen",$BD98*hfo_e_density_lhv/h2_e_density_lhv,(DX98+DZ98)*1000000/EB98*hfo_e_density_lhv/Dme_e_density_lhv))+Shipping!$AD$73+IF(G98="Panama",Shipping!$AD$55,0)+IF(G98="Suez",Shipping!$AD$56,0))/Shipping!$AD$31*(EB98+Dme_st_ab_losses)/1000000+IF(inland_transport_to_port="hv dc grid",$BM98/100*1000*EE98,IF(inland_transport_to_port="pipeline",$BN98,0)),((F98/24/Shipping!$R$44+F98/24/Shipping!$R$50+Shipping!$R$59+Shipping!$R$64)*(Shipping!$R$22+wacc_nl*Shipping!$R$19/365.25*1000000+Shipping!$R$35)+(F98/24/Shipping!$R$44*Shipping!$R$45+Shipping!$R$64*Shipping!$R$65)*IF(bunker_choice="HFO",$H98,IF(bunker_choice="hydrogen",$BD98*hfo_e_density_lhv/h2_e_density_lhv,(DX98+DZ98)*1000000/EB98*hfo_e_density_lhv/Dme_e_density_lhv))+(F98/24/Shipping!$R$50*Shipping!$R$51+Shipping!$R$59*Shipping!$R$60)*IF(bunker_choice="HFO",bunker_price_ROT,IF(bunker_choice="hydrogen",$BD98*hfo_e_density_lhv/h2_e_density_lhv,(DX98+DZ98)*1000000/EB98*hfo_e_density_lhv/Dme_e_density_lhv))+Shipping!$R$73+IF(G98="Panama",Shipping!$R$55,0)+IF(G98="Suez",Shipping!$R$56,0))/Shipping!$R$31*(EB98+Dme_st_ab_losses)/1000000+IF(inland_transport_to_port="hv dc grid",$BM98/100*1000*EE98,IF(inland_transport_to_port="pipeline",$BN98,0)))))</f>
        <v>8667.2623529489374</v>
      </c>
      <c r="ED98" s="28">
        <f t="shared" si="134"/>
        <v>137257.65547507725</v>
      </c>
      <c r="EE98" s="29">
        <f>(Dme_e_demand)*(EB98+Dme_st_ab_losses)/1000000+Dme_st_e_demand*DZ98/1000000+$CV98*(Carriers!$X$21/Carriers!$X$23*EB98)/$CS98</f>
        <v>1550.2168243959163</v>
      </c>
      <c r="EF98" s="29">
        <f t="shared" si="107"/>
        <v>1.0354708994708997</v>
      </c>
      <c r="EG98" s="28">
        <f>IFERROR(ED98*1000000/Storage!$Q$12,"")</f>
        <v>1325.5578263494665</v>
      </c>
      <c r="EH98" s="28">
        <f>IF($E98="","No Port",((F98/24/Shipping!$R$44+F98/24/Shipping!$R$50+Shipping!$R$59+Shipping!$R$64)*Carriers!$X$39*wacc_nl))</f>
        <v>128.7340185016262</v>
      </c>
      <c r="EI98" s="100">
        <f>H2_retrieval!$P$25*h2_demand_kt/1000+(co2_liq_e_demand+co2_st_e_demand*2)*Storage!$Q$12*co2_density/Dme_density/1000000</f>
        <v>252.45335899349112</v>
      </c>
      <c r="EJ98" s="28">
        <f>IFERROR((((DX98+DZ98+EC98)*(1+H2_retrieval!$P$34)+EH98)*1000000/H2_retrieval!$P$8)+h2_regen_dme,"")</f>
        <v>9656.7137818888168</v>
      </c>
      <c r="EK98" s="149">
        <f>(ome_invest*(M98+1/ome_lifetime)/ome_prod+ome_opex+ome_e_demand*1000*$AU98/100+Carriers!$Z$21/Carriers!$Z$23*(CO98*1000000/CS98))*(EO98+ome_st_ab_losses)/1000000</f>
        <v>217853.65248251485</v>
      </c>
      <c r="EL98" s="86">
        <f>(ome_invest*(M98+1/ome_lifetime)/ome_prod+ome_opex+ome_e_demand*1000*$AU98/100+Carriers!$Z$21/Carriers!$Z$23*(CP98*1000000/CS98))*(EO98+ome_st_ab_losses)/1000000</f>
        <v>270442.84633156413</v>
      </c>
      <c r="EM98" s="63">
        <f>ome_st_nl_cost*ome_st_nl_demand/1000000+(ome_st_invest*(M98+1/ome_st_lifetime+ome_st_opex)/(Storage!$S$63/1000000)+ome_st_e_demand*1000*$AU98/100)*(EO98+ome_st_ab_losses)/1000000+co2_st_nl_cost*Storage!$S$12*co2_density/ome_density/1000000+(co2_st_opex_lev+co2_st_invest_lev+co2_st_e_demand*1000*$AU98/100)*Storage!$S$12/1000000+co2_st_invest_lev*Storage!$S$12*co2_st_lifetime*M98/1000000+(h2_demand_kt*1000/365.25*short_st_duration_hrs/24)*(h2_short_st_invest*(1/gh2_short_st_lifetime+$M98+h2_short_st_opex)+h2_short_st_e_demand*1000*$AU98/100)/1000000</f>
        <v>5502.455476199425</v>
      </c>
      <c r="EN98" s="63">
        <f>ome_st_nl_cost*ome_st_nl_demand/1000000+(ome_st_invest*(M98+1/ome_st_lifetime+ome_st_opex)/(Storage!$S$63/1000000)+ome_st_e_demand*1000*$AU98/100)*(EO98+ome_st_ab_losses)/1000000+(h2_demand_kt*1000/365.25*short_st_duration_hrs/24)*(h2_short_st_invest*(1/gh2_short_st_lifetime+$M98+h2_short_st_opex)+h2_short_st_e_demand*1000*$AU98/100)/1000000</f>
        <v>2021.6425439764248</v>
      </c>
      <c r="EO98" s="63">
        <f>Storage!$S$57/((1-Shipping!$T$37)^($F98/24/Shipping!$T$44+0.5*Shipping!$T$59))</f>
        <v>128282539.68253967</v>
      </c>
      <c r="EP98" s="28">
        <f>IF($E98="","No Port",IF(AND(ship_choice="VLCC",G98="Panama"),"Ship cannot pass through Panama",IF(ship_choice="VLCC",((F98/24/Shipping!$AD$44+F98/24/Shipping!$AD$50+Shipping!$AD$59+Shipping!$AD$64)*(Shipping!$AD$22+wacc_nl*Shipping!$AD$19/365.25*1000000+Shipping!$AD$35)+(F98/24/Shipping!$AD$44*Shipping!$AD$45+Shipping!$AD$64*Shipping!$AD$65)*IF(bunker_choice="HFO",$H98,IF(bunker_choice="hydrogen",$BD98*hfo_e_density_lhv/h2_e_density_lhv,(EK98+EM98)*1000000/EO98*hfo_e_density_lhv/Dme_e_density_lhv))+(F98/24/Shipping!$AD$50*Shipping!$AD$51+Shipping!$AD$59*Shipping!$AD$60)*IF(bunker_choice="HFO",bunker_price_ROT,IF(bunker_choice="hydrogen",$BD98*hfo_e_density_lhv/h2_e_density_lhv,(EK98+EM98)*1000000/EO98*hfo_e_density_lhv/ome_e_density_lhv))+Shipping!$AD$73+IF(G98="Panama",Shipping!$AD$55,0)+IF(G98="Suez",Shipping!$AD$56,0))/Shipping!$AD$31*(EO98+ome_st_ab_losses)/1000000+IF(inland_transport_to_port="hv dc grid",$BM98/100*1000*ER98,IF(inland_transport_to_port="pipeline",$BN98,0)),((F98/24/Shipping!$T$44+F98/24/Shipping!$T$50+Shipping!$T$59+Shipping!$T$64)*(Shipping!$T$22+wacc_nl*Shipping!$T$19/365.25*1000000+Shipping!$T$35)+(F98/24/Shipping!$T$44*Shipping!$T$45+Shipping!$T$64*Shipping!$T$65)*IF(bunker_choice="HFO",$H98,IF(bunker_choice="hydrogen",$BD98*hfo_e_density_lhv/h2_e_density_lhv,(EK98+EM98)*1000000/EO98*hfo_e_density_lhv/Dme_e_density_lhv))+(F98/24/Shipping!$T$50*Shipping!$T$51+Shipping!$T$59*Shipping!$T$60)*IF(bunker_choice="HFO",bunker_price_ROT,IF(bunker_choice="hydrogen",$BD98*hfo_e_density_lhv/h2_e_density_lhv,(EK98+EM98)*1000000/EO98*hfo_e_density_lhv/ome_e_density_lhv))+Shipping!$T$73+IF(G98="Panama",Shipping!$T$55,0)+IF(G98="Suez",Shipping!$T$56,0))/Shipping!$T$31*(EO98+ome_st_ab_losses)/1000000+IF(inland_transport_to_port="hv dc grid",$BM98/100*1000*ER98,IF(inland_transport_to_port="pipeline",$BN98,0)))))</f>
        <v>9574.109295919694</v>
      </c>
      <c r="EQ98" s="28">
        <f t="shared" si="135"/>
        <v>282038.59817146027</v>
      </c>
      <c r="ER98" s="29">
        <f>(ome_e_demand)*(EO98+ome_st_ab_losses)/1000000+ome_st_e_demand*EM98/1000000+$CV98*(Carriers!$Z$21/Carriers!$Z$23*EO98)/$CS98</f>
        <v>3352.0814583944666</v>
      </c>
      <c r="ES98" s="29">
        <f t="shared" si="108"/>
        <v>0.1924238095238095</v>
      </c>
      <c r="ET98" s="28">
        <f>IFERROR(EQ98*1000000/Storage!$S$12,"")</f>
        <v>2198.5735460914648</v>
      </c>
      <c r="EU98" s="28">
        <f>IF($E98="","No Port",((F98/24/Shipping!$T$44+F98/24/Shipping!$T$50+Shipping!$T$59+Shipping!$T$64)*Carriers!$Z$39*wacc_nl))</f>
        <v>146.72890602038967</v>
      </c>
      <c r="EV98" s="100">
        <f>H2_retrieval!$R$25*h2_demand_kt/1000+(co2_liq_e_demand+co2_st_e_demand*2)*Storage!$S$12*co2_density/ome_density/1000000</f>
        <v>254.51942895252085</v>
      </c>
      <c r="EW98" s="28">
        <f>IFERROR((((EK98+EM98+EP98)*(1+H2_retrieval!$R$34)+EU98)*1000000/H2_retrieval!$R$8)+h2_regen_ome,"")</f>
        <v>18308.13929030305</v>
      </c>
      <c r="EX98" s="149">
        <f>(sng_invest*(M98+1/sng_lifetime)/sng_prod+lng_invest*(M98+1/lng_lifetime)/lng_prod+sng_opex+lng_opex+(sng_e_demand+lng_e_demand)*1000*$AU98/100+Carriers!$AB$18/Carriers!$AB$23*BD98+Carriers!$AB$20/Carriers!$AB$23*co2_liq_cost)*(FB98+lng_st_ab_losses)/1000000</f>
        <v>78325.233711078123</v>
      </c>
      <c r="EY98" s="86">
        <f>(sng_invest*(M98+1/sng_lifetime)/sng_prod+lng_invest*(M98+1/lng_lifetime)/lng_prod+sng_opex+lng_opex+(sng_e_demand+lng_e_demand)*1000*$AU98/100+Carriers!$AB$18/Carriers!$AB$23*BD98+Carriers!$AB$20/Carriers!$AB$23*BP98)*(FB98+lng_st_ab_losses)/1000000</f>
        <v>92301.063610577476</v>
      </c>
      <c r="EZ98" s="63">
        <f>lng_st_nl_cost*lng_st_nl_demand/1000000+(lng_st_invest*(M98+1/lng_st_lifetime+lng_st_opex)/(Storage!$U$63/1000000)+lng_st_e_demand*1000*$AU98/100)*(FB98+lng_st_ab_losses)/1000000+co2_st_nl_cost*Storage!$U$12*co2_density/lng_density/1000000+(co2_st_opex_lev+co2_st_invest_lev+co2_st_e_demand*1000*$AU98/100)*Storage!$U$12/1000000+co2_st_invest_lev*Storage!$U$12*co2_st_lifetime*M98/1000000+Carriers!$AB$18/Carriers!$AB$23*((FB98+lng_st_ab_losses)/365.25*short_st_duration_hrs/24)*(h2_short_st_invest*(1/gh2_short_st_lifetime+$M98+h2_short_st_opex)+h2_short_st_e_demand*1000*$AU98/100)/1000000+Carriers!$AB$20/Carriers!$AB$23*((FB98+lng_st_ab_losses)/365.25*short_st_duration_hrs/24)*(co2_short_st_invest*(1/co2_short_st_lifetime+$M98+co2_short_st_opex)+co2_short_st_e_demand*1000*$AU98/100)/1000000</f>
        <v>6915.4433209642148</v>
      </c>
      <c r="FA98" s="63">
        <f>lng_st_nl_cost*lng_st_nl_demand/1000000+(lng_st_invest*(M98+1/lng_st_lifetime+lng_st_opex)/(Storage!$U$63/1000000)+lng_st_e_demand*1000*$AU98/100)*(FB98+lng_st_ab_losses)/1000000+Carriers!$AB$18/Carriers!$AB$23*((FB98+lng_st_ab_losses)/365.25*short_st_duration_hrs/24)*(h2_short_st_invest*(1/gh2_short_st_lifetime+$M98+h2_short_st_opex)+h2_short_st_e_demand*1000*$AU98/100)/1000000+Carriers!$AB$20/Carriers!$AB$23*((FB98+lng_st_ab_losses)/365.25*short_st_duration_hrs/24)*(co2_short_st_invest*(1/co2_short_st_lifetime+$M98+co2_short_st_opex)+co2_short_st_e_demand*1000*$AU98/100)/1000000</f>
        <v>5269.3093972211136</v>
      </c>
      <c r="FB98" s="63">
        <f>Storage!$U$57/((1-Shipping!$V$37)^($F98/24/Shipping!$V$44+0.5*Shipping!$V$59))</f>
        <v>41666215.892112821</v>
      </c>
      <c r="FC98" s="28">
        <f>IF($E98="","No Port",IF(G98="Panama","Ship cannot pass through Panama",((F98/24/Shipping!$V$44+F98/24/Shipping!$V$50+Shipping!$V$59+Shipping!$V$64)*(Shipping!$V$22+wacc_nl*Shipping!$V$19/365.25*1000000+Shipping!$V$35)+(F98/24/Shipping!$V$44*Shipping!$V$45+Shipping!$V$64*Shipping!$V$65)*IF(bunker_choice="HFO",$H98,IF(bunker_choice="hydrogen",$BD98*hfo_e_density_lhv/h2_e_density_lhv,(EX98+EZ98)*1000000/FB98*hfo_e_density_lhv/lng_e_density_lhv))+(F98/24/Shipping!$V$50*Shipping!$V$51+Shipping!$V$59*Shipping!$V$60)*IF(bunker_choice="HFO",bunker_price_ROT,IF(bunker_choice="hydrogen",$BD98*hfo_e_density_lhv/h2_e_density_lhv,(EX98+EZ98)*1000000/FB98*hfo_e_density_lhv/lng_e_density_lhv))+Shipping!$V$73+IF(G98="Panama",Shipping!$V$55,0)+IF(G98="Suez",Shipping!$V$56,0))/Shipping!$V$31*(FB98+lng_st_ab_losses)/1000000)+IF(inland_transport_to_port="hv dc grid",$BM98/100*1000*FE98,IF(inland_transport_to_port="pipeline",$BN98,0)))</f>
        <v>4287.2922285714267</v>
      </c>
      <c r="FD98" s="28">
        <f t="shared" si="136"/>
        <v>101857.66523637003</v>
      </c>
      <c r="FE98" s="29">
        <f>((Carriers!$AB$18/Carriers!$AB$23*alk_el_e_demand)+sng_e_demand+lng_e_demand)*(FB98+lng_st_ab_losses)/1000000+lng_st_e_demand*EZ98/1000000</f>
        <v>1117.4419405245308</v>
      </c>
      <c r="FF98" s="29">
        <f t="shared" si="109"/>
        <v>0.8126185861001558</v>
      </c>
      <c r="FG98" s="28">
        <f>IFERROR(FD98*1000000/Storage!$U$12,"")</f>
        <v>2509.7907188248246</v>
      </c>
      <c r="FH98" s="28">
        <f>IF($E98="","No Port",((F98/24/Shipping!$V$44+F98/24/Shipping!$V$50+Shipping!$V$59+Shipping!$V$64)*Carriers!$AB$39*wacc_nl))</f>
        <v>43.025006494971869</v>
      </c>
      <c r="FI98" s="100">
        <f>H2_retrieval!$T$25*h2_demand_kt/1000+(co2_liq_e_demand+co2_st_e_demand*2)*Storage!$U$12*co2_density/lng_density/1000000</f>
        <v>236.51371749646054</v>
      </c>
      <c r="FJ98" s="28">
        <f>IFERROR((((EX98+EZ98+FC98)*(1+H2_retrieval!$T$34)+FH98)*1000000/H2_retrieval!$T$8)+h2_regen_lng,"")</f>
        <v>7756.2310628364639</v>
      </c>
      <c r="FK98" s="149">
        <f>(lh2_invest*(M98+1/lh2_lifetime)/lh2_prod+lh2_opex+lh2_e_demand*1000*$AU98/100+Carriers!$AD$18/Carriers!$AD$23*BD98)*(FM98+lh2_st_ab_losses)/1000000</f>
        <v>61926.569848395498</v>
      </c>
      <c r="FL98" s="28">
        <f>lh2_st_nl_cost*lh2_st_nl_demand/1000000+(lh2_st_invest*(M98+1/lh2_st_lifetime+lh2_st_opex)/(Storage!$Y$63/1000000)+lh2_st_e_demand*1000*$AU98/100)*(FM98+lh2_st_ab_losses)/1000000+((FM98+lh2_st_ab_losses)/365.25*short_st_duration_hrs/24)*(h2_short_st_invest*(1/gh2_short_st_lifetime+$M98+h2_short_st_opex)+h2_short_st_e_demand*1000*$AU98/100)/1000000</f>
        <v>60899.990138226429</v>
      </c>
      <c r="FM98" s="63">
        <f>Storage!$Y$57/((1-Shipping!$Z$37)^($F98/24/Shipping!$Z$44+0.5*Shipping!$Z$59))</f>
        <v>14178694.944993289</v>
      </c>
      <c r="FN98" s="28">
        <f>IF($E98="","No Port",IF(G98="Panama","Ship cannot pass through Panama",((F98/24/Shipping!$Z$44+F98/24/Shipping!$Z$50+Shipping!$Z$59+Shipping!$Z$64)*(Shipping!$Z$22+wacc_nl*Shipping!$Z$19/365.25*1000000+Shipping!$Z$35)+(F98/24/Shipping!$Z$44*Shipping!$Z$45+Shipping!$Z$64*Shipping!$Z$65)*IF(bunker_choice="HFO",$H98,IF(bunker_choice="hydrogen",$BD98*hfo_e_density_lhv/h2_e_density_lhv,(FK98+FL98)*1000000/FM98*hfo_e_density_lhv/lh2_e_density_lhv))+(F98/24/Shipping!$Z$50*Shipping!$Z$51+Shipping!$Z$59*Shipping!$Z$60)*IF(bunker_choice="HFO",bunker_price_ROT,IF(bunker_choice="hydrogen",$BD98*hfo_e_density_lhv/h2_e_density_lhv,(FK98+FL98)*1000000/FM98*hfo_e_density_lhv/lh2_e_density_lhv))+Shipping!$Z$73+IF(G98="Panama",Shipping!$Z$55,0)+IF(G98="Suez",Shipping!$Z$56,0))/Shipping!$Z$31*(FM98+lh2_st_ab_losses)/1000000)+IF(inland_transport_to_port="hv dc grid",$BM98/100*1000*FP98,IF(inland_transport_to_port="pipeline",$BN98,0)))</f>
        <v>6304.2834013101201</v>
      </c>
      <c r="FO98" s="28">
        <f t="shared" si="128"/>
        <v>129130.84338793205</v>
      </c>
      <c r="FP98" s="29">
        <f>((Carriers!$AD$18/Carriers!$AD$23*alk_el_e_demand)+lh2_e_demand)*(FM98+lh2_st_ab_losses)/1000000+lh2_st_e_demand*FM98/1000000</f>
        <v>821.62012961676521</v>
      </c>
      <c r="FQ98" s="100">
        <f t="shared" si="110"/>
        <v>1.361902463475859</v>
      </c>
      <c r="FR98" s="28">
        <f>IFERROR(FO98*1000000/Storage!$Y$12,"")</f>
        <v>9494.9149549950034</v>
      </c>
      <c r="FS98" s="100">
        <f>H2_retrieval!$V$25*h2_demand_kt/1000</f>
        <v>8.16</v>
      </c>
      <c r="FT98" s="28">
        <f>IFERROR(FR98*(1+H2_retrieval!$V$34)/Carrier_properties!$U$7+H2_retrieval!$V$38,"")</f>
        <v>9526.8836808634715</v>
      </c>
      <c r="FU98" s="12"/>
      <c r="FV98" s="24">
        <f t="shared" si="129"/>
        <v>2.69753804550799</v>
      </c>
      <c r="FW98" s="24" t="str">
        <f t="shared" si="143"/>
        <v/>
      </c>
      <c r="FX98" s="24">
        <f t="shared" si="144"/>
        <v>8.9101906624112441</v>
      </c>
      <c r="FY98" s="24">
        <f t="shared" si="130"/>
        <v>2.69753804550799</v>
      </c>
      <c r="FZ98" s="28">
        <f t="shared" si="145"/>
        <v>3261.0693473672009</v>
      </c>
      <c r="GA98" s="28">
        <f t="shared" si="137"/>
        <v>743.09756379770454</v>
      </c>
      <c r="GB98" s="28">
        <f t="shared" si="138"/>
        <v>472.99431608979211</v>
      </c>
      <c r="GC98" s="28">
        <f t="shared" si="139"/>
        <v>830.53625583845144</v>
      </c>
      <c r="GD98" s="28">
        <f t="shared" si="140"/>
        <v>1209.601906505025</v>
      </c>
      <c r="GE98" s="28">
        <f t="shared" si="141"/>
        <v>2108.1812614626124</v>
      </c>
      <c r="GF98" s="28">
        <f t="shared" si="142"/>
        <v>2215.249492528299</v>
      </c>
      <c r="GG98" s="12"/>
      <c r="GH98" s="12"/>
      <c r="GI98" s="12"/>
      <c r="GJ98" s="12"/>
      <c r="GK98" s="12"/>
      <c r="GL98" s="12"/>
      <c r="GM98" s="12"/>
      <c r="GN98" s="12"/>
      <c r="GO98" s="12"/>
      <c r="GP98" s="12"/>
      <c r="GQ98" s="12"/>
      <c r="GR98" s="12"/>
      <c r="GS98" s="12"/>
      <c r="GT98" s="12"/>
      <c r="GU98" s="12"/>
      <c r="GV98" s="12"/>
      <c r="GW98" s="12"/>
      <c r="GX98" s="12"/>
      <c r="GY98" s="12"/>
      <c r="GZ98" s="12"/>
      <c r="HA98" s="12"/>
      <c r="HB98" s="12"/>
      <c r="HC98" s="12"/>
      <c r="HD98" s="12"/>
      <c r="HE98" s="12"/>
      <c r="HF98" s="12"/>
    </row>
    <row r="99" spans="1:214" x14ac:dyDescent="0.2">
      <c r="A99" s="154" t="s">
        <v>102</v>
      </c>
      <c r="B99" s="12">
        <v>8146</v>
      </c>
      <c r="C99" s="12">
        <v>1</v>
      </c>
      <c r="D99" s="12">
        <f t="shared" si="111"/>
        <v>0</v>
      </c>
      <c r="E99" s="12" t="s">
        <v>759</v>
      </c>
      <c r="F99" s="12">
        <v>7970</v>
      </c>
      <c r="G99" s="12" t="s">
        <v>692</v>
      </c>
      <c r="H99" s="16">
        <f t="shared" si="112"/>
        <v>382.75862068965517</v>
      </c>
      <c r="I99" s="16">
        <v>653080</v>
      </c>
      <c r="J99" s="16">
        <f t="shared" si="113"/>
        <v>455.94058874913736</v>
      </c>
      <c r="K99" s="27">
        <f t="shared" si="114"/>
        <v>547.12870649896479</v>
      </c>
      <c r="L99" s="103">
        <v>0.13100000000000001</v>
      </c>
      <c r="M99" s="103">
        <f t="shared" si="115"/>
        <v>0.13406534820785587</v>
      </c>
      <c r="N99" s="122">
        <f t="shared" si="116"/>
        <v>0.9</v>
      </c>
      <c r="O99" s="46">
        <f t="shared" si="117"/>
        <v>40</v>
      </c>
      <c r="P99" s="70">
        <f t="array" ref="P99">SUMPRODUCT(IF(Solar_data!A$4:A$777=A99,Solar_data!C$4:C$777),IF(Solar_data!A$4:A$777=A99,Solar_data!I$4:I$777))/SUMIF(Solar_data!A$4:A$777,A99,Solar_data!I$4:I$777)</f>
        <v>1978.5337695982739</v>
      </c>
      <c r="Q99" s="16">
        <f t="array" ref="Q99">MAX(IF(Solar_data!$A$777:'Solar_data'!$A$4=Country_details!$A99,Solar_data!$C$4:'Solar_data'!$C$777))</f>
        <v>2098.75</v>
      </c>
      <c r="R99" s="16">
        <f t="array" ref="R99">MIN(IF(Solar_data!$A$777:'Solar_data'!$A$4=Country_details!A99,Solar_data!$C$4:'Solar_data'!$C$777))</f>
        <v>1551.25</v>
      </c>
      <c r="S99" s="24">
        <f t="shared" si="95"/>
        <v>2.4047030470013619</v>
      </c>
      <c r="T99" s="24">
        <f t="shared" si="96"/>
        <v>2.2669618507912137</v>
      </c>
      <c r="U99" s="24">
        <f t="shared" si="97"/>
        <v>3.0670660334234068</v>
      </c>
      <c r="V99" s="16">
        <f t="array" ref="V99">SUM(IF(Solar_data!$A$777:'Solar_data'!$A$4=Country_details!$A99,Solar_data!$I$4:'Solar_data'!$I$777))</f>
        <v>5239.097520636652</v>
      </c>
      <c r="W99" s="148"/>
      <c r="X99" s="16" t="str">
        <f>IFERROR(INDEX(Onshore_wind_data!$J$5:'Onshore_wind_data'!$J$221,MATCH(A99,Onshore_wind_data!$B$5:'Onshore_wind_data'!$B$221,0)),"")</f>
        <v/>
      </c>
      <c r="Y99" s="16" t="str">
        <f>IFERROR(INDEX(Onshore_wind_data!$K$5:'Onshore_wind_data'!$K$221,MATCH(A99,Onshore_wind_data!$B$5:'Onshore_wind_data'!$B$221,0)),"")</f>
        <v/>
      </c>
      <c r="Z99" s="16" t="str">
        <f>IFERROR(INDEX(Onshore_wind_data!$L$5:'Onshore_wind_data'!$L$221,MATCH(A99,Onshore_wind_data!$B$5:'Onshore_wind_data'!$B$221,0)),"")</f>
        <v/>
      </c>
      <c r="AA99" s="24" t="str">
        <f t="shared" si="118"/>
        <v/>
      </c>
      <c r="AB99" s="24" t="str">
        <f t="shared" si="119"/>
        <v/>
      </c>
      <c r="AC99" s="24" t="str">
        <f t="shared" si="120"/>
        <v/>
      </c>
      <c r="AD99" s="16">
        <f>IFERROR(INDEX(Onshore_wind_data!$I$5:'Onshore_wind_data'!$I$221,MATCH(A99,Onshore_wind_data!$B$5:'Onshore_wind_data'!$B$221,0)),"")</f>
        <v>0</v>
      </c>
      <c r="AE99" s="148"/>
      <c r="AF99" s="16" t="str">
        <f>INDEX(Offshore_wind_data!$AA$7:$AA$192,MATCH(Country_details!A99,Offshore_wind_data!$A$7:$A$192,0))</f>
        <v/>
      </c>
      <c r="AG99" s="16" t="str">
        <f>INDEX(Offshore_wind_data!$Y$7:$Y$192,MATCH(Country_details!A99,Offshore_wind_data!$A$7:$A$192,0))</f>
        <v/>
      </c>
      <c r="AH99" s="16" t="str">
        <f>INDEX(Offshore_wind_data!$Z$7:$Z$192,MATCH(Country_details!A99,Offshore_wind_data!$A$7:$A$192,0))</f>
        <v/>
      </c>
      <c r="AI99" s="24" t="str">
        <f t="shared" si="98"/>
        <v/>
      </c>
      <c r="AJ99" s="24" t="str">
        <f t="shared" si="99"/>
        <v/>
      </c>
      <c r="AK99" s="24" t="str">
        <f t="shared" si="100"/>
        <v/>
      </c>
      <c r="AL99" s="16">
        <f>INDEX(Offshore_wind_data!$W$7:$W$191,MATCH(A99,Offshore_wind_data!$A$7:$A$191,0))</f>
        <v>0</v>
      </c>
      <c r="AM99" s="148"/>
      <c r="AN99" s="12">
        <v>53.4</v>
      </c>
      <c r="AO99" s="12">
        <v>62.4</v>
      </c>
      <c r="AP99" s="34">
        <f>0.312*11.63</f>
        <v>3.6285600000000002</v>
      </c>
      <c r="AQ99" s="15">
        <f t="shared" si="101"/>
        <v>50</v>
      </c>
      <c r="AR99" s="12">
        <f t="shared" si="131"/>
        <v>3120</v>
      </c>
      <c r="AS99" s="16">
        <f t="shared" si="121"/>
        <v>2119.097520636652</v>
      </c>
      <c r="AT99" s="12"/>
      <c r="AU99" s="24">
        <f t="shared" si="122"/>
        <v>2.4047030470013619</v>
      </c>
      <c r="AV99" s="16">
        <f t="shared" si="123"/>
        <v>1978.5337695982739</v>
      </c>
      <c r="AW99" s="149">
        <f>HV_DC_Grid!$E$3/(1-AX99)*AU99/100*1000</f>
        <v>2862.2872891066481</v>
      </c>
      <c r="AX99" s="31">
        <f>(1-(1-HV_DC_Grid!$E$25)^(B99*C99*HV_DC_Grid!$E$8/1000))+(1-(1-HV_DC_Grid!$E$26)^(B99*D99*HV_DC_Grid!$E$8/1000))+HV_DC_Grid!$E$35*HV_DC_Grid!$E$28</f>
        <v>0.15986663667437218</v>
      </c>
      <c r="AY99" s="28">
        <f>B99*nl_e_demand/IF(hv_dc_flh="electricity FLH",$AV99,hv_dc_custom)*1000*hv_dc_capacity_multiplier*hv_dc_length_multiplier*1000*(C99*hv_dc_overhead_invest*(hv_dc_overhead_opex+M99+1/hv_dc_lifetime)+D99*hv_dc_sea_invest*(hv_dc_sea_opex+M99+1/hv_dc_lifetime))/1000000+HV_DC_Grid!$E$10*1000*hv_dc_station_invest*hv_dc_station_number*(hv_dc_station_opex+M99+1/hv_dc_lifetime)/1000000</f>
        <v>7717.9819231950432</v>
      </c>
      <c r="AZ99" s="24">
        <f>(AW99+AY99)/(HV_DC_Grid!$E$3*1000)*100</f>
        <v>10.580269212301692</v>
      </c>
      <c r="BA99" s="28">
        <f>MIN(((Carriers!$F$26+Carriers!$F$27)*(alk_el_opex+wacc_nl+1/alk_el_lifetime)+IF(hv_dc_flh="electricity FLH",$AV99,hv_dc_custom)*AZ99/100)/(IF(hv_dc_flh="electricity FLH",$AV99,hv_dc_custom)/alk_el_e_demand)*1000,((Carriers!$H$26+Carriers!$H$27)*(pem_el_opex+wacc_nl+1/pem_el_lifetime)+IF(hv_dc_flh="electricity FLH",$AV99,hv_dc_custom)*AZ99/100)/(IF(hv_dc_flh="electricity FLH",$AV99,hv_dc_custom)/pem_el_e_demand)*1000)</f>
        <v>5759.1307042265234</v>
      </c>
      <c r="BB99" s="12"/>
      <c r="BC99" s="12"/>
      <c r="BD99" s="149">
        <f>MIN(((Carriers!$F$26+Carriers!$F$27)*(alk_el_opex+M99+1/alk_el_lifetime)+$AV99*$AU99/100)/($AV99/alk_el_e_demand)*1000,((Carriers!$H$26+Carriers!$H$27)*(pem_el_opex+M99+1/pem_el_lifetime)+$AV99*$AU99/100)/($AV99/pem_el_e_demand)*1000)</f>
        <v>3029.1140084438812</v>
      </c>
      <c r="BE99" s="28">
        <f>Storage!$AC$50</f>
        <v>8.1664117557772418</v>
      </c>
      <c r="BF99" s="28">
        <f>((Pipeline!$D$22*Pipeline!$D$24*B99*(pipeline_opex+M99+1/pipeline_lifetime))*(Pipeline!$D$39/Pipeline!$D$3)+(Pipeline!$D$57*(pipeline_comp_opex+M99+1/pipeline_comp_lifetime)+Pipeline!$D$47*1000*Pipeline!$D$45*$AU99/100/1000000))*(Pipeline!$D$75/Pipeline!$D$45)</f>
        <v>19152.221272720821</v>
      </c>
      <c r="BG99" s="28">
        <f>BD99+(BE99+BF99)/Storage!$AC$12*1000000</f>
        <v>4437.9660440671605</v>
      </c>
      <c r="BH99" s="28"/>
      <c r="BI99" s="28"/>
      <c r="BJ99" s="28">
        <f>IF($E99="","No Port",BK99*HV_DC_Grid!$E$3*$AU99/100*1000)</f>
        <v>58.996846856523646</v>
      </c>
      <c r="BK99" s="31">
        <f>IFERROR((1-(1-HV_DC_Grid!$E$25)^(K99*HV_DC_Grid!$E$8/1000))+HV_DC_Grid!$E$35*HV_DC_Grid!$E$28,"")</f>
        <v>2.4533942737791289E-2</v>
      </c>
      <c r="BL99" s="28">
        <f>IFERROR(K99*nl_e_demand/IF(hv_dc_flh="electricity FLH",$AV99,hv_dc_custom)*1000*hv_dc_capacity_multiplier*hv_dc_length_multiplier*1000*(hv_dc_overhead_invest*(hv_dc_overhead_opex+M99+1/hv_dc_lifetime))/1000000+HV_DC_Grid!$E$10*1000*hv_dc_station_invest*hv_dc_station_number*(hv_dc_station_opex+M99+1/hv_dc_lifetime)/1000000,"")</f>
        <v>934.73518714059901</v>
      </c>
      <c r="BM99" s="29">
        <f>IFERROR((BJ99+BL99)/(HV_DC_Grid!$E$3*1000)*100,"")</f>
        <v>0.99373203399712273</v>
      </c>
      <c r="BN99" s="28">
        <f>IFERROR(((Pipeline!$D$22*Pipeline!$D$24*K99*(pipeline_opex+M99+1/pipeline_lifetime))*(Pipeline!$D$39/Pipeline!$D$3)+(Pipeline!$D$57*(pipeline_comp_opex+M99+1/pipeline_comp_lifetime)+Pipeline!$D$47*1000*Pipeline!$D$45*S99/100/1000000))*(Pipeline!$D$75/Pipeline!$D$45),"")</f>
        <v>1361.5653410813338</v>
      </c>
      <c r="BO99" s="28"/>
      <c r="BP99" s="150">
        <f t="shared" si="124"/>
        <v>116.75854086243544</v>
      </c>
      <c r="BQ99" s="34">
        <f t="shared" si="125"/>
        <v>35.02702599601681</v>
      </c>
      <c r="BR99" s="151">
        <f>(nh3_invest*(M99+1/nh3_lifetime)/nh3_prod+nh3_opex+nh3_e_demand*1000*$AU99/100+Carriers!$N$18/Carriers!$N$23*BD99+Carriers!$N$19/Carriers!$N$23*BQ99)*(BT99+nh3_st_ab_losses)/1000000</f>
        <v>55470.849774512499</v>
      </c>
      <c r="BS99" s="63">
        <f>nh3_st_nl_cost*nh3_st_nl_demand/1000000+(nh3_st_invest*(M99+1/nh3_st_lifetime+nh3_st_opex)/(Storage!$G$63/1000000)+nh3_st_e_demand*1000*$AU99/100)*(BT99+nh3_st_ab_losses)/1000000+Carriers!$N$18/Carriers!$N$23*((BT99+nh3_st_ab_losses)/365.25*short_st_duration_hrs/24)*(h2_short_st_invest*(1/gh2_short_st_lifetime+$M99+h2_short_st_opex)+h2_short_st_e_demand*1000*$AU99/100)/1000000+Carriers!$N$19/Carriers!$N$23*((BT99+nh3_st_ab_losses)/365.25*short_st_duration_hrs/24)*(n2_short_st_invest*(1/n2_short_st_lifetime+$M99+n2_short_st_opex)+n2_short_st_e_demand*1000*$AU99/100)/1000000</f>
        <v>3594.1873043934706</v>
      </c>
      <c r="BT99" s="63">
        <f>Storage!$G$57/((1-Shipping!$H$37)^(F99/24/Shipping!$H$44+0.5*Shipping!$H$59))</f>
        <v>80827344.826609567</v>
      </c>
      <c r="BU99" s="63">
        <f>IF($E99="","No Port",((F99/24/Shipping!$H$44+F99/24/Shipping!$H$50+Shipping!$H$59+Shipping!$H$64)*(Shipping!$H$22+wacc_nl*Shipping!$H$19/365.25*1000000+Shipping!$H$35)+(F99/24/Shipping!$H$44*Shipping!$H$45+Shipping!$H$64*Shipping!$H$65)*IF(bunker_choice="HFO",H99,IF(bunker_choice="hydrogen",BD99*hfo_e_density_lhv/h2_e_density_lhv,(BR99+BS99)*1000000/BT99*hfo_e_density_lhv/nh3_e_density_lhv))+(F99/24/Shipping!$H$50*Shipping!$H$51+Shipping!$H$59*Shipping!$H$60)*IF(bunker_choice="HFO",bunker_price_ROT,IF(bunker_choice="hydrogen",BD99*hfo_e_density_lhv/h2_e_density_lhv,(BR99+BS99)*1000000/BT99*hfo_e_density_lhv/nh3_e_density_lhv))+Shipping!$H$73+IF(G99="Panama",Shipping!$H$55,0)+IF(G99="Suez",Shipping!$H$56,0))/Shipping!$H$31*BT99/1000000+IF(inland_transport_to_port="hv dc grid",$BM99/100*1000*BW99,IF(inland_transport_to_port="pipeline",$BN99,0)))</f>
        <v>7112.3205896312538</v>
      </c>
      <c r="BV99" s="63">
        <f t="shared" si="126"/>
        <v>66177.357668537225</v>
      </c>
      <c r="BW99" s="33">
        <f>((Carriers!$N$18/Carriers!$N$23*alk_el_e_demand)+(Carriers!$N$19/Carriers!$N$23*n2_e_demand)+nh3_e_demand)*(BT99+nh3_st_ab_losses)/1000000+nh3_st_e_demand*BT99/1000000</f>
        <v>798.17620206811682</v>
      </c>
      <c r="BX99" s="33">
        <f t="shared" si="102"/>
        <v>0.76626754477640768</v>
      </c>
      <c r="BY99" s="63">
        <f>IFERROR(BV99*1000000/Storage!$G$12,"")</f>
        <v>864.35209803139753</v>
      </c>
      <c r="BZ99" s="63">
        <f>H2_retrieval!$F$25*h2_demand_kt/1000</f>
        <v>80</v>
      </c>
      <c r="CA99" s="63">
        <f>IFERROR(BY99*(1+H2_retrieval!$F$34)/Carrier_properties!$E$7+H2_retrieval!$F$38,"")</f>
        <v>5275.2081611538251</v>
      </c>
      <c r="CB99" s="149">
        <f>(FA_invest*(M99+1/FA_lifetime)/FA_prod+FA_opex+FA_e_demand*1000*$AU99/100+Carriers!$P$18/Carriers!$P$23*BD99+Carriers!$P$20/Carriers!$P$23*co2_liq_cost)*(CF99+FA_st_ab_losses)/1000000</f>
        <v>105758.41511159007</v>
      </c>
      <c r="CC99" s="86">
        <f>(FA_invest*(M99+1/FA_lifetime)/FA_prod+FA_opex+FA_e_demand*1000*$AU99/100+Carriers!$P$18/Carriers!$P$23*BD99+Carriers!$P$20/Carriers!$P$23*BP99)*(CF99+FA_st_ab_losses)/1000000</f>
        <v>133975.77943119028</v>
      </c>
      <c r="CD99" s="63">
        <f>FA_st_nl_cost*FA_st_nl_demand/1000000+(FA_st_invest*(M99+1/FA_st_lifetime+FA_st_opex)/(Storage!$I$63/1000000)+FA_st_e_demand*1000*$AU99/100)*(CF99+FA_st_ab_losses)/1000000+co2_st_nl_cost*Storage!$I$12*co2_density/FA_density/1000000+(co2_st_opex_lev+co2_st_invest_lev+co2_st_e_demand*1000*$AU99/100)*Storage!$I$12/1000000+co2_st_invest_lev*Storage!$I$12*co2_st_lifetime*M99/1000000+Carriers!$P$18/Carriers!$P$23*((CF99+FA_st_ab_losses)/365.25*short_st_duration_hrs/24)*(h2_short_st_invest*(1/gh2_short_st_lifetime+$M99+h2_short_st_opex)+h2_short_st_e_demand*1000*$AU99/100)/1000000+Carriers!$P$20/Carriers!$P$23*((CF99+FA_st_ab_losses)/365.25*short_st_duration_hrs/24)*(co2_short_st_invest*(1/co2_short_st_lifetime+$M99+co2_short_st_opex)+co2_short_st_e_demand*1000*$AU99/100)/1000000</f>
        <v>11984.102102109722</v>
      </c>
      <c r="CE99" s="63">
        <f>FA_st_nl_cost*FA_st_nl_demand/1000000+(FA_st_invest*(M99+1/FA_st_lifetime+FA_st_opex)/(Storage!$I$63/1000000)+FA_st_e_demand*1000*$AU99/100)*(CF99+FA_st_ab_losses)/1000000+Carriers!$P$18/Carriers!$P$23*((CF99+FA_st_ab_losses)/365.25*short_st_duration_hrs/24)*(h2_short_st_invest*(1/gh2_short_st_lifetime+$M99+h2_short_st_opex)+h2_short_st_e_demand*1000*$AU99/100)/1000000+Carriers!$P$20/Carriers!$P$23*((CF99+FA_st_ab_losses)/365.25*short_st_duration_hrs/24)*(co2_short_st_invest*(1/co2_short_st_lifetime+$M99+co2_short_st_opex)+co2_short_st_e_demand*1000*$AU99/100)/1000000</f>
        <v>5252.2113797343454</v>
      </c>
      <c r="CF99" s="63">
        <f>Storage!$I$57/((1-Shipping!$J$37)^($F99/24/Shipping!$J$44+0.5*Shipping!$J$59))</f>
        <v>310425396.82539684</v>
      </c>
      <c r="CG99" s="28">
        <f>IF($E99="","No Port",((F99/24/Shipping!$J$44+F99/24/Shipping!$J$50+Shipping!$J$59+Shipping!$J$64)*(Shipping!$J$22+wacc_nl*Shipping!$J$19/365.25*1000000+Shipping!$J$35)+(F99/24/Shipping!$J$44*Shipping!$J$45+Shipping!$J$64*Shipping!$J$65)*IF(bunker_choice="HFO",$H99,IF(bunker_choice="hydrogen",$BD99*hfo_e_density_lhv/h2_e_density_lhv,(CB99+CD99)*1000000/CF99*hfo_e_density_lhv/FA_e_density_lhv))+(F99/24/Shipping!$J$50*Shipping!$J$51+Shipping!$J$59*Shipping!$J$60)*IF(bunker_choice="HFO",bunker_price_ROT,IF(bunker_choice="hydrogen",$BD99*hfo_e_density_lhv/h2_e_density_lhv,(CB99+CD99)*1000000/CF99*hfo_e_density_lhv/FA_e_density_lhv))+Shipping!$J$73+IF(G99="Panama",Shipping!$J$55,0)+IF(G99="Suez",Shipping!$J$56,0))/Shipping!$J$31*CF99/1000000+IF(inland_transport_to_port="hv dc grid",$BM99/100*1000*CI99,IF(inland_transport_to_port="pipeline",$BN99,0)))</f>
        <v>26258.662031188702</v>
      </c>
      <c r="CH99" s="28">
        <f t="shared" si="132"/>
        <v>165486.65284211331</v>
      </c>
      <c r="CI99" s="29">
        <f>((Carriers!$P$18/Carriers!$P$23*alk_el_e_demand)+FA_e_demand)*(CF99+FA_st_ab_losses)/1000000+FA_st_e_demand*CF99/1000000</f>
        <v>1897.8881241622576</v>
      </c>
      <c r="CJ99" s="29">
        <f t="shared" si="103"/>
        <v>0.46563809523809524</v>
      </c>
      <c r="CK99" s="28">
        <f>IFERROR(CH99*1000000/Storage!$I$12,"")</f>
        <v>533.09637205745003</v>
      </c>
      <c r="CL99" s="28">
        <f>IF($E99="","No Port",((F99/24/Shipping!$J$44+F99/24/Shipping!$J$50+Shipping!$J$59+Shipping!$J$64)*Carriers!$P$39*wacc_nl))</f>
        <v>375.05544201386971</v>
      </c>
      <c r="CM99" s="29">
        <f>H2_retrieval!$H$25*h2_demand_kt/1000+(co2_liq_e_demand+co2_st_e_demand*2)*Storage!$I$12*co2_density/FA_density/1000000</f>
        <v>94.204253879484654</v>
      </c>
      <c r="CN99" s="28">
        <f>IFERROR((((CB99+CD99+CG99)*(1+H2_retrieval!$H$34)+CL99)*1000000/H2_retrieval!$H$8)+h2_regen_fa,"")</f>
        <v>10705.586977098012</v>
      </c>
      <c r="CO99" s="149">
        <f>(meoh_invest*(M99+1/meoh_lifetime)/meoh_prod+meoh_opex+meoh_e_demand*1000*$AU99/100+Carriers!$R$18/Carriers!$R$23*BD99+Carriers!$R$20/Carriers!$R$23*co2_liq_cost)*(CS99+meoh_st_ab_losses)/1000000</f>
        <v>66206.3252563758</v>
      </c>
      <c r="CP99" s="86">
        <f>(meoh_invest*(M99+1/meoh_lifetime)/meoh_prod+meoh_opex+meoh_e_demand*1000*$AU99/100+Carriers!$R$18/Carriers!$R$23*BD99+Carriers!$R$20/Carriers!$R$23*BP99)*(CS99+meoh_st_ab_losses)/1000000</f>
        <v>82770.789233836898</v>
      </c>
      <c r="CQ99" s="63">
        <f>meoh_st_nl_cost*meoh_st_nl_demand/1000000+(meoh_st_invest*(M99+1/meoh_st_lifetime+meoh_st_opex)/(Storage!$K$63/1000000)+meoh_st_e_demand*1000*$AU99/100)*(CS99+meoh_st_ab_losses)/1000000+co2_st_nl_cost*Storage!$K$12*co2_density/meoh_density/1000000+(co2_st_opex_lev+co2_st_invest_lev+co2_st_e_demand*1000*IFERROR(MIN(S99,AA99,AI99),S99)/100)*Storage!$K$12/1000000+co2_st_invest_lev*Storage!$K$12*co2_st_lifetime*M99/1000000+Carriers!$R$18/Carriers!$R$23*((CS99+meoh_st_ab_losses)/365.25*short_st_duration_hrs/24)*(h2_short_st_invest*(1/gh2_short_st_lifetime+$M99+h2_short_st_opex)+h2_short_st_e_demand*1000*$AU99/100)/1000000+Carriers!$R$20/Carriers!$R$23*((CF99+meoh_st_ab_losses)/365.25*short_st_duration_hrs/24)*(co2_short_st_invest*(1/co2_short_st_lifetime+$M99+co2_short_st_opex)+co2_short_st_e_demand*1000*$AU99/100)/1000000</f>
        <v>5021.9252557722657</v>
      </c>
      <c r="CR99" s="63">
        <f>meoh_st_nl_cost*meoh_st_nl_demand/1000000+(meoh_st_invest*(M99+1/meoh_st_lifetime+meoh_st_opex)/(Storage!$K$63/1000000)+meoh_st_e_demand*1000*$AU99/100)*(CS99+meoh_st_ab_losses)/1000000+Carriers!$R$18/Carriers!$R$23*((CS99+meoh_st_ab_losses)/365.25*short_st_duration_hrs/24)*(h2_short_st_invest*(1/gh2_short_st_lifetime+$M99+h2_short_st_opex)+h2_short_st_e_demand*1000*$AU99/100)/1000000+Carriers!$R$20/Carriers!$R$23*((CF99+meoh_st_ab_losses)/365.25*short_st_duration_hrs/24)*(co2_short_st_invest*(1/co2_short_st_lifetime+$M99+co2_short_st_opex)+co2_short_st_e_demand*1000*$AU99/100)/1000000</f>
        <v>2079.8740579778337</v>
      </c>
      <c r="CS99" s="63">
        <f>Storage!$K$57/((1-Shipping!$L$37)^($F99/24/Shipping!$L$44+0.5*Shipping!$L$59))</f>
        <v>108044444.44444443</v>
      </c>
      <c r="CT99" s="28">
        <f>IF($E99="","No Port",IF(AND(ship_choice="VLCC",G99="Panama"),"Ship cannot pass through Panama",IF(ship_choice="VLCC",((F99/24/Shipping!$AD$44+F99/24/Shipping!$AD$50+Shipping!$AD$59+Shipping!$AD$64)*(Shipping!$AD$22+wacc_nl*Shipping!$AD$19/365.25*1000000+Shipping!$AD$35)+(F99/24/Shipping!$AD$44*Shipping!$AD$45+Shipping!$AD$64*Shipping!$AD$65)*IF(bunker_choice="HFO",$H99,IF(bunker_choice="hydrogen",$BD99*hfo_e_density_lhv/h2_e_density_lhv,(CO99+CQ99)*1000000/CS99*hfo_e_density_lhv/meoh_e_density_lhv))+(F99/24/Shipping!$AD$50*Shipping!$AD$51+Shipping!$AD$59*Shipping!$AD$60)*IF(bunker_choice="HFO",bunker_price_ROT,IF(bunker_choice="hydrogen",$BD99*hfo_e_density_lhv/h2_e_density_lhv,(CO99+CQ99)*1000000/CS99*hfo_e_density_lhv/meoh_e_density_lhv))+Shipping!$AD$73+IF(G99="Panama",Shipping!$AD$55,0)+IF(G99="Suez",Shipping!$AD$56,0))/Shipping!$AD$31*CS99/1000000+IF(inland_transport_to_port="hv dc grid",$BM99/100*1000*CV99,IF(inland_transport_to_port="pipeline",$BN99,0)),((F99/24/Shipping!$L$44+F99/24/Shipping!$L$50+Shipping!$L$59+Shipping!$L$64)*(Shipping!$L$22+wacc_nl*Shipping!$L$19/365.25*1000000+Shipping!$L$35)+(F99/24/Shipping!$L$44*Shipping!$L$45+Shipping!$L$64*Shipping!$L$65)*IF(bunker_choice="HFO",$H99,IF(bunker_choice="hydrogen",$BD99*hfo_e_density_lhv/h2_e_density_lhv,(CO99+CQ99)*1000000/CS99*hfo_e_density_lhv/meoh_e_density_lhv))+(F99/24/Shipping!$L$50*Shipping!$L$51+Shipping!$L$59*Shipping!$L$60)*IF(bunker_choice="HFO",bunker_price_ROT,IF(bunker_choice="hydrogen",$BD99*hfo_e_density_lhv/h2_e_density_lhv,(CO99+CQ99)*1000000/CS99*hfo_e_density_lhv/meoh_e_density_lhv))+Shipping!$L$73+IF(G99="Panama",Shipping!$L$55,0)+IF(G99="Suez",Shipping!$L$56,0))/Shipping!$L$31*CS99/1000000+IF(inland_transport_to_port="hv dc grid",$BM99/100*1000*CV99,IF(inland_transport_to_port="pipeline",$BN99,0)))))</f>
        <v>9621.4623736851026</v>
      </c>
      <c r="CU99" s="28">
        <f t="shared" si="133"/>
        <v>94472.125665499843</v>
      </c>
      <c r="CV99" s="29">
        <f>((Carriers!$R$18/Carriers!$R$23*alk_el_e_demand)+meoh_e_demand)*(CS99+meoh_st_ab_losses)/1000000+meoh_st_e_demand*CS99/1000000</f>
        <v>1119.9789871111109</v>
      </c>
      <c r="CW99" s="29">
        <f t="shared" si="104"/>
        <v>0.16206666666666666</v>
      </c>
      <c r="CX99" s="28">
        <f>IFERROR(CU99*1000000/Storage!$K$12,"")</f>
        <v>874.38207629524754</v>
      </c>
      <c r="CY99" s="28">
        <f>IF($E99="","No Port",((F99/24/Shipping!$L$44+F99/24/Shipping!$L$50+Shipping!$L$59+Shipping!$L$64)*Carriers!$R$39*wacc_nl))</f>
        <v>134.50328723057657</v>
      </c>
      <c r="CZ99" s="29">
        <f>H2_retrieval!$J$25*h2_demand_kt/1000+(co2_liq_e_demand+co2_st_e_demand*2)*Storage!$K$12*co2_density/meoh_density/1000000</f>
        <v>251.05079059698966</v>
      </c>
      <c r="DA99" s="28">
        <f>IFERROR((((CO99+CQ99+CT99)*(1+H2_retrieval!$J$34)+CY99)*1000000/H2_retrieval!$J$8)+h2_regen_meoh,"")</f>
        <v>7124.8503206272744</v>
      </c>
      <c r="DB99" s="149">
        <f>(DBT_invest*(M99+1/DBT_lifetime)/DBT_prod+DBT_opex+DBT_e_demand*1000*$AU99/100+Carriers!$T$18/Carriers!$T$23*BD99)*(DD99+DBT_st_ab_losses)/1000000</f>
        <v>44545.562079765099</v>
      </c>
      <c r="DC99" s="28">
        <f>2*(DBT_st_nl_cost*DBT_st_nl_demand/1000000+(DBT_st_invest*(M99+1/DBT_st_lifetime+DBT_st_opex)/(Storage!$M$63/1000000)+DBT_st_e_demand*1000*$AU99/100)*(DD99+DBT_st_ab_losses)/1000000)+Carriers!$T$18/Carriers!$T$23*((DD99+DBT_st_ab_losses)/365.25*short_st_duration_hrs/24)*(h2_short_st_invest*(1/gh2_short_st_lifetime+$M99+h2_short_st_opex)+h2_short_st_e_demand*1000*$AU99/100)/1000000</f>
        <v>4269.1382856330492</v>
      </c>
      <c r="DD99" s="63">
        <f>Storage!$M$57/((1-Shipping!$N$37)^($F99/24/Shipping!$N$44+0.5*Shipping!$N$59))</f>
        <v>219354838.70967743</v>
      </c>
      <c r="DE99" s="28">
        <f>IF($E99="","No Port",IF(AND(ship_choice="VLCC",G99="Panama"),"Ship cannot pass through Panama",IF(ship_choice="VLCC",((F99/24/Shipping!$AD$44+F99/24/Shipping!$AD$50+Shipping!$AD$59+Shipping!$AD$64)*(Shipping!$AD$22+wacc_nl*Shipping!$AD$19/365.25*1000000+Shipping!$AD$35)+(F99/24/Shipping!$AD$44*Shipping!$AD$45+Shipping!$AD$64*Shipping!$AD$65)*IF(bunker_choice="HFO",$H99,IF(bunker_choice="hydrogen",$BD99*hfo_e_density_lhv/h2_e_density_lhv,(DB99+DC99)*1000000/DD99*hfo_e_density_lhv/DBT_e_density_lhv))+(F99/24/Shipping!$AD$50*Shipping!$AD$51+Shipping!$AD$59*Shipping!$AD$60)*IF(bunker_choice="HFO",bunker_price_ROT,IF(bunker_choice="hydrogen",$BD99*hfo_e_density_lhv/h2_e_density_lhv,(DB99+DC99)*1000000/DD99*hfo_e_density_lhv/DBT_e_density_lhv))+Shipping!$AD$73+IF(G99="Panama",Shipping!$AD$55,0)+IF(G99="Suez",Shipping!$AD$56,0))/Shipping!$AD$31*DD99/1000000+IF(inland_transport_to_port="hv dc grid",$BM99/100*1000*DG99,IF(inland_transport_to_port="pipeline",$BN99,0)),((F99/24/Shipping!$N$44+F99/24/Shipping!$N$50+Shipping!$N$59+Shipping!$N$64)*(Shipping!$N$22+wacc_nl*Shipping!$N$19/365.25*1000000+Shipping!$N$35)+(F99/24/Shipping!$N$44*Shipping!$N$45+Shipping!$N$64*Shipping!$N$65)*IF(bunker_choice="HFO",$H99,IF(bunker_choice="hydrogen",$BD99*hfo_e_density_lhv/h2_e_density_lhv,(DB99+DC99)*1000000/DD99*hfo_e_density_lhv/DBT_e_density_lhv))+(F99/24/Shipping!$N$50*Shipping!$N$51+Shipping!$N$59*Shipping!$N$60)*IF(bunker_choice="HFO",bunker_price_ROT,IF(bunker_choice="hydrogen",$BD99*hfo_e_density_lhv/h2_e_density_lhv,(DB99+DC99)*1000000/DD99*hfo_e_density_lhv/DBT_e_density_lhv))+Shipping!$N$73+IF(G99="Panama",Shipping!$N$55,0)+IF(G99="Suez",Shipping!$N$56,0))/Shipping!$N$31*Shipping!$N$86/1000000+IF(inland_transport_to_port="hv dc grid",$BM99/100*1000*DG99,IF(inland_transport_to_port="pipeline",$BN99,0)))))</f>
        <v>16940.65840984743</v>
      </c>
      <c r="DF99" s="28">
        <f t="shared" si="82"/>
        <v>65755.358775245579</v>
      </c>
      <c r="DG99" s="29">
        <f>((Carriers!$T$18/Carriers!$T$23*alk_el_e_demand)+DBT_e_demand)*(DD99+DBT_st_ab_losses)/1000000+DBT_st_e_demand*DD99/1000000</f>
        <v>703.88335483870969</v>
      </c>
      <c r="DH99" s="29">
        <f t="shared" si="105"/>
        <v>0.21935483870967742</v>
      </c>
      <c r="DI99" s="28">
        <f>IFERROR(DF99*1000000/Storage!$M$12,"")</f>
        <v>299.7670767695019</v>
      </c>
      <c r="DJ99" s="28">
        <f>IF($E99="","No Port",((F99/24/Shipping!$N$44+F99/24/Shipping!$N$50+Shipping!$N$59+Shipping!$N$64)*Carriers!$T$39*wacc_nl))</f>
        <v>9796.3163357993963</v>
      </c>
      <c r="DK99" s="100">
        <f>H2_retrieval!$L$25*h2_demand_kt/1000+(co2_liq_e_demand+co2_st_e_demand*2)*Storage!$M$12*co2_density/DBT_density/1000000</f>
        <v>206.61934861671787</v>
      </c>
      <c r="DL99" s="28">
        <f>IFERROR(((DF99*(1+H2_retrieval!$L$34)+DJ99)*1000000/H2_retrieval!$L$8)+h2_regen_lohc,"")</f>
        <v>6025.9200093921017</v>
      </c>
      <c r="DM99" s="149">
        <f t="shared" si="127"/>
        <v>49651.244256023463</v>
      </c>
      <c r="DN99" s="16">
        <f>2*(nabh4_st_nl_cost*nabh4_st_nl_demand/1000000+(nabh4_st_invest*(M99+1/nabh4_st_lifetime+nabh4_st_opex)/(Storage!$O$63/1000000)+nabh4_st_e_demand*1000*$AU99/100)*(DO99+nabh4_st_ab_losses)/1000000)+(h2_demand_kt*1000/365.25*short_st_duration_hrs/24)*(h2_short_st_invest*(1/gh2_short_st_lifetime+$M99+h2_short_st_opex)+h2_short_st_e_demand*1000*$AU99/100)/1000000</f>
        <v>1431.8562259730202</v>
      </c>
      <c r="DO99" s="63">
        <f>Storage!$O$57/((1-Shipping!$P$37)^($F99/24/Shipping!$P$44+0.5*Shipping!$P$59))</f>
        <v>63920000</v>
      </c>
      <c r="DP99" s="16">
        <f>IF($E99="","No Port",((F99/24/Shipping!$P$44+F99/24/Shipping!$P$50+Shipping!$P$59+Shipping!$P$64)*(Shipping!$P$22+wacc_nl*Shipping!$P$19/365.25*1000000+Shipping!$P$35)+(F99/24/Shipping!$P$44*Shipping!$P$45+Shipping!$P$64*Shipping!$P$65)*IF(bunker_choice="HFO",$H99,IF(bunker_choice="hydrogen",$BD99*hfo_e_density_lhv/h2_e_density_lhv,(DM99+DN99)*1000000/DO99*hfo_e_density_lhv/nabh4_e_density_lhv))+(F99/24/Shipping!$P$50*Shipping!$P$51+Shipping!$P$59*Shipping!$P$60)*IF(bunker_choice="HFO",bunker_price_ROT,IF(bunker_choice="hydrogen",$BD99*hfo_e_density_lhv/h2_e_density_lhv,(DM99+DN99)*1000000/DO99*hfo_e_density_lhv/nabh4_e_density_lhv))+Shipping!$P$73+IF(G99="Panama",Shipping!$P$55,0)+IF(G99="Suez",Shipping!$P$56,0))/Shipping!$P$31*(DO99+nabh4_st_ab_losses)/1000000+IF(inland_transport_to_port="hv dc grid",$BM99/100*1000*DR99,IF(inland_transport_to_port="pipeline",$BN99,0)))</f>
        <v>5199.3906927204725</v>
      </c>
      <c r="DQ99" s="28">
        <f t="shared" si="60"/>
        <v>56282.491174716954</v>
      </c>
      <c r="DR99" s="29">
        <f>((Carriers!$V$18/Carriers!$V$23*alk_el_e_demand)+nabh4_e_demand)*(DO99+nabh4_st_ab_losses)/1000000+nabh4_st_e_demand*DO99/1000000</f>
        <v>980.02139682539689</v>
      </c>
      <c r="DS99" s="28">
        <f t="shared" si="106"/>
        <v>3.1960000000000002</v>
      </c>
      <c r="DT99" s="28">
        <f>IFERROR(DQ99*1000000/Storage!$O$12,"")</f>
        <v>880.51456781472086</v>
      </c>
      <c r="DU99" s="28">
        <f>IF($E99="","No Port",((F99/24/Shipping!$P$44+F99/24/Shipping!$P$50+Shipping!$P$59+Shipping!$P$64)*Carriers!$V$39*wacc_nl))</f>
        <v>899.37233999930299</v>
      </c>
      <c r="DV99" s="100">
        <f>H2_retrieval!$N$25*h2_demand_kt/1000+(co2_liq_e_demand+co2_st_e_demand*2)*Storage!$O$12*co2_density/nabh4_density/1000000</f>
        <v>18.783638728971958</v>
      </c>
      <c r="DW99" s="28">
        <f>IFERROR(((DQ99*(1+H2_retrieval!$N$34)+DU99)*1000000/H2_retrieval!$N$8)+h2_regen_nabh4,"")</f>
        <v>4294.1913676720069</v>
      </c>
      <c r="DX99" s="149">
        <f>(Dme_invest*(M99+1/Dme_lifetime)/Dme_prod+Dme_opex+Dme_e_demand*1000*$AU99/100+Carriers!$X$21/Carriers!$X$23*(CO99*1000000/CS99))*(EB99+Dme_st_ab_losses)/1000000</f>
        <v>92990.850442183219</v>
      </c>
      <c r="DY99" s="86">
        <f>(Dme_invest*(M99+1/Dme_lifetime)/Dme_prod+Dme_opex+Dme_e_demand*1000*$AU99/100+Carriers!$X$21/Carriers!$X$23*(CP99*1000000/CS99))*(EB99+Dme_st_ab_losses)/1000000</f>
        <v>115463.26259785898</v>
      </c>
      <c r="DZ99" s="63">
        <f>Dme_st_nl_cost*Dme_st_nl_demand/1000000+(Dme_st_invest*(M99+1/Dme_st_lifetime+Dme_st_opex)/(Storage!$Q$63/1000000)+Dme_st_e_demand*1000*$AU99/100)*(EB99+Dme_st_ab_losses)/1000000+co2_st_nl_cost*Storage!$Q$12*co2_density/Dme_density/1000000+(co2_st_opex_lev+co2_st_invest_lev+co2_st_e_demand*1000*$AU99/100)*Storage!$Q$12/1000000+co2_st_invest_lev*Storage!$Q$12*co2_st_lifetime*M99/1000000+(h2_demand_kt*1000/365.25*short_st_duration_hrs/24)*(h2_short_st_invest*(1/gh2_short_st_lifetime+$M99+h2_short_st_opex)+h2_short_st_e_demand*1000*$AU99/100)/1000000</f>
        <v>6053.0012141826483</v>
      </c>
      <c r="EA99" s="63">
        <f>Dme_st_nl_cost*Dme_st_nl_demand/1000000+(Dme_st_invest*(M99+1/Dme_st_lifetime+Dme_st_opex)/(Storage!$Q$63/1000000)+Dme_st_e_demand*1000*$AU99/100)*(EB99+Dme_st_ab_losses)/1000000+(h2_demand_kt*1000/365.25*short_st_duration_hrs/24)*(h2_short_st_invest*(1/gh2_short_st_lifetime+$M99+h2_short_st_opex)+h2_short_st_e_demand*1000*$AU99/100)/1000000</f>
        <v>3106.5123249858721</v>
      </c>
      <c r="EB99" s="63">
        <f>Storage!$Q$57/((1-Shipping!$R$37)^($F99/24/Shipping!$R$44+0.5*Shipping!$R$59))</f>
        <v>103547089.94708996</v>
      </c>
      <c r="EC99" s="153">
        <f>IF($E99="","No Port",IF(AND(ship_choice="VLCC",G99="Panama"),"Ship cannot pass through Panama",IF(ship_choice="VLCC",((F99/24/Shipping!$AD$44+F99/24/Shipping!$AD$50+Shipping!$AD$59+Shipping!$AD$64)*(Shipping!$AD$22+wacc_nl*Shipping!$AD$19/365.25*1000000+Shipping!$AD$35)+(F99/24/Shipping!$AD$44*Shipping!$AD$45+Shipping!$AD$64*Shipping!$AD$65)*IF(bunker_choice="HFO",$H99,IF(bunker_choice="hydrogen",$BD99*hfo_e_density_lhv/h2_e_density_lhv,(DX99+DZ99)*1000000/EB99*hfo_e_density_lhv/Dme_e_density_lhv))+(F99/24/Shipping!$AD$50*Shipping!$AD$51+Shipping!$AD$59*Shipping!$AD$60)*IF(bunker_choice="HFO",bunker_price_ROT,IF(bunker_choice="hydrogen",$BD99*hfo_e_density_lhv/h2_e_density_lhv,(DX99+DZ99)*1000000/EB99*hfo_e_density_lhv/Dme_e_density_lhv))+Shipping!$AD$73+IF(G99="Panama",Shipping!$AD$55,0)+IF(G99="Suez",Shipping!$AD$56,0))/Shipping!$AD$31*(EB99+Dme_st_ab_losses)/1000000+IF(inland_transport_to_port="hv dc grid",$BM99/100*1000*EE99,IF(inland_transport_to_port="pipeline",$BN99,0)),((F99/24/Shipping!$R$44+F99/24/Shipping!$R$50+Shipping!$R$59+Shipping!$R$64)*(Shipping!$R$22+wacc_nl*Shipping!$R$19/365.25*1000000+Shipping!$R$35)+(F99/24/Shipping!$R$44*Shipping!$R$45+Shipping!$R$64*Shipping!$R$65)*IF(bunker_choice="HFO",$H99,IF(bunker_choice="hydrogen",$BD99*hfo_e_density_lhv/h2_e_density_lhv,(DX99+DZ99)*1000000/EB99*hfo_e_density_lhv/Dme_e_density_lhv))+(F99/24/Shipping!$R$50*Shipping!$R$51+Shipping!$R$59*Shipping!$R$60)*IF(bunker_choice="HFO",bunker_price_ROT,IF(bunker_choice="hydrogen",$BD99*hfo_e_density_lhv/h2_e_density_lhv,(DX99+DZ99)*1000000/EB99*hfo_e_density_lhv/Dme_e_density_lhv))+Shipping!$R$73+IF(G99="Panama",Shipping!$R$55,0)+IF(G99="Suez",Shipping!$R$56,0))/Shipping!$R$31*(EB99+Dme_st_ab_losses)/1000000+IF(inland_transport_to_port="hv dc grid",$BM99/100*1000*EE99,IF(inland_transport_to_port="pipeline",$BN99,0)))))</f>
        <v>9529.5079937113442</v>
      </c>
      <c r="ED99" s="28">
        <f t="shared" si="134"/>
        <v>128099.2829165562</v>
      </c>
      <c r="EE99" s="29">
        <f>(Dme_e_demand)*(EB99+Dme_st_ab_losses)/1000000+Dme_st_e_demand*DZ99/1000000+$CV99*(Carriers!$X$21/Carriers!$X$23*EB99)/$CS99</f>
        <v>1550.216820697068</v>
      </c>
      <c r="EF99" s="29">
        <f t="shared" si="107"/>
        <v>1.0354708994708997</v>
      </c>
      <c r="EG99" s="28">
        <f>IFERROR(ED99*1000000/Storage!$Q$12,"")</f>
        <v>1237.1113759161346</v>
      </c>
      <c r="EH99" s="28">
        <f>IF($E99="","No Port",((F99/24/Shipping!$R$44+F99/24/Shipping!$R$50+Shipping!$R$59+Shipping!$R$64)*Carriers!$X$39*wacc_nl))</f>
        <v>140.24216435957041</v>
      </c>
      <c r="EI99" s="100">
        <f>H2_retrieval!$P$25*h2_demand_kt/1000+(co2_liq_e_demand+co2_st_e_demand*2)*Storage!$Q$12*co2_density/Dme_density/1000000</f>
        <v>252.45335899349112</v>
      </c>
      <c r="EJ99" s="28">
        <f>IFERROR((((DX99+DZ99+EC99)*(1+H2_retrieval!$P$34)+EH99)*1000000/H2_retrieval!$P$8)+h2_regen_dme,"")</f>
        <v>9163.7757354341138</v>
      </c>
      <c r="EK99" s="149">
        <f>(ome_invest*(M99+1/ome_lifetime)/ome_prod+ome_opex+ome_e_demand*1000*$AU99/100+Carriers!$Z$21/Carriers!$Z$23*(CO99*1000000/CS99))*(EO99+ome_st_ab_losses)/1000000</f>
        <v>201984.48589862694</v>
      </c>
      <c r="EL99" s="86">
        <f>(ome_invest*(M99+1/ome_lifetime)/ome_prod+ome_opex+ome_e_demand*1000*$AU99/100+Carriers!$Z$21/Carriers!$Z$23*(CP99*1000000/CS99))*(EO99+ome_st_ab_losses)/1000000</f>
        <v>249158.45356130783</v>
      </c>
      <c r="EM99" s="63">
        <f>ome_st_nl_cost*ome_st_nl_demand/1000000+(ome_st_invest*(M99+1/ome_st_lifetime+ome_st_opex)/(Storage!$S$63/1000000)+ome_st_e_demand*1000*$AU99/100)*(EO99+ome_st_ab_losses)/1000000+co2_st_nl_cost*Storage!$S$12*co2_density/ome_density/1000000+(co2_st_opex_lev+co2_st_invest_lev+co2_st_e_demand*1000*$AU99/100)*Storage!$S$12/1000000+co2_st_invest_lev*Storage!$S$12*co2_st_lifetime*M99/1000000+(h2_demand_kt*1000/365.25*short_st_duration_hrs/24)*(h2_short_st_invest*(1/gh2_short_st_lifetime+$M99+h2_short_st_opex)+h2_short_st_e_demand*1000*$AU99/100)/1000000</f>
        <v>5182.3060623270248</v>
      </c>
      <c r="EN99" s="63">
        <f>ome_st_nl_cost*ome_st_nl_demand/1000000+(ome_st_invest*(M99+1/ome_st_lifetime+ome_st_opex)/(Storage!$S$63/1000000)+ome_st_e_demand*1000*$AU99/100)*(EO99+ome_st_ab_losses)/1000000+(h2_demand_kt*1000/365.25*short_st_duration_hrs/24)*(h2_short_st_invest*(1/gh2_short_st_lifetime+$M99+h2_short_st_opex)+h2_short_st_e_demand*1000*$AU99/100)/1000000</f>
        <v>1870.9243054273306</v>
      </c>
      <c r="EO99" s="63">
        <f>Storage!$S$57/((1-Shipping!$T$37)^($F99/24/Shipping!$T$44+0.5*Shipping!$T$59))</f>
        <v>128282539.68253967</v>
      </c>
      <c r="EP99" s="28">
        <f>IF($E99="","No Port",IF(AND(ship_choice="VLCC",G99="Panama"),"Ship cannot pass through Panama",IF(ship_choice="VLCC",((F99/24/Shipping!$AD$44+F99/24/Shipping!$AD$50+Shipping!$AD$59+Shipping!$AD$64)*(Shipping!$AD$22+wacc_nl*Shipping!$AD$19/365.25*1000000+Shipping!$AD$35)+(F99/24/Shipping!$AD$44*Shipping!$AD$45+Shipping!$AD$64*Shipping!$AD$65)*IF(bunker_choice="HFO",$H99,IF(bunker_choice="hydrogen",$BD99*hfo_e_density_lhv/h2_e_density_lhv,(EK99+EM99)*1000000/EO99*hfo_e_density_lhv/Dme_e_density_lhv))+(F99/24/Shipping!$AD$50*Shipping!$AD$51+Shipping!$AD$59*Shipping!$AD$60)*IF(bunker_choice="HFO",bunker_price_ROT,IF(bunker_choice="hydrogen",$BD99*hfo_e_density_lhv/h2_e_density_lhv,(EK99+EM99)*1000000/EO99*hfo_e_density_lhv/ome_e_density_lhv))+Shipping!$AD$73+IF(G99="Panama",Shipping!$AD$55,0)+IF(G99="Suez",Shipping!$AD$56,0))/Shipping!$AD$31*(EO99+ome_st_ab_losses)/1000000+IF(inland_transport_to_port="hv dc grid",$BM99/100*1000*ER99,IF(inland_transport_to_port="pipeline",$BN99,0)),((F99/24/Shipping!$T$44+F99/24/Shipping!$T$50+Shipping!$T$59+Shipping!$T$64)*(Shipping!$T$22+wacc_nl*Shipping!$T$19/365.25*1000000+Shipping!$T$35)+(F99/24/Shipping!$T$44*Shipping!$T$45+Shipping!$T$64*Shipping!$T$65)*IF(bunker_choice="HFO",$H99,IF(bunker_choice="hydrogen",$BD99*hfo_e_density_lhv/h2_e_density_lhv,(EK99+EM99)*1000000/EO99*hfo_e_density_lhv/Dme_e_density_lhv))+(F99/24/Shipping!$T$50*Shipping!$T$51+Shipping!$T$59*Shipping!$T$60)*IF(bunker_choice="HFO",bunker_price_ROT,IF(bunker_choice="hydrogen",$BD99*hfo_e_density_lhv/h2_e_density_lhv,(EK99+EM99)*1000000/EO99*hfo_e_density_lhv/ome_e_density_lhv))+Shipping!$T$73+IF(G99="Panama",Shipping!$T$55,0)+IF(G99="Suez",Shipping!$T$56,0))/Shipping!$T$31*(EO99+ome_st_ab_losses)/1000000+IF(inland_transport_to_port="hv dc grid",$BM99/100*1000*ER99,IF(inland_transport_to_port="pipeline",$BN99,0)))))</f>
        <v>10619.025749693566</v>
      </c>
      <c r="EQ99" s="28">
        <f t="shared" si="135"/>
        <v>261648.40361642872</v>
      </c>
      <c r="ER99" s="29">
        <f>(ome_e_demand)*(EO99+ome_st_ab_losses)/1000000+ome_st_e_demand*EM99/1000000+$CV99*(Carriers!$Z$21/Carriers!$Z$23*EO99)/$CS99</f>
        <v>3352.0814579142425</v>
      </c>
      <c r="ES99" s="29">
        <f t="shared" si="108"/>
        <v>0.1924238095238095</v>
      </c>
      <c r="ET99" s="28">
        <f>IFERROR(EQ99*1000000/Storage!$S$12,"")</f>
        <v>2039.626002602763</v>
      </c>
      <c r="EU99" s="28">
        <f>IF($E99="","No Port",((F99/24/Shipping!$T$44+F99/24/Shipping!$T$50+Shipping!$T$59+Shipping!$T$64)*Carriers!$Z$39*wacc_nl))</f>
        <v>159.69745941412614</v>
      </c>
      <c r="EV99" s="100">
        <f>H2_retrieval!$R$25*h2_demand_kt/1000+(co2_liq_e_demand+co2_st_e_demand*2)*Storage!$S$12*co2_density/ome_density/1000000</f>
        <v>254.51942895252085</v>
      </c>
      <c r="EW99" s="28">
        <f>IFERROR((((EK99+EM99+EP99)*(1+H2_retrieval!$R$34)+EU99)*1000000/H2_retrieval!$R$8)+h2_regen_ome,"")</f>
        <v>17195.534070406535</v>
      </c>
      <c r="EX99" s="149">
        <f>(sng_invest*(M99+1/sng_lifetime)/sng_prod+lng_invest*(M99+1/lng_lifetime)/lng_prod+sng_opex+lng_opex+(sng_e_demand+lng_e_demand)*1000*$AU99/100+Carriers!$AB$18/Carriers!$AB$23*BD99+Carriers!$AB$20/Carriers!$AB$23*co2_liq_cost)*(FB99+lng_st_ab_losses)/1000000</f>
        <v>72797.604256596605</v>
      </c>
      <c r="EY99" s="86">
        <f>(sng_invest*(M99+1/sng_lifetime)/sng_prod+lng_invest*(M99+1/lng_lifetime)/lng_prod+sng_opex+lng_opex+(sng_e_demand+lng_e_demand)*1000*$AU99/100+Carriers!$AB$18/Carriers!$AB$23*BD99+Carriers!$AB$20/Carriers!$AB$23*BP99)*(FB99+lng_st_ab_losses)/1000000</f>
        <v>85363.835791413847</v>
      </c>
      <c r="EZ99" s="63">
        <f>lng_st_nl_cost*lng_st_nl_demand/1000000+(lng_st_invest*(M99+1/lng_st_lifetime+lng_st_opex)/(Storage!$U$63/1000000)+lng_st_e_demand*1000*$AU99/100)*(FB99+lng_st_ab_losses)/1000000+co2_st_nl_cost*Storage!$U$12*co2_density/lng_density/1000000+(co2_st_opex_lev+co2_st_invest_lev+co2_st_e_demand*1000*$AU99/100)*Storage!$U$12/1000000+co2_st_invest_lev*Storage!$U$12*co2_st_lifetime*M99/1000000+Carriers!$AB$18/Carriers!$AB$23*((FB99+lng_st_ab_losses)/365.25*short_st_duration_hrs/24)*(h2_short_st_invest*(1/gh2_short_st_lifetime+$M99+h2_short_st_opex)+h2_short_st_e_demand*1000*$AU99/100)/1000000+Carriers!$AB$20/Carriers!$AB$23*((FB99+lng_st_ab_losses)/365.25*short_st_duration_hrs/24)*(co2_short_st_invest*(1/co2_short_st_lifetime+$M99+co2_short_st_opex)+co2_short_st_e_demand*1000*$AU99/100)/1000000</f>
        <v>6500.3039191071157</v>
      </c>
      <c r="FA99" s="63">
        <f>lng_st_nl_cost*lng_st_nl_demand/1000000+(lng_st_invest*(M99+1/lng_st_lifetime+lng_st_opex)/(Storage!$U$63/1000000)+lng_st_e_demand*1000*$AU99/100)*(FB99+lng_st_ab_losses)/1000000+Carriers!$AB$18/Carriers!$AB$23*((FB99+lng_st_ab_losses)/365.25*short_st_duration_hrs/24)*(h2_short_st_invest*(1/gh2_short_st_lifetime+$M99+h2_short_st_opex)+h2_short_st_e_demand*1000*$AU99/100)/1000000+Carriers!$AB$20/Carriers!$AB$23*((FB99+lng_st_ab_losses)/365.25*short_st_duration_hrs/24)*(co2_short_st_invest*(1/co2_short_st_lifetime+$M99+co2_short_st_opex)+co2_short_st_e_demand*1000*$AU99/100)/1000000</f>
        <v>4907.772117300542</v>
      </c>
      <c r="FB99" s="63">
        <f>Storage!$U$57/((1-Shipping!$V$37)^($F99/24/Shipping!$V$44+0.5*Shipping!$V$59))</f>
        <v>41764449.91426108</v>
      </c>
      <c r="FC99" s="28">
        <f>IF($E99="","No Port",IF(G99="Panama","Ship cannot pass through Panama",((F99/24/Shipping!$V$44+F99/24/Shipping!$V$50+Shipping!$V$59+Shipping!$V$64)*(Shipping!$V$22+wacc_nl*Shipping!$V$19/365.25*1000000+Shipping!$V$35)+(F99/24/Shipping!$V$44*Shipping!$V$45+Shipping!$V$64*Shipping!$V$65)*IF(bunker_choice="HFO",$H99,IF(bunker_choice="hydrogen",$BD99*hfo_e_density_lhv/h2_e_density_lhv,(EX99+EZ99)*1000000/FB99*hfo_e_density_lhv/lng_e_density_lhv))+(F99/24/Shipping!$V$50*Shipping!$V$51+Shipping!$V$59*Shipping!$V$60)*IF(bunker_choice="HFO",bunker_price_ROT,IF(bunker_choice="hydrogen",$BD99*hfo_e_density_lhv/h2_e_density_lhv,(EX99+EZ99)*1000000/FB99*hfo_e_density_lhv/lng_e_density_lhv))+Shipping!$V$73+IF(G99="Panama",Shipping!$V$55,0)+IF(G99="Suez",Shipping!$V$56,0))/Shipping!$V$31*(FB99+lng_st_ab_losses)/1000000)+IF(inland_transport_to_port="hv dc grid",$BM99/100*1000*FE99,IF(inland_transport_to_port="pipeline",$BN99,0)))</f>
        <v>4391.8751060982013</v>
      </c>
      <c r="FD99" s="28">
        <f t="shared" si="136"/>
        <v>94663.483014812591</v>
      </c>
      <c r="FE99" s="29">
        <f>((Carriers!$AB$18/Carriers!$AB$23*alk_el_e_demand)+sng_e_demand+lng_e_demand)*(FB99+lng_st_ab_losses)/1000000+lng_st_e_demand*EZ99/1000000</f>
        <v>1120.073504029559</v>
      </c>
      <c r="FF99" s="29">
        <f t="shared" si="109"/>
        <v>0.8126185861001558</v>
      </c>
      <c r="FG99" s="28">
        <f>IFERROR(FD99*1000000/Storage!$U$12,"")</f>
        <v>2332.5248083280635</v>
      </c>
      <c r="FH99" s="28">
        <f>IF($E99="","No Port",((F99/24/Shipping!$V$44+F99/24/Shipping!$V$50+Shipping!$V$59+Shipping!$V$64)*Carriers!$AB$39*wacc_nl))</f>
        <v>46.77236558715208</v>
      </c>
      <c r="FI99" s="100">
        <f>H2_retrieval!$T$25*h2_demand_kt/1000+(co2_liq_e_demand+co2_st_e_demand*2)*Storage!$U$12*co2_density/lng_density/1000000</f>
        <v>236.51371749646054</v>
      </c>
      <c r="FJ99" s="28">
        <f>IFERROR((((EX99+EZ99+FC99)*(1+H2_retrieval!$T$34)+FH99)*1000000/H2_retrieval!$T$8)+h2_regen_lng,"")</f>
        <v>7327.2282231511945</v>
      </c>
      <c r="FK99" s="149">
        <f>(lh2_invest*(M99+1/lh2_lifetime)/lh2_prod+lh2_opex+lh2_e_demand*1000*$AU99/100+Carriers!$AD$18/Carriers!$AD$23*BD99)*(FM99+lh2_st_ab_losses)/1000000</f>
        <v>57265.525705791166</v>
      </c>
      <c r="FL99" s="28">
        <f>lh2_st_nl_cost*lh2_st_nl_demand/1000000+(lh2_st_invest*(M99+1/lh2_st_lifetime+lh2_st_opex)/(Storage!$Y$63/1000000)+lh2_st_e_demand*1000*$AU99/100)*(FM99+lh2_st_ab_losses)/1000000+((FM99+lh2_st_ab_losses)/365.25*short_st_duration_hrs/24)*(h2_short_st_invest*(1/gh2_short_st_lifetime+$M99+h2_short_st_opex)+h2_short_st_e_demand*1000*$AU99/100)/1000000</f>
        <v>57116.8614302934</v>
      </c>
      <c r="FM99" s="63">
        <f>Storage!$Y$57/((1-Shipping!$Z$37)^($F99/24/Shipping!$Z$44+0.5*Shipping!$Z$59))</f>
        <v>14232238.162489008</v>
      </c>
      <c r="FN99" s="28">
        <f>IF($E99="","No Port",IF(G99="Panama","Ship cannot pass through Panama",((F99/24/Shipping!$Z$44+F99/24/Shipping!$Z$50+Shipping!$Z$59+Shipping!$Z$64)*(Shipping!$Z$22+wacc_nl*Shipping!$Z$19/365.25*1000000+Shipping!$Z$35)+(F99/24/Shipping!$Z$44*Shipping!$Z$45+Shipping!$Z$64*Shipping!$Z$65)*IF(bunker_choice="HFO",$H99,IF(bunker_choice="hydrogen",$BD99*hfo_e_density_lhv/h2_e_density_lhv,(FK99+FL99)*1000000/FM99*hfo_e_density_lhv/lh2_e_density_lhv))+(F99/24/Shipping!$Z$50*Shipping!$Z$51+Shipping!$Z$59*Shipping!$Z$60)*IF(bunker_choice="HFO",bunker_price_ROT,IF(bunker_choice="hydrogen",$BD99*hfo_e_density_lhv/h2_e_density_lhv,(FK99+FL99)*1000000/FM99*hfo_e_density_lhv/lh2_e_density_lhv))+Shipping!$Z$73+IF(G99="Panama",Shipping!$Z$55,0)+IF(G99="Suez",Shipping!$Z$56,0))/Shipping!$Z$31*(FM99+lh2_st_ab_losses)/1000000)+IF(inland_transport_to_port="hv dc grid",$BM99/100*1000*FP99,IF(inland_transport_to_port="pipeline",$BN99,0)))</f>
        <v>6863.5085515221217</v>
      </c>
      <c r="FO99" s="28">
        <f t="shared" si="128"/>
        <v>121245.89568760668</v>
      </c>
      <c r="FP99" s="29">
        <f>((Carriers!$AD$18/Carriers!$AD$23*alk_el_e_demand)+lh2_e_demand)*(FM99+lh2_st_ab_losses)/1000000+lh2_st_e_demand*FM99/1000000</f>
        <v>824.71867561324257</v>
      </c>
      <c r="FQ99" s="100">
        <f t="shared" si="110"/>
        <v>1.361902463475859</v>
      </c>
      <c r="FR99" s="28">
        <f>IFERROR(FO99*1000000/Storage!$Y$12,"")</f>
        <v>8915.1393887946087</v>
      </c>
      <c r="FS99" s="100">
        <f>H2_retrieval!$V$25*h2_demand_kt/1000</f>
        <v>8.16</v>
      </c>
      <c r="FT99" s="28">
        <f>IFERROR(FR99*(1+H2_retrieval!$V$34)/Carrier_properties!$U$7+H2_retrieval!$V$38,"")</f>
        <v>8947.1081146630768</v>
      </c>
      <c r="FU99" s="12"/>
      <c r="FV99" s="24">
        <f t="shared" si="129"/>
        <v>2.4047030470013619</v>
      </c>
      <c r="FW99" s="24" t="str">
        <f t="shared" si="143"/>
        <v/>
      </c>
      <c r="FX99" s="24" t="str">
        <f t="shared" si="144"/>
        <v/>
      </c>
      <c r="FY99" s="24">
        <f t="shared" si="130"/>
        <v>2.4047030470013619</v>
      </c>
      <c r="FZ99" s="28">
        <f t="shared" si="145"/>
        <v>3029.1140084438812</v>
      </c>
      <c r="GA99" s="28">
        <f t="shared" si="137"/>
        <v>686.28816019514557</v>
      </c>
      <c r="GB99" s="28">
        <f t="shared" si="138"/>
        <v>431.58768838281247</v>
      </c>
      <c r="GC99" s="28">
        <f t="shared" si="139"/>
        <v>766.08093696475953</v>
      </c>
      <c r="GD99" s="28">
        <f t="shared" si="140"/>
        <v>1115.0797444607849</v>
      </c>
      <c r="GE99" s="28">
        <f t="shared" si="141"/>
        <v>1942.2631807719065</v>
      </c>
      <c r="GF99" s="28">
        <f t="shared" si="142"/>
        <v>2043.9353557070344</v>
      </c>
      <c r="GG99" s="12"/>
      <c r="GH99" s="12"/>
      <c r="GI99" s="12"/>
      <c r="GJ99" s="12"/>
      <c r="GK99" s="12"/>
      <c r="GL99" s="12"/>
      <c r="GM99" s="12"/>
      <c r="GN99" s="12"/>
      <c r="GO99" s="12"/>
      <c r="GP99" s="12"/>
      <c r="GQ99" s="12"/>
      <c r="GR99" s="12"/>
      <c r="GS99" s="12"/>
      <c r="GT99" s="12"/>
      <c r="GU99" s="12"/>
      <c r="GV99" s="12"/>
      <c r="GW99" s="12"/>
      <c r="GX99" s="12"/>
      <c r="GY99" s="12"/>
      <c r="GZ99" s="12"/>
      <c r="HA99" s="12"/>
      <c r="HB99" s="12"/>
      <c r="HC99" s="12"/>
      <c r="HD99" s="12"/>
      <c r="HE99" s="12"/>
      <c r="HF99" s="12"/>
    </row>
    <row r="100" spans="1:214" x14ac:dyDescent="0.2">
      <c r="A100" s="154" t="s">
        <v>103</v>
      </c>
      <c r="B100" s="12">
        <v>8448</v>
      </c>
      <c r="C100" s="12">
        <v>1</v>
      </c>
      <c r="D100" s="12">
        <f t="shared" si="111"/>
        <v>0</v>
      </c>
      <c r="E100" s="12" t="s">
        <v>760</v>
      </c>
      <c r="F100" s="12">
        <v>5545</v>
      </c>
      <c r="G100" s="12"/>
      <c r="H100" s="16">
        <f t="shared" si="112"/>
        <v>382.75862068965517</v>
      </c>
      <c r="I100" s="16">
        <v>823290</v>
      </c>
      <c r="J100" s="16">
        <f t="shared" si="113"/>
        <v>511.91927703130403</v>
      </c>
      <c r="K100" s="27">
        <f t="shared" si="114"/>
        <v>614.30313243756484</v>
      </c>
      <c r="L100" s="103">
        <v>0.121</v>
      </c>
      <c r="M100" s="103">
        <f t="shared" si="115"/>
        <v>0.12699428039599039</v>
      </c>
      <c r="N100" s="122">
        <f t="shared" si="116"/>
        <v>0.75</v>
      </c>
      <c r="O100" s="46">
        <f t="shared" si="117"/>
        <v>40</v>
      </c>
      <c r="P100" s="70">
        <f t="array" ref="P100">SUMPRODUCT(IF(Solar_data!A$4:A$777=A100,Solar_data!C$4:C$777),IF(Solar_data!A$4:A$777=A100,Solar_data!I$4:I$777))/SUMIF(Solar_data!A$4:A$777,A100,Solar_data!I$4:I$777)</f>
        <v>2433.6701990705137</v>
      </c>
      <c r="Q100" s="16">
        <f t="array" ref="Q100">MAX(IF(Solar_data!$A$777:'Solar_data'!$A$4=Country_details!$A100,Solar_data!$C$4:'Solar_data'!$C$777))</f>
        <v>2646.25</v>
      </c>
      <c r="R100" s="16">
        <f t="array" ref="R100">MIN(IF(Solar_data!$A$777:'Solar_data'!$A$4=Country_details!A100,Solar_data!$C$4:'Solar_data'!$C$777))</f>
        <v>1916.25</v>
      </c>
      <c r="S100" s="24">
        <f t="shared" si="95"/>
        <v>2.2506798164683364</v>
      </c>
      <c r="T100" s="24">
        <f t="shared" si="96"/>
        <v>2.0698771457679674</v>
      </c>
      <c r="U100" s="24">
        <f t="shared" si="97"/>
        <v>2.8584017727271935</v>
      </c>
      <c r="V100" s="16">
        <f t="array" ref="V100">SUM(IF(Solar_data!$A$777:'Solar_data'!$A$4=Country_details!$A100,Solar_data!$I$4:'Solar_data'!$I$777))</f>
        <v>6825.3573518939538</v>
      </c>
      <c r="W100" s="148"/>
      <c r="X100" s="16" t="str">
        <f>IFERROR(INDEX(Onshore_wind_data!$J$5:'Onshore_wind_data'!$J$221,MATCH(A100,Onshore_wind_data!$B$5:'Onshore_wind_data'!$B$221,0)),"")</f>
        <v/>
      </c>
      <c r="Y100" s="16" t="str">
        <f>IFERROR(INDEX(Onshore_wind_data!$K$5:'Onshore_wind_data'!$K$221,MATCH(A100,Onshore_wind_data!$B$5:'Onshore_wind_data'!$B$221,0)),"")</f>
        <v/>
      </c>
      <c r="Z100" s="16" t="str">
        <f>IFERROR(INDEX(Onshore_wind_data!$L$5:'Onshore_wind_data'!$L$221,MATCH(A100,Onshore_wind_data!$B$5:'Onshore_wind_data'!$B$221,0)),"")</f>
        <v/>
      </c>
      <c r="AA100" s="24" t="str">
        <f t="shared" si="118"/>
        <v/>
      </c>
      <c r="AB100" s="24" t="str">
        <f t="shared" si="119"/>
        <v/>
      </c>
      <c r="AC100" s="24" t="str">
        <f t="shared" si="120"/>
        <v/>
      </c>
      <c r="AD100" s="16">
        <f>IFERROR(INDEX(Onshore_wind_data!$I$5:'Onshore_wind_data'!$I$221,MATCH(A100,Onshore_wind_data!$B$5:'Onshore_wind_data'!$B$221,0)),"")</f>
        <v>0</v>
      </c>
      <c r="AE100" s="148"/>
      <c r="AF100" s="16">
        <f>INDEX(Offshore_wind_data!$AA$7:$AA$192,MATCH(Country_details!A100,Offshore_wind_data!$A$7:$A$192,0))</f>
        <v>3547.0600613015899</v>
      </c>
      <c r="AG100" s="16">
        <f>INDEX(Offshore_wind_data!$Y$7:$Y$192,MATCH(Country_details!A100,Offshore_wind_data!$A$7:$A$192,0))</f>
        <v>4204.8</v>
      </c>
      <c r="AH100" s="16">
        <f>INDEX(Offshore_wind_data!$Z$7:$Z$192,MATCH(Country_details!A100,Offshore_wind_data!$A$7:$A$192,0))</f>
        <v>3153.6</v>
      </c>
      <c r="AI100" s="24">
        <f t="shared" si="98"/>
        <v>7.7752275909640209</v>
      </c>
      <c r="AJ100" s="24">
        <f t="shared" si="99"/>
        <v>6.5589800360156616</v>
      </c>
      <c r="AK100" s="24">
        <f t="shared" si="100"/>
        <v>8.7453067146875476</v>
      </c>
      <c r="AL100" s="16">
        <f>INDEX(Offshore_wind_data!$W$7:$W$191,MATCH(A100,Offshore_wind_data!$A$7:$A$191,0))</f>
        <v>995.2341120000001</v>
      </c>
      <c r="AM100" s="148"/>
      <c r="AN100" s="12">
        <v>2.5</v>
      </c>
      <c r="AO100" s="12">
        <v>4.3</v>
      </c>
      <c r="AP100" s="34">
        <f>0.742*11.63</f>
        <v>8.6294599999999999</v>
      </c>
      <c r="AQ100" s="15">
        <f t="shared" si="101"/>
        <v>50</v>
      </c>
      <c r="AR100" s="12">
        <f t="shared" si="131"/>
        <v>215</v>
      </c>
      <c r="AS100" s="16">
        <f t="shared" si="121"/>
        <v>7605.5914638939539</v>
      </c>
      <c r="AT100" s="12"/>
      <c r="AU100" s="24">
        <f t="shared" si="122"/>
        <v>2.2506798164683364</v>
      </c>
      <c r="AV100" s="16">
        <f t="shared" si="123"/>
        <v>2433.6701990705137</v>
      </c>
      <c r="AW100" s="149">
        <f>HV_DC_Grid!$E$3/(1-AX100)*AU100/100*1000</f>
        <v>2694.9237993586758</v>
      </c>
      <c r="AX100" s="31">
        <f>(1-(1-HV_DC_Grid!$E$25)^(B100*C100*HV_DC_Grid!$E$8/1000))+(1-(1-HV_DC_Grid!$E$26)^(B100*D100*HV_DC_Grid!$E$8/1000))+HV_DC_Grid!$E$35*HV_DC_Grid!$E$28</f>
        <v>0.16484472881795698</v>
      </c>
      <c r="AY100" s="28">
        <f>B100*nl_e_demand/IF(hv_dc_flh="electricity FLH",$AV100,hv_dc_custom)*1000*hv_dc_capacity_multiplier*hv_dc_length_multiplier*1000*(C100*hv_dc_overhead_invest*(hv_dc_overhead_opex+M100+1/hv_dc_lifetime)+D100*hv_dc_sea_invest*(hv_dc_sea_opex+M100+1/hv_dc_lifetime))/1000000+HV_DC_Grid!$E$10*1000*hv_dc_station_invest*hv_dc_station_number*(hv_dc_station_opex+M100+1/hv_dc_lifetime)/1000000</f>
        <v>7653.4910547919417</v>
      </c>
      <c r="AZ100" s="24">
        <f>(AW100+AY100)/(HV_DC_Grid!$E$3*1000)*100</f>
        <v>10.348414854150619</v>
      </c>
      <c r="BA100" s="28">
        <f>MIN(((Carriers!$F$26+Carriers!$F$27)*(alk_el_opex+wacc_nl+1/alk_el_lifetime)+IF(hv_dc_flh="electricity FLH",$AV100,hv_dc_custom)*AZ100/100)/(IF(hv_dc_flh="electricity FLH",$AV100,hv_dc_custom)/alk_el_e_demand)*1000,((Carriers!$H$26+Carriers!$H$27)*(pem_el_opex+wacc_nl+1/pem_el_lifetime)+IF(hv_dc_flh="electricity FLH",$AV100,hv_dc_custom)*AZ100/100)/(IF(hv_dc_flh="electricity FLH",$AV100,hv_dc_custom)/pem_el_e_demand)*1000)</f>
        <v>5640.027120444317</v>
      </c>
      <c r="BB100" s="12"/>
      <c r="BC100" s="12"/>
      <c r="BD100" s="149">
        <f>MIN(((Carriers!$F$26+Carriers!$F$27)*(alk_el_opex+M100+1/alk_el_lifetime)+$AV100*$AU100/100)/($AV100/alk_el_e_demand)*1000,((Carriers!$H$26+Carriers!$H$27)*(pem_el_opex+M100+1/pem_el_lifetime)+$AV100*$AU100/100)/($AV100/pem_el_e_demand)*1000)</f>
        <v>2562.2790145357258</v>
      </c>
      <c r="BE100" s="28">
        <f>Storage!$AC$50</f>
        <v>8.1664117557772418</v>
      </c>
      <c r="BF100" s="28">
        <f>((Pipeline!$D$22*Pipeline!$D$24*B100*(pipeline_opex+M100+1/pipeline_lifetime))*(Pipeline!$D$39/Pipeline!$D$3)+(Pipeline!$D$57*(pipeline_comp_opex+M100+1/pipeline_comp_lifetime)+Pipeline!$D$47*1000*Pipeline!$D$45*$AU100/100/1000000))*(Pipeline!$D$75/Pipeline!$D$45)</f>
        <v>19151.983974089842</v>
      </c>
      <c r="BG100" s="28">
        <f>BD100+(BE100+BF100)/Storage!$AC$12*1000000</f>
        <v>3971.113601730257</v>
      </c>
      <c r="BH100" s="28"/>
      <c r="BI100" s="28"/>
      <c r="BJ100" s="28">
        <f>IF($E100="","No Port",BK100*HV_DC_Grid!$E$3*$AU100/100*1000)</f>
        <v>58.111628132648462</v>
      </c>
      <c r="BK100" s="31">
        <f>IFERROR((1-(1-HV_DC_Grid!$E$25)^(K100*HV_DC_Grid!$E$8/1000))+HV_DC_Grid!$E$35*HV_DC_Grid!$E$28,"")</f>
        <v>2.581958913366654E-2</v>
      </c>
      <c r="BL100" s="28">
        <f>IFERROR(K100*nl_e_demand/IF(hv_dc_flh="electricity FLH",$AV100,hv_dc_custom)*1000*hv_dc_capacity_multiplier*hv_dc_length_multiplier*1000*(hv_dc_overhead_invest*(hv_dc_overhead_opex+M100+1/hv_dc_lifetime))/1000000+HV_DC_Grid!$E$10*1000*hv_dc_station_invest*hv_dc_station_number*(hv_dc_station_opex+M100+1/hv_dc_lifetime)/1000000,"")</f>
        <v>953.09667595412861</v>
      </c>
      <c r="BM100" s="29">
        <f>IFERROR((BJ100+BL100)/(HV_DC_Grid!$E$3*1000)*100,"")</f>
        <v>1.011208304086777</v>
      </c>
      <c r="BN100" s="28">
        <f>IFERROR(((Pipeline!$D$22*Pipeline!$D$24*K100*(pipeline_opex+M100+1/pipeline_lifetime))*(Pipeline!$D$39/Pipeline!$D$3)+(Pipeline!$D$57*(pipeline_comp_opex+M100+1/pipeline_comp_lifetime)+Pipeline!$D$47*1000*Pipeline!$D$45*S100/100/1000000))*(Pipeline!$D$75/Pipeline!$D$45),"")</f>
        <v>1463.0257142419559</v>
      </c>
      <c r="BO100" s="28"/>
      <c r="BP100" s="150">
        <f t="shared" si="124"/>
        <v>112.37587918857106</v>
      </c>
      <c r="BQ100" s="34">
        <f t="shared" si="125"/>
        <v>33.750422035674639</v>
      </c>
      <c r="BR100" s="151">
        <f>(nh3_invest*(M100+1/nh3_lifetime)/nh3_prod+nh3_opex+nh3_e_demand*1000*$AU100/100+Carriers!$N$18/Carriers!$N$23*BD100+Carriers!$N$19/Carriers!$N$23*BQ100)*(BT100+nh3_st_ab_losses)/1000000</f>
        <v>47586.394553567872</v>
      </c>
      <c r="BS100" s="63">
        <f>nh3_st_nl_cost*nh3_st_nl_demand/1000000+(nh3_st_invest*(M100+1/nh3_st_lifetime+nh3_st_opex)/(Storage!$G$63/1000000)+nh3_st_e_demand*1000*$AU100/100)*(BT100+nh3_st_ab_losses)/1000000+Carriers!$N$18/Carriers!$N$23*((BT100+nh3_st_ab_losses)/365.25*short_st_duration_hrs/24)*(h2_short_st_invest*(1/gh2_short_st_lifetime+$M100+h2_short_st_opex)+h2_short_st_e_demand*1000*$AU100/100)/1000000+Carriers!$N$19/Carriers!$N$23*((BT100+nh3_st_ab_losses)/365.25*short_st_duration_hrs/24)*(n2_short_st_invest*(1/n2_short_st_lifetime+$M100+n2_short_st_opex)+n2_short_st_e_demand*1000*$AU100/100)/1000000</f>
        <v>3471.769486563875</v>
      </c>
      <c r="BT100" s="63">
        <f>Storage!$G$57/((1-Shipping!$H$37)^(F100/24/Shipping!$H$44+0.5*Shipping!$H$59))</f>
        <v>79598134.856503904</v>
      </c>
      <c r="BU100" s="63">
        <f>IF($E100="","No Port",((F100/24/Shipping!$H$44+F100/24/Shipping!$H$50+Shipping!$H$59+Shipping!$H$64)*(Shipping!$H$22+wacc_nl*Shipping!$H$19/365.25*1000000+Shipping!$H$35)+(F100/24/Shipping!$H$44*Shipping!$H$45+Shipping!$H$64*Shipping!$H$65)*IF(bunker_choice="HFO",H100,IF(bunker_choice="hydrogen",BD100*hfo_e_density_lhv/h2_e_density_lhv,(BR100+BS100)*1000000/BT100*hfo_e_density_lhv/nh3_e_density_lhv))+(F100/24/Shipping!$H$50*Shipping!$H$51+Shipping!$H$59*Shipping!$H$60)*IF(bunker_choice="HFO",bunker_price_ROT,IF(bunker_choice="hydrogen",BD100*hfo_e_density_lhv/h2_e_density_lhv,(BR100+BS100)*1000000/BT100*hfo_e_density_lhv/nh3_e_density_lhv))+Shipping!$H$73+IF(G100="Panama",Shipping!$H$55,0)+IF(G100="Suez",Shipping!$H$56,0))/Shipping!$H$31*BT100/1000000+IF(inland_transport_to_port="hv dc grid",$BM100/100*1000*BW100,IF(inland_transport_to_port="pipeline",$BN100,0)))</f>
        <v>4947.2015697410761</v>
      </c>
      <c r="BV100" s="63">
        <f t="shared" si="126"/>
        <v>56005.365609872824</v>
      </c>
      <c r="BW100" s="33">
        <f>((Carriers!$N$18/Carriers!$N$23*alk_el_e_demand)+(Carriers!$N$19/Carriers!$N$23*n2_e_demand)+nh3_e_demand)*(BT100+nh3_st_ab_losses)/1000000+nh3_st_e_demand*BT100/1000000</f>
        <v>786.04722262745986</v>
      </c>
      <c r="BX100" s="33">
        <f t="shared" si="102"/>
        <v>0.76626754477640768</v>
      </c>
      <c r="BY100" s="63">
        <f>IFERROR(BV100*1000000/Storage!$G$12,"")</f>
        <v>731.49422961811445</v>
      </c>
      <c r="BZ100" s="63">
        <f>H2_retrieval!$F$25*h2_demand_kt/1000</f>
        <v>80</v>
      </c>
      <c r="CA100" s="63">
        <f>IFERROR(BY100*(1+H2_retrieval!$F$34)/Carrier_properties!$E$7+H2_retrieval!$F$38,"")</f>
        <v>4527.2675686049724</v>
      </c>
      <c r="CB100" s="149">
        <f>(FA_invest*(M100+1/FA_lifetime)/FA_prod+FA_opex+FA_e_demand*1000*$AU100/100+Carriers!$P$18/Carriers!$P$23*BD100+Carriers!$P$20/Carriers!$P$23*co2_liq_cost)*(CF100+FA_st_ab_losses)/1000000</f>
        <v>94890.636798243257</v>
      </c>
      <c r="CC100" s="86">
        <f>(FA_invest*(M100+1/FA_lifetime)/FA_prod+FA_opex+FA_e_demand*1000*$AU100/100+Carriers!$P$18/Carriers!$P$23*BD100+Carriers!$P$20/Carriers!$P$23*BP100)*(CF100+FA_st_ab_losses)/1000000</f>
        <v>121978.70592087533</v>
      </c>
      <c r="CD100" s="63">
        <f>FA_st_nl_cost*FA_st_nl_demand/1000000+(FA_st_invest*(M100+1/FA_st_lifetime+FA_st_opex)/(Storage!$I$63/1000000)+FA_st_e_demand*1000*$AU100/100)*(CF100+FA_st_ab_losses)/1000000+co2_st_nl_cost*Storage!$I$12*co2_density/FA_density/1000000+(co2_st_opex_lev+co2_st_invest_lev+co2_st_e_demand*1000*$AU100/100)*Storage!$I$12/1000000+co2_st_invest_lev*Storage!$I$12*co2_st_lifetime*M100/1000000+Carriers!$P$18/Carriers!$P$23*((CF100+FA_st_ab_losses)/365.25*short_st_duration_hrs/24)*(h2_short_st_invest*(1/gh2_short_st_lifetime+$M100+h2_short_st_opex)+h2_short_st_e_demand*1000*$AU100/100)/1000000+Carriers!$P$20/Carriers!$P$23*((CF100+FA_st_ab_losses)/365.25*short_st_duration_hrs/24)*(co2_short_st_invest*(1/co2_short_st_lifetime+$M100+co2_short_st_opex)+co2_short_st_e_demand*1000*$AU100/100)/1000000</f>
        <v>11707.747514133953</v>
      </c>
      <c r="CE100" s="63">
        <f>FA_st_nl_cost*FA_st_nl_demand/1000000+(FA_st_invest*(M100+1/FA_st_lifetime+FA_st_opex)/(Storage!$I$63/1000000)+FA_st_e_demand*1000*$AU100/100)*(CF100+FA_st_ab_losses)/1000000+Carriers!$P$18/Carriers!$P$23*((CF100+FA_st_ab_losses)/365.25*short_st_duration_hrs/24)*(h2_short_st_invest*(1/gh2_short_st_lifetime+$M100+h2_short_st_opex)+h2_short_st_e_demand*1000*$AU100/100)/1000000+Carriers!$P$20/Carriers!$P$23*((CF100+FA_st_ab_losses)/365.25*short_st_duration_hrs/24)*(co2_short_st_invest*(1/co2_short_st_lifetime+$M100+co2_short_st_opex)+co2_short_st_e_demand*1000*$AU100/100)/1000000</f>
        <v>5126.6036395928231</v>
      </c>
      <c r="CF100" s="63">
        <f>Storage!$I$57/((1-Shipping!$J$37)^($F100/24/Shipping!$J$44+0.5*Shipping!$J$59))</f>
        <v>310425396.82539684</v>
      </c>
      <c r="CG100" s="28">
        <f>IF($E100="","No Port",((F100/24/Shipping!$J$44+F100/24/Shipping!$J$50+Shipping!$J$59+Shipping!$J$64)*(Shipping!$J$22+wacc_nl*Shipping!$J$19/365.25*1000000+Shipping!$J$35)+(F100/24/Shipping!$J$44*Shipping!$J$45+Shipping!$J$64*Shipping!$J$65)*IF(bunker_choice="HFO",$H100,IF(bunker_choice="hydrogen",$BD100*hfo_e_density_lhv/h2_e_density_lhv,(CB100+CD100)*1000000/CF100*hfo_e_density_lhv/FA_e_density_lhv))+(F100/24/Shipping!$J$50*Shipping!$J$51+Shipping!$J$59*Shipping!$J$60)*IF(bunker_choice="HFO",bunker_price_ROT,IF(bunker_choice="hydrogen",$BD100*hfo_e_density_lhv/h2_e_density_lhv,(CB100+CD100)*1000000/CF100*hfo_e_density_lhv/FA_e_density_lhv))+Shipping!$J$73+IF(G100="Panama",Shipping!$J$55,0)+IF(G100="Suez",Shipping!$J$56,0))/Shipping!$J$31*CF100/1000000+IF(inland_transport_to_port="hv dc grid",$BM100/100*1000*CI100,IF(inland_transport_to_port="pipeline",$BN100,0)))</f>
        <v>16310.264852112612</v>
      </c>
      <c r="CH100" s="28">
        <f t="shared" si="132"/>
        <v>143415.57441258078</v>
      </c>
      <c r="CI100" s="29">
        <f>((Carriers!$P$18/Carriers!$P$23*alk_el_e_demand)+FA_e_demand)*(CF100+FA_st_ab_losses)/1000000+FA_st_e_demand*CF100/1000000</f>
        <v>1897.8881241622576</v>
      </c>
      <c r="CJ100" s="29">
        <f t="shared" si="103"/>
        <v>0.46563809523809524</v>
      </c>
      <c r="CK100" s="28">
        <f>IFERROR(CH100*1000000/Storage!$I$12,"")</f>
        <v>461.99691094619715</v>
      </c>
      <c r="CL100" s="28">
        <f>IF($E100="","No Port",((F100/24/Shipping!$J$44+F100/24/Shipping!$J$50+Shipping!$J$59+Shipping!$J$64)*Carriers!$P$39*wacc_nl))</f>
        <v>274.55716059026372</v>
      </c>
      <c r="CM100" s="29">
        <f>H2_retrieval!$H$25*h2_demand_kt/1000+(co2_liq_e_demand+co2_st_e_demand*2)*Storage!$I$12*co2_density/FA_density/1000000</f>
        <v>94.204253879484654</v>
      </c>
      <c r="CN100" s="28">
        <f>IFERROR((((CB100+CD100+CG100)*(1+H2_retrieval!$H$34)+CL100)*1000000/H2_retrieval!$H$8)+h2_regen_fa,"")</f>
        <v>9147.2760681404907</v>
      </c>
      <c r="CO100" s="149">
        <f>(meoh_invest*(M100+1/meoh_lifetime)/meoh_prod+meoh_opex+meoh_e_demand*1000*$AU100/100+Carriers!$R$18/Carriers!$R$23*BD100+Carriers!$R$20/Carriers!$R$23*co2_liq_cost)*(CS100+meoh_st_ab_losses)/1000000</f>
        <v>56369.849761168967</v>
      </c>
      <c r="CP100" s="86">
        <f>(meoh_invest*(M100+1/meoh_lifetime)/meoh_prod+meoh_opex+meoh_e_demand*1000*$AU100/100+Carriers!$R$18/Carriers!$R$23*BD100+Carriers!$R$20/Carriers!$R$23*BP100)*(CS100+meoh_st_ab_losses)/1000000</f>
        <v>72271.382594593175</v>
      </c>
      <c r="CQ100" s="63">
        <f>meoh_st_nl_cost*meoh_st_nl_demand/1000000+(meoh_st_invest*(M100+1/meoh_st_lifetime+meoh_st_opex)/(Storage!$K$63/1000000)+meoh_st_e_demand*1000*$AU100/100)*(CS100+meoh_st_ab_losses)/1000000+co2_st_nl_cost*Storage!$K$12*co2_density/meoh_density/1000000+(co2_st_opex_lev+co2_st_invest_lev+co2_st_e_demand*1000*IFERROR(MIN(S100,AA100,AI100),S100)/100)*Storage!$K$12/1000000+co2_st_invest_lev*Storage!$K$12*co2_st_lifetime*M100/1000000+Carriers!$R$18/Carriers!$R$23*((CS100+meoh_st_ab_losses)/365.25*short_st_duration_hrs/24)*(h2_short_st_invest*(1/gh2_short_st_lifetime+$M100+h2_short_st_opex)+h2_short_st_e_demand*1000*$AU100/100)/1000000+Carriers!$R$20/Carriers!$R$23*((CF100+meoh_st_ab_losses)/365.25*short_st_duration_hrs/24)*(co2_short_st_invest*(1/co2_short_st_lifetime+$M100+co2_short_st_opex)+co2_short_st_e_demand*1000*$AU100/100)/1000000</f>
        <v>4911.9315463299863</v>
      </c>
      <c r="CR100" s="63">
        <f>meoh_st_nl_cost*meoh_st_nl_demand/1000000+(meoh_st_invest*(M100+1/meoh_st_lifetime+meoh_st_opex)/(Storage!$K$63/1000000)+meoh_st_e_demand*1000*$AU100/100)*(CS100+meoh_st_ab_losses)/1000000+Carriers!$R$18/Carriers!$R$23*((CS100+meoh_st_ab_losses)/365.25*short_st_duration_hrs/24)*(h2_short_st_invest*(1/gh2_short_st_lifetime+$M100+h2_short_st_opex)+h2_short_st_e_demand*1000*$AU100/100)/1000000+Carriers!$R$20/Carriers!$R$23*((CF100+meoh_st_ab_losses)/365.25*short_st_duration_hrs/24)*(co2_short_st_invest*(1/co2_short_st_lifetime+$M100+co2_short_st_opex)+co2_short_st_e_demand*1000*$AU100/100)/1000000</f>
        <v>2022.3482187309924</v>
      </c>
      <c r="CS100" s="63">
        <f>Storage!$K$57/((1-Shipping!$L$37)^($F100/24/Shipping!$L$44+0.5*Shipping!$L$59))</f>
        <v>108044444.44444443</v>
      </c>
      <c r="CT100" s="28">
        <f>IF($E100="","No Port",IF(AND(ship_choice="VLCC",G100="Panama"),"Ship cannot pass through Panama",IF(ship_choice="VLCC",((F100/24/Shipping!$AD$44+F100/24/Shipping!$AD$50+Shipping!$AD$59+Shipping!$AD$64)*(Shipping!$AD$22+wacc_nl*Shipping!$AD$19/365.25*1000000+Shipping!$AD$35)+(F100/24/Shipping!$AD$44*Shipping!$AD$45+Shipping!$AD$64*Shipping!$AD$65)*IF(bunker_choice="HFO",$H100,IF(bunker_choice="hydrogen",$BD100*hfo_e_density_lhv/h2_e_density_lhv,(CO100+CQ100)*1000000/CS100*hfo_e_density_lhv/meoh_e_density_lhv))+(F100/24/Shipping!$AD$50*Shipping!$AD$51+Shipping!$AD$59*Shipping!$AD$60)*IF(bunker_choice="HFO",bunker_price_ROT,IF(bunker_choice="hydrogen",$BD100*hfo_e_density_lhv/h2_e_density_lhv,(CO100+CQ100)*1000000/CS100*hfo_e_density_lhv/meoh_e_density_lhv))+Shipping!$AD$73+IF(G100="Panama",Shipping!$AD$55,0)+IF(G100="Suez",Shipping!$AD$56,0))/Shipping!$AD$31*CS100/1000000+IF(inland_transport_to_port="hv dc grid",$BM100/100*1000*CV100,IF(inland_transport_to_port="pipeline",$BN100,0)),((F100/24/Shipping!$L$44+F100/24/Shipping!$L$50+Shipping!$L$59+Shipping!$L$64)*(Shipping!$L$22+wacc_nl*Shipping!$L$19/365.25*1000000+Shipping!$L$35)+(F100/24/Shipping!$L$44*Shipping!$L$45+Shipping!$L$64*Shipping!$L$65)*IF(bunker_choice="HFO",$H100,IF(bunker_choice="hydrogen",$BD100*hfo_e_density_lhv/h2_e_density_lhv,(CO100+CQ100)*1000000/CS100*hfo_e_density_lhv/meoh_e_density_lhv))+(F100/24/Shipping!$L$50*Shipping!$L$51+Shipping!$L$59*Shipping!$L$60)*IF(bunker_choice="HFO",bunker_price_ROT,IF(bunker_choice="hydrogen",$BD100*hfo_e_density_lhv/h2_e_density_lhv,(CO100+CQ100)*1000000/CS100*hfo_e_density_lhv/meoh_e_density_lhv))+Shipping!$L$73+IF(G100="Panama",Shipping!$L$55,0)+IF(G100="Suez",Shipping!$L$56,0))/Shipping!$L$31*CS100/1000000+IF(inland_transport_to_port="hv dc grid",$BM100/100*1000*CV100,IF(inland_transport_to_port="pipeline",$BN100,0)))))</f>
        <v>6319.8093805761246</v>
      </c>
      <c r="CU100" s="28">
        <f t="shared" si="133"/>
        <v>80613.540193900291</v>
      </c>
      <c r="CV100" s="29">
        <f>((Carriers!$R$18/Carriers!$R$23*alk_el_e_demand)+meoh_e_demand)*(CS100+meoh_st_ab_losses)/1000000+meoh_st_e_demand*CS100/1000000</f>
        <v>1119.9789871111109</v>
      </c>
      <c r="CW100" s="29">
        <f t="shared" si="104"/>
        <v>0.16206666666666666</v>
      </c>
      <c r="CX100" s="28">
        <f>IFERROR(CU100*1000000/Storage!$K$12,"")</f>
        <v>746.11462540631703</v>
      </c>
      <c r="CY100" s="28">
        <f>IF($E100="","No Port",((F100/24/Shipping!$L$44+F100/24/Shipping!$L$50+Shipping!$L$59+Shipping!$L$64)*Carriers!$R$39*wacc_nl))</f>
        <v>98.318411311545276</v>
      </c>
      <c r="CZ100" s="29">
        <f>H2_retrieval!$J$25*h2_demand_kt/1000+(co2_liq_e_demand+co2_st_e_demand*2)*Storage!$K$12*co2_density/meoh_density/1000000</f>
        <v>251.05079059698966</v>
      </c>
      <c r="DA100" s="28">
        <f>IFERROR((((CO100+CQ100+CT100)*(1+H2_retrieval!$J$34)+CY100)*1000000/H2_retrieval!$J$8)+h2_regen_meoh,"")</f>
        <v>6148.0630357980735</v>
      </c>
      <c r="DB100" s="149">
        <f>(DBT_invest*(M100+1/DBT_lifetime)/DBT_prod+DBT_opex+DBT_e_demand*1000*$AU100/100+Carriers!$T$18/Carriers!$T$23*BD100)*(DD100+DBT_st_ab_losses)/1000000</f>
        <v>38111.190613892417</v>
      </c>
      <c r="DC100" s="28">
        <f>2*(DBT_st_nl_cost*DBT_st_nl_demand/1000000+(DBT_st_invest*(M100+1/DBT_st_lifetime+DBT_st_opex)/(Storage!$M$63/1000000)+DBT_st_e_demand*1000*$AU100/100)*(DD100+DBT_st_ab_losses)/1000000)+Carriers!$T$18/Carriers!$T$23*((DD100+DBT_st_ab_losses)/365.25*short_st_duration_hrs/24)*(h2_short_st_invest*(1/gh2_short_st_lifetime+$M100+h2_short_st_opex)+h2_short_st_e_demand*1000*$AU100/100)/1000000</f>
        <v>4167.8385947219094</v>
      </c>
      <c r="DD100" s="63">
        <f>Storage!$M$57/((1-Shipping!$N$37)^($F100/24/Shipping!$N$44+0.5*Shipping!$N$59))</f>
        <v>219354838.70967743</v>
      </c>
      <c r="DE100" s="28">
        <f>IF($E100="","No Port",IF(AND(ship_choice="VLCC",G100="Panama"),"Ship cannot pass through Panama",IF(ship_choice="VLCC",((F100/24/Shipping!$AD$44+F100/24/Shipping!$AD$50+Shipping!$AD$59+Shipping!$AD$64)*(Shipping!$AD$22+wacc_nl*Shipping!$AD$19/365.25*1000000+Shipping!$AD$35)+(F100/24/Shipping!$AD$44*Shipping!$AD$45+Shipping!$AD$64*Shipping!$AD$65)*IF(bunker_choice="HFO",$H100,IF(bunker_choice="hydrogen",$BD100*hfo_e_density_lhv/h2_e_density_lhv,(DB100+DC100)*1000000/DD100*hfo_e_density_lhv/DBT_e_density_lhv))+(F100/24/Shipping!$AD$50*Shipping!$AD$51+Shipping!$AD$59*Shipping!$AD$60)*IF(bunker_choice="HFO",bunker_price_ROT,IF(bunker_choice="hydrogen",$BD100*hfo_e_density_lhv/h2_e_density_lhv,(DB100+DC100)*1000000/DD100*hfo_e_density_lhv/DBT_e_density_lhv))+Shipping!$AD$73+IF(G100="Panama",Shipping!$AD$55,0)+IF(G100="Suez",Shipping!$AD$56,0))/Shipping!$AD$31*DD100/1000000+IF(inland_transport_to_port="hv dc grid",$BM100/100*1000*DG100,IF(inland_transport_to_port="pipeline",$BN100,0)),((F100/24/Shipping!$N$44+F100/24/Shipping!$N$50+Shipping!$N$59+Shipping!$N$64)*(Shipping!$N$22+wacc_nl*Shipping!$N$19/365.25*1000000+Shipping!$N$35)+(F100/24/Shipping!$N$44*Shipping!$N$45+Shipping!$N$64*Shipping!$N$65)*IF(bunker_choice="HFO",$H100,IF(bunker_choice="hydrogen",$BD100*hfo_e_density_lhv/h2_e_density_lhv,(DB100+DC100)*1000000/DD100*hfo_e_density_lhv/DBT_e_density_lhv))+(F100/24/Shipping!$N$50*Shipping!$N$51+Shipping!$N$59*Shipping!$N$60)*IF(bunker_choice="HFO",bunker_price_ROT,IF(bunker_choice="hydrogen",$BD100*hfo_e_density_lhv/h2_e_density_lhv,(DB100+DC100)*1000000/DD100*hfo_e_density_lhv/DBT_e_density_lhv))+Shipping!$N$73+IF(G100="Panama",Shipping!$N$55,0)+IF(G100="Suez",Shipping!$N$56,0))/Shipping!$N$31*Shipping!$N$86/1000000+IF(inland_transport_to_port="hv dc grid",$BM100/100*1000*DG100,IF(inland_transport_to_port="pipeline",$BN100,0)))))</f>
        <v>10588.857426699435</v>
      </c>
      <c r="DF100" s="28">
        <f t="shared" si="82"/>
        <v>52867.886635313756</v>
      </c>
      <c r="DG100" s="29">
        <f>((Carriers!$T$18/Carriers!$T$23*alk_el_e_demand)+DBT_e_demand)*(DD100+DBT_st_ab_losses)/1000000+DBT_st_e_demand*DD100/1000000</f>
        <v>703.88335483870969</v>
      </c>
      <c r="DH100" s="29">
        <f t="shared" si="105"/>
        <v>0.21935483870967742</v>
      </c>
      <c r="DI100" s="28">
        <f>IFERROR(DF100*1000000/Storage!$M$12,"")</f>
        <v>241.01536554334211</v>
      </c>
      <c r="DJ100" s="28">
        <f>IF($E100="","No Port",((F100/24/Shipping!$N$44+F100/24/Shipping!$N$50+Shipping!$N$59+Shipping!$N$64)*Carriers!$T$39*wacc_nl))</f>
        <v>7160.8529328358363</v>
      </c>
      <c r="DK100" s="100">
        <f>H2_retrieval!$L$25*h2_demand_kt/1000+(co2_liq_e_demand+co2_st_e_demand*2)*Storage!$M$12*co2_density/DBT_density/1000000</f>
        <v>206.61934861671787</v>
      </c>
      <c r="DL100" s="28">
        <f>IFERROR(((DF100*(1+H2_retrieval!$L$34)+DJ100)*1000000/H2_retrieval!$L$8)+h2_regen_lohc,"")</f>
        <v>4884.527690061559</v>
      </c>
      <c r="DM100" s="149">
        <f t="shared" si="127"/>
        <v>47559.128772271157</v>
      </c>
      <c r="DN100" s="16">
        <f>2*(nabh4_st_nl_cost*nabh4_st_nl_demand/1000000+(nabh4_st_invest*(M100+1/nabh4_st_lifetime+nabh4_st_opex)/(Storage!$O$63/1000000)+nabh4_st_e_demand*1000*$AU100/100)*(DO100+nabh4_st_ab_losses)/1000000)+(h2_demand_kt*1000/365.25*short_st_duration_hrs/24)*(h2_short_st_invest*(1/gh2_short_st_lifetime+$M100+h2_short_st_opex)+h2_short_st_e_demand*1000*$AU100/100)/1000000</f>
        <v>1392.2925302264139</v>
      </c>
      <c r="DO100" s="63">
        <f>Storage!$O$57/((1-Shipping!$P$37)^($F100/24/Shipping!$P$44+0.5*Shipping!$P$59))</f>
        <v>63920000</v>
      </c>
      <c r="DP100" s="16">
        <f>IF($E100="","No Port",((F100/24/Shipping!$P$44+F100/24/Shipping!$P$50+Shipping!$P$59+Shipping!$P$64)*(Shipping!$P$22+wacc_nl*Shipping!$P$19/365.25*1000000+Shipping!$P$35)+(F100/24/Shipping!$P$44*Shipping!$P$45+Shipping!$P$64*Shipping!$P$65)*IF(bunker_choice="HFO",$H100,IF(bunker_choice="hydrogen",$BD100*hfo_e_density_lhv/h2_e_density_lhv,(DM100+DN100)*1000000/DO100*hfo_e_density_lhv/nabh4_e_density_lhv))+(F100/24/Shipping!$P$50*Shipping!$P$51+Shipping!$P$59*Shipping!$P$60)*IF(bunker_choice="HFO",bunker_price_ROT,IF(bunker_choice="hydrogen",$BD100*hfo_e_density_lhv/h2_e_density_lhv,(DM100+DN100)*1000000/DO100*hfo_e_density_lhv/nabh4_e_density_lhv))+Shipping!$P$73+IF(G100="Panama",Shipping!$P$55,0)+IF(G100="Suez",Shipping!$P$56,0))/Shipping!$P$31*(DO100+nabh4_st_ab_losses)/1000000+IF(inland_transport_to_port="hv dc grid",$BM100/100*1000*DR100,IF(inland_transport_to_port="pipeline",$BN100,0)))</f>
        <v>3752.1010456096137</v>
      </c>
      <c r="DQ100" s="28">
        <f t="shared" si="60"/>
        <v>52703.522348107181</v>
      </c>
      <c r="DR100" s="29">
        <f>((Carriers!$V$18/Carriers!$V$23*alk_el_e_demand)+nabh4_e_demand)*(DO100+nabh4_st_ab_losses)/1000000+nabh4_st_e_demand*DO100/1000000</f>
        <v>980.02139682539689</v>
      </c>
      <c r="DS100" s="28">
        <f t="shared" si="106"/>
        <v>3.1960000000000002</v>
      </c>
      <c r="DT100" s="28">
        <f>IFERROR(DQ100*1000000/Storage!$O$12,"")</f>
        <v>824.5231906775216</v>
      </c>
      <c r="DU100" s="28">
        <f>IF($E100="","No Port",((F100/24/Shipping!$P$44+F100/24/Shipping!$P$50+Shipping!$P$59+Shipping!$P$64)*Carriers!$V$39*wacc_nl))</f>
        <v>663.4481129539231</v>
      </c>
      <c r="DV100" s="100">
        <f>H2_retrieval!$N$25*h2_demand_kt/1000+(co2_liq_e_demand+co2_st_e_demand*2)*Storage!$O$12*co2_density/nabh4_density/1000000</f>
        <v>18.783638728971958</v>
      </c>
      <c r="DW100" s="28">
        <f>IFERROR(((DQ100*(1+H2_retrieval!$N$34)+DU100)*1000000/H2_retrieval!$N$8)+h2_regen_nabh4,"")</f>
        <v>4008.4213360405834</v>
      </c>
      <c r="DX100" s="149">
        <f>(Dme_invest*(M100+1/Dme_lifetime)/Dme_prod+Dme_opex+Dme_e_demand*1000*$AU100/100+Carriers!$X$21/Carriers!$X$23*(CO100*1000000/CS100))*(EB100+Dme_st_ab_losses)/1000000</f>
        <v>79517.437520418651</v>
      </c>
      <c r="DY100" s="86">
        <f>(Dme_invest*(M100+1/Dme_lifetime)/Dme_prod+Dme_opex+Dme_e_demand*1000*$AU100/100+Carriers!$X$21/Carriers!$X$23*(CP100*1000000/CS100))*(EB100+Dme_st_ab_losses)/1000000</f>
        <v>101090.47485057024</v>
      </c>
      <c r="DZ100" s="63">
        <f>Dme_st_nl_cost*Dme_st_nl_demand/1000000+(Dme_st_invest*(M100+1/Dme_st_lifetime+Dme_st_opex)/(Storage!$Q$63/1000000)+Dme_st_e_demand*1000*$AU100/100)*(EB100+Dme_st_ab_losses)/1000000+co2_st_nl_cost*Storage!$Q$12*co2_density/Dme_density/1000000+(co2_st_opex_lev+co2_st_invest_lev+co2_st_e_demand*1000*$AU100/100)*Storage!$Q$12/1000000+co2_st_invest_lev*Storage!$Q$12*co2_st_lifetime*M100/1000000+(h2_demand_kt*1000/365.25*short_st_duration_hrs/24)*(h2_short_st_invest*(1/gh2_short_st_lifetime+$M100+h2_short_st_opex)+h2_short_st_e_demand*1000*$AU100/100)/1000000</f>
        <v>5926.8982641463026</v>
      </c>
      <c r="EA100" s="63">
        <f>Dme_st_nl_cost*Dme_st_nl_demand/1000000+(Dme_st_invest*(M100+1/Dme_st_lifetime+Dme_st_opex)/(Storage!$Q$63/1000000)+Dme_st_e_demand*1000*$AU100/100)*(EB100+Dme_st_ab_losses)/1000000+(h2_demand_kt*1000/365.25*short_st_duration_hrs/24)*(h2_short_st_invest*(1/gh2_short_st_lifetime+$M100+h2_short_st_opex)+h2_short_st_e_demand*1000*$AU100/100)/1000000</f>
        <v>3030.6932678641024</v>
      </c>
      <c r="EB100" s="63">
        <f>Storage!$Q$57/((1-Shipping!$R$37)^($F100/24/Shipping!$R$44+0.5*Shipping!$R$59))</f>
        <v>103547089.94708996</v>
      </c>
      <c r="EC100" s="153">
        <f>IF($E100="","No Port",IF(AND(ship_choice="VLCC",G100="Panama"),"Ship cannot pass through Panama",IF(ship_choice="VLCC",((F100/24/Shipping!$AD$44+F100/24/Shipping!$AD$50+Shipping!$AD$59+Shipping!$AD$64)*(Shipping!$AD$22+wacc_nl*Shipping!$AD$19/365.25*1000000+Shipping!$AD$35)+(F100/24/Shipping!$AD$44*Shipping!$AD$45+Shipping!$AD$64*Shipping!$AD$65)*IF(bunker_choice="HFO",$H100,IF(bunker_choice="hydrogen",$BD100*hfo_e_density_lhv/h2_e_density_lhv,(DX100+DZ100)*1000000/EB100*hfo_e_density_lhv/Dme_e_density_lhv))+(F100/24/Shipping!$AD$50*Shipping!$AD$51+Shipping!$AD$59*Shipping!$AD$60)*IF(bunker_choice="HFO",bunker_price_ROT,IF(bunker_choice="hydrogen",$BD100*hfo_e_density_lhv/h2_e_density_lhv,(DX100+DZ100)*1000000/EB100*hfo_e_density_lhv/Dme_e_density_lhv))+Shipping!$AD$73+IF(G100="Panama",Shipping!$AD$55,0)+IF(G100="Suez",Shipping!$AD$56,0))/Shipping!$AD$31*(EB100+Dme_st_ab_losses)/1000000+IF(inland_transport_to_port="hv dc grid",$BM100/100*1000*EE100,IF(inland_transport_to_port="pipeline",$BN100,0)),((F100/24/Shipping!$R$44+F100/24/Shipping!$R$50+Shipping!$R$59+Shipping!$R$64)*(Shipping!$R$22+wacc_nl*Shipping!$R$19/365.25*1000000+Shipping!$R$35)+(F100/24/Shipping!$R$44*Shipping!$R$45+Shipping!$R$64*Shipping!$R$65)*IF(bunker_choice="HFO",$H100,IF(bunker_choice="hydrogen",$BD100*hfo_e_density_lhv/h2_e_density_lhv,(DX100+DZ100)*1000000/EB100*hfo_e_density_lhv/Dme_e_density_lhv))+(F100/24/Shipping!$R$50*Shipping!$R$51+Shipping!$R$59*Shipping!$R$60)*IF(bunker_choice="HFO",bunker_price_ROT,IF(bunker_choice="hydrogen",$BD100*hfo_e_density_lhv/h2_e_density_lhv,(DX100+DZ100)*1000000/EB100*hfo_e_density_lhv/Dme_e_density_lhv))+Shipping!$R$73+IF(G100="Panama",Shipping!$R$55,0)+IF(G100="Suez",Shipping!$R$56,0))/Shipping!$R$31*(EB100+Dme_st_ab_losses)/1000000+IF(inland_transport_to_port="hv dc grid",$BM100/100*1000*EE100,IF(inland_transport_to_port="pipeline",$BN100,0)))))</f>
        <v>6422.9291779660653</v>
      </c>
      <c r="ED100" s="28">
        <f t="shared" si="134"/>
        <v>110544.09729640042</v>
      </c>
      <c r="EE100" s="29">
        <f>(Dme_e_demand)*(EB100+Dme_st_ab_losses)/1000000+Dme_st_e_demand*DZ100/1000000+$CV100*(Carriers!$X$21/Carriers!$X$23*EB100)/$CS100</f>
        <v>1550.2168194360383</v>
      </c>
      <c r="EF100" s="29">
        <f t="shared" si="107"/>
        <v>1.0354708994708997</v>
      </c>
      <c r="EG100" s="28">
        <f>IFERROR(ED100*1000000/Storage!$Q$12,"")</f>
        <v>1067.5731916066957</v>
      </c>
      <c r="EH100" s="28">
        <f>IF($E100="","No Port",((F100/24/Shipping!$R$44+F100/24/Shipping!$R$50+Shipping!$R$59+Shipping!$R$64)*Carriers!$X$39*wacc_nl))</f>
        <v>102.11750082744651</v>
      </c>
      <c r="EI100" s="100">
        <f>H2_retrieval!$P$25*h2_demand_kt/1000+(co2_liq_e_demand+co2_st_e_demand*2)*Storage!$Q$12*co2_density/Dme_density/1000000</f>
        <v>252.45335899349112</v>
      </c>
      <c r="EJ100" s="28">
        <f>IFERROR((((DX100+DZ100+EC100)*(1+H2_retrieval!$P$34)+EH100)*1000000/H2_retrieval!$P$8)+h2_regen_dme,"")</f>
        <v>7932.5831360901211</v>
      </c>
      <c r="EK100" s="149">
        <f>(ome_invest*(M100+1/ome_lifetime)/ome_prod+ome_opex+ome_e_demand*1000*$AU100/100+Carriers!$Z$21/Carriers!$Z$23*(CO100*1000000/CS100))*(EO100+ome_st_ab_losses)/1000000</f>
        <v>173406.16530136601</v>
      </c>
      <c r="EL100" s="86">
        <f>(ome_invest*(M100+1/ome_lifetime)/ome_prod+ome_opex+ome_e_demand*1000*$AU100/100+Carriers!$Z$21/Carriers!$Z$23*(CP100*1000000/CS100))*(EO100+ome_st_ab_losses)/1000000</f>
        <v>218692.17013023989</v>
      </c>
      <c r="EM100" s="63">
        <f>ome_st_nl_cost*ome_st_nl_demand/1000000+(ome_st_invest*(M100+1/ome_st_lifetime+ome_st_opex)/(Storage!$S$63/1000000)+ome_st_e_demand*1000*$AU100/100)*(EO100+ome_st_ab_losses)/1000000+co2_st_nl_cost*Storage!$S$12*co2_density/ome_density/1000000+(co2_st_opex_lev+co2_st_invest_lev+co2_st_e_demand*1000*$AU100/100)*Storage!$S$12/1000000+co2_st_invest_lev*Storage!$S$12*co2_st_lifetime*M100/1000000+(h2_demand_kt*1000/365.25*short_st_duration_hrs/24)*(h2_short_st_invest*(1/gh2_short_st_lifetime+$M100+h2_short_st_opex)+h2_short_st_e_demand*1000*$AU100/100)/1000000</f>
        <v>5071.2761602488881</v>
      </c>
      <c r="EN100" s="63">
        <f>ome_st_nl_cost*ome_st_nl_demand/1000000+(ome_st_invest*(M100+1/ome_st_lifetime+ome_st_opex)/(Storage!$S$63/1000000)+ome_st_e_demand*1000*$AU100/100)*(EO100+ome_st_ab_losses)/1000000+(h2_demand_kt*1000/365.25*short_st_duration_hrs/24)*(h2_short_st_invest*(1/gh2_short_st_lifetime+$M100+h2_short_st_opex)+h2_short_st_e_demand*1000*$AU100/100)/1000000</f>
        <v>1822.1901713085113</v>
      </c>
      <c r="EO100" s="63">
        <f>Storage!$S$57/((1-Shipping!$T$37)^($F100/24/Shipping!$T$44+0.5*Shipping!$T$59))</f>
        <v>128282539.68253967</v>
      </c>
      <c r="EP100" s="28">
        <f>IF($E100="","No Port",IF(AND(ship_choice="VLCC",G100="Panama"),"Ship cannot pass through Panama",IF(ship_choice="VLCC",((F100/24/Shipping!$AD$44+F100/24/Shipping!$AD$50+Shipping!$AD$59+Shipping!$AD$64)*(Shipping!$AD$22+wacc_nl*Shipping!$AD$19/365.25*1000000+Shipping!$AD$35)+(F100/24/Shipping!$AD$44*Shipping!$AD$45+Shipping!$AD$64*Shipping!$AD$65)*IF(bunker_choice="HFO",$H100,IF(bunker_choice="hydrogen",$BD100*hfo_e_density_lhv/h2_e_density_lhv,(EK100+EM100)*1000000/EO100*hfo_e_density_lhv/Dme_e_density_lhv))+(F100/24/Shipping!$AD$50*Shipping!$AD$51+Shipping!$AD$59*Shipping!$AD$60)*IF(bunker_choice="HFO",bunker_price_ROT,IF(bunker_choice="hydrogen",$BD100*hfo_e_density_lhv/h2_e_density_lhv,(EK100+EM100)*1000000/EO100*hfo_e_density_lhv/ome_e_density_lhv))+Shipping!$AD$73+IF(G100="Panama",Shipping!$AD$55,0)+IF(G100="Suez",Shipping!$AD$56,0))/Shipping!$AD$31*(EO100+ome_st_ab_losses)/1000000+IF(inland_transport_to_port="hv dc grid",$BM100/100*1000*ER100,IF(inland_transport_to_port="pipeline",$BN100,0)),((F100/24/Shipping!$T$44+F100/24/Shipping!$T$50+Shipping!$T$59+Shipping!$T$64)*(Shipping!$T$22+wacc_nl*Shipping!$T$19/365.25*1000000+Shipping!$T$35)+(F100/24/Shipping!$T$44*Shipping!$T$45+Shipping!$T$64*Shipping!$T$65)*IF(bunker_choice="HFO",$H100,IF(bunker_choice="hydrogen",$BD100*hfo_e_density_lhv/h2_e_density_lhv,(EK100+EM100)*1000000/EO100*hfo_e_density_lhv/Dme_e_density_lhv))+(F100/24/Shipping!$T$50*Shipping!$T$51+Shipping!$T$59*Shipping!$T$60)*IF(bunker_choice="HFO",bunker_price_ROT,IF(bunker_choice="hydrogen",$BD100*hfo_e_density_lhv/h2_e_density_lhv,(EK100+EM100)*1000000/EO100*hfo_e_density_lhv/ome_e_density_lhv))+Shipping!$T$73+IF(G100="Panama",Shipping!$T$55,0)+IF(G100="Suez",Shipping!$T$56,0))/Shipping!$T$31*(EO100+ome_st_ab_losses)/1000000+IF(inland_transport_to_port="hv dc grid",$BM100/100*1000*ER100,IF(inland_transport_to_port="pipeline",$BN100,0)))))</f>
        <v>6907.0845496289385</v>
      </c>
      <c r="EQ100" s="28">
        <f t="shared" si="135"/>
        <v>227421.44485117734</v>
      </c>
      <c r="ER100" s="29">
        <f>(ome_e_demand)*(EO100+ome_st_ab_losses)/1000000+ome_st_e_demand*EM100/1000000+$CV100*(Carriers!$Z$21/Carriers!$Z$23*EO100)/$CS100</f>
        <v>3352.0814577476976</v>
      </c>
      <c r="ES100" s="29">
        <f t="shared" si="108"/>
        <v>0.1924238095238095</v>
      </c>
      <c r="ET100" s="28">
        <f>IFERROR(EQ100*1000000/Storage!$S$12,"")</f>
        <v>1772.8168261555809</v>
      </c>
      <c r="EU100" s="28">
        <f>IF($E100="","No Port",((F100/24/Shipping!$T$44+F100/24/Shipping!$T$50+Shipping!$T$59+Shipping!$T$64)*Carriers!$Z$39*wacc_nl))</f>
        <v>116.73469714662494</v>
      </c>
      <c r="EV100" s="100">
        <f>H2_retrieval!$R$25*h2_demand_kt/1000+(co2_liq_e_demand+co2_st_e_demand*2)*Storage!$S$12*co2_density/ome_density/1000000</f>
        <v>254.51942895252085</v>
      </c>
      <c r="EW100" s="28">
        <f>IFERROR((((EK100+EM100+EP100)*(1+H2_retrieval!$R$34)+EU100)*1000000/H2_retrieval!$R$8)+h2_regen_ome,"")</f>
        <v>14809.927124695412</v>
      </c>
      <c r="EX100" s="149">
        <f>(sng_invest*(M100+1/sng_lifetime)/sng_prod+lng_invest*(M100+1/lng_lifetime)/lng_prod+sng_opex+lng_opex+(sng_e_demand+lng_e_demand)*1000*$AU100/100+Carriers!$AB$18/Carriers!$AB$23*BD100+Carriers!$AB$20/Carriers!$AB$23*co2_liq_cost)*(FB100+lng_st_ab_losses)/1000000</f>
        <v>62200.443640533042</v>
      </c>
      <c r="EY100" s="86">
        <f>(sng_invest*(M100+1/sng_lifetime)/sng_prod+lng_invest*(M100+1/lng_lifetime)/lng_prod+sng_opex+lng_opex+(sng_e_demand+lng_e_demand)*1000*$AU100/100+Carriers!$AB$18/Carriers!$AB$23*BD100+Carriers!$AB$20/Carriers!$AB$23*BP100)*(FB100+lng_st_ab_losses)/1000000</f>
        <v>74170.119944864622</v>
      </c>
      <c r="EZ100" s="63">
        <f>lng_st_nl_cost*lng_st_nl_demand/1000000+(lng_st_invest*(M100+1/lng_st_lifetime+lng_st_opex)/(Storage!$U$63/1000000)+lng_st_e_demand*1000*$AU100/100)*(FB100+lng_st_ab_losses)/1000000+co2_st_nl_cost*Storage!$U$12*co2_density/lng_density/1000000+(co2_st_opex_lev+co2_st_invest_lev+co2_st_e_demand*1000*$AU100/100)*Storage!$U$12/1000000+co2_st_invest_lev*Storage!$U$12*co2_st_lifetime*M100/1000000+Carriers!$AB$18/Carriers!$AB$23*((FB100+lng_st_ab_losses)/365.25*short_st_duration_hrs/24)*(h2_short_st_invest*(1/gh2_short_st_lifetime+$M100+h2_short_st_opex)+h2_short_st_e_demand*1000*$AU100/100)/1000000+Carriers!$AB$20/Carriers!$AB$23*((FB100+lng_st_ab_losses)/365.25*short_st_duration_hrs/24)*(co2_short_st_invest*(1/co2_short_st_lifetime+$M100+co2_short_st_opex)+co2_short_st_e_demand*1000*$AU100/100)/1000000</f>
        <v>6336.1990460420029</v>
      </c>
      <c r="FA100" s="63">
        <f>lng_st_nl_cost*lng_st_nl_demand/1000000+(lng_st_invest*(M100+1/lng_st_lifetime+lng_st_opex)/(Storage!$U$63/1000000)+lng_st_e_demand*1000*$AU100/100)*(FB100+lng_st_ab_losses)/1000000+Carriers!$AB$18/Carriers!$AB$23*((FB100+lng_st_ab_losses)/365.25*short_st_duration_hrs/24)*(h2_short_st_invest*(1/gh2_short_st_lifetime+$M100+h2_short_st_opex)+h2_short_st_e_demand*1000*$AU100/100)/1000000+Carriers!$AB$20/Carriers!$AB$23*((FB100+lng_st_ab_losses)/365.25*short_st_duration_hrs/24)*(co2_short_st_invest*(1/co2_short_st_lifetime+$M100+co2_short_st_opex)+co2_short_st_e_demand*1000*$AU100/100)/1000000</f>
        <v>4763.3754552179316</v>
      </c>
      <c r="FB100" s="63">
        <f>Storage!$U$57/((1-Shipping!$V$37)^($F100/24/Shipping!$V$44+0.5*Shipping!$V$59))</f>
        <v>41439900.439215921</v>
      </c>
      <c r="FC100" s="28">
        <f>IF($E100="","No Port",IF(G100="Panama","Ship cannot pass through Panama",((F100/24/Shipping!$V$44+F100/24/Shipping!$V$50+Shipping!$V$59+Shipping!$V$64)*(Shipping!$V$22+wacc_nl*Shipping!$V$19/365.25*1000000+Shipping!$V$35)+(F100/24/Shipping!$V$44*Shipping!$V$45+Shipping!$V$64*Shipping!$V$65)*IF(bunker_choice="HFO",$H100,IF(bunker_choice="hydrogen",$BD100*hfo_e_density_lhv/h2_e_density_lhv,(EX100+EZ100)*1000000/FB100*hfo_e_density_lhv/lng_e_density_lhv))+(F100/24/Shipping!$V$50*Shipping!$V$51+Shipping!$V$59*Shipping!$V$60)*IF(bunker_choice="HFO",bunker_price_ROT,IF(bunker_choice="hydrogen",$BD100*hfo_e_density_lhv/h2_e_density_lhv,(EX100+EZ100)*1000000/FB100*hfo_e_density_lhv/lng_e_density_lhv))+Shipping!$V$73+IF(G100="Panama",Shipping!$V$55,0)+IF(G100="Suez",Shipping!$V$56,0))/Shipping!$V$31*(FB100+lng_st_ab_losses)/1000000)+IF(inland_transport_to_port="hv dc grid",$BM100/100*1000*FE100,IF(inland_transport_to_port="pipeline",$BN100,0)))</f>
        <v>3283.2733873585303</v>
      </c>
      <c r="FD100" s="28">
        <f t="shared" si="136"/>
        <v>82216.768787441077</v>
      </c>
      <c r="FE100" s="29">
        <f>((Carriers!$AB$18/Carriers!$AB$23*alk_el_e_demand)+sng_e_demand+lng_e_demand)*(FB100+lng_st_ab_losses)/1000000+lng_st_e_demand*EZ100/1000000</f>
        <v>1111.379208993008</v>
      </c>
      <c r="FF100" s="29">
        <f t="shared" si="109"/>
        <v>0.8126185861001558</v>
      </c>
      <c r="FG100" s="28">
        <f>IFERROR(FD100*1000000/Storage!$U$12,"")</f>
        <v>2025.8355888645133</v>
      </c>
      <c r="FH100" s="28">
        <f>IF($E100="","No Port",((F100/24/Shipping!$V$44+F100/24/Shipping!$V$50+Shipping!$V$59+Shipping!$V$64)*Carriers!$AB$39*wacc_nl))</f>
        <v>34.357958758549579</v>
      </c>
      <c r="FI100" s="100">
        <f>H2_retrieval!$T$25*h2_demand_kt/1000+(co2_liq_e_demand+co2_st_e_demand*2)*Storage!$U$12*co2_density/lng_density/1000000</f>
        <v>236.51371749646054</v>
      </c>
      <c r="FJ100" s="28">
        <f>IFERROR((((EX100+EZ100+FC100)*(1+H2_retrieval!$T$34)+FH100)*1000000/H2_retrieval!$T$8)+h2_regen_lng,"")</f>
        <v>6453.5310455999488</v>
      </c>
      <c r="FK100" s="149">
        <f>(lh2_invest*(M100+1/lh2_lifetime)/lh2_prod+lh2_opex+lh2_e_demand*1000*$AU100/100+Carriers!$AD$18/Carriers!$AD$23*BD100)*(FM100+lh2_st_ab_losses)/1000000</f>
        <v>49425.461856537979</v>
      </c>
      <c r="FL100" s="28">
        <f>lh2_st_nl_cost*lh2_st_nl_demand/1000000+(lh2_st_invest*(M100+1/lh2_st_lifetime+lh2_st_opex)/(Storage!$Y$63/1000000)+lh2_st_e_demand*1000*$AU100/100)*(FM100+lh2_st_ab_losses)/1000000+((FM100+lh2_st_ab_losses)/365.25*short_st_duration_hrs/24)*(h2_short_st_invest*(1/gh2_short_st_lifetime+$M100+h2_short_st_opex)+h2_short_st_e_demand*1000*$AU100/100)/1000000</f>
        <v>55437.382942307013</v>
      </c>
      <c r="FM100" s="63">
        <f>Storage!$Y$57/((1-Shipping!$Z$37)^($F100/24/Shipping!$Z$44+0.5*Shipping!$Z$59))</f>
        <v>14055628.404490607</v>
      </c>
      <c r="FN100" s="28">
        <f>IF($E100="","No Port",IF(G100="Panama","Ship cannot pass through Panama",((F100/24/Shipping!$Z$44+F100/24/Shipping!$Z$50+Shipping!$Z$59+Shipping!$Z$64)*(Shipping!$Z$22+wacc_nl*Shipping!$Z$19/365.25*1000000+Shipping!$Z$35)+(F100/24/Shipping!$Z$44*Shipping!$Z$45+Shipping!$Z$64*Shipping!$Z$65)*IF(bunker_choice="HFO",$H100,IF(bunker_choice="hydrogen",$BD100*hfo_e_density_lhv/h2_e_density_lhv,(FK100+FL100)*1000000/FM100*hfo_e_density_lhv/lh2_e_density_lhv))+(F100/24/Shipping!$Z$50*Shipping!$Z$51+Shipping!$Z$59*Shipping!$Z$60)*IF(bunker_choice="HFO",bunker_price_ROT,IF(bunker_choice="hydrogen",$BD100*hfo_e_density_lhv/h2_e_density_lhv,(FK100+FL100)*1000000/FM100*hfo_e_density_lhv/lh2_e_density_lhv))+Shipping!$Z$73+IF(G100="Panama",Shipping!$Z$55,0)+IF(G100="Suez",Shipping!$Z$56,0))/Shipping!$Z$31*(FM100+lh2_st_ab_losses)/1000000)+IF(inland_transport_to_port="hv dc grid",$BM100/100*1000*FP100,IF(inland_transport_to_port="pipeline",$BN100,0)))</f>
        <v>4817.8021848746985</v>
      </c>
      <c r="FO100" s="28">
        <f t="shared" si="128"/>
        <v>109680.64698371969</v>
      </c>
      <c r="FP100" s="29">
        <f>((Carriers!$AD$18/Carriers!$AD$23*alk_el_e_demand)+lh2_e_demand)*(FM100+lh2_st_ab_losses)/1000000+lh2_st_e_demand*FM100/1000000</f>
        <v>814.49826891787518</v>
      </c>
      <c r="FQ100" s="100">
        <f t="shared" si="110"/>
        <v>1.361902463475859</v>
      </c>
      <c r="FR100" s="28">
        <f>IFERROR(FO100*1000000/Storage!$Y$12,"")</f>
        <v>8064.7534546852721</v>
      </c>
      <c r="FS100" s="100">
        <f>H2_retrieval!$V$25*h2_demand_kt/1000</f>
        <v>8.16</v>
      </c>
      <c r="FT100" s="28">
        <f>IFERROR(FR100*(1+H2_retrieval!$V$34)/Carrier_properties!$U$7+H2_retrieval!$V$38,"")</f>
        <v>8096.7221805537392</v>
      </c>
      <c r="FU100" s="12"/>
      <c r="FV100" s="24">
        <f t="shared" si="129"/>
        <v>2.2506798164683364</v>
      </c>
      <c r="FW100" s="24" t="str">
        <f t="shared" si="143"/>
        <v/>
      </c>
      <c r="FX100" s="24">
        <f t="shared" si="144"/>
        <v>7.7752275909640209</v>
      </c>
      <c r="FY100" s="24">
        <f t="shared" si="130"/>
        <v>2.2506798164683364</v>
      </c>
      <c r="FZ100" s="28">
        <f t="shared" si="145"/>
        <v>2562.2790145357258</v>
      </c>
      <c r="GA100" s="28">
        <f t="shared" si="137"/>
        <v>597.83303515031571</v>
      </c>
      <c r="GB100" s="28">
        <f t="shared" si="138"/>
        <v>392.94048479378762</v>
      </c>
      <c r="GC100" s="28">
        <f t="shared" si="139"/>
        <v>668.90419925065669</v>
      </c>
      <c r="GD100" s="28">
        <f t="shared" si="140"/>
        <v>976.27538255517391</v>
      </c>
      <c r="GE100" s="28">
        <f t="shared" si="141"/>
        <v>1704.7695709130535</v>
      </c>
      <c r="GF100" s="28">
        <f t="shared" si="142"/>
        <v>1789.8237968418243</v>
      </c>
      <c r="GG100" s="12"/>
      <c r="GH100" s="12"/>
      <c r="GI100" s="12"/>
      <c r="GJ100" s="12"/>
      <c r="GK100" s="12"/>
      <c r="GL100" s="12"/>
      <c r="GM100" s="12"/>
      <c r="GN100" s="12"/>
      <c r="GO100" s="12"/>
      <c r="GP100" s="12"/>
      <c r="GQ100" s="12"/>
      <c r="GR100" s="12"/>
      <c r="GS100" s="12"/>
      <c r="GT100" s="12"/>
      <c r="GU100" s="12"/>
      <c r="GV100" s="12"/>
      <c r="GW100" s="12"/>
      <c r="GX100" s="12"/>
      <c r="GY100" s="12"/>
      <c r="GZ100" s="12"/>
      <c r="HA100" s="12"/>
      <c r="HB100" s="12"/>
      <c r="HC100" s="12"/>
      <c r="HD100" s="12"/>
      <c r="HE100" s="12"/>
      <c r="HF100" s="12"/>
    </row>
    <row r="101" spans="1:214" x14ac:dyDescent="0.2">
      <c r="A101" s="154" t="s">
        <v>104</v>
      </c>
      <c r="B101" s="12">
        <v>6818</v>
      </c>
      <c r="C101" s="12">
        <v>1</v>
      </c>
      <c r="D101" s="12">
        <f t="shared" si="111"/>
        <v>0</v>
      </c>
      <c r="E101" s="12"/>
      <c r="F101" s="12"/>
      <c r="G101" s="12"/>
      <c r="H101" s="16">
        <f t="shared" si="112"/>
        <v>382.75862068965517</v>
      </c>
      <c r="I101" s="16">
        <v>143350</v>
      </c>
      <c r="J101" s="16">
        <f t="shared" si="113"/>
        <v>213.6111471446338</v>
      </c>
      <c r="K101" s="16" t="str">
        <f t="shared" si="114"/>
        <v/>
      </c>
      <c r="L101" s="103">
        <v>0.113</v>
      </c>
      <c r="M101" s="103">
        <f t="shared" si="115"/>
        <v>0.12133742614649801</v>
      </c>
      <c r="N101" s="122">
        <f t="shared" si="116"/>
        <v>0.8</v>
      </c>
      <c r="O101" s="46">
        <f t="shared" si="117"/>
        <v>40</v>
      </c>
      <c r="P101" s="70">
        <f t="array" ref="P101">SUMPRODUCT(IF(Solar_data!A$4:A$777=A101,Solar_data!C$4:C$777),IF(Solar_data!A$4:A$777=A101,Solar_data!I$4:I$777))/SUMIF(Solar_data!A$4:A$777,A101,Solar_data!I$4:I$777)</f>
        <v>2114.7765026579295</v>
      </c>
      <c r="Q101" s="16">
        <f t="array" ref="Q101">MAX(IF(Solar_data!$A$777:'Solar_data'!$A$4=Country_details!$A101,Solar_data!$C$4:'Solar_data'!$C$777))</f>
        <v>2463.75</v>
      </c>
      <c r="R101" s="16">
        <f t="array" ref="R101">MIN(IF(Solar_data!$A$777:'Solar_data'!$A$4=Country_details!A101,Solar_data!$C$4:'Solar_data'!$C$777))</f>
        <v>1916.25</v>
      </c>
      <c r="S101" s="24">
        <f t="shared" si="95"/>
        <v>2.3459338836843924</v>
      </c>
      <c r="T101" s="24">
        <f t="shared" si="96"/>
        <v>2.0136482410978442</v>
      </c>
      <c r="U101" s="24">
        <f t="shared" si="97"/>
        <v>2.5889763099829426</v>
      </c>
      <c r="V101" s="16">
        <f t="array" ref="V101">SUM(IF(Solar_data!$A$777:'Solar_data'!$A$4=Country_details!$A101,Solar_data!$I$4:'Solar_data'!$I$777))</f>
        <v>1119.943601584672</v>
      </c>
      <c r="W101" s="148"/>
      <c r="X101" s="16">
        <f>IFERROR(INDEX(Onshore_wind_data!$J$5:'Onshore_wind_data'!$J$221,MATCH(A101,Onshore_wind_data!$B$5:'Onshore_wind_data'!$B$221,0)),"")</f>
        <v>3560.3004727276461</v>
      </c>
      <c r="Y101" s="16">
        <f>IFERROR(INDEX(Onshore_wind_data!$K$5:'Onshore_wind_data'!$K$221,MATCH(A101,Onshore_wind_data!$B$5:'Onshore_wind_data'!$B$221,0)),"")</f>
        <v>3971</v>
      </c>
      <c r="Z101" s="16">
        <f>IFERROR(INDEX(Onshore_wind_data!$L$5:'Onshore_wind_data'!$L$221,MATCH(A101,Onshore_wind_data!$B$5:'Onshore_wind_data'!$B$221,0)),"")</f>
        <v>2847.5</v>
      </c>
      <c r="AA101" s="24">
        <f t="shared" si="118"/>
        <v>3.9676947507718996</v>
      </c>
      <c r="AB101" s="24">
        <f t="shared" si="119"/>
        <v>3.5573370679456549</v>
      </c>
      <c r="AC101" s="24">
        <f t="shared" si="120"/>
        <v>4.9609079883449327</v>
      </c>
      <c r="AD101" s="16">
        <f>IFERROR(INDEX(Onshore_wind_data!$I$5:'Onshore_wind_data'!$I$221,MATCH(A101,Onshore_wind_data!$B$5:'Onshore_wind_data'!$B$221,0)),"")</f>
        <v>135.39798309724998</v>
      </c>
      <c r="AE101" s="148"/>
      <c r="AF101" s="16" t="str">
        <f>INDEX(Offshore_wind_data!$AA$7:$AA$192,MATCH(Country_details!A101,Offshore_wind_data!$A$7:$A$192,0))</f>
        <v/>
      </c>
      <c r="AG101" s="16" t="str">
        <f>INDEX(Offshore_wind_data!$Y$7:$Y$192,MATCH(Country_details!A101,Offshore_wind_data!$A$7:$A$192,0))</f>
        <v/>
      </c>
      <c r="AH101" s="16" t="str">
        <f>INDEX(Offshore_wind_data!$Z$7:$Z$192,MATCH(Country_details!A101,Offshore_wind_data!$A$7:$A$192,0))</f>
        <v/>
      </c>
      <c r="AI101" s="24" t="str">
        <f t="shared" si="98"/>
        <v/>
      </c>
      <c r="AJ101" s="24" t="str">
        <f t="shared" si="99"/>
        <v/>
      </c>
      <c r="AK101" s="24" t="str">
        <f t="shared" si="100"/>
        <v/>
      </c>
      <c r="AL101" s="16">
        <f>INDEX(Offshore_wind_data!$W$7:$W$191,MATCH(A101,Offshore_wind_data!$A$7:$A$191,0))</f>
        <v>0</v>
      </c>
      <c r="AM101" s="148"/>
      <c r="AN101" s="12">
        <v>29.3</v>
      </c>
      <c r="AO101" s="12">
        <v>36.1</v>
      </c>
      <c r="AP101" s="34">
        <f>0.369*11.63</f>
        <v>4.2914700000000003</v>
      </c>
      <c r="AQ101" s="15">
        <f t="shared" si="101"/>
        <v>50</v>
      </c>
      <c r="AR101" s="12">
        <f t="shared" si="131"/>
        <v>1805</v>
      </c>
      <c r="AS101" s="16">
        <f t="shared" si="121"/>
        <v>-549.65841531807791</v>
      </c>
      <c r="AT101" s="12"/>
      <c r="AU101" s="24">
        <f t="shared" si="122"/>
        <v>3.3633572608096962</v>
      </c>
      <c r="AV101" s="16">
        <f t="shared" si="123"/>
        <v>5675.0769753855757</v>
      </c>
      <c r="AW101" s="149">
        <f>HV_DC_Grid!$E$3/(1-AX101)*AU101/100*1000</f>
        <v>3900.1215904859991</v>
      </c>
      <c r="AX101" s="31">
        <f>(1-(1-HV_DC_Grid!$E$25)^(B101*C101*HV_DC_Grid!$E$8/1000))+(1-(1-HV_DC_Grid!$E$26)^(B101*D101*HV_DC_Grid!$E$8/1000))+HV_DC_Grid!$E$35*HV_DC_Grid!$E$28</f>
        <v>0.1376275885822873</v>
      </c>
      <c r="AY101" s="28">
        <f>B101*nl_e_demand/IF(hv_dc_flh="electricity FLH",$AV101,hv_dc_custom)*1000*hv_dc_capacity_multiplier*hv_dc_length_multiplier*1000*(C101*hv_dc_overhead_invest*(hv_dc_overhead_opex+M101+1/hv_dc_lifetime)+D101*hv_dc_sea_invest*(hv_dc_sea_opex+M101+1/hv_dc_lifetime))/1000000+HV_DC_Grid!$E$10*1000*hv_dc_station_invest*hv_dc_station_number*(hv_dc_station_opex+M101+1/hv_dc_lifetime)/1000000</f>
        <v>6040.7280623715824</v>
      </c>
      <c r="AZ101" s="24">
        <f>(AW101+AY101)/(HV_DC_Grid!$E$3*1000)*100</f>
        <v>9.9408496528575814</v>
      </c>
      <c r="BA101" s="28">
        <f>MIN(((Carriers!$F$26+Carriers!$F$27)*(alk_el_opex+wacc_nl+1/alk_el_lifetime)+IF(hv_dc_flh="electricity FLH",$AV101,hv_dc_custom)*AZ101/100)/(IF(hv_dc_flh="electricity FLH",$AV101,hv_dc_custom)/alk_el_e_demand)*1000,((Carriers!$H$26+Carriers!$H$27)*(pem_el_opex+wacc_nl+1/pem_el_lifetime)+IF(hv_dc_flh="electricity FLH",$AV101,hv_dc_custom)*AZ101/100)/(IF(hv_dc_flh="electricity FLH",$AV101,hv_dc_custom)/pem_el_e_demand)*1000)</f>
        <v>5430.6608765400833</v>
      </c>
      <c r="BB101" s="12"/>
      <c r="BC101" s="12"/>
      <c r="BD101" s="149">
        <f>MIN(((Carriers!$F$26+Carriers!$F$27)*(alk_el_opex+M101+1/alk_el_lifetime)+$AV101*$AU101/100)/($AV101/alk_el_e_demand)*1000,((Carriers!$H$26+Carriers!$H$27)*(pem_el_opex+M101+1/pem_el_lifetime)+$AV101*$AU101/100)/($AV101/pem_el_e_demand)*1000)</f>
        <v>2312.8214503364611</v>
      </c>
      <c r="BE101" s="28">
        <f>Storage!$AC$50</f>
        <v>8.1664117557772418</v>
      </c>
      <c r="BF101" s="28">
        <f>((Pipeline!$D$22*Pipeline!$D$24*B101*(pipeline_opex+M101+1/pipeline_lifetime))*(Pipeline!$D$39/Pipeline!$D$3)+(Pipeline!$D$57*(pipeline_comp_opex+M101+1/pipeline_comp_lifetime)+Pipeline!$D$47*1000*Pipeline!$D$45*$AU101/100/1000000))*(Pipeline!$D$75/Pipeline!$D$45)</f>
        <v>15048.086508509879</v>
      </c>
      <c r="BG101" s="28">
        <f>BD101+(BE101+BF101)/Storage!$AC$12*1000000</f>
        <v>3419.8988709442301</v>
      </c>
      <c r="BH101" s="28"/>
      <c r="BI101" s="28"/>
      <c r="BJ101" s="28" t="str">
        <f>IF($E101="","No Port",BK101*HV_DC_Grid!$E$3*$AU101/100*1000)</f>
        <v>No Port</v>
      </c>
      <c r="BK101" s="31" t="str">
        <f>IFERROR((1-(1-HV_DC_Grid!$E$25)^(K101*HV_DC_Grid!$E$8/1000))+HV_DC_Grid!$E$35*HV_DC_Grid!$E$28,"")</f>
        <v/>
      </c>
      <c r="BL101" s="28" t="str">
        <f>IFERROR(K101*nl_e_demand/IF(hv_dc_flh="electricity FLH",$AV101,hv_dc_custom)*1000*hv_dc_capacity_multiplier*hv_dc_length_multiplier*1000*(hv_dc_overhead_invest*(hv_dc_overhead_opex+M101+1/hv_dc_lifetime))/1000000+HV_DC_Grid!$E$10*1000*hv_dc_station_invest*hv_dc_station_number*(hv_dc_station_opex+M101+1/hv_dc_lifetime)/1000000,"")</f>
        <v/>
      </c>
      <c r="BM101" s="29" t="str">
        <f>IFERROR((BJ101+BL101)/(HV_DC_Grid!$E$3*1000)*100,"")</f>
        <v/>
      </c>
      <c r="BN101" s="28" t="str">
        <f>IFERROR(((Pipeline!$D$22*Pipeline!$D$24*K101*(pipeline_opex+M101+1/pipeline_lifetime))*(Pipeline!$D$39/Pipeline!$D$3)+(Pipeline!$D$57*(pipeline_comp_opex+M101+1/pipeline_comp_lifetime)+Pipeline!$D$47*1000*Pipeline!$D$45*S101/100/1000000))*(Pipeline!$D$75/Pipeline!$D$45),"")</f>
        <v/>
      </c>
      <c r="BO101" s="28"/>
      <c r="BP101" s="150">
        <f t="shared" si="124"/>
        <v>115.66717800770235</v>
      </c>
      <c r="BQ101" s="34">
        <f t="shared" si="125"/>
        <v>34.066130890739146</v>
      </c>
      <c r="BR101" s="151">
        <f>(nh3_invest*(M101+1/nh3_lifetime)/nh3_prod+nh3_opex+nh3_e_demand*1000*$AU101/100+Carriers!$N$18/Carriers!$N$23*BD101+Carriers!$N$19/Carriers!$N$23*BQ101)*(BT101+nh3_st_ab_losses)/1000000</f>
        <v>42898.971515670637</v>
      </c>
      <c r="BS101" s="63">
        <f>nh3_st_nl_cost*nh3_st_nl_demand/1000000+(nh3_st_invest*(M101+1/nh3_st_lifetime+nh3_st_opex)/(Storage!$G$63/1000000)+nh3_st_e_demand*1000*$AU101/100)*(BT101+nh3_st_ab_losses)/1000000+Carriers!$N$18/Carriers!$N$23*((BT101+nh3_st_ab_losses)/365.25*short_st_duration_hrs/24)*(h2_short_st_invest*(1/gh2_short_st_lifetime+$M101+h2_short_st_opex)+h2_short_st_e_demand*1000*$AU101/100)/1000000+Carriers!$N$19/Carriers!$N$23*((BT101+nh3_st_ab_losses)/365.25*short_st_duration_hrs/24)*(n2_short_st_invest*(1/n2_short_st_lifetime+$M101+n2_short_st_opex)+n2_short_st_e_demand*1000*$AU101/100)/1000000</f>
        <v>3336.9214295960696</v>
      </c>
      <c r="BT101" s="63">
        <f>Storage!$G$57/((1-Shipping!$H$37)^(F101/24/Shipping!$H$44+0.5*Shipping!$H$59))</f>
        <v>76857210.785724297</v>
      </c>
      <c r="BU101" s="63" t="str">
        <f>IF($E101="","No Port",((F101/24/Shipping!$H$44+F101/24/Shipping!$H$50+Shipping!$H$59+Shipping!$H$64)*(Shipping!$H$22+wacc_nl*Shipping!$H$19/365.25*1000000+Shipping!$H$35)+(F101/24/Shipping!$H$44*Shipping!$H$45+Shipping!$H$64*Shipping!$H$65)*IF(bunker_choice="HFO",H101,IF(bunker_choice="hydrogen",BD101*hfo_e_density_lhv/h2_e_density_lhv,(BR101+BS101)*1000000/BT101*hfo_e_density_lhv/nh3_e_density_lhv))+(F101/24/Shipping!$H$50*Shipping!$H$51+Shipping!$H$59*Shipping!$H$60)*IF(bunker_choice="HFO",bunker_price_ROT,IF(bunker_choice="hydrogen",BD101*hfo_e_density_lhv/h2_e_density_lhv,(BR101+BS101)*1000000/BT101*hfo_e_density_lhv/nh3_e_density_lhv))+Shipping!$H$73+IF(G101="Panama",Shipping!$H$55,0)+IF(G101="Suez",Shipping!$H$56,0))/Shipping!$H$31*BT101/1000000+IF(inland_transport_to_port="hv dc grid",$BM101/100*1000*BW101,IF(inland_transport_to_port="pipeline",$BN101,0)))</f>
        <v>No Port</v>
      </c>
      <c r="BV101" s="63" t="str">
        <f t="shared" si="126"/>
        <v/>
      </c>
      <c r="BW101" s="33">
        <f>((Carriers!$N$18/Carriers!$N$23*alk_el_e_demand)+(Carriers!$N$19/Carriers!$N$23*n2_e_demand)+nh3_e_demand)*(BT101+nh3_st_ab_losses)/1000000+nh3_st_e_demand*BT101/1000000</f>
        <v>759.00171168026975</v>
      </c>
      <c r="BX101" s="33">
        <f t="shared" si="102"/>
        <v>0.76626754477640768</v>
      </c>
      <c r="BY101" s="63" t="str">
        <f>IFERROR(BV101*1000000/Storage!$G$12,"")</f>
        <v/>
      </c>
      <c r="BZ101" s="63">
        <f>H2_retrieval!$F$25*h2_demand_kt/1000</f>
        <v>80</v>
      </c>
      <c r="CA101" s="63" t="str">
        <f>IFERROR(BY101*(1+H2_retrieval!$F$34)/Carrier_properties!$E$7+H2_retrieval!$F$38,"")</f>
        <v/>
      </c>
      <c r="CB101" s="149">
        <f>(FA_invest*(M101+1/FA_lifetime)/FA_prod+FA_opex+FA_e_demand*1000*$AU101/100+Carriers!$P$18/Carriers!$P$23*BD101+Carriers!$P$20/Carriers!$P$23*co2_liq_cost)*(CF101+FA_st_ab_losses)/1000000</f>
        <v>100266.12086548263</v>
      </c>
      <c r="CC101" s="86">
        <f>(FA_invest*(M101+1/FA_lifetime)/FA_prod+FA_opex+FA_e_demand*1000*$AU101/100+Carriers!$P$18/Carriers!$P$23*BD101+Carriers!$P$20/Carriers!$P$23*BP101)*(CF101+FA_st_ab_losses)/1000000</f>
        <v>128202.27004193155</v>
      </c>
      <c r="CD101" s="63">
        <f>FA_st_nl_cost*FA_st_nl_demand/1000000+(FA_st_invest*(M101+1/FA_st_lifetime+FA_st_opex)/(Storage!$I$63/1000000)+FA_st_e_demand*1000*$AU101/100)*(CF101+FA_st_ab_losses)/1000000+co2_st_nl_cost*Storage!$I$12*co2_density/FA_density/1000000+(co2_st_opex_lev+co2_st_invest_lev+co2_st_e_demand*1000*$AU101/100)*Storage!$I$12/1000000+co2_st_invest_lev*Storage!$I$12*co2_st_lifetime*M101/1000000+Carriers!$P$18/Carriers!$P$23*((CF101+FA_st_ab_losses)/365.25*short_st_duration_hrs/24)*(h2_short_st_invest*(1/gh2_short_st_lifetime+$M101+h2_short_st_opex)+h2_short_st_e_demand*1000*$AU101/100)/1000000+Carriers!$P$20/Carriers!$P$23*((CF101+FA_st_ab_losses)/365.25*short_st_duration_hrs/24)*(co2_short_st_invest*(1/co2_short_st_lifetime+$M101+co2_short_st_opex)+co2_short_st_e_demand*1000*$AU101/100)/1000000</f>
        <v>11876.383501571867</v>
      </c>
      <c r="CE101" s="63">
        <f>FA_st_nl_cost*FA_st_nl_demand/1000000+(FA_st_invest*(M101+1/FA_st_lifetime+FA_st_opex)/(Storage!$I$63/1000000)+FA_st_e_demand*1000*$AU101/100)*(CF101+FA_st_ab_losses)/1000000+Carriers!$P$18/Carriers!$P$23*((CF101+FA_st_ab_losses)/365.25*short_st_duration_hrs/24)*(h2_short_st_invest*(1/gh2_short_st_lifetime+$M101+h2_short_st_opex)+h2_short_st_e_demand*1000*$AU101/100)/1000000+Carriers!$P$20/Carriers!$P$23*((CF101+FA_st_ab_losses)/365.25*short_st_duration_hrs/24)*(co2_short_st_invest*(1/co2_short_st_lifetime+$M101+co2_short_st_opex)+co2_short_st_e_demand*1000*$AU101/100)/1000000</f>
        <v>5032.1835901329605</v>
      </c>
      <c r="CF101" s="63">
        <f>Storage!$I$57/((1-Shipping!$J$37)^($F101/24/Shipping!$J$44+0.5*Shipping!$J$59))</f>
        <v>310425396.82539684</v>
      </c>
      <c r="CG101" s="28" t="str">
        <f>IF($E101="","No Port",((F101/24/Shipping!$J$44+F101/24/Shipping!$J$50+Shipping!$J$59+Shipping!$J$64)*(Shipping!$J$22+wacc_nl*Shipping!$J$19/365.25*1000000+Shipping!$J$35)+(F101/24/Shipping!$J$44*Shipping!$J$45+Shipping!$J$64*Shipping!$J$65)*IF(bunker_choice="HFO",$H101,IF(bunker_choice="hydrogen",$BD101*hfo_e_density_lhv/h2_e_density_lhv,(CB101+CD101)*1000000/CF101*hfo_e_density_lhv/FA_e_density_lhv))+(F101/24/Shipping!$J$50*Shipping!$J$51+Shipping!$J$59*Shipping!$J$60)*IF(bunker_choice="HFO",bunker_price_ROT,IF(bunker_choice="hydrogen",$BD101*hfo_e_density_lhv/h2_e_density_lhv,(CB101+CD101)*1000000/CF101*hfo_e_density_lhv/FA_e_density_lhv))+Shipping!$J$73+IF(G101="Panama",Shipping!$J$55,0)+IF(G101="Suez",Shipping!$J$56,0))/Shipping!$J$31*CF101/1000000+IF(inland_transport_to_port="hv dc grid",$BM101/100*1000*CI101,IF(inland_transport_to_port="pipeline",$BN101,0)))</f>
        <v>No Port</v>
      </c>
      <c r="CH101" s="28" t="str">
        <f t="shared" si="132"/>
        <v/>
      </c>
      <c r="CI101" s="29">
        <f>((Carriers!$P$18/Carriers!$P$23*alk_el_e_demand)+FA_e_demand)*(CF101+FA_st_ab_losses)/1000000+FA_st_e_demand*CF101/1000000</f>
        <v>1897.8881241622576</v>
      </c>
      <c r="CJ101" s="29">
        <f t="shared" si="103"/>
        <v>0.46563809523809524</v>
      </c>
      <c r="CK101" s="28" t="str">
        <f>IFERROR(CH101*1000000/Storage!$I$12,"")</f>
        <v/>
      </c>
      <c r="CL101" s="28" t="str">
        <f>IF($E101="","No Port",((F101/24/Shipping!$J$44+F101/24/Shipping!$J$50+Shipping!$J$59+Shipping!$J$64)*Carriers!$P$39*wacc_nl))</f>
        <v>No Port</v>
      </c>
      <c r="CM101" s="29">
        <f>H2_retrieval!$H$25*h2_demand_kt/1000+(co2_liq_e_demand+co2_st_e_demand*2)*Storage!$I$12*co2_density/FA_density/1000000</f>
        <v>94.204253879484654</v>
      </c>
      <c r="CN101" s="28" t="str">
        <f>IFERROR((((CB101+CD101+CG101)*(1+H2_retrieval!$H$34)+CL101)*1000000/H2_retrieval!$H$8)+h2_regen_fa,"")</f>
        <v/>
      </c>
      <c r="CO101" s="149">
        <f>(meoh_invest*(M101+1/meoh_lifetime)/meoh_prod+meoh_opex+meoh_e_demand*1000*$AU101/100+Carriers!$R$18/Carriers!$R$23*BD101+Carriers!$R$20/Carriers!$R$23*co2_liq_cost)*(CS101+meoh_st_ab_losses)/1000000</f>
        <v>51687.499170356801</v>
      </c>
      <c r="CP101" s="86">
        <f>(meoh_invest*(M101+1/meoh_lifetime)/meoh_prod+meoh_opex+meoh_e_demand*1000*$AU101/100+Carriers!$R$18/Carriers!$R$23*BD101+Carriers!$R$20/Carriers!$R$23*BP101)*(CS101+meoh_st_ab_losses)/1000000</f>
        <v>68086.88117716019</v>
      </c>
      <c r="CQ101" s="63">
        <f>meoh_st_nl_cost*meoh_st_nl_demand/1000000+(meoh_st_invest*(M101+1/meoh_st_lifetime+meoh_st_opex)/(Storage!$K$63/1000000)+meoh_st_e_demand*1000*$AU101/100)*(CS101+meoh_st_ab_losses)/1000000+co2_st_nl_cost*Storage!$K$12*co2_density/meoh_density/1000000+(co2_st_opex_lev+co2_st_invest_lev+co2_st_e_demand*1000*IFERROR(MIN(S101,AA101,AI101),S101)/100)*Storage!$K$12/1000000+co2_st_invest_lev*Storage!$K$12*co2_st_lifetime*M101/1000000+Carriers!$R$18/Carriers!$R$23*((CS101+meoh_st_ab_losses)/365.25*short_st_duration_hrs/24)*(h2_short_st_invest*(1/gh2_short_st_lifetime+$M101+h2_short_st_opex)+h2_short_st_e_demand*1000*$AU101/100)/1000000+Carriers!$R$20/Carriers!$R$23*((CF101+meoh_st_ab_losses)/365.25*short_st_duration_hrs/24)*(co2_short_st_invest*(1/co2_short_st_lifetime+$M101+co2_short_st_opex)+co2_short_st_e_demand*1000*$AU101/100)/1000000</f>
        <v>4850.0580103313605</v>
      </c>
      <c r="CR101" s="63">
        <f>meoh_st_nl_cost*meoh_st_nl_demand/1000000+(meoh_st_invest*(M101+1/meoh_st_lifetime+meoh_st_opex)/(Storage!$K$63/1000000)+meoh_st_e_demand*1000*$AU101/100)*(CS101+meoh_st_ab_losses)/1000000+Carriers!$R$18/Carriers!$R$23*((CS101+meoh_st_ab_losses)/365.25*short_st_duration_hrs/24)*(h2_short_st_invest*(1/gh2_short_st_lifetime+$M101+h2_short_st_opex)+h2_short_st_e_demand*1000*$AU101/100)/1000000+Carriers!$R$20/Carriers!$R$23*((CF101+meoh_st_ab_losses)/365.25*short_st_duration_hrs/24)*(co2_short_st_invest*(1/co2_short_st_lifetime+$M101+co2_short_st_opex)+co2_short_st_e_demand*1000*$AU101/100)/1000000</f>
        <v>1978.8442226157017</v>
      </c>
      <c r="CS101" s="63">
        <f>Storage!$K$57/((1-Shipping!$L$37)^($F101/24/Shipping!$L$44+0.5*Shipping!$L$59))</f>
        <v>108044444.44444443</v>
      </c>
      <c r="CT101" s="28" t="str">
        <f>IF($E101="","No Port",IF(AND(ship_choice="VLCC",G101="Panama"),"Ship cannot pass through Panama",IF(ship_choice="VLCC",((F101/24/Shipping!$AD$44+F101/24/Shipping!$AD$50+Shipping!$AD$59+Shipping!$AD$64)*(Shipping!$AD$22+wacc_nl*Shipping!$AD$19/365.25*1000000+Shipping!$AD$35)+(F101/24/Shipping!$AD$44*Shipping!$AD$45+Shipping!$AD$64*Shipping!$AD$65)*IF(bunker_choice="HFO",$H101,IF(bunker_choice="hydrogen",$BD101*hfo_e_density_lhv/h2_e_density_lhv,(CO101+CQ101)*1000000/CS101*hfo_e_density_lhv/meoh_e_density_lhv))+(F101/24/Shipping!$AD$50*Shipping!$AD$51+Shipping!$AD$59*Shipping!$AD$60)*IF(bunker_choice="HFO",bunker_price_ROT,IF(bunker_choice="hydrogen",$BD101*hfo_e_density_lhv/h2_e_density_lhv,(CO101+CQ101)*1000000/CS101*hfo_e_density_lhv/meoh_e_density_lhv))+Shipping!$AD$73+IF(G101="Panama",Shipping!$AD$55,0)+IF(G101="Suez",Shipping!$AD$56,0))/Shipping!$AD$31*CS101/1000000+IF(inland_transport_to_port="hv dc grid",$BM101/100*1000*CV101,IF(inland_transport_to_port="pipeline",$BN101,0)),((F101/24/Shipping!$L$44+F101/24/Shipping!$L$50+Shipping!$L$59+Shipping!$L$64)*(Shipping!$L$22+wacc_nl*Shipping!$L$19/365.25*1000000+Shipping!$L$35)+(F101/24/Shipping!$L$44*Shipping!$L$45+Shipping!$L$64*Shipping!$L$65)*IF(bunker_choice="HFO",$H101,IF(bunker_choice="hydrogen",$BD101*hfo_e_density_lhv/h2_e_density_lhv,(CO101+CQ101)*1000000/CS101*hfo_e_density_lhv/meoh_e_density_lhv))+(F101/24/Shipping!$L$50*Shipping!$L$51+Shipping!$L$59*Shipping!$L$60)*IF(bunker_choice="HFO",bunker_price_ROT,IF(bunker_choice="hydrogen",$BD101*hfo_e_density_lhv/h2_e_density_lhv,(CO101+CQ101)*1000000/CS101*hfo_e_density_lhv/meoh_e_density_lhv))+Shipping!$L$73+IF(G101="Panama",Shipping!$L$55,0)+IF(G101="Suez",Shipping!$L$56,0))/Shipping!$L$31*CS101/1000000+IF(inland_transport_to_port="hv dc grid",$BM101/100*1000*CV101,IF(inland_transport_to_port="pipeline",$BN101,0)))))</f>
        <v>No Port</v>
      </c>
      <c r="CU101" s="28" t="str">
        <f t="shared" si="133"/>
        <v/>
      </c>
      <c r="CV101" s="29">
        <f>((Carriers!$R$18/Carriers!$R$23*alk_el_e_demand)+meoh_e_demand)*(CS101+meoh_st_ab_losses)/1000000+meoh_st_e_demand*CS101/1000000</f>
        <v>1119.9789871111109</v>
      </c>
      <c r="CW101" s="29">
        <f t="shared" si="104"/>
        <v>0.16206666666666666</v>
      </c>
      <c r="CX101" s="28" t="str">
        <f>IFERROR(CU101*1000000/Storage!$K$12,"")</f>
        <v/>
      </c>
      <c r="CY101" s="28" t="str">
        <f>IF($E101="","No Port",((F101/24/Shipping!$L$44+F101/24/Shipping!$L$50+Shipping!$L$59+Shipping!$L$64)*Carriers!$R$39*wacc_nl))</f>
        <v>No Port</v>
      </c>
      <c r="CZ101" s="29">
        <f>H2_retrieval!$J$25*h2_demand_kt/1000+(co2_liq_e_demand+co2_st_e_demand*2)*Storage!$K$12*co2_density/meoh_density/1000000</f>
        <v>251.05079059698966</v>
      </c>
      <c r="DA101" s="28" t="str">
        <f>IFERROR((((CO101+CQ101+CT101)*(1+H2_retrieval!$J$34)+CY101)*1000000/H2_retrieval!$J$8)+h2_regen_meoh,"")</f>
        <v/>
      </c>
      <c r="DB101" s="149">
        <f>(DBT_invest*(M101+1/DBT_lifetime)/DBT_prod+DBT_opex+DBT_e_demand*1000*$AU101/100+Carriers!$T$18/Carriers!$T$23*BD101)*(DD101+DBT_st_ab_losses)/1000000</f>
        <v>34712.42558997259</v>
      </c>
      <c r="DC101" s="28">
        <f>2*(DBT_st_nl_cost*DBT_st_nl_demand/1000000+(DBT_st_invest*(M101+1/DBT_st_lifetime+DBT_st_opex)/(Storage!$M$63/1000000)+DBT_st_e_demand*1000*$AU101/100)*(DD101+DBT_st_ab_losses)/1000000)+Carriers!$T$18/Carriers!$T$23*((DD101+DBT_st_ab_losses)/365.25*short_st_duration_hrs/24)*(h2_short_st_invest*(1/gh2_short_st_lifetime+$M101+h2_short_st_opex)+h2_short_st_e_demand*1000*$AU101/100)/1000000</f>
        <v>4092.2361769091249</v>
      </c>
      <c r="DD101" s="63">
        <f>Storage!$M$57/((1-Shipping!$N$37)^($F101/24/Shipping!$N$44+0.5*Shipping!$N$59))</f>
        <v>219354838.70967743</v>
      </c>
      <c r="DE101" s="28" t="str">
        <f>IF($E101="","No Port",IF(AND(ship_choice="VLCC",G101="Panama"),"Ship cannot pass through Panama",IF(ship_choice="VLCC",((F101/24/Shipping!$AD$44+F101/24/Shipping!$AD$50+Shipping!$AD$59+Shipping!$AD$64)*(Shipping!$AD$22+wacc_nl*Shipping!$AD$19/365.25*1000000+Shipping!$AD$35)+(F101/24/Shipping!$AD$44*Shipping!$AD$45+Shipping!$AD$64*Shipping!$AD$65)*IF(bunker_choice="HFO",$H101,IF(bunker_choice="hydrogen",$BD101*hfo_e_density_lhv/h2_e_density_lhv,(DB101+DC101)*1000000/DD101*hfo_e_density_lhv/DBT_e_density_lhv))+(F101/24/Shipping!$AD$50*Shipping!$AD$51+Shipping!$AD$59*Shipping!$AD$60)*IF(bunker_choice="HFO",bunker_price_ROT,IF(bunker_choice="hydrogen",$BD101*hfo_e_density_lhv/h2_e_density_lhv,(DB101+DC101)*1000000/DD101*hfo_e_density_lhv/DBT_e_density_lhv))+Shipping!$AD$73+IF(G101="Panama",Shipping!$AD$55,0)+IF(G101="Suez",Shipping!$AD$56,0))/Shipping!$AD$31*DD101/1000000+IF(inland_transport_to_port="hv dc grid",$BM101/100*1000*DG101,IF(inland_transport_to_port="pipeline",$BN101,0)),((F101/24/Shipping!$N$44+F101/24/Shipping!$N$50+Shipping!$N$59+Shipping!$N$64)*(Shipping!$N$22+wacc_nl*Shipping!$N$19/365.25*1000000+Shipping!$N$35)+(F101/24/Shipping!$N$44*Shipping!$N$45+Shipping!$N$64*Shipping!$N$65)*IF(bunker_choice="HFO",$H101,IF(bunker_choice="hydrogen",$BD101*hfo_e_density_lhv/h2_e_density_lhv,(DB101+DC101)*1000000/DD101*hfo_e_density_lhv/DBT_e_density_lhv))+(F101/24/Shipping!$N$50*Shipping!$N$51+Shipping!$N$59*Shipping!$N$60)*IF(bunker_choice="HFO",bunker_price_ROT,IF(bunker_choice="hydrogen",$BD101*hfo_e_density_lhv/h2_e_density_lhv,(DB101+DC101)*1000000/DD101*hfo_e_density_lhv/DBT_e_density_lhv))+Shipping!$N$73+IF(G101="Panama",Shipping!$N$55,0)+IF(G101="Suez",Shipping!$N$56,0))/Shipping!$N$31*Shipping!$N$86/1000000+IF(inland_transport_to_port="hv dc grid",$BM101/100*1000*DG101,IF(inland_transport_to_port="pipeline",$BN101,0)))))</f>
        <v>No Port</v>
      </c>
      <c r="DF101" s="28" t="str">
        <f t="shared" si="82"/>
        <v/>
      </c>
      <c r="DG101" s="29">
        <f>((Carriers!$T$18/Carriers!$T$23*alk_el_e_demand)+DBT_e_demand)*(DD101+DBT_st_ab_losses)/1000000+DBT_st_e_demand*DD101/1000000</f>
        <v>703.88335483870969</v>
      </c>
      <c r="DH101" s="29">
        <f t="shared" si="105"/>
        <v>0.21935483870967742</v>
      </c>
      <c r="DI101" s="28" t="str">
        <f>IFERROR(DF101*1000000/Storage!$M$12,"")</f>
        <v/>
      </c>
      <c r="DJ101" s="28" t="str">
        <f>IF($E101="","No Port",((F101/24/Shipping!$N$44+F101/24/Shipping!$N$50+Shipping!$N$59+Shipping!$N$64)*Carriers!$T$39*wacc_nl))</f>
        <v>No Port</v>
      </c>
      <c r="DK101" s="100">
        <f>H2_retrieval!$L$25*h2_demand_kt/1000+(co2_liq_e_demand+co2_st_e_demand*2)*Storage!$M$12*co2_density/DBT_density/1000000</f>
        <v>206.61934861671787</v>
      </c>
      <c r="DL101" s="28" t="str">
        <f>IFERROR(((DF101*(1+H2_retrieval!$L$34)+DJ101)*1000000/H2_retrieval!$L$8)+h2_regen_lohc,"")</f>
        <v/>
      </c>
      <c r="DM101" s="149">
        <f t="shared" si="127"/>
        <v>57957.982672629514</v>
      </c>
      <c r="DN101" s="16">
        <f>2*(nabh4_st_nl_cost*nabh4_st_nl_demand/1000000+(nabh4_st_invest*(M101+1/nabh4_st_lifetime+nabh4_st_opex)/(Storage!$O$63/1000000)+nabh4_st_e_demand*1000*$AU101/100)*(DO101+nabh4_st_ab_losses)/1000000)+(h2_demand_kt*1000/365.25*short_st_duration_hrs/24)*(h2_short_st_invest*(1/gh2_short_st_lifetime+$M101+h2_short_st_opex)+h2_short_st_e_demand*1000*$AU101/100)/1000000</f>
        <v>1439.6553872230477</v>
      </c>
      <c r="DO101" s="63">
        <f>Storage!$O$57/((1-Shipping!$P$37)^($F101/24/Shipping!$P$44+0.5*Shipping!$P$59))</f>
        <v>63920000</v>
      </c>
      <c r="DP101" s="16" t="str">
        <f>IF($E101="","No Port",((F101/24/Shipping!$P$44+F101/24/Shipping!$P$50+Shipping!$P$59+Shipping!$P$64)*(Shipping!$P$22+wacc_nl*Shipping!$P$19/365.25*1000000+Shipping!$P$35)+(F101/24/Shipping!$P$44*Shipping!$P$45+Shipping!$P$64*Shipping!$P$65)*IF(bunker_choice="HFO",$H101,IF(bunker_choice="hydrogen",$BD101*hfo_e_density_lhv/h2_e_density_lhv,(DM101+DN101)*1000000/DO101*hfo_e_density_lhv/nabh4_e_density_lhv))+(F101/24/Shipping!$P$50*Shipping!$P$51+Shipping!$P$59*Shipping!$P$60)*IF(bunker_choice="HFO",bunker_price_ROT,IF(bunker_choice="hydrogen",$BD101*hfo_e_density_lhv/h2_e_density_lhv,(DM101+DN101)*1000000/DO101*hfo_e_density_lhv/nabh4_e_density_lhv))+Shipping!$P$73+IF(G101="Panama",Shipping!$P$55,0)+IF(G101="Suez",Shipping!$P$56,0))/Shipping!$P$31*(DO101+nabh4_st_ab_losses)/1000000+IF(inland_transport_to_port="hv dc grid",$BM101/100*1000*DR101,IF(inland_transport_to_port="pipeline",$BN101,0)))</f>
        <v>No Port</v>
      </c>
      <c r="DQ101" s="28" t="str">
        <f t="shared" si="60"/>
        <v/>
      </c>
      <c r="DR101" s="29">
        <f>((Carriers!$V$18/Carriers!$V$23*alk_el_e_demand)+nabh4_e_demand)*(DO101+nabh4_st_ab_losses)/1000000+nabh4_st_e_demand*DO101/1000000</f>
        <v>980.02139682539689</v>
      </c>
      <c r="DS101" s="28">
        <f t="shared" si="106"/>
        <v>3.1960000000000002</v>
      </c>
      <c r="DT101" s="28" t="str">
        <f>IFERROR(DQ101*1000000/Storage!$O$12,"")</f>
        <v/>
      </c>
      <c r="DU101" s="28" t="str">
        <f>IF($E101="","No Port",((F101/24/Shipping!$P$44+F101/24/Shipping!$P$50+Shipping!$P$59+Shipping!$P$64)*Carriers!$V$39*wacc_nl))</f>
        <v>No Port</v>
      </c>
      <c r="DV101" s="100">
        <f>H2_retrieval!$N$25*h2_demand_kt/1000+(co2_liq_e_demand+co2_st_e_demand*2)*Storage!$O$12*co2_density/nabh4_density/1000000</f>
        <v>18.783638728971958</v>
      </c>
      <c r="DW101" s="28" t="str">
        <f>IFERROR(((DQ101*(1+H2_retrieval!$N$34)+DU101)*1000000/H2_retrieval!$N$8)+h2_regen_nabh4,"")</f>
        <v/>
      </c>
      <c r="DX101" s="149">
        <f>(Dme_invest*(M101+1/Dme_lifetime)/Dme_prod+Dme_opex+Dme_e_demand*1000*$AU101/100+Carriers!$X$21/Carriers!$X$23*(CO101*1000000/CS101))*(EB101+Dme_st_ab_losses)/1000000</f>
        <v>73457.694666122814</v>
      </c>
      <c r="DY101" s="86">
        <f>(Dme_invest*(M101+1/Dme_lifetime)/Dme_prod+Dme_opex+Dme_e_demand*1000*$AU101/100+Carriers!$X$21/Carriers!$X$23*(CP101*1000000/CS101))*(EB101+Dme_st_ab_losses)/1000000</f>
        <v>95706.146053183358</v>
      </c>
      <c r="DZ101" s="63">
        <f>Dme_st_nl_cost*Dme_st_nl_demand/1000000+(Dme_st_invest*(M101+1/Dme_st_lifetime+Dme_st_opex)/(Storage!$Q$63/1000000)+Dme_st_e_demand*1000*$AU101/100)*(EB101+Dme_st_ab_losses)/1000000+co2_st_nl_cost*Storage!$Q$12*co2_density/Dme_density/1000000+(co2_st_opex_lev+co2_st_invest_lev+co2_st_e_demand*1000*$AU101/100)*Storage!$Q$12/1000000+co2_st_invest_lev*Storage!$Q$12*co2_st_lifetime*M101/1000000+(h2_demand_kt*1000/365.25*short_st_duration_hrs/24)*(h2_short_st_invest*(1/gh2_short_st_lifetime+$M101+h2_short_st_opex)+h2_short_st_e_demand*1000*$AU101/100)/1000000</f>
        <v>5966.8123245360393</v>
      </c>
      <c r="EA101" s="63">
        <f>Dme_st_nl_cost*Dme_st_nl_demand/1000000+(Dme_st_invest*(M101+1/Dme_st_lifetime+Dme_st_opex)/(Storage!$Q$63/1000000)+Dme_st_e_demand*1000*$AU101/100)*(EB101+Dme_st_ab_losses)/1000000+(h2_demand_kt*1000/365.25*short_st_duration_hrs/24)*(h2_short_st_invest*(1/gh2_short_st_lifetime+$M101+h2_short_st_opex)+h2_short_st_e_demand*1000*$AU101/100)/1000000</f>
        <v>2982.8610053294306</v>
      </c>
      <c r="EB101" s="63">
        <f>Storage!$Q$57/((1-Shipping!$R$37)^($F101/24/Shipping!$R$44+0.5*Shipping!$R$59))</f>
        <v>103547089.94708996</v>
      </c>
      <c r="EC101" s="153" t="str">
        <f>IF($E101="","No Port",IF(AND(ship_choice="VLCC",G101="Panama"),"Ship cannot pass through Panama",IF(ship_choice="VLCC",((F101/24/Shipping!$AD$44+F101/24/Shipping!$AD$50+Shipping!$AD$59+Shipping!$AD$64)*(Shipping!$AD$22+wacc_nl*Shipping!$AD$19/365.25*1000000+Shipping!$AD$35)+(F101/24/Shipping!$AD$44*Shipping!$AD$45+Shipping!$AD$64*Shipping!$AD$65)*IF(bunker_choice="HFO",$H101,IF(bunker_choice="hydrogen",$BD101*hfo_e_density_lhv/h2_e_density_lhv,(DX101+DZ101)*1000000/EB101*hfo_e_density_lhv/Dme_e_density_lhv))+(F101/24/Shipping!$AD$50*Shipping!$AD$51+Shipping!$AD$59*Shipping!$AD$60)*IF(bunker_choice="HFO",bunker_price_ROT,IF(bunker_choice="hydrogen",$BD101*hfo_e_density_lhv/h2_e_density_lhv,(DX101+DZ101)*1000000/EB101*hfo_e_density_lhv/Dme_e_density_lhv))+Shipping!$AD$73+IF(G101="Panama",Shipping!$AD$55,0)+IF(G101="Suez",Shipping!$AD$56,0))/Shipping!$AD$31*(EB101+Dme_st_ab_losses)/1000000+IF(inland_transport_to_port="hv dc grid",$BM101/100*1000*EE101,IF(inland_transport_to_port="pipeline",$BN101,0)),((F101/24/Shipping!$R$44+F101/24/Shipping!$R$50+Shipping!$R$59+Shipping!$R$64)*(Shipping!$R$22+wacc_nl*Shipping!$R$19/365.25*1000000+Shipping!$R$35)+(F101/24/Shipping!$R$44*Shipping!$R$45+Shipping!$R$64*Shipping!$R$65)*IF(bunker_choice="HFO",$H101,IF(bunker_choice="hydrogen",$BD101*hfo_e_density_lhv/h2_e_density_lhv,(DX101+DZ101)*1000000/EB101*hfo_e_density_lhv/Dme_e_density_lhv))+(F101/24/Shipping!$R$50*Shipping!$R$51+Shipping!$R$59*Shipping!$R$60)*IF(bunker_choice="HFO",bunker_price_ROT,IF(bunker_choice="hydrogen",$BD101*hfo_e_density_lhv/h2_e_density_lhv,(DX101+DZ101)*1000000/EB101*hfo_e_density_lhv/Dme_e_density_lhv))+Shipping!$R$73+IF(G101="Panama",Shipping!$R$55,0)+IF(G101="Suez",Shipping!$R$56,0))/Shipping!$R$31*(EB101+Dme_st_ab_losses)/1000000+IF(inland_transport_to_port="hv dc grid",$BM101/100*1000*EE101,IF(inland_transport_to_port="pipeline",$BN101,0)))))</f>
        <v>No Port</v>
      </c>
      <c r="ED101" s="28" t="str">
        <f t="shared" si="134"/>
        <v/>
      </c>
      <c r="EE101" s="29">
        <f>(Dme_e_demand)*(EB101+Dme_st_ab_losses)/1000000+Dme_st_e_demand*DZ101/1000000+$CV101*(Carriers!$X$21/Carriers!$X$23*EB101)/$CS101</f>
        <v>1550.216819835179</v>
      </c>
      <c r="EF101" s="29">
        <f t="shared" si="107"/>
        <v>1.0354708994708997</v>
      </c>
      <c r="EG101" s="28" t="str">
        <f>IFERROR(ED101*1000000/Storage!$Q$12,"")</f>
        <v/>
      </c>
      <c r="EH101" s="28" t="str">
        <f>IF($E101="","No Port",((F101/24/Shipping!$R$44+F101/24/Shipping!$R$50+Shipping!$R$59+Shipping!$R$64)*Carriers!$X$39*wacc_nl))</f>
        <v>No Port</v>
      </c>
      <c r="EI101" s="100">
        <f>H2_retrieval!$P$25*h2_demand_kt/1000+(co2_liq_e_demand+co2_st_e_demand*2)*Storage!$Q$12*co2_density/Dme_density/1000000</f>
        <v>252.45335899349112</v>
      </c>
      <c r="EJ101" s="28" t="str">
        <f>IFERROR((((DX101+DZ101+EC101)*(1+H2_retrieval!$P$34)+EH101)*1000000/H2_retrieval!$P$8)+h2_regen_dme,"")</f>
        <v/>
      </c>
      <c r="EK101" s="149">
        <f>(ome_invest*(M101+1/ome_lifetime)/ome_prod+ome_opex+ome_e_demand*1000*$AU101/100+Carriers!$Z$21/Carriers!$Z$23*(CO101*1000000/CS101))*(EO101+ome_st_ab_losses)/1000000</f>
        <v>161627.50982997575</v>
      </c>
      <c r="EL101" s="86">
        <f>(ome_invest*(M101+1/ome_lifetime)/ome_prod+ome_opex+ome_e_demand*1000*$AU101/100+Carriers!$Z$21/Carriers!$Z$23*(CP101*1000000/CS101))*(EO101+ome_st_ab_losses)/1000000</f>
        <v>208331.34024245068</v>
      </c>
      <c r="EM101" s="63">
        <f>ome_st_nl_cost*ome_st_nl_demand/1000000+(ome_st_invest*(M101+1/ome_st_lifetime+ome_st_opex)/(Storage!$S$63/1000000)+ome_st_e_demand*1000*$AU101/100)*(EO101+ome_st_ab_losses)/1000000+co2_st_nl_cost*Storage!$S$12*co2_density/ome_density/1000000+(co2_st_opex_lev+co2_st_invest_lev+co2_st_e_demand*1000*$AU101/100)*Storage!$S$12/1000000+co2_st_invest_lev*Storage!$S$12*co2_st_lifetime*M101/1000000+(h2_demand_kt*1000/365.25*short_st_duration_hrs/24)*(h2_short_st_invest*(1/gh2_short_st_lifetime+$M101+h2_short_st_opex)+h2_short_st_e_demand*1000*$AU101/100)/1000000</f>
        <v>5143.3896175956634</v>
      </c>
      <c r="EN101" s="63">
        <f>ome_st_nl_cost*ome_st_nl_demand/1000000+(ome_st_invest*(M101+1/ome_st_lifetime+ome_st_opex)/(Storage!$S$63/1000000)+ome_st_e_demand*1000*$AU101/100)*(EO101+ome_st_ab_losses)/1000000+(h2_demand_kt*1000/365.25*short_st_duration_hrs/24)*(h2_short_st_invest*(1/gh2_short_st_lifetime+$M101+h2_short_st_opex)+h2_short_st_e_demand*1000*$AU101/100)/1000000</f>
        <v>1785.5963616688466</v>
      </c>
      <c r="EO101" s="63">
        <f>Storage!$S$57/((1-Shipping!$T$37)^($F101/24/Shipping!$T$44+0.5*Shipping!$T$59))</f>
        <v>128282539.68253967</v>
      </c>
      <c r="EP101" s="28" t="str">
        <f>IF($E101="","No Port",IF(AND(ship_choice="VLCC",G101="Panama"),"Ship cannot pass through Panama",IF(ship_choice="VLCC",((F101/24/Shipping!$AD$44+F101/24/Shipping!$AD$50+Shipping!$AD$59+Shipping!$AD$64)*(Shipping!$AD$22+wacc_nl*Shipping!$AD$19/365.25*1000000+Shipping!$AD$35)+(F101/24/Shipping!$AD$44*Shipping!$AD$45+Shipping!$AD$64*Shipping!$AD$65)*IF(bunker_choice="HFO",$H101,IF(bunker_choice="hydrogen",$BD101*hfo_e_density_lhv/h2_e_density_lhv,(EK101+EM101)*1000000/EO101*hfo_e_density_lhv/Dme_e_density_lhv))+(F101/24/Shipping!$AD$50*Shipping!$AD$51+Shipping!$AD$59*Shipping!$AD$60)*IF(bunker_choice="HFO",bunker_price_ROT,IF(bunker_choice="hydrogen",$BD101*hfo_e_density_lhv/h2_e_density_lhv,(EK101+EM101)*1000000/EO101*hfo_e_density_lhv/ome_e_density_lhv))+Shipping!$AD$73+IF(G101="Panama",Shipping!$AD$55,0)+IF(G101="Suez",Shipping!$AD$56,0))/Shipping!$AD$31*(EO101+ome_st_ab_losses)/1000000+IF(inland_transport_to_port="hv dc grid",$BM101/100*1000*ER101,IF(inland_transport_to_port="pipeline",$BN101,0)),((F101/24/Shipping!$T$44+F101/24/Shipping!$T$50+Shipping!$T$59+Shipping!$T$64)*(Shipping!$T$22+wacc_nl*Shipping!$T$19/365.25*1000000+Shipping!$T$35)+(F101/24/Shipping!$T$44*Shipping!$T$45+Shipping!$T$64*Shipping!$T$65)*IF(bunker_choice="HFO",$H101,IF(bunker_choice="hydrogen",$BD101*hfo_e_density_lhv/h2_e_density_lhv,(EK101+EM101)*1000000/EO101*hfo_e_density_lhv/Dme_e_density_lhv))+(F101/24/Shipping!$T$50*Shipping!$T$51+Shipping!$T$59*Shipping!$T$60)*IF(bunker_choice="HFO",bunker_price_ROT,IF(bunker_choice="hydrogen",$BD101*hfo_e_density_lhv/h2_e_density_lhv,(EK101+EM101)*1000000/EO101*hfo_e_density_lhv/ome_e_density_lhv))+Shipping!$T$73+IF(G101="Panama",Shipping!$T$55,0)+IF(G101="Suez",Shipping!$T$56,0))/Shipping!$T$31*(EO101+ome_st_ab_losses)/1000000+IF(inland_transport_to_port="hv dc grid",$BM101/100*1000*ER101,IF(inland_transport_to_port="pipeline",$BN101,0)))))</f>
        <v>No Port</v>
      </c>
      <c r="EQ101" s="28" t="str">
        <f t="shared" si="135"/>
        <v/>
      </c>
      <c r="ER101" s="29">
        <f>(ome_e_demand)*(EO101+ome_st_ab_losses)/1000000+ome_st_e_demand*EM101/1000000+$CV101*(Carriers!$Z$21/Carriers!$Z$23*EO101)/$CS101</f>
        <v>3352.0814578558679</v>
      </c>
      <c r="ES101" s="29">
        <f t="shared" si="108"/>
        <v>0.1924238095238095</v>
      </c>
      <c r="ET101" s="28" t="str">
        <f>IFERROR(EQ101*1000000/Storage!$S$12,"")</f>
        <v/>
      </c>
      <c r="EU101" s="28" t="str">
        <f>IF($E101="","No Port",((F101/24/Shipping!$T$44+F101/24/Shipping!$T$50+Shipping!$T$59+Shipping!$T$64)*Carriers!$Z$39*wacc_nl))</f>
        <v>No Port</v>
      </c>
      <c r="EV101" s="100">
        <f>H2_retrieval!$R$25*h2_demand_kt/1000+(co2_liq_e_demand+co2_st_e_demand*2)*Storage!$S$12*co2_density/ome_density/1000000</f>
        <v>254.51942895252085</v>
      </c>
      <c r="EW101" s="28" t="str">
        <f>IFERROR((((EK101+EM101+EP101)*(1+H2_retrieval!$R$34)+EU101)*1000000/H2_retrieval!$R$8)+h2_regen_ome,"")</f>
        <v/>
      </c>
      <c r="EX101" s="149">
        <f>(sng_invest*(M101+1/sng_lifetime)/sng_prod+lng_invest*(M101+1/lng_lifetime)/lng_prod+sng_opex+lng_opex+(sng_e_demand+lng_e_demand)*1000*$AU101/100+Carriers!$AB$18/Carriers!$AB$23*BD101+Carriers!$AB$20/Carriers!$AB$23*co2_liq_cost)*(FB101+lng_st_ab_losses)/1000000</f>
        <v>56238.617122417665</v>
      </c>
      <c r="EY101" s="86">
        <f>(sng_invest*(M101+1/sng_lifetime)/sng_prod+lng_invest*(M101+1/lng_lifetime)/lng_prod+sng_opex+lng_opex+(sng_e_demand+lng_e_demand)*1000*$AU101/100+Carriers!$AB$18/Carriers!$AB$23*BD101+Carriers!$AB$20/Carriers!$AB$23*BP101)*(FB101+lng_st_ab_losses)/1000000</f>
        <v>68365.036394383496</v>
      </c>
      <c r="EZ101" s="63">
        <f>lng_st_nl_cost*lng_st_nl_demand/1000000+(lng_st_invest*(M101+1/lng_st_lifetime+lng_st_opex)/(Storage!$U$63/1000000)+lng_st_e_demand*1000*$AU101/100)*(FB101+lng_st_ab_losses)/1000000+co2_st_nl_cost*Storage!$U$12*co2_density/lng_density/1000000+(co2_st_opex_lev+co2_st_invest_lev+co2_st_e_demand*1000*$AU101/100)*Storage!$U$12/1000000+co2_st_invest_lev*Storage!$U$12*co2_st_lifetime*M101/1000000+Carriers!$AB$18/Carriers!$AB$23*((FB101+lng_st_ab_losses)/365.25*short_st_duration_hrs/24)*(h2_short_st_invest*(1/gh2_short_st_lifetime+$M101+h2_short_st_opex)+h2_short_st_e_demand*1000*$AU101/100)/1000000+Carriers!$AB$20/Carriers!$AB$23*((FB101+lng_st_ab_losses)/365.25*short_st_duration_hrs/24)*(co2_short_st_invest*(1/co2_short_st_lifetime+$M101+co2_short_st_opex)+co2_short_st_e_demand*1000*$AU101/100)/1000000</f>
        <v>6232.0086541472374</v>
      </c>
      <c r="FA101" s="63">
        <f>lng_st_nl_cost*lng_st_nl_demand/1000000+(lng_st_invest*(M101+1/lng_st_lifetime+lng_st_opex)/(Storage!$U$63/1000000)+lng_st_e_demand*1000*$AU101/100)*(FB101+lng_st_ab_losses)/1000000+Carriers!$AB$18/Carriers!$AB$23*((FB101+lng_st_ab_losses)/365.25*short_st_duration_hrs/24)*(h2_short_st_invest*(1/gh2_short_st_lifetime+$M101+h2_short_st_opex)+h2_short_st_e_demand*1000*$AU101/100)/1000000+Carriers!$AB$20/Carriers!$AB$23*((FB101+lng_st_ab_losses)/365.25*short_st_duration_hrs/24)*(co2_short_st_invest*(1/co2_short_st_lifetime+$M101+co2_short_st_opex)+co2_short_st_e_demand*1000*$AU101/100)/1000000</f>
        <v>4624.7938707384783</v>
      </c>
      <c r="FB101" s="63">
        <f>Storage!$U$57/((1-Shipping!$V$37)^($F101/24/Shipping!$V$44+0.5*Shipping!$V$59))</f>
        <v>40707231.50721889</v>
      </c>
      <c r="FC101" s="28" t="str">
        <f>IF($E101="","No Port",IF(G101="Panama","Ship cannot pass through Panama",((F101/24/Shipping!$V$44+F101/24/Shipping!$V$50+Shipping!$V$59+Shipping!$V$64)*(Shipping!$V$22+wacc_nl*Shipping!$V$19/365.25*1000000+Shipping!$V$35)+(F101/24/Shipping!$V$44*Shipping!$V$45+Shipping!$V$64*Shipping!$V$65)*IF(bunker_choice="HFO",$H101,IF(bunker_choice="hydrogen",$BD101*hfo_e_density_lhv/h2_e_density_lhv,(EX101+EZ101)*1000000/FB101*hfo_e_density_lhv/lng_e_density_lhv))+(F101/24/Shipping!$V$50*Shipping!$V$51+Shipping!$V$59*Shipping!$V$60)*IF(bunker_choice="HFO",bunker_price_ROT,IF(bunker_choice="hydrogen",$BD101*hfo_e_density_lhv/h2_e_density_lhv,(EX101+EZ101)*1000000/FB101*hfo_e_density_lhv/lng_e_density_lhv))+Shipping!$V$73+IF(G101="Panama",Shipping!$V$55,0)+IF(G101="Suez",Shipping!$V$56,0))/Shipping!$V$31*(FB101+lng_st_ab_losses)/1000000)+IF(inland_transport_to_port="hv dc grid",$BM101/100*1000*FE101,IF(inland_transport_to_port="pipeline",$BN101,0)))</f>
        <v>No Port</v>
      </c>
      <c r="FD101" s="28" t="str">
        <f t="shared" si="136"/>
        <v/>
      </c>
      <c r="FE101" s="29">
        <f>((Carriers!$AB$18/Carriers!$AB$23*alk_el_e_demand)+sng_e_demand+lng_e_demand)*(FB101+lng_st_ab_losses)/1000000+lng_st_e_demand*EZ101/1000000</f>
        <v>1091.7518836688223</v>
      </c>
      <c r="FF101" s="29">
        <f t="shared" si="109"/>
        <v>0.8126185861001558</v>
      </c>
      <c r="FG101" s="28" t="str">
        <f>IFERROR(FD101*1000000/Storage!$U$12,"")</f>
        <v/>
      </c>
      <c r="FH101" s="28" t="str">
        <f>IF($E101="","No Port",((F101/24/Shipping!$V$44+F101/24/Shipping!$V$50+Shipping!$V$59+Shipping!$V$64)*Carriers!$AB$39*wacc_nl))</f>
        <v>No Port</v>
      </c>
      <c r="FI101" s="100">
        <f>H2_retrieval!$T$25*h2_demand_kt/1000+(co2_liq_e_demand+co2_st_e_demand*2)*Storage!$U$12*co2_density/lng_density/1000000</f>
        <v>236.51371749646054</v>
      </c>
      <c r="FJ101" s="28" t="str">
        <f>IFERROR((((EX101+EZ101+FC101)*(1+H2_retrieval!$T$34)+FH101)*1000000/H2_retrieval!$T$8)+h2_regen_lng,"")</f>
        <v/>
      </c>
      <c r="FK101" s="149">
        <f>(lh2_invest*(M101+1/lh2_lifetime)/lh2_prod+lh2_opex+lh2_e_demand*1000*$AU101/100+Carriers!$AD$18/Carriers!$AD$23*BD101)*(FM101+lh2_st_ab_losses)/1000000</f>
        <v>45270.43797316408</v>
      </c>
      <c r="FL101" s="28">
        <f>lh2_st_nl_cost*lh2_st_nl_demand/1000000+(lh2_st_invest*(M101+1/lh2_st_lifetime+lh2_st_opex)/(Storage!$Y$63/1000000)+lh2_st_e_demand*1000*$AU101/100)*(FM101+lh2_st_ab_losses)/1000000+((FM101+lh2_st_ab_losses)/365.25*short_st_duration_hrs/24)*(h2_short_st_invest*(1/gh2_short_st_lifetime+$M101+h2_short_st_opex)+h2_short_st_e_demand*1000*$AU101/100)/1000000</f>
        <v>53558.502652368086</v>
      </c>
      <c r="FM101" s="63">
        <f>Storage!$Y$57/((1-Shipping!$Z$37)^($F101/24/Shipping!$Z$44+0.5*Shipping!$Z$59))</f>
        <v>13659984.090217989</v>
      </c>
      <c r="FN101" s="28" t="str">
        <f>IF($E101="","No Port",IF(G101="Panama","Ship cannot pass through Panama",((F101/24/Shipping!$Z$44+F101/24/Shipping!$Z$50+Shipping!$Z$59+Shipping!$Z$64)*(Shipping!$Z$22+wacc_nl*Shipping!$Z$19/365.25*1000000+Shipping!$Z$35)+(F101/24/Shipping!$Z$44*Shipping!$Z$45+Shipping!$Z$64*Shipping!$Z$65)*IF(bunker_choice="HFO",$H101,IF(bunker_choice="hydrogen",$BD101*hfo_e_density_lhv/h2_e_density_lhv,(FK101+FL101)*1000000/FM101*hfo_e_density_lhv/lh2_e_density_lhv))+(F101/24/Shipping!$Z$50*Shipping!$Z$51+Shipping!$Z$59*Shipping!$Z$60)*IF(bunker_choice="HFO",bunker_price_ROT,IF(bunker_choice="hydrogen",$BD101*hfo_e_density_lhv/h2_e_density_lhv,(FK101+FL101)*1000000/FM101*hfo_e_density_lhv/lh2_e_density_lhv))+Shipping!$Z$73+IF(G101="Panama",Shipping!$Z$55,0)+IF(G101="Suez",Shipping!$Z$56,0))/Shipping!$Z$31*(FM101+lh2_st_ab_losses)/1000000)+IF(inland_transport_to_port="hv dc grid",$BM101/100*1000*FP101,IF(inland_transport_to_port="pipeline",$BN101,0)))</f>
        <v>No Port</v>
      </c>
      <c r="FO101" s="28" t="str">
        <f t="shared" si="128"/>
        <v/>
      </c>
      <c r="FP101" s="29">
        <f>((Carriers!$AD$18/Carriers!$AD$23*alk_el_e_demand)+lh2_e_demand)*(FM101+lh2_st_ab_losses)/1000000+lh2_st_e_demand*FM101/1000000</f>
        <v>791.60233245091877</v>
      </c>
      <c r="FQ101" s="100">
        <f t="shared" si="110"/>
        <v>1.361902463475859</v>
      </c>
      <c r="FR101" s="28" t="str">
        <f>IFERROR(FO101*1000000/Storage!$Y$12,"")</f>
        <v/>
      </c>
      <c r="FS101" s="100">
        <f>H2_retrieval!$V$25*h2_demand_kt/1000</f>
        <v>8.16</v>
      </c>
      <c r="FT101" s="28" t="str">
        <f>IFERROR(FR101*(1+H2_retrieval!$V$34)/Carrier_properties!$U$7+H2_retrieval!$V$38,"")</f>
        <v/>
      </c>
      <c r="FU101" s="12"/>
      <c r="FV101" s="24">
        <f t="shared" si="129"/>
        <v>2.3459338836843924</v>
      </c>
      <c r="FW101" s="24">
        <f t="shared" si="143"/>
        <v>3.9676947507718996</v>
      </c>
      <c r="FX101" s="24" t="str">
        <f t="shared" si="144"/>
        <v/>
      </c>
      <c r="FY101" s="24">
        <f t="shared" si="130"/>
        <v>2.3459338836843924</v>
      </c>
      <c r="FZ101" s="28">
        <f t="shared" si="145"/>
        <v>2312.8214503364611</v>
      </c>
      <c r="GA101" s="28">
        <f t="shared" si="137"/>
        <v>558.16456357324421</v>
      </c>
      <c r="GB101" s="28">
        <f t="shared" si="138"/>
        <v>412.98898657457698</v>
      </c>
      <c r="GC101" s="28">
        <f t="shared" si="139"/>
        <v>630.17475379930249</v>
      </c>
      <c r="GD101" s="28">
        <f t="shared" si="140"/>
        <v>924.27654028796826</v>
      </c>
      <c r="GE101" s="28">
        <f t="shared" si="141"/>
        <v>1624.003864890791</v>
      </c>
      <c r="GF101" s="28">
        <f t="shared" si="142"/>
        <v>1679.4322252610045</v>
      </c>
      <c r="GG101" s="12"/>
      <c r="GH101" s="12"/>
      <c r="GI101" s="12"/>
      <c r="GJ101" s="12"/>
      <c r="GK101" s="12"/>
      <c r="GL101" s="12"/>
      <c r="GM101" s="12"/>
      <c r="GN101" s="12"/>
      <c r="GO101" s="12"/>
      <c r="GP101" s="12"/>
      <c r="GQ101" s="12"/>
      <c r="GR101" s="12"/>
      <c r="GS101" s="12"/>
      <c r="GT101" s="12"/>
      <c r="GU101" s="12"/>
      <c r="GV101" s="12"/>
      <c r="GW101" s="12"/>
      <c r="GX101" s="12"/>
      <c r="GY101" s="12"/>
      <c r="GZ101" s="12"/>
      <c r="HA101" s="12"/>
      <c r="HB101" s="12"/>
      <c r="HC101" s="12"/>
      <c r="HD101" s="12"/>
      <c r="HE101" s="12"/>
      <c r="HF101" s="12"/>
    </row>
    <row r="102" spans="1:214" x14ac:dyDescent="0.2">
      <c r="A102" s="154" t="s">
        <v>105</v>
      </c>
      <c r="B102" s="6">
        <v>1</v>
      </c>
      <c r="C102" s="12">
        <v>1</v>
      </c>
      <c r="D102" s="12">
        <f t="shared" si="111"/>
        <v>0</v>
      </c>
      <c r="E102" s="6" t="s">
        <v>1033</v>
      </c>
      <c r="F102" s="6"/>
      <c r="G102" s="6"/>
      <c r="H102" s="16">
        <f t="shared" si="112"/>
        <v>382.75862068965517</v>
      </c>
      <c r="I102" s="16">
        <v>33690</v>
      </c>
      <c r="J102" s="16">
        <f t="shared" si="113"/>
        <v>103.5560720843153</v>
      </c>
      <c r="K102" s="27">
        <f t="shared" si="114"/>
        <v>124.26728650117836</v>
      </c>
      <c r="L102" s="6">
        <v>4.2999999999999997E-2</v>
      </c>
      <c r="M102" s="103">
        <f t="shared" si="115"/>
        <v>7.1839951463439675E-2</v>
      </c>
      <c r="N102" s="122">
        <f t="shared" si="116"/>
        <v>0.9</v>
      </c>
      <c r="O102" s="46">
        <f t="shared" si="117"/>
        <v>40</v>
      </c>
      <c r="P102" s="70">
        <f t="array" ref="P102">SUMPRODUCT(IF(Solar_data!A$4:A$777=A102,Solar_data!C$4:C$777),IF(Solar_data!A$4:A$777=A102,Solar_data!I$4:I$777))/SUMIF(Solar_data!A$4:A$777,A102,Solar_data!I$4:I$777)</f>
        <v>1138.7841820566077</v>
      </c>
      <c r="Q102" s="6">
        <f t="array" ref="Q102">MAX(IF(Solar_data!$A$777:'Solar_data'!$A$4=Country_details!$A102,Solar_data!$C$4:'Solar_data'!$C$777))</f>
        <v>1186.25</v>
      </c>
      <c r="R102" s="6">
        <f t="array" ref="R102">MIN(IF(Solar_data!$A$777:'Solar_data'!$A$4=Country_details!A102,Solar_data!$C$4:'Solar_data'!$C$777))</f>
        <v>1003.75</v>
      </c>
      <c r="S102" s="24">
        <f t="shared" si="95"/>
        <v>2.6844056332194994</v>
      </c>
      <c r="T102" s="24">
        <f>(solar_invest*($M102+1/$O102)+solar_opex)/(Q102*$N102)*100</f>
        <v>2.5769936129264646</v>
      </c>
      <c r="U102" s="24">
        <f t="shared" si="97"/>
        <v>3.0455379061858214</v>
      </c>
      <c r="V102" s="6">
        <f t="array" ref="V102">SUM(IF(Solar_data!$A$777:'Solar_data'!$A$4=Country_details!$A102,Solar_data!$I$4:'Solar_data'!$I$777))</f>
        <v>155.68115413238917</v>
      </c>
      <c r="W102" s="205"/>
      <c r="X102" s="16">
        <f>IFERROR(INDEX(Onshore_wind_data!$J$5:'Onshore_wind_data'!$J$221,MATCH(A102,Onshore_wind_data!$B$5:'Onshore_wind_data'!$B$221,0)),"")</f>
        <v>3119.4057098120675</v>
      </c>
      <c r="Y102" s="16">
        <f>IFERROR(INDEX(Onshore_wind_data!$K$5:'Onshore_wind_data'!$K$221,MATCH(A102,Onshore_wind_data!$B$5:'Onshore_wind_data'!$B$221,0)),"")</f>
        <v>3723.5</v>
      </c>
      <c r="Z102" s="16">
        <f>IFERROR(INDEX(Onshore_wind_data!$L$5:'Onshore_wind_data'!$L$221,MATCH(A102,Onshore_wind_data!$B$5:'Onshore_wind_data'!$B$221,0)),"")</f>
        <v>2847.5</v>
      </c>
      <c r="AA102" s="24">
        <f t="shared" si="118"/>
        <v>3.2924002756988924</v>
      </c>
      <c r="AB102" s="24">
        <f t="shared" si="119"/>
        <v>2.758246869612448</v>
      </c>
      <c r="AC102" s="24">
        <f t="shared" si="120"/>
        <v>3.6067891901674982</v>
      </c>
      <c r="AD102" s="16">
        <f>IFERROR(INDEX(Onshore_wind_data!$I$5:'Onshore_wind_data'!$I$221,MATCH(A102,Onshore_wind_data!$B$5:'Onshore_wind_data'!$B$221,0)),"")</f>
        <v>159.77783209999998</v>
      </c>
      <c r="AE102" s="148"/>
      <c r="AF102" s="16">
        <f>INDEX(Offshore_wind_data!$AA$7:$AA$192,MATCH(Country_details!A102,Offshore_wind_data!$A$7:$A$192,0))</f>
        <v>4204.8</v>
      </c>
      <c r="AG102" s="16">
        <f>INDEX(Offshore_wind_data!$Y$7:$Y$192,MATCH(Country_details!A102,Offshore_wind_data!$A$7:$A$192,0))</f>
        <v>4204.8</v>
      </c>
      <c r="AH102" s="16">
        <f>INDEX(Offshore_wind_data!$Z$7:$Z$192,MATCH(Country_details!A102,Offshore_wind_data!$A$7:$A$192,0))</f>
        <v>4204.8</v>
      </c>
      <c r="AI102" s="24">
        <f>IF(AF102="","",(offshore_invest*($M102+1/offshore_lifetime)+offshore_opex)/AF102*100)</f>
        <v>4.7226011236875838</v>
      </c>
      <c r="AJ102" s="24">
        <f t="shared" si="99"/>
        <v>4.7226011236875838</v>
      </c>
      <c r="AK102" s="24">
        <f t="shared" si="100"/>
        <v>4.7226011236875838</v>
      </c>
      <c r="AL102" s="16">
        <f>INDEX(Offshore_wind_data!$W$7:$W$191,MATCH(A102,Offshore_wind_data!$A$7:$A$191,0))</f>
        <v>1097.7891840000002</v>
      </c>
      <c r="AM102" s="148"/>
      <c r="AN102" s="6">
        <v>17</v>
      </c>
      <c r="AO102" s="6">
        <v>17.5</v>
      </c>
      <c r="AP102" s="206">
        <f>4.605*11.63</f>
        <v>53.556150000000009</v>
      </c>
      <c r="AQ102" s="15">
        <f t="shared" si="101"/>
        <v>50</v>
      </c>
      <c r="AR102" s="206">
        <f t="shared" si="131"/>
        <v>875</v>
      </c>
      <c r="AS102" s="16">
        <f t="shared" si="121"/>
        <v>538.24817023238938</v>
      </c>
      <c r="AT102" s="12"/>
      <c r="AU102" s="38">
        <f>min_offshore_price_nl</f>
        <v>4.7226011236875838</v>
      </c>
      <c r="AV102" s="27">
        <f>AF102</f>
        <v>4204.8</v>
      </c>
      <c r="AW102" s="149">
        <f>HV_DC_Grid!$E$3/(1-AX102)*AU102/100*1000</f>
        <v>4789.7503343259596</v>
      </c>
      <c r="AX102" s="31">
        <f>(1-(1-HV_DC_Grid!$E$25)^(B102*C102*HV_DC_Grid!$E$8/1000))+(1-(1-HV_DC_Grid!$E$26)^(B102*D102*HV_DC_Grid!$E$8/1000))+HV_DC_Grid!$E$35*HV_DC_Grid!$E$28</f>
        <v>1.4019355071004035E-2</v>
      </c>
      <c r="AY102" s="28">
        <f>B102*nl_e_demand/IF(hv_dc_flh="electricity FLH",$AV102,hv_dc_custom)*1000*hv_dc_capacity_multiplier*hv_dc_length_multiplier*1000*(C102*hv_dc_overhead_invest*(hv_dc_overhead_opex+M102+1/hv_dc_lifetime)+D102*hv_dc_sea_invest*(hv_dc_sea_opex+M102+1/hv_dc_lifetime))/1000000+HV_DC_Grid!$E$10*1000*hv_dc_station_invest*hv_dc_station_number*(hv_dc_station_opex+M102+1/hv_dc_lifetime)/1000000</f>
        <v>282.62158680720768</v>
      </c>
      <c r="AZ102" s="24">
        <f>(AW102+AY102)/(HV_DC_Grid!$E$3*1000)*100</f>
        <v>5.0723719211331675</v>
      </c>
      <c r="BA102" s="28">
        <f>MIN(((Carriers!$F$26+Carriers!$F$27)*(alk_el_opex+wacc_nl+1/alk_el_lifetime)+IF(hv_dc_flh="electricity FLH",$AV102,hv_dc_custom)*AZ102/100)/(IF(hv_dc_flh="electricity FLH",$AV102,hv_dc_custom)/alk_el_e_demand)*1000,((Carriers!$H$26+Carriers!$H$27)*(pem_el_opex+wacc_nl+1/pem_el_lifetime)+IF(hv_dc_flh="electricity FLH",$AV102,hv_dc_custom)*AZ102/100)/(IF(hv_dc_flh="electricity FLH",$AV102,hv_dc_custom)/pem_el_e_demand)*1000)</f>
        <v>2929.7238657532516</v>
      </c>
      <c r="BB102" s="12"/>
      <c r="BC102" s="12"/>
      <c r="BD102" s="149">
        <f>MIN(((Carriers!$F$26+Carriers!$F$27)*(alk_el_opex+M102+1/alk_el_lifetime)+$AV102*$AU102/100)/($AV102/alk_el_e_demand)*1000,((Carriers!$H$26+Carriers!$H$27)*(pem_el_opex+M102+1/pem_el_lifetime)+$AV102*$AU102/100)/($AV102/pem_el_e_demand)*1000)</f>
        <v>3003.993936299285</v>
      </c>
      <c r="BE102" s="28">
        <f>Storage!$AC$50</f>
        <v>8.1664117557772418</v>
      </c>
      <c r="BF102" s="28">
        <f>((Pipeline!$D$22*Pipeline!$D$24*B102*(pipeline_opex+M102+1/pipeline_lifetime))*(Pipeline!$D$39/Pipeline!$D$3)+(Pipeline!$D$57*(pipeline_comp_opex+M102+1/pipeline_comp_lifetime)+Pipeline!$D$47*1000*Pipeline!$D$45*$AU102/100/1000000))*(Pipeline!$D$75/Pipeline!$D$45)</f>
        <v>142.09181803432429</v>
      </c>
      <c r="BG102" s="29">
        <f>BD102+(BE102+BF102)/Storage!$AC$12*1000000</f>
        <v>3015.0423355485573</v>
      </c>
      <c r="BH102" s="28"/>
      <c r="BI102" s="28"/>
      <c r="BJ102" s="28">
        <f>IF($E102="","No Port",BK102*HV_DC_Grid!$E$3*$AU102/100*1000)</f>
        <v>77.461686615658579</v>
      </c>
      <c r="BK102" s="31">
        <f>IFERROR((1-(1-HV_DC_Grid!$E$25)^(K102*HV_DC_Grid!$E$8/1000))+HV_DC_Grid!$E$35*HV_DC_Grid!$E$28,"")</f>
        <v>1.6402335193443904E-2</v>
      </c>
      <c r="BL102" s="28">
        <f>IFERROR(K102*nl_e_demand/IF(hv_dc_flh="electricity FLH",$AV102,hv_dc_custom)*1000*hv_dc_capacity_multiplier*hv_dc_length_multiplier*1000*(hv_dc_overhead_invest*(hv_dc_overhead_opex+M102+1/hv_dc_lifetime))/1000000+HV_DC_Grid!$E$10*1000*hv_dc_station_invest*hv_dc_station_number*(hv_dc_station_opex+M102+1/hv_dc_lifetime)/1000000,"")</f>
        <v>352.15850519519518</v>
      </c>
      <c r="BM102" s="29">
        <f>IFERROR((BJ102+BL102)/(HV_DC_Grid!$E$3*1000)*100,"")</f>
        <v>0.42962019181085376</v>
      </c>
      <c r="BN102" s="28">
        <f>IFERROR(((Pipeline!$D$22*Pipeline!$D$24*K102*(pipeline_opex+M102+1/pipeline_lifetime))*(Pipeline!$D$39/Pipeline!$D$3)+(Pipeline!$D$57*(pipeline_comp_opex+M102+1/pipeline_comp_lifetime)+Pipeline!$D$47*1000*Pipeline!$D$45*S102/100/1000000))*(Pipeline!$D$75/Pipeline!$D$45),"")</f>
        <v>284.19893606382402</v>
      </c>
      <c r="BO102" s="28"/>
      <c r="BP102" s="150">
        <f t="shared" si="124"/>
        <v>98.394281912001546</v>
      </c>
      <c r="BQ102" s="34">
        <f t="shared" si="125"/>
        <v>27.766688901937084</v>
      </c>
      <c r="BR102" s="151">
        <f>(nh3_invest*(M102+1/nh3_lifetime)/nh3_prod+nh3_opex+nh3_e_demand*1000*$AU102/100+Carriers!$N$18/Carriers!$N$23*BD102+Carriers!$N$19/Carriers!$N$23*BQ102)*(BT102+nh3_st_ab_losses)/1000000</f>
        <v>50779.039488569906</v>
      </c>
      <c r="BS102" s="63">
        <f>nh3_st_nl_cost*nh3_st_nl_demand/1000000+(nh3_st_invest*(M102+1/nh3_st_lifetime+nh3_st_opex)/(Storage!$G$63/1000000)+nh3_st_e_demand*1000*$AU102/100)*(BT102+nh3_st_ab_losses)/1000000+Carriers!$N$18/Carriers!$N$23*((BT102+nh3_st_ab_losses)/365.25*short_st_duration_hrs/24)*(h2_short_st_invest*(1/gh2_short_st_lifetime+$M102+h2_short_st_opex)+h2_short_st_e_demand*1000*$AU102/100)/1000000+Carriers!$N$19/Carriers!$N$23*((BT102+nh3_st_ab_losses)/365.25*short_st_duration_hrs/24)*(n2_short_st_invest*(1/n2_short_st_lifetime+$M102+n2_short_st_opex)+n2_short_st_e_demand*1000*$AU102/100)/1000000</f>
        <v>2773.4770934558505</v>
      </c>
      <c r="BT102" s="63">
        <f>Storage!$G$57/((1-Shipping!$H$37)^(F102/24/Shipping!$H$44+0.5*Shipping!$H$59))</f>
        <v>76857210.785724297</v>
      </c>
      <c r="BU102" s="63">
        <f>IF($E102="","No Port",((F102/24/Shipping!$H$44+F102/24/Shipping!$H$50+Shipping!$H$59+Shipping!$H$64)*(Shipping!$H$22+wacc_nl*Shipping!$H$19/365.25*1000000+Shipping!$H$35)+(F102/24/Shipping!$H$44*Shipping!$H$45+Shipping!$H$64*Shipping!$H$65)*IF(bunker_choice="HFO",H102,IF(bunker_choice="hydrogen",BD102*hfo_e_density_lhv/h2_e_density_lhv,(BR102+BS102)*1000000/BT102*hfo_e_density_lhv/nh3_e_density_lhv))+(F102/24/Shipping!$H$50*Shipping!$H$51+Shipping!$H$59*Shipping!$H$60)*IF(bunker_choice="HFO",bunker_price_ROT,IF(bunker_choice="hydrogen",BD102*hfo_e_density_lhv/h2_e_density_lhv,(BR102+BS102)*1000000/BT102*hfo_e_density_lhv/nh3_e_density_lhv))+Shipping!$H$73+IF(G102="Panama",Shipping!$H$55,0)+IF(G102="Suez",Shipping!$H$56,0))/Shipping!$H$31*BT102/1000000+IF(inland_transport_to_port="hv dc grid",$BM102/100*1000*BW102,IF(inland_transport_to_port="pipeline",$BN102,0)))</f>
        <v>729.71303135229391</v>
      </c>
      <c r="BV102" s="63">
        <f t="shared" si="126"/>
        <v>54282.229613378047</v>
      </c>
      <c r="BW102" s="33">
        <f>((Carriers!$N$18/Carriers!$N$23*alk_el_e_demand)+(Carriers!$N$19/Carriers!$N$23*n2_e_demand)+nh3_e_demand)*(BT102+nh3_st_ab_losses)/1000000+nh3_st_e_demand*BT102/1000000</f>
        <v>759.00171168026975</v>
      </c>
      <c r="BX102" s="33">
        <f t="shared" si="102"/>
        <v>0.76626754477640768</v>
      </c>
      <c r="BY102" s="63">
        <f>IFERROR(BV102*1000000/Storage!$G$12,"")</f>
        <v>708.98809963293684</v>
      </c>
      <c r="BZ102" s="63">
        <f>H2_retrieval!$F$25*h2_demand_kt/1000</f>
        <v>80</v>
      </c>
      <c r="CA102" s="63">
        <f>IFERROR(BY102*(1+H2_retrieval!$F$34)/Carrier_properties!$E$7+H2_retrieval!$F$38,"")</f>
        <v>4400.5663923921211</v>
      </c>
      <c r="CB102" s="149">
        <f>(FA_invest*(M102+1/FA_lifetime)/FA_prod+FA_opex+FA_e_demand*1000*$AU102/100+Carriers!$P$18/Carriers!$P$23*BD102+Carriers!$P$20/Carriers!$P$23*co2_liq_cost)*(CF102+FA_st_ab_losses)/1000000</f>
        <v>120143.4284267068</v>
      </c>
      <c r="CC102" s="86">
        <f>(FA_invest*(M102+1/FA_lifetime)/FA_prod+FA_opex+FA_e_demand*1000*$AU102/100+Carriers!$P$18/Carriers!$P$23*BD102+Carriers!$P$20/Carriers!$P$23*BP102)*(CF102+FA_st_ab_losses)/1000000</f>
        <v>143628.8122805829</v>
      </c>
      <c r="CD102" s="63">
        <f>FA_st_nl_cost*FA_st_nl_demand/1000000+(FA_st_invest*(M102+1/FA_st_lifetime+FA_st_opex)/(Storage!$I$63/1000000)+FA_st_e_demand*1000*$AU102/100)*(CF102+FA_st_ab_losses)/1000000+co2_st_nl_cost*Storage!$I$12*co2_density/FA_density/1000000+(co2_st_opex_lev+co2_st_invest_lev+co2_st_e_demand*1000*$AU102/100)*Storage!$I$12/1000000+co2_st_invest_lev*Storage!$I$12*co2_st_lifetime*M102/1000000+Carriers!$P$18/Carriers!$P$23*((CF102+FA_st_ab_losses)/365.25*short_st_duration_hrs/24)*(h2_short_st_invest*(1/gh2_short_st_lifetime+$M102+h2_short_st_opex)+h2_short_st_e_demand*1000*$AU102/100)/1000000+Carriers!$P$20/Carriers!$P$23*((CF102+FA_st_ab_losses)/365.25*short_st_duration_hrs/24)*(co2_short_st_invest*(1/co2_short_st_lifetime+$M102+co2_short_st_opex)+co2_short_st_e_demand*1000*$AU102/100)/1000000</f>
        <v>10710.497769189562</v>
      </c>
      <c r="CE102" s="63">
        <f>FA_st_nl_cost*FA_st_nl_demand/1000000+(FA_st_invest*(M102+1/FA_st_lifetime+FA_st_opex)/(Storage!$I$63/1000000)+FA_st_e_demand*1000*$AU102/100)*(CF102+FA_st_ab_losses)/1000000+Carriers!$P$18/Carriers!$P$23*((CF102+FA_st_ab_losses)/365.25*short_st_duration_hrs/24)*(h2_short_st_invest*(1/gh2_short_st_lifetime+$M102+h2_short_st_opex)+h2_short_st_e_demand*1000*$AU102/100)/1000000+Carriers!$P$20/Carriers!$P$23*((CF102+FA_st_ab_losses)/365.25*short_st_duration_hrs/24)*(co2_short_st_invest*(1/co2_short_st_lifetime+$M102+co2_short_st_opex)+co2_short_st_e_demand*1000*$AU102/100)/1000000</f>
        <v>4164.8929198642118</v>
      </c>
      <c r="CF102" s="63">
        <f>Storage!$I$57/((1-Shipping!$J$37)^($F102/24/Shipping!$J$44+0.5*Shipping!$J$59))</f>
        <v>310425396.82539684</v>
      </c>
      <c r="CG102" s="28">
        <f>IF($E102="","No Port",((F102/24/Shipping!$J$44+F102/24/Shipping!$J$50+Shipping!$J$59+Shipping!$J$64)*(Shipping!$J$22+wacc_nl*Shipping!$J$19/365.25*1000000+Shipping!$J$35)+(F102/24/Shipping!$J$44*Shipping!$J$45+Shipping!$J$64*Shipping!$J$65)*IF(bunker_choice="HFO",$H102,IF(bunker_choice="hydrogen",$BD102*hfo_e_density_lhv/h2_e_density_lhv,(CB102+CD102)*1000000/CF102*hfo_e_density_lhv/FA_e_density_lhv))+(F102/24/Shipping!$J$50*Shipping!$J$51+Shipping!$J$59*Shipping!$J$60)*IF(bunker_choice="HFO",bunker_price_ROT,IF(bunker_choice="hydrogen",$BD102*hfo_e_density_lhv/h2_e_density_lhv,(CB102+CD102)*1000000/CF102*hfo_e_density_lhv/FA_e_density_lhv))+Shipping!$J$73+IF(G102="Panama",Shipping!$J$55,0)+IF(G102="Suez",Shipping!$J$56,0))/Shipping!$J$31*CF102/1000000+IF(inland_transport_to_port="hv dc grid",$BM102/100*1000*CI102,IF(inland_transport_to_port="pipeline",$BN102,0)))</f>
        <v>2014.2987048010721</v>
      </c>
      <c r="CH102" s="28">
        <f t="shared" si="132"/>
        <v>149808.00390524819</v>
      </c>
      <c r="CI102" s="29">
        <f>((Carriers!$P$18/Carriers!$P$23*alk_el_e_demand)+FA_e_demand)*(CF102+FA_st_ab_losses)/1000000+FA_st_e_demand*CF102/1000000</f>
        <v>1897.8881241622576</v>
      </c>
      <c r="CJ102" s="29">
        <f t="shared" si="103"/>
        <v>0.46563809523809524</v>
      </c>
      <c r="CK102" s="28">
        <f>IFERROR(CH102*1000000/Storage!$I$12,"")</f>
        <v>482.58939325608668</v>
      </c>
      <c r="CL102" s="28">
        <f>IF($E102="","No Port",((F102/24/Shipping!$J$44+F102/24/Shipping!$J$50+Shipping!$J$59+Shipping!$J$64)*Carriers!$P$39*wacc_nl))</f>
        <v>44.757997499997707</v>
      </c>
      <c r="CM102" s="29">
        <f>H2_retrieval!$H$25*h2_demand_kt/1000+(co2_liq_e_demand+co2_st_e_demand*2)*Storage!$I$12*co2_density/FA_density/1000000</f>
        <v>94.204253879484654</v>
      </c>
      <c r="CN102" s="28">
        <f>IFERROR((((CB102+CD102+CG102)*(1+H2_retrieval!$H$34)+CL102)*1000000/H2_retrieval!$H$8)+h2_regen_fa,"")</f>
        <v>9862.7008161638278</v>
      </c>
      <c r="CO102" s="149">
        <f>(meoh_invest*(M102+1/meoh_lifetime)/meoh_prod+meoh_opex+meoh_e_demand*1000*$AU102/100+Carriers!$R$18/Carriers!$R$23*BD102+Carriers!$R$20/Carriers!$R$23*co2_liq_cost)*(CS102+meoh_st_ab_losses)/1000000</f>
        <v>66572.956893243623</v>
      </c>
      <c r="CP102" s="86">
        <f>(meoh_invest*(M102+1/meoh_lifetime)/meoh_prod+meoh_opex+meoh_e_demand*1000*$AU102/100+Carriers!$R$18/Carriers!$R$23*BD102+Carriers!$R$20/Carriers!$R$23*BP102)*(CS102+meoh_st_ab_losses)/1000000</f>
        <v>80359.602252397759</v>
      </c>
      <c r="CQ102" s="63">
        <f>meoh_st_nl_cost*meoh_st_nl_demand/1000000+(meoh_st_invest*(M102+1/meoh_st_lifetime+meoh_st_opex)/(Storage!$K$63/1000000)+meoh_st_e_demand*1000*$AU102/100)*(CS102+meoh_st_ab_losses)/1000000+co2_st_nl_cost*Storage!$K$12*co2_density/meoh_density/1000000+(co2_st_opex_lev+co2_st_invest_lev+co2_st_e_demand*1000*IFERROR(MIN(S102,AA102,AI102),S102)/100)*Storage!$K$12/1000000+co2_st_invest_lev*Storage!$K$12*co2_st_lifetime*M102/1000000+Carriers!$R$18/Carriers!$R$23*((CS102+meoh_st_ab_losses)/365.25*short_st_duration_hrs/24)*(h2_short_st_invest*(1/gh2_short_st_lifetime+$M102+h2_short_st_opex)+h2_short_st_e_demand*1000*$AU102/100)/1000000+Carriers!$R$20/Carriers!$R$23*((CF102+meoh_st_ab_losses)/365.25*short_st_duration_hrs/24)*(co2_short_st_invest*(1/co2_short_st_lifetime+$M102+co2_short_st_opex)+co2_short_st_e_demand*1000*$AU102/100)/1000000</f>
        <v>4238.1248476393648</v>
      </c>
      <c r="CR102" s="63">
        <f>meoh_st_nl_cost*meoh_st_nl_demand/1000000+(meoh_st_invest*(M102+1/meoh_st_lifetime+meoh_st_opex)/(Storage!$K$63/1000000)+meoh_st_e_demand*1000*$AU102/100)*(CS102+meoh_st_ab_losses)/1000000+Carriers!$R$18/Carriers!$R$23*((CS102+meoh_st_ab_losses)/365.25*short_st_duration_hrs/24)*(h2_short_st_invest*(1/gh2_short_st_lifetime+$M102+h2_short_st_opex)+h2_short_st_e_demand*1000*$AU102/100)/1000000+Carriers!$R$20/Carriers!$R$23*((CF102+meoh_st_ab_losses)/365.25*short_st_duration_hrs/24)*(co2_short_st_invest*(1/co2_short_st_lifetime+$M102+co2_short_st_opex)+co2_short_st_e_demand*1000*$AU102/100)/1000000</f>
        <v>1581.1266785317562</v>
      </c>
      <c r="CS102" s="63">
        <f>Storage!$K$57/((1-Shipping!$L$37)^($F102/24/Shipping!$L$44+0.5*Shipping!$L$59))</f>
        <v>108044444.44444443</v>
      </c>
      <c r="CT102" s="28">
        <f>IF($E102="","No Port",IF(AND(ship_choice="VLCC",G102="Panama"),"Ship cannot pass through Panama",IF(ship_choice="VLCC",((F102/24/Shipping!$AD$44+F102/24/Shipping!$AD$50+Shipping!$AD$59+Shipping!$AD$64)*(Shipping!$AD$22+wacc_nl*Shipping!$AD$19/365.25*1000000+Shipping!$AD$35)+(F102/24/Shipping!$AD$44*Shipping!$AD$45+Shipping!$AD$64*Shipping!$AD$65)*IF(bunker_choice="HFO",$H102,IF(bunker_choice="hydrogen",$BD102*hfo_e_density_lhv/h2_e_density_lhv,(CO102+CQ102)*1000000/CS102*hfo_e_density_lhv/meoh_e_density_lhv))+(F102/24/Shipping!$AD$50*Shipping!$AD$51+Shipping!$AD$59*Shipping!$AD$60)*IF(bunker_choice="HFO",bunker_price_ROT,IF(bunker_choice="hydrogen",$BD102*hfo_e_density_lhv/h2_e_density_lhv,(CO102+CQ102)*1000000/CS102*hfo_e_density_lhv/meoh_e_density_lhv))+Shipping!$AD$73+IF(G102="Panama",Shipping!$AD$55,0)+IF(G102="Suez",Shipping!$AD$56,0))/Shipping!$AD$31*CS102/1000000+IF(inland_transport_to_port="hv dc grid",$BM102/100*1000*CV102,IF(inland_transport_to_port="pipeline",$BN102,0)),((F102/24/Shipping!$L$44+F102/24/Shipping!$L$50+Shipping!$L$59+Shipping!$L$64)*(Shipping!$L$22+wacc_nl*Shipping!$L$19/365.25*1000000+Shipping!$L$35)+(F102/24/Shipping!$L$44*Shipping!$L$45+Shipping!$L$64*Shipping!$L$65)*IF(bunker_choice="HFO",$H102,IF(bunker_choice="hydrogen",$BD102*hfo_e_density_lhv/h2_e_density_lhv,(CO102+CQ102)*1000000/CS102*hfo_e_density_lhv/meoh_e_density_lhv))+(F102/24/Shipping!$L$50*Shipping!$L$51+Shipping!$L$59*Shipping!$L$60)*IF(bunker_choice="HFO",bunker_price_ROT,IF(bunker_choice="hydrogen",$BD102*hfo_e_density_lhv/h2_e_density_lhv,(CO102+CQ102)*1000000/CS102*hfo_e_density_lhv/meoh_e_density_lhv))+Shipping!$L$73+IF(G102="Panama",Shipping!$L$55,0)+IF(G102="Suez",Shipping!$L$56,0))/Shipping!$L$31*CS102/1000000+IF(inland_transport_to_port="hv dc grid",$BM102/100*1000*CV102,IF(inland_transport_to_port="pipeline",$BN102,0)))))</f>
        <v>844.94669418504247</v>
      </c>
      <c r="CU102" s="28">
        <f t="shared" si="133"/>
        <v>82785.675625114556</v>
      </c>
      <c r="CV102" s="29">
        <f>((Carriers!$R$18/Carriers!$R$23*alk_el_e_demand)+meoh_e_demand)*(CS102+meoh_st_ab_losses)/1000000+meoh_st_e_demand*CS102/1000000</f>
        <v>1119.9789871111109</v>
      </c>
      <c r="CW102" s="29">
        <f t="shared" si="104"/>
        <v>0.16206666666666666</v>
      </c>
      <c r="CX102" s="28">
        <f>IFERROR(CU102*1000000/Storage!$K$12,"")</f>
        <v>766.21871722134017</v>
      </c>
      <c r="CY102" s="28">
        <f>IF($E102="","No Port",((F102/24/Shipping!$L$44+F102/24/Shipping!$L$50+Shipping!$L$59+Shipping!$L$64)*Carriers!$R$39*wacc_nl))</f>
        <v>15.578148643079869</v>
      </c>
      <c r="CZ102" s="29">
        <f>H2_retrieval!$J$25*h2_demand_kt/1000+(co2_liq_e_demand+co2_st_e_demand*2)*Storage!$K$12*co2_density/meoh_density/1000000</f>
        <v>251.05079059698966</v>
      </c>
      <c r="DA102" s="28">
        <f>IFERROR((((CO102+CQ102+CT102)*(1+H2_retrieval!$J$34)+CY102)*1000000/H2_retrieval!$J$8)+h2_regen_meoh,"")</f>
        <v>6440.0996155278153</v>
      </c>
      <c r="DB102" s="149">
        <f>(DBT_invest*(M102+1/DBT_lifetime)/DBT_prod+DBT_opex+DBT_e_demand*1000*$AU102/100+Carriers!$T$18/Carriers!$T$23*BD102)*(DD102+DBT_st_ab_losses)/1000000</f>
        <v>43637.11285191754</v>
      </c>
      <c r="DC102" s="28">
        <f>2*(DBT_st_nl_cost*DBT_st_nl_demand/1000000+(DBT_st_invest*(M102+1/DBT_st_lifetime+DBT_st_opex)/(Storage!$M$63/1000000)+DBT_st_e_demand*1000*$AU102/100)*(DD102+DBT_st_ab_losses)/1000000)+Carriers!$T$18/Carriers!$T$23*((DD102+DBT_st_ab_losses)/365.25*short_st_duration_hrs/24)*(h2_short_st_invest*(1/gh2_short_st_lifetime+$M102+h2_short_st_opex)+h2_short_st_e_demand*1000*$AU102/100)/1000000</f>
        <v>3393.8617307124955</v>
      </c>
      <c r="DD102" s="63">
        <f>Storage!$M$57/((1-Shipping!$N$37)^($F102/24/Shipping!$N$44+0.5*Shipping!$N$59))</f>
        <v>219354838.70967743</v>
      </c>
      <c r="DE102" s="28">
        <f>IF($E102="","No Port",IF(AND(ship_choice="VLCC",G102="Panama"),"Ship cannot pass through Panama",IF(ship_choice="VLCC",((F102/24/Shipping!$AD$44+F102/24/Shipping!$AD$50+Shipping!$AD$59+Shipping!$AD$64)*(Shipping!$AD$22+wacc_nl*Shipping!$AD$19/365.25*1000000+Shipping!$AD$35)+(F102/24/Shipping!$AD$44*Shipping!$AD$45+Shipping!$AD$64*Shipping!$AD$65)*IF(bunker_choice="HFO",$H102,IF(bunker_choice="hydrogen",$BD102*hfo_e_density_lhv/h2_e_density_lhv,(DB102+DC102)*1000000/DD102*hfo_e_density_lhv/DBT_e_density_lhv))+(F102/24/Shipping!$AD$50*Shipping!$AD$51+Shipping!$AD$59*Shipping!$AD$60)*IF(bunker_choice="HFO",bunker_price_ROT,IF(bunker_choice="hydrogen",$BD102*hfo_e_density_lhv/h2_e_density_lhv,(DB102+DC102)*1000000/DD102*hfo_e_density_lhv/DBT_e_density_lhv))+Shipping!$AD$73+IF(G102="Panama",Shipping!$AD$55,0)+IF(G102="Suez",Shipping!$AD$56,0))/Shipping!$AD$31*DD102/1000000+IF(inland_transport_to_port="hv dc grid",$BM102/100*1000*DG102,IF(inland_transport_to_port="pipeline",$BN102,0)),((F102/24/Shipping!$N$44+F102/24/Shipping!$N$50+Shipping!$N$59+Shipping!$N$64)*(Shipping!$N$22+wacc_nl*Shipping!$N$19/365.25*1000000+Shipping!$N$35)+(F102/24/Shipping!$N$44*Shipping!$N$45+Shipping!$N$64*Shipping!$N$65)*IF(bunker_choice="HFO",$H102,IF(bunker_choice="hydrogen",$BD102*hfo_e_density_lhv/h2_e_density_lhv,(DB102+DC102)*1000000/DD102*hfo_e_density_lhv/DBT_e_density_lhv))+(F102/24/Shipping!$N$50*Shipping!$N$51+Shipping!$N$59*Shipping!$N$60)*IF(bunker_choice="HFO",bunker_price_ROT,IF(bunker_choice="hydrogen",$BD102*hfo_e_density_lhv/h2_e_density_lhv,(DB102+DC102)*1000000/DD102*hfo_e_density_lhv/DBT_e_density_lhv))+Shipping!$N$73+IF(G102="Panama",Shipping!$N$55,0)+IF(G102="Suez",Shipping!$N$56,0))/Shipping!$N$31*Shipping!$N$86/1000000+IF(inland_transport_to_port="hv dc grid",$BM102/100*1000*DG102,IF(inland_transport_to_port="pipeline",$BN102,0)))))</f>
        <v>1312.3687598512367</v>
      </c>
      <c r="DF102" s="28">
        <f t="shared" si="82"/>
        <v>48343.343342481268</v>
      </c>
      <c r="DG102" s="29">
        <f>((Carriers!$T$18/Carriers!$T$23*alk_el_e_demand)+DBT_e_demand)*(DD102+DBT_st_ab_losses)/1000000+DBT_st_e_demand*DD102/1000000</f>
        <v>703.88335483870969</v>
      </c>
      <c r="DH102" s="29">
        <f t="shared" si="105"/>
        <v>0.21935483870967742</v>
      </c>
      <c r="DI102" s="28">
        <f>IFERROR(DF102*1000000/Storage!$M$12,"")</f>
        <v>220.3887711201352</v>
      </c>
      <c r="DJ102" s="28">
        <f>IF($E102="","No Port",((F102/24/Shipping!$N$44+F102/24/Shipping!$N$50+Shipping!$N$59+Shipping!$N$64)*Carriers!$T$39*wacc_nl))</f>
        <v>1134.6077495645186</v>
      </c>
      <c r="DK102" s="100">
        <f>H2_retrieval!$L$25*h2_demand_kt/1000+(co2_liq_e_demand+co2_st_e_demand*2)*Storage!$M$12*co2_density/DBT_density/1000000</f>
        <v>206.61934861671787</v>
      </c>
      <c r="DL102" s="28">
        <f>IFERROR(((DF102*(1+H2_retrieval!$L$34)+DJ102)*1000000/H2_retrieval!$L$8)+h2_regen_lohc,"")</f>
        <v>4108.7344197598086</v>
      </c>
      <c r="DM102" s="149">
        <f t="shared" si="127"/>
        <v>67122.379773747874</v>
      </c>
      <c r="DN102" s="16">
        <f>2*(nabh4_st_nl_cost*nabh4_st_nl_demand/1000000+(nabh4_st_invest*(M102+1/nabh4_st_lifetime+nabh4_st_opex)/(Storage!$O$63/1000000)+nabh4_st_e_demand*1000*$AU102/100)*(DO102+nabh4_st_ab_losses)/1000000)+(h2_demand_kt*1000/365.25*short_st_duration_hrs/24)*(h2_short_st_invest*(1/gh2_short_st_lifetime+$M102+h2_short_st_opex)+h2_short_st_e_demand*1000*$AU102/100)/1000000</f>
        <v>1318.5387910720799</v>
      </c>
      <c r="DO102" s="63">
        <f>Storage!$O$57/((1-Shipping!$P$37)^($F102/24/Shipping!$P$44+0.5*Shipping!$P$59))</f>
        <v>63920000</v>
      </c>
      <c r="DP102" s="16">
        <f>IF($E102="","No Port",((F102/24/Shipping!$P$44+F102/24/Shipping!$P$50+Shipping!$P$59+Shipping!$P$64)*(Shipping!$P$22+wacc_nl*Shipping!$P$19/365.25*1000000+Shipping!$P$35)+(F102/24/Shipping!$P$44*Shipping!$P$45+Shipping!$P$64*Shipping!$P$65)*IF(bunker_choice="HFO",$H102,IF(bunker_choice="hydrogen",$BD102*hfo_e_density_lhv/h2_e_density_lhv,(DM102+DN102)*1000000/DO102*hfo_e_density_lhv/nabh4_e_density_lhv))+(F102/24/Shipping!$P$50*Shipping!$P$51+Shipping!$P$59*Shipping!$P$60)*IF(bunker_choice="HFO",bunker_price_ROT,IF(bunker_choice="hydrogen",$BD102*hfo_e_density_lhv/h2_e_density_lhv,(DM102+DN102)*1000000/DO102*hfo_e_density_lhv/nabh4_e_density_lhv))+Shipping!$P$73+IF(G102="Panama",Shipping!$P$55,0)+IF(G102="Suez",Shipping!$P$56,0))/Shipping!$P$31*(DO102+nabh4_st_ab_losses)/1000000+IF(inland_transport_to_port="hv dc grid",$BM102/100*1000*DR102,IF(inland_transport_to_port="pipeline",$BN102,0)))</f>
        <v>554.47901204831851</v>
      </c>
      <c r="DQ102" s="28">
        <f t="shared" ref="DQ102:DQ154" si="146">IFERROR(DM102+DN102+DP102,"")</f>
        <v>68995.397576868272</v>
      </c>
      <c r="DR102" s="29">
        <f>((Carriers!$V$18/Carriers!$V$23*alk_el_e_demand)+nabh4_e_demand)*(DO102+nabh4_st_ab_losses)/1000000+nabh4_st_e_demand*DO102/1000000</f>
        <v>980.02139682539689</v>
      </c>
      <c r="DS102" s="28">
        <f t="shared" si="106"/>
        <v>3.1960000000000002</v>
      </c>
      <c r="DT102" s="28">
        <f>IFERROR(DQ102*1000000/Storage!$O$12,"")</f>
        <v>1079.4023400636463</v>
      </c>
      <c r="DU102" s="28">
        <f>IF($E102="","No Port",((F102/24/Shipping!$P$44+F102/24/Shipping!$P$50+Shipping!$P$59+Shipping!$P$64)*Carriers!$V$39*wacc_nl))</f>
        <v>123.98426183366273</v>
      </c>
      <c r="DV102" s="100">
        <f>H2_retrieval!$N$25*h2_demand_kt/1000+(co2_liq_e_demand+co2_st_e_demand*2)*Storage!$O$12*co2_density/nabh4_density/1000000</f>
        <v>18.783638728971958</v>
      </c>
      <c r="DW102" s="28">
        <f>IFERROR(((DQ102*(1+H2_retrieval!$N$34)+DU102)*1000000/H2_retrieval!$N$8)+h2_regen_nabh4,"")</f>
        <v>5190.6455185564701</v>
      </c>
      <c r="DX102" s="149">
        <f>(Dme_invest*(M102+1/Dme_lifetime)/Dme_prod+Dme_opex+Dme_e_demand*1000*$AU102/100+Carriers!$X$21/Carriers!$X$23*(CO102*1000000/CS102))*(EB102+Dme_st_ab_losses)/1000000</f>
        <v>93531.970923565663</v>
      </c>
      <c r="DY102" s="86">
        <f>(Dme_invest*(M102+1/Dme_lifetime)/Dme_prod+Dme_opex+Dme_e_demand*1000*$AU102/100+Carriers!$X$21/Carriers!$X$23*(CP102*1000000/CS102))*(EB102+Dme_st_ab_losses)/1000000</f>
        <v>112235.81652802414</v>
      </c>
      <c r="DZ102" s="63">
        <f>Dme_st_nl_cost*Dme_st_nl_demand/1000000+(Dme_st_invest*(M102+1/Dme_st_lifetime+Dme_st_opex)/(Storage!$Q$63/1000000)+Dme_st_e_demand*1000*$AU102/100)*(EB102+Dme_st_ab_losses)/1000000+co2_st_nl_cost*Storage!$Q$12*co2_density/Dme_density/1000000+(co2_st_opex_lev+co2_st_invest_lev+co2_st_e_demand*1000*$AU102/100)*Storage!$Q$12/1000000+co2_st_invest_lev*Storage!$Q$12*co2_st_lifetime*M102/1000000+(h2_demand_kt*1000/365.25*short_st_duration_hrs/24)*(h2_short_st_invest*(1/gh2_short_st_lifetime+$M102+h2_short_st_opex)+h2_short_st_e_demand*1000*$AU102/100)/1000000</f>
        <v>5361.7672222436522</v>
      </c>
      <c r="EA102" s="63">
        <f>Dme_st_nl_cost*Dme_st_nl_demand/1000000+(Dme_st_invest*(M102+1/Dme_st_lifetime+Dme_st_opex)/(Storage!$Q$63/1000000)+Dme_st_e_demand*1000*$AU102/100)*(EB102+Dme_st_ab_losses)/1000000+(h2_demand_kt*1000/365.25*short_st_duration_hrs/24)*(h2_short_st_invest*(1/gh2_short_st_lifetime+$M102+h2_short_st_opex)+h2_short_st_e_demand*1000*$AU102/100)/1000000</f>
        <v>2477.416805768014</v>
      </c>
      <c r="EB102" s="63">
        <f>Storage!$Q$57/((1-Shipping!$R$37)^($F102/24/Shipping!$R$44+0.5*Shipping!$R$59))</f>
        <v>103547089.94708996</v>
      </c>
      <c r="EC102" s="153">
        <f>IF($E102="","No Port",IF(AND(ship_choice="VLCC",G102="Panama"),"Ship cannot pass through Panama",IF(ship_choice="VLCC",((F102/24/Shipping!$AD$44+F102/24/Shipping!$AD$50+Shipping!$AD$59+Shipping!$AD$64)*(Shipping!$AD$22+wacc_nl*Shipping!$AD$19/365.25*1000000+Shipping!$AD$35)+(F102/24/Shipping!$AD$44*Shipping!$AD$45+Shipping!$AD$64*Shipping!$AD$65)*IF(bunker_choice="HFO",$H102,IF(bunker_choice="hydrogen",$BD102*hfo_e_density_lhv/h2_e_density_lhv,(DX102+DZ102)*1000000/EB102*hfo_e_density_lhv/Dme_e_density_lhv))+(F102/24/Shipping!$AD$50*Shipping!$AD$51+Shipping!$AD$59*Shipping!$AD$60)*IF(bunker_choice="HFO",bunker_price_ROT,IF(bunker_choice="hydrogen",$BD102*hfo_e_density_lhv/h2_e_density_lhv,(DX102+DZ102)*1000000/EB102*hfo_e_density_lhv/Dme_e_density_lhv))+Shipping!$AD$73+IF(G102="Panama",Shipping!$AD$55,0)+IF(G102="Suez",Shipping!$AD$56,0))/Shipping!$AD$31*(EB102+Dme_st_ab_losses)/1000000+IF(inland_transport_to_port="hv dc grid",$BM102/100*1000*EE102,IF(inland_transport_to_port="pipeline",$BN102,0)),((F102/24/Shipping!$R$44+F102/24/Shipping!$R$50+Shipping!$R$59+Shipping!$R$64)*(Shipping!$R$22+wacc_nl*Shipping!$R$19/365.25*1000000+Shipping!$R$35)+(F102/24/Shipping!$R$44*Shipping!$R$45+Shipping!$R$64*Shipping!$R$65)*IF(bunker_choice="HFO",$H102,IF(bunker_choice="hydrogen",$BD102*hfo_e_density_lhv/h2_e_density_lhv,(DX102+DZ102)*1000000/EB102*hfo_e_density_lhv/Dme_e_density_lhv))+(F102/24/Shipping!$R$50*Shipping!$R$51+Shipping!$R$59*Shipping!$R$60)*IF(bunker_choice="HFO",bunker_price_ROT,IF(bunker_choice="hydrogen",$BD102*hfo_e_density_lhv/h2_e_density_lhv,(DX102+DZ102)*1000000/EB102*hfo_e_density_lhv/Dme_e_density_lhv))+Shipping!$R$73+IF(G102="Panama",Shipping!$R$55,0)+IF(G102="Suez",Shipping!$R$56,0))/Shipping!$R$31*(EB102+Dme_st_ab_losses)/1000000+IF(inland_transport_to_port="hv dc grid",$BM102/100*1000*EE102,IF(inland_transport_to_port="pipeline",$BN102,0)))))</f>
        <v>893.28016206008772</v>
      </c>
      <c r="ED102" s="28">
        <f t="shared" si="134"/>
        <v>115606.51349585224</v>
      </c>
      <c r="EE102" s="29">
        <f>(Dme_e_demand)*(EB102+Dme_st_ab_losses)/1000000+Dme_st_e_demand*DZ102/1000000+$CV102*(Carriers!$X$21/Carriers!$X$23*EB102)/$CS102</f>
        <v>1550.2168137847279</v>
      </c>
      <c r="EF102" s="29">
        <f t="shared" si="107"/>
        <v>1.0354708994708997</v>
      </c>
      <c r="EG102" s="28">
        <f>IFERROR(ED102*1000000/Storage!$Q$12,"")</f>
        <v>1116.4631816782523</v>
      </c>
      <c r="EH102" s="28">
        <f>IF($E102="","No Port",((F102/24/Shipping!$R$44+F102/24/Shipping!$R$50+Shipping!$R$59+Shipping!$R$64)*Carriers!$X$39*wacc_nl))</f>
        <v>14.941723802445598</v>
      </c>
      <c r="EI102" s="100">
        <f>H2_retrieval!$P$25*h2_demand_kt/1000+(co2_liq_e_demand+co2_st_e_demand*2)*Storage!$Q$12*co2_density/Dme_density/1000000</f>
        <v>252.45335899349112</v>
      </c>
      <c r="EJ102" s="28">
        <f>IFERROR((((DX102+DZ102+EC102)*(1+H2_retrieval!$P$34)+EH102)*1000000/H2_retrieval!$P$8)+h2_regen_dme,"")</f>
        <v>8508.5079572896339</v>
      </c>
      <c r="EK102" s="149">
        <f>(ome_invest*(M102+1/ome_lifetime)/ome_prod+ome_opex+ome_e_demand*1000*$AU102/100+Carriers!$Z$21/Carriers!$Z$23*(CO102*1000000/CS102))*(EO102+ome_st_ab_losses)/1000000</f>
        <v>204025.37729182836</v>
      </c>
      <c r="EL102" s="86">
        <f>(ome_invest*(M102+1/ome_lifetime)/ome_prod+ome_opex+ome_e_demand*1000*$AU102/100+Carriers!$Z$21/Carriers!$Z$23*(CP102*1000000/CS102))*(EO102+ome_st_ab_losses)/1000000</f>
        <v>243288.39016290783</v>
      </c>
      <c r="EM102" s="63">
        <f>ome_st_nl_cost*ome_st_nl_demand/1000000+(ome_st_invest*(M102+1/ome_st_lifetime+ome_st_opex)/(Storage!$S$63/1000000)+ome_st_e_demand*1000*$AU102/100)*(EO102+ome_st_ab_losses)/1000000+co2_st_nl_cost*Storage!$S$12*co2_density/ome_density/1000000+(co2_st_opex_lev+co2_st_invest_lev+co2_st_e_demand*1000*$AU102/100)*Storage!$S$12/1000000+co2_st_invest_lev*Storage!$S$12*co2_st_lifetime*M102/1000000+(h2_demand_kt*1000/365.25*short_st_duration_hrs/24)*(h2_short_st_invest*(1/gh2_short_st_lifetime+$M102+h2_short_st_opex)+h2_short_st_e_demand*1000*$AU102/100)/1000000</f>
        <v>4683.5773985930737</v>
      </c>
      <c r="EN102" s="63">
        <f>ome_st_nl_cost*ome_st_nl_demand/1000000+(ome_st_invest*(M102+1/ome_st_lifetime+ome_st_opex)/(Storage!$S$63/1000000)+ome_st_e_demand*1000*$AU102/100)*(EO102+ome_st_ab_losses)/1000000+(h2_demand_kt*1000/365.25*short_st_duration_hrs/24)*(h2_short_st_invest*(1/gh2_short_st_lifetime+$M102+h2_short_st_opex)+h2_short_st_e_demand*1000*$AU102/100)/1000000</f>
        <v>1449.1778253234072</v>
      </c>
      <c r="EO102" s="63">
        <f>Storage!$S$57/((1-Shipping!$T$37)^($F102/24/Shipping!$T$44+0.5*Shipping!$T$59))</f>
        <v>128282539.68253967</v>
      </c>
      <c r="EP102" s="28">
        <f>IF($E102="","No Port",IF(AND(ship_choice="VLCC",G102="Panama"),"Ship cannot pass through Panama",IF(ship_choice="VLCC",((F102/24/Shipping!$AD$44+F102/24/Shipping!$AD$50+Shipping!$AD$59+Shipping!$AD$64)*(Shipping!$AD$22+wacc_nl*Shipping!$AD$19/365.25*1000000+Shipping!$AD$35)+(F102/24/Shipping!$AD$44*Shipping!$AD$45+Shipping!$AD$64*Shipping!$AD$65)*IF(bunker_choice="HFO",$H102,IF(bunker_choice="hydrogen",$BD102*hfo_e_density_lhv/h2_e_density_lhv,(EK102+EM102)*1000000/EO102*hfo_e_density_lhv/Dme_e_density_lhv))+(F102/24/Shipping!$AD$50*Shipping!$AD$51+Shipping!$AD$59*Shipping!$AD$60)*IF(bunker_choice="HFO",bunker_price_ROT,IF(bunker_choice="hydrogen",$BD102*hfo_e_density_lhv/h2_e_density_lhv,(EK102+EM102)*1000000/EO102*hfo_e_density_lhv/ome_e_density_lhv))+Shipping!$AD$73+IF(G102="Panama",Shipping!$AD$55,0)+IF(G102="Suez",Shipping!$AD$56,0))/Shipping!$AD$31*(EO102+ome_st_ab_losses)/1000000+IF(inland_transport_to_port="hv dc grid",$BM102/100*1000*ER102,IF(inland_transport_to_port="pipeline",$BN102,0)),((F102/24/Shipping!$T$44+F102/24/Shipping!$T$50+Shipping!$T$59+Shipping!$T$64)*(Shipping!$T$22+wacc_nl*Shipping!$T$19/365.25*1000000+Shipping!$T$35)+(F102/24/Shipping!$T$44*Shipping!$T$45+Shipping!$T$64*Shipping!$T$65)*IF(bunker_choice="HFO",$H102,IF(bunker_choice="hydrogen",$BD102*hfo_e_density_lhv/h2_e_density_lhv,(EK102+EM102)*1000000/EO102*hfo_e_density_lhv/Dme_e_density_lhv))+(F102/24/Shipping!$T$50*Shipping!$T$51+Shipping!$T$59*Shipping!$T$60)*IF(bunker_choice="HFO",bunker_price_ROT,IF(bunker_choice="hydrogen",$BD102*hfo_e_density_lhv/h2_e_density_lhv,(EK102+EM102)*1000000/EO102*hfo_e_density_lhv/ome_e_density_lhv))+Shipping!$T$73+IF(G102="Panama",Shipping!$T$55,0)+IF(G102="Suez",Shipping!$T$56,0))/Shipping!$T$31*(EO102+ome_st_ab_losses)/1000000+IF(inland_transport_to_port="hv dc grid",$BM102/100*1000*ER102,IF(inland_transport_to_port="pipeline",$BN102,0)))))</f>
        <v>902.46223373503426</v>
      </c>
      <c r="EQ102" s="28">
        <f t="shared" si="135"/>
        <v>245640.03022196627</v>
      </c>
      <c r="ER102" s="29">
        <f>(ome_e_demand)*(EO102+ome_st_ab_losses)/1000000+ome_st_e_demand*EM102/1000000+$CV102*(Carriers!$Z$21/Carriers!$Z$23*EO102)/$CS102</f>
        <v>3352.0814571661494</v>
      </c>
      <c r="ES102" s="29">
        <f t="shared" si="108"/>
        <v>0.1924238095238095</v>
      </c>
      <c r="ET102" s="28">
        <f>IFERROR(EQ102*1000000/Storage!$S$12,"")</f>
        <v>1914.8360394941569</v>
      </c>
      <c r="EU102" s="28">
        <f>IF($E102="","No Port",((F102/24/Shipping!$T$44+F102/24/Shipping!$T$50+Shipping!$T$59+Shipping!$T$64)*Carriers!$Z$39*wacc_nl))</f>
        <v>18.496133528771651</v>
      </c>
      <c r="EV102" s="100">
        <f>H2_retrieval!$R$25*h2_demand_kt/1000+(co2_liq_e_demand+co2_st_e_demand*2)*Storage!$S$12*co2_density/ome_density/1000000</f>
        <v>254.51942895252085</v>
      </c>
      <c r="EW102" s="28">
        <f>IFERROR((((EK102+EM102+EP102)*(1+H2_retrieval!$R$34)+EU102)*1000000/H2_retrieval!$R$8)+h2_regen_ome,"")</f>
        <v>16584.092738614148</v>
      </c>
      <c r="EX102" s="149">
        <f>(sng_invest*(M102+1/sng_lifetime)/sng_prod+lng_invest*(M102+1/lng_lifetime)/lng_prod+sng_opex+lng_opex+(sng_e_demand+lng_e_demand)*1000*$AU102/100+Carriers!$AB$18/Carriers!$AB$23*BD102+Carriers!$AB$20/Carriers!$AB$23*co2_liq_cost)*(FB102+lng_st_ab_losses)/1000000</f>
        <v>69353.907603094616</v>
      </c>
      <c r="EY102" s="86">
        <f>(sng_invest*(M102+1/sng_lifetime)/sng_prod+lng_invest*(M102+1/lng_lifetime)/lng_prod+sng_opex+lng_opex+(sng_e_demand+lng_e_demand)*1000*$AU102/100+Carriers!$AB$18/Carriers!$AB$23*BD102+Carriers!$AB$20/Carriers!$AB$23*BP102)*(FB102+lng_st_ab_losses)/1000000</f>
        <v>79548.355290797015</v>
      </c>
      <c r="EZ102" s="63">
        <f>lng_st_nl_cost*lng_st_nl_demand/1000000+(lng_st_invest*(M102+1/lng_st_lifetime+lng_st_opex)/(Storage!$U$63/1000000)+lng_st_e_demand*1000*$AU102/100)*(FB102+lng_st_ab_losses)/1000000+co2_st_nl_cost*Storage!$U$12*co2_density/lng_density/1000000+(co2_st_opex_lev+co2_st_invest_lev+co2_st_e_demand*1000*$AU102/100)*Storage!$U$12/1000000+co2_st_invest_lev*Storage!$U$12*co2_st_lifetime*M102/1000000+Carriers!$AB$18/Carriers!$AB$23*((FB102+lng_st_ab_losses)/365.25*short_st_duration_hrs/24)*(h2_short_st_invest*(1/gh2_short_st_lifetime+$M102+h2_short_st_opex)+h2_short_st_e_demand*1000*$AU102/100)/1000000+Carriers!$AB$20/Carriers!$AB$23*((FB102+lng_st_ab_losses)/365.25*short_st_duration_hrs/24)*(co2_short_st_invest*(1/co2_short_st_lifetime+$M102+co2_short_st_opex)+co2_short_st_e_demand*1000*$AU102/100)/1000000</f>
        <v>5395.0946856961073</v>
      </c>
      <c r="FA102" s="63">
        <f>lng_st_nl_cost*lng_st_nl_demand/1000000+(lng_st_invest*(M102+1/lng_st_lifetime+lng_st_opex)/(Storage!$U$63/1000000)+lng_st_e_demand*1000*$AU102/100)*(FB102+lng_st_ab_losses)/1000000+Carriers!$AB$18/Carriers!$AB$23*((FB102+lng_st_ab_losses)/365.25*short_st_duration_hrs/24)*(h2_short_st_invest*(1/gh2_short_st_lifetime+$M102+h2_short_st_opex)+h2_short_st_e_demand*1000*$AU102/100)/1000000+Carriers!$AB$20/Carriers!$AB$23*((FB102+lng_st_ab_losses)/365.25*short_st_duration_hrs/24)*(co2_short_st_invest*(1/co2_short_st_lifetime+$M102+co2_short_st_opex)+co2_short_st_e_demand*1000*$AU102/100)/1000000</f>
        <v>3826.9173652062282</v>
      </c>
      <c r="FB102" s="63">
        <f>Storage!$U$57/((1-Shipping!$V$37)^($F102/24/Shipping!$V$44+0.5*Shipping!$V$59))</f>
        <v>40707231.50721889</v>
      </c>
      <c r="FC102" s="28">
        <f>IF($E102="","No Port",IF(G102="Panama","Ship cannot pass through Panama",((F102/24/Shipping!$V$44+F102/24/Shipping!$V$50+Shipping!$V$59+Shipping!$V$64)*(Shipping!$V$22+wacc_nl*Shipping!$V$19/365.25*1000000+Shipping!$V$35)+(F102/24/Shipping!$V$44*Shipping!$V$45+Shipping!$V$64*Shipping!$V$65)*IF(bunker_choice="HFO",$H102,IF(bunker_choice="hydrogen",$BD102*hfo_e_density_lhv/h2_e_density_lhv,(EX102+EZ102)*1000000/FB102*hfo_e_density_lhv/lng_e_density_lhv))+(F102/24/Shipping!$V$50*Shipping!$V$51+Shipping!$V$59*Shipping!$V$60)*IF(bunker_choice="HFO",bunker_price_ROT,IF(bunker_choice="hydrogen",$BD102*hfo_e_density_lhv/h2_e_density_lhv,(EX102+EZ102)*1000000/FB102*hfo_e_density_lhv/lng_e_density_lhv))+Shipping!$V$73+IF(G102="Panama",Shipping!$V$55,0)+IF(G102="Suez",Shipping!$V$56,0))/Shipping!$V$31*(FB102+lng_st_ab_losses)/1000000)+IF(inland_transport_to_port="hv dc grid",$BM102/100*1000*FE102,IF(inland_transport_to_port="pipeline",$BN102,0)))</f>
        <v>526.05384390960785</v>
      </c>
      <c r="FD102" s="28">
        <f t="shared" si="136"/>
        <v>83901.326499912859</v>
      </c>
      <c r="FE102" s="29">
        <f>((Carriers!$AB$18/Carriers!$AB$23*alk_el_e_demand)+sng_e_demand+lng_e_demand)*(FB102+lng_st_ab_losses)/1000000+lng_st_e_demand*EZ102/1000000</f>
        <v>1091.751866930543</v>
      </c>
      <c r="FF102" s="29">
        <f t="shared" si="109"/>
        <v>0.8126185861001558</v>
      </c>
      <c r="FG102" s="28">
        <f>IFERROR(FD102*1000000/Storage!$U$12,"")</f>
        <v>2067.3433860663758</v>
      </c>
      <c r="FH102" s="28">
        <f>IF($E102="","No Port",((F102/24/Shipping!$V$44+F102/24/Shipping!$V$50+Shipping!$V$59+Shipping!$V$64)*Carriers!$AB$39*wacc_nl))</f>
        <v>5.9712017009822453</v>
      </c>
      <c r="FI102" s="100">
        <f>H2_retrieval!$T$25*h2_demand_kt/1000+(co2_liq_e_demand+co2_st_e_demand*2)*Storage!$U$12*co2_density/lng_density/1000000</f>
        <v>236.51371749646054</v>
      </c>
      <c r="FJ102" s="28">
        <f>IFERROR((((EX102+EZ102+FC102)*(1+H2_retrieval!$T$34)+FH102)*1000000/H2_retrieval!$T$8)+h2_regen_lng,"")</f>
        <v>6705.4982001373892</v>
      </c>
      <c r="FK102" s="149">
        <f>(lh2_invest*(M102+1/lh2_lifetime)/lh2_prod+lh2_opex+lh2_e_demand*1000*$AU102/100+Carriers!$AD$18/Carriers!$AD$23*BD102)*(FM102+lh2_st_ab_losses)/1000000</f>
        <v>53050.006348139577</v>
      </c>
      <c r="FL102" s="28">
        <f>lh2_st_nl_cost*lh2_st_nl_demand/1000000+(lh2_st_invest*(M102+1/lh2_st_lifetime+lh2_st_opex)/(Storage!$Y$63/1000000)+lh2_st_e_demand*1000*$AU102/100)*(FM102+lh2_st_ab_losses)/1000000+((FM102+lh2_st_ab_losses)/365.25*short_st_duration_hrs/24)*(h2_short_st_invest*(1/gh2_short_st_lifetime+$M102+h2_short_st_opex)+h2_short_st_e_demand*1000*$AU102/100)/1000000</f>
        <v>45073.806376594446</v>
      </c>
      <c r="FM102" s="63">
        <f>Storage!$Y$57/((1-Shipping!$Z$37)^($F102/24/Shipping!$Z$44+0.5*Shipping!$Z$59))</f>
        <v>13659984.090217989</v>
      </c>
      <c r="FN102" s="28">
        <f>IF($E102="","No Port",IF(G102="Panama","Ship cannot pass through Panama",((F102/24/Shipping!$Z$44+F102/24/Shipping!$Z$50+Shipping!$Z$59+Shipping!$Z$64)*(Shipping!$Z$22+wacc_nl*Shipping!$Z$19/365.25*1000000+Shipping!$Z$35)+(F102/24/Shipping!$Z$44*Shipping!$Z$45+Shipping!$Z$64*Shipping!$Z$65)*IF(bunker_choice="HFO",$H102,IF(bunker_choice="hydrogen",$BD102*hfo_e_density_lhv/h2_e_density_lhv,(FK102+FL102)*1000000/FM102*hfo_e_density_lhv/lh2_e_density_lhv))+(F102/24/Shipping!$Z$50*Shipping!$Z$51+Shipping!$Z$59*Shipping!$Z$60)*IF(bunker_choice="HFO",bunker_price_ROT,IF(bunker_choice="hydrogen",$BD102*hfo_e_density_lhv/h2_e_density_lhv,(FK102+FL102)*1000000/FM102*hfo_e_density_lhv/lh2_e_density_lhv))+Shipping!$Z$73+IF(G102="Panama",Shipping!$Z$55,0)+IF(G102="Suez",Shipping!$Z$56,0))/Shipping!$Z$31*(FM102+lh2_st_ab_losses)/1000000)+IF(inland_transport_to_port="hv dc grid",$BM102/100*1000*FP102,IF(inland_transport_to_port="pipeline",$BN102,0)))</f>
        <v>765.94821995149528</v>
      </c>
      <c r="FO102" s="28">
        <f t="shared" si="128"/>
        <v>98889.760944685506</v>
      </c>
      <c r="FP102" s="29">
        <f>((Carriers!$AD$18/Carriers!$AD$23*alk_el_e_demand)+lh2_e_demand)*(FM102+lh2_st_ab_losses)/1000000+lh2_st_e_demand*FM102/1000000</f>
        <v>791.60233245091877</v>
      </c>
      <c r="FQ102" s="100">
        <f t="shared" si="110"/>
        <v>1.361902463475859</v>
      </c>
      <c r="FR102" s="28">
        <f>IFERROR(FO102*1000000/Storage!$Y$12,"")</f>
        <v>7271.3059518151103</v>
      </c>
      <c r="FS102" s="100">
        <f>H2_retrieval!$V$25*h2_demand_kt/1000</f>
        <v>8.16</v>
      </c>
      <c r="FT102" s="28">
        <f>IFERROR(FR102*(1+H2_retrieval!$V$34)/Carrier_properties!$U$7+H2_retrieval!$V$38,"")</f>
        <v>7303.2746776835775</v>
      </c>
      <c r="FU102" s="12"/>
      <c r="FV102" s="24">
        <f t="shared" si="129"/>
        <v>2.6844056332194994</v>
      </c>
      <c r="FW102" s="24">
        <f t="shared" si="143"/>
        <v>3.2924002756988924</v>
      </c>
      <c r="FX102" s="24">
        <f t="shared" si="144"/>
        <v>4.7226011236875838</v>
      </c>
      <c r="FY102" s="24">
        <f t="shared" si="130"/>
        <v>2.6844056332194994</v>
      </c>
      <c r="FZ102" s="28">
        <f t="shared" si="145"/>
        <v>3003.993936299285</v>
      </c>
      <c r="GA102" s="28">
        <f t="shared" si="137"/>
        <v>660.69323840205982</v>
      </c>
      <c r="GB102" s="28">
        <f t="shared" si="138"/>
        <v>462.68383241004273</v>
      </c>
      <c r="GC102" s="28">
        <f t="shared" si="139"/>
        <v>743.76431537595636</v>
      </c>
      <c r="GD102" s="28">
        <f t="shared" si="140"/>
        <v>1083.9108717142501</v>
      </c>
      <c r="GE102" s="28">
        <f t="shared" si="141"/>
        <v>1896.5043159027932</v>
      </c>
      <c r="GF102" s="28">
        <f t="shared" si="142"/>
        <v>1954.1578325386772</v>
      </c>
      <c r="GG102" s="12"/>
      <c r="GH102" s="12"/>
      <c r="GI102" s="12"/>
      <c r="GJ102" s="12"/>
      <c r="GK102" s="12"/>
      <c r="GL102" s="12"/>
      <c r="GM102" s="12"/>
      <c r="GN102" s="12"/>
      <c r="GO102" s="12"/>
      <c r="GP102" s="12"/>
      <c r="GQ102" s="12"/>
      <c r="GR102" s="12"/>
      <c r="GS102" s="12"/>
      <c r="GT102" s="12"/>
      <c r="GU102" s="12"/>
      <c r="GV102" s="12"/>
      <c r="GW102" s="12"/>
      <c r="GX102" s="12"/>
      <c r="GY102" s="12"/>
      <c r="GZ102" s="12"/>
      <c r="HA102" s="12"/>
      <c r="HB102" s="12"/>
      <c r="HC102" s="12"/>
      <c r="HD102" s="12"/>
      <c r="HE102" s="12"/>
      <c r="HF102" s="12"/>
    </row>
    <row r="103" spans="1:214" x14ac:dyDescent="0.2">
      <c r="A103" s="154" t="s">
        <v>106</v>
      </c>
      <c r="B103" s="12">
        <v>18537</v>
      </c>
      <c r="C103" s="12">
        <v>0.8</v>
      </c>
      <c r="D103" s="12">
        <f t="shared" si="111"/>
        <v>0.19999999999999996</v>
      </c>
      <c r="E103" s="12" t="s">
        <v>761</v>
      </c>
      <c r="F103" s="12">
        <v>11303</v>
      </c>
      <c r="G103" s="14" t="s">
        <v>113</v>
      </c>
      <c r="H103" s="16">
        <f t="shared" si="112"/>
        <v>382.75862068965517</v>
      </c>
      <c r="I103" s="16">
        <v>263310</v>
      </c>
      <c r="J103" s="16">
        <f t="shared" si="113"/>
        <v>289.50678080323769</v>
      </c>
      <c r="K103" s="27">
        <f t="shared" si="114"/>
        <v>347.40813696388523</v>
      </c>
      <c r="L103" s="103">
        <v>7.4999999999999997E-2</v>
      </c>
      <c r="M103" s="103">
        <f t="shared" si="115"/>
        <v>9.4467368461409199E-2</v>
      </c>
      <c r="N103" s="122">
        <f t="shared" si="116"/>
        <v>0.9</v>
      </c>
      <c r="O103" s="46">
        <f t="shared" si="117"/>
        <v>40</v>
      </c>
      <c r="P103" s="70">
        <f t="array" ref="P103">SUMPRODUCT(IF(Solar_data!A$4:A$777=A103,Solar_data!C$4:C$777),IF(Solar_data!A$4:A$777=A103,Solar_data!I$4:I$777))/SUMIF(Solar_data!A$4:A$777,A103,Solar_data!I$4:I$777)</f>
        <v>1496.7897054893053</v>
      </c>
      <c r="Q103" s="16">
        <f t="array" ref="Q103">MAX(IF(Solar_data!$A$777:'Solar_data'!$A$4=Country_details!$A103,Solar_data!$C$4:'Solar_data'!$C$777))</f>
        <v>1916.25</v>
      </c>
      <c r="R103" s="16">
        <f t="array" ref="R103">MIN(IF(Solar_data!$A$777:'Solar_data'!$A$4=Country_details!A103,Solar_data!$C$4:'Solar_data'!$C$777))</f>
        <v>1186.25</v>
      </c>
      <c r="S103" s="24">
        <f t="shared" si="95"/>
        <v>2.4555496280690532</v>
      </c>
      <c r="T103" s="24">
        <f t="shared" si="96"/>
        <v>1.918038567312121</v>
      </c>
      <c r="U103" s="24">
        <f t="shared" si="97"/>
        <v>3.0983699933503495</v>
      </c>
      <c r="V103" s="16">
        <f t="array" ref="V103">SUM(IF(Solar_data!$A$777:'Solar_data'!$A$4=Country_details!$A103,Solar_data!$I$4:'Solar_data'!$I$777))</f>
        <v>1600.2838789602756</v>
      </c>
      <c r="W103" s="148"/>
      <c r="X103" s="16">
        <f>IFERROR(INDEX(Onshore_wind_data!$J$5:'Onshore_wind_data'!$J$221,MATCH(A103,Onshore_wind_data!$B$5:'Onshore_wind_data'!$B$221,0)),"")</f>
        <v>3607.8237337259716</v>
      </c>
      <c r="Y103" s="16">
        <f>IFERROR(INDEX(Onshore_wind_data!$K$5:'Onshore_wind_data'!$K$221,MATCH(A103,Onshore_wind_data!$B$5:'Onshore_wind_data'!$B$221,0)),"")</f>
        <v>3971</v>
      </c>
      <c r="Z103" s="16">
        <f>IFERROR(INDEX(Onshore_wind_data!$L$5:'Onshore_wind_data'!$L$221,MATCH(A103,Onshore_wind_data!$B$5:'Onshore_wind_data'!$B$221,0)),"")</f>
        <v>2847.5</v>
      </c>
      <c r="AA103" s="24">
        <f t="shared" si="118"/>
        <v>3.3352538514171575</v>
      </c>
      <c r="AB103" s="24">
        <f t="shared" si="119"/>
        <v>3.0302211037884099</v>
      </c>
      <c r="AC103" s="24">
        <f t="shared" si="120"/>
        <v>4.2258149264771818</v>
      </c>
      <c r="AD103" s="16">
        <f>IFERROR(INDEX(Onshore_wind_data!$I$5:'Onshore_wind_data'!$I$221,MATCH(A103,Onshore_wind_data!$B$5:'Onshore_wind_data'!$B$221,0)),"")</f>
        <v>186.34608015000001</v>
      </c>
      <c r="AE103" s="148"/>
      <c r="AF103" s="16">
        <f>INDEX(Offshore_wind_data!$AA$7:$AA$192,MATCH(Country_details!A103,Offshore_wind_data!$A$7:$A$192,0))</f>
        <v>4122.6315224822511</v>
      </c>
      <c r="AG103" s="16">
        <f>INDEX(Offshore_wind_data!$Y$7:$Y$192,MATCH(Country_details!A103,Offshore_wind_data!$A$7:$A$192,0))</f>
        <v>4204.8</v>
      </c>
      <c r="AH103" s="16">
        <f>INDEX(Offshore_wind_data!$Z$7:$Z$192,MATCH(Country_details!A103,Offshore_wind_data!$A$7:$A$192,0))</f>
        <v>3153.6</v>
      </c>
      <c r="AI103" s="24">
        <f t="shared" si="98"/>
        <v>5.5851296578486345</v>
      </c>
      <c r="AJ103" s="24">
        <f t="shared" si="99"/>
        <v>5.4759873441298721</v>
      </c>
      <c r="AK103" s="24">
        <f t="shared" si="100"/>
        <v>7.3013164588398309</v>
      </c>
      <c r="AL103" s="16">
        <f>INDEX(Offshore_wind_data!$W$7:$W$191,MATCH(A103,Offshore_wind_data!$A$7:$A$191,0))</f>
        <v>14110.530912</v>
      </c>
      <c r="AM103" s="148"/>
      <c r="AN103" s="12">
        <v>4.7</v>
      </c>
      <c r="AO103" s="12">
        <v>5.7</v>
      </c>
      <c r="AP103" s="34">
        <f>4.391*11.63</f>
        <v>51.067330000000005</v>
      </c>
      <c r="AQ103" s="15">
        <f t="shared" si="101"/>
        <v>50</v>
      </c>
      <c r="AR103" s="12">
        <f t="shared" si="131"/>
        <v>285</v>
      </c>
      <c r="AS103" s="16">
        <f t="shared" si="121"/>
        <v>15612.160871110276</v>
      </c>
      <c r="AT103" s="12"/>
      <c r="AU103" s="24">
        <f t="shared" ref="AU103:AU134" si="147">IF($X103="",IF(OR(electricity_choice="min solar", electricity_choice="min hybrid"),$T103,IF(OR(electricity_choice="weighted solar",electricity_choice="weighted hybrid"),$S103,IF(OR(electricity_choice="max solar",electricity_choice="max hybrid"),$U103))),IF(electricity_choice="min solar",$T103,IF(electricity_choice="weighted solar",$S103,IF(electricity_choice="max solar",$U103,IF(electricity_choice="min hybrid",($T103*$Q103+$Y103*$AB103)/($Q103+$Y103),IF(electricity_choice="weighted hybrid",($S103*$P103+$X103*$AA103)/($P103+$X103),IF(electricity_choice="max hybrid",($U103*$R103+$Z103*$AC103)/($R103+$Z103))))))))</f>
        <v>3.0773044021469445</v>
      </c>
      <c r="AV103" s="16">
        <f t="shared" ref="AV103:AV134" si="148">IF($X103="",IF(OR(electricity_choice="min solar", electricity_choice="min hybrid"),$Q103,IF(OR(electricity_choice="weighted solar",electricity_choice="weighted hybrid"),$P103,IF(OR(electricity_choice="max solar",electricity_choice="max hybrid"),$R103))),IF(electricity_choice="min solar",$Q103,IF(electricity_choice="weighted solar",$P103,IF(electricity_choice="max solar",$R103,IF(electricity_choice="min hybrid",($Q103+$Y103),IF(electricity_choice="weighted hybrid",($P103+$X103),IF(electricity_choice="max hybrid",($R103+$Z103))))))))</f>
        <v>5104.6134392152771</v>
      </c>
      <c r="AW103" s="149">
        <f>HV_DC_Grid!$E$3/(1-AX103)*AU103/100*1000</f>
        <v>4611.9552861839229</v>
      </c>
      <c r="AX103" s="31">
        <f>(1-(1-HV_DC_Grid!$E$25)^(B103*C103*HV_DC_Grid!$E$8/1000))+(1-(1-HV_DC_Grid!$E$26)^(B103*D103*HV_DC_Grid!$E$8/1000))+HV_DC_Grid!$E$35*HV_DC_Grid!$E$28</f>
        <v>0.3327549355550663</v>
      </c>
      <c r="AY103" s="28">
        <f>B103*nl_e_demand/IF(hv_dc_flh="electricity FLH",$AV103,hv_dc_custom)*1000*hv_dc_capacity_multiplier*hv_dc_length_multiplier*1000*(C103*hv_dc_overhead_invest*(hv_dc_overhead_opex+M103+1/hv_dc_lifetime)+D103*hv_dc_sea_invest*(hv_dc_sea_opex+M103+1/hv_dc_lifetime))/1000000+HV_DC_Grid!$E$10*1000*hv_dc_station_invest*hv_dc_station_number*(hv_dc_station_opex+M103+1/hv_dc_lifetime)/1000000</f>
        <v>18339.650794143952</v>
      </c>
      <c r="AZ103" s="24">
        <f>(AW103+AY103)/(HV_DC_Grid!$E$3*1000)*100</f>
        <v>22.951606080327874</v>
      </c>
      <c r="BA103" s="28">
        <f>MIN(((Carriers!$F$26+Carriers!$F$27)*(alk_el_opex+wacc_nl+1/alk_el_lifetime)+IF(hv_dc_flh="electricity FLH",$AV103,hv_dc_custom)*AZ103/100)/(IF(hv_dc_flh="electricity FLH",$AV103,hv_dc_custom)/alk_el_e_demand)*1000,((Carriers!$H$26+Carriers!$H$27)*(pem_el_opex+wacc_nl+1/pem_el_lifetime)+IF(hv_dc_flh="electricity FLH",$AV103,hv_dc_custom)*AZ103/100)/(IF(hv_dc_flh="electricity FLH",$AV103,hv_dc_custom)/pem_el_e_demand)*1000)</f>
        <v>11978.043391577106</v>
      </c>
      <c r="BB103" s="12"/>
      <c r="BC103" s="12"/>
      <c r="BD103" s="149">
        <f>MIN(((Carriers!$F$26+Carriers!$F$27)*(alk_el_opex+M103+1/alk_el_lifetime)+$AV103*$AU103/100)/($AV103/alk_el_e_demand)*1000,((Carriers!$H$26+Carriers!$H$27)*(pem_el_opex+M103+1/pem_el_lifetime)+$AV103*$AU103/100)/($AV103/pem_el_e_demand)*1000)</f>
        <v>2136.6178474739295</v>
      </c>
      <c r="BE103" s="28">
        <f>Storage!$AC$50</f>
        <v>8.1664117557772418</v>
      </c>
      <c r="BF103" s="28">
        <f>((Pipeline!$D$22*Pipeline!$D$24*B103*(pipeline_opex+M103+1/pipeline_lifetime))*(Pipeline!$D$39/Pipeline!$D$3)+(Pipeline!$D$57*(pipeline_comp_opex+M103+1/pipeline_comp_lifetime)+Pipeline!$D$47*1000*Pipeline!$D$45*$AU103/100/1000000))*(Pipeline!$D$75/Pipeline!$D$45)</f>
        <v>34862.85692916187</v>
      </c>
      <c r="BG103" s="28">
        <f>BD103+(BE103+BF103)/Storage!$AC$12*1000000</f>
        <v>4700.6636813649329</v>
      </c>
      <c r="BH103" s="28"/>
      <c r="BI103" s="28"/>
      <c r="BJ103" s="28">
        <f>IF($E103="","No Port",BK103*HV_DC_Grid!$E$3*$AU103/100*1000)</f>
        <v>63.705178846080237</v>
      </c>
      <c r="BK103" s="31">
        <f>IFERROR((1-(1-HV_DC_Grid!$E$25)^(K103*HV_DC_Grid!$E$8/1000))+HV_DC_Grid!$E$35*HV_DC_Grid!$E$28,"")</f>
        <v>2.0701617559067284E-2</v>
      </c>
      <c r="BL103" s="28">
        <f>IFERROR(K103*nl_e_demand/IF(hv_dc_flh="electricity FLH",$AV103,hv_dc_custom)*1000*hv_dc_capacity_multiplier*hv_dc_length_multiplier*1000*(hv_dc_overhead_invest*(hv_dc_overhead_opex+M103+1/hv_dc_lifetime))/1000000+HV_DC_Grid!$E$10*1000*hv_dc_station_invest*hv_dc_station_number*(hv_dc_station_opex+M103+1/hv_dc_lifetime)/1000000,"")</f>
        <v>579.27778394903805</v>
      </c>
      <c r="BM103" s="29">
        <f>IFERROR((BJ103+BL103)/(HV_DC_Grid!$E$3*1000)*100,"")</f>
        <v>0.64298296279511835</v>
      </c>
      <c r="BN103" s="28">
        <f>IFERROR(((Pipeline!$D$22*Pipeline!$D$24*K103*(pipeline_opex+M103+1/pipeline_lifetime))*(Pipeline!$D$39/Pipeline!$D$3)+(Pipeline!$D$57*(pipeline_comp_opex+M103+1/pipeline_comp_lifetime)+Pipeline!$D$47*1000*Pipeline!$D$45*S103/100/1000000))*(Pipeline!$D$75/Pipeline!$D$45),"")</f>
        <v>730.95565415801809</v>
      </c>
      <c r="BO103" s="28"/>
      <c r="BP103" s="150">
        <f t="shared" si="124"/>
        <v>100.65885844251279</v>
      </c>
      <c r="BQ103" s="34">
        <f t="shared" si="125"/>
        <v>29.538748643164755</v>
      </c>
      <c r="BR103" s="151">
        <f>(nh3_invest*(M103+1/nh3_lifetime)/nh3_prod+nh3_opex+nh3_e_demand*1000*$AU103/100+Carriers!$N$18/Carriers!$N$23*BD103+Carriers!$N$19/Carriers!$N$23*BQ103)*(BT103+nh3_st_ab_losses)/1000000</f>
        <v>41955.648234565531</v>
      </c>
      <c r="BS103" s="63">
        <f>nh3_st_nl_cost*nh3_st_nl_demand/1000000+(nh3_st_invest*(M103+1/nh3_st_lifetime+nh3_st_opex)/(Storage!$G$63/1000000)+nh3_st_e_demand*1000*$AU103/100)*(BT103+nh3_st_ab_losses)/1000000+Carriers!$N$18/Carriers!$N$23*((BT103+nh3_st_ab_losses)/365.25*short_st_duration_hrs/24)*(h2_short_st_invest*(1/gh2_short_st_lifetime+$M103+h2_short_st_opex)+h2_short_st_e_demand*1000*$AU103/100)/1000000+Carriers!$N$19/Carriers!$N$23*((BT103+nh3_st_ab_losses)/365.25*short_st_duration_hrs/24)*(n2_short_st_invest*(1/n2_short_st_lifetime+$M103+n2_short_st_opex)+n2_short_st_e_demand*1000*$AU103/100)/1000000</f>
        <v>3157.3771107318125</v>
      </c>
      <c r="BT103" s="63">
        <f>Storage!$G$57/((1-Shipping!$H$37)^(F103/24/Shipping!$H$44+0.5*Shipping!$H$59))</f>
        <v>82547845.507016361</v>
      </c>
      <c r="BU103" s="63">
        <f>IF($E103="","No Port",((F103/24/Shipping!$H$44+F103/24/Shipping!$H$50+Shipping!$H$59+Shipping!$H$64)*(Shipping!$H$22+wacc_nl*Shipping!$H$19/365.25*1000000+Shipping!$H$35)+(F103/24/Shipping!$H$44*Shipping!$H$45+Shipping!$H$64*Shipping!$H$65)*IF(bunker_choice="HFO",H103,IF(bunker_choice="hydrogen",BD103*hfo_e_density_lhv/h2_e_density_lhv,(BR103+BS103)*1000000/BT103*hfo_e_density_lhv/nh3_e_density_lhv))+(F103/24/Shipping!$H$50*Shipping!$H$51+Shipping!$H$59*Shipping!$H$60)*IF(bunker_choice="HFO",bunker_price_ROT,IF(bunker_choice="hydrogen",BD103*hfo_e_density_lhv/h2_e_density_lhv,(BR103+BS103)*1000000/BT103*hfo_e_density_lhv/nh3_e_density_lhv))+Shipping!$H$73+IF(G103="Panama",Shipping!$H$55,0)+IF(G103="Suez",Shipping!$H$56,0))/Shipping!$H$31*BT103/1000000+IF(inland_transport_to_port="hv dc grid",$BM103/100*1000*BW103,IF(inland_transport_to_port="pipeline",$BN103,0)))</f>
        <v>7763.2676573791723</v>
      </c>
      <c r="BV103" s="63">
        <f t="shared" si="126"/>
        <v>52876.29300267651</v>
      </c>
      <c r="BW103" s="33">
        <f>((Carriers!$N$18/Carriers!$N$23*alk_el_e_demand)+(Carriers!$N$19/Carriers!$N$23*n2_e_demand)+nh3_e_demand)*(BT103+nh3_st_ab_losses)/1000000+nh3_st_e_demand*BT103/1000000</f>
        <v>815.15289269689254</v>
      </c>
      <c r="BX103" s="33">
        <f t="shared" si="102"/>
        <v>0.76626754477640768</v>
      </c>
      <c r="BY103" s="63">
        <f>IFERROR(BV103*1000000/Storage!$G$12,"")</f>
        <v>690.6249569815526</v>
      </c>
      <c r="BZ103" s="63">
        <f>H2_retrieval!$F$25*h2_demand_kt/1000</f>
        <v>80</v>
      </c>
      <c r="CA103" s="63">
        <f>IFERROR(BY103*(1+H2_retrieval!$F$34)/Carrier_properties!$E$7+H2_retrieval!$F$38,"")</f>
        <v>4297.1887004287728</v>
      </c>
      <c r="CB103" s="149">
        <f>(FA_invest*(M103+1/FA_lifetime)/FA_prod+FA_opex+FA_e_demand*1000*$AU103/100+Carriers!$P$18/Carriers!$P$23*BD103+Carriers!$P$20/Carriers!$P$23*co2_liq_cost)*(CF103+FA_st_ab_losses)/1000000</f>
        <v>91161.667491291213</v>
      </c>
      <c r="CC103" s="86">
        <f>(FA_invest*(M103+1/FA_lifetime)/FA_prod+FA_opex+FA_e_demand*1000*$AU103/100+Carriers!$P$18/Carriers!$P$23*BD103+Carriers!$P$20/Carriers!$P$23*BP103)*(CF103+FA_st_ab_losses)/1000000</f>
        <v>115230.57240825184</v>
      </c>
      <c r="CD103" s="63">
        <f>FA_st_nl_cost*FA_st_nl_demand/1000000+(FA_st_invest*(M103+1/FA_st_lifetime+FA_st_opex)/(Storage!$I$63/1000000)+FA_st_e_demand*1000*$AU103/100)*(CF103+FA_st_ab_losses)/1000000+co2_st_nl_cost*Storage!$I$12*co2_density/FA_density/1000000+(co2_st_opex_lev+co2_st_invest_lev+co2_st_e_demand*1000*$AU103/100)*Storage!$I$12/1000000+co2_st_invest_lev*Storage!$I$12*co2_st_lifetime*M103/1000000+Carriers!$P$18/Carriers!$P$23*((CF103+FA_st_ab_losses)/365.25*short_st_duration_hrs/24)*(h2_short_st_invest*(1/gh2_short_st_lifetime+$M103+h2_short_st_opex)+h2_short_st_e_demand*1000*$AU103/100)/1000000+Carriers!$P$20/Carriers!$P$23*((CF103+FA_st_ab_losses)/365.25*short_st_duration_hrs/24)*(co2_short_st_invest*(1/co2_short_st_lifetime+$M103+co2_short_st_opex)+co2_short_st_e_demand*1000*$AU103/100)/1000000</f>
        <v>10920.595076231772</v>
      </c>
      <c r="CE103" s="63">
        <f>FA_st_nl_cost*FA_st_nl_demand/1000000+(FA_st_invest*(M103+1/FA_st_lifetime+FA_st_opex)/(Storage!$I$63/1000000)+FA_st_e_demand*1000*$AU103/100)*(CF103+FA_st_ab_losses)/1000000+Carriers!$P$18/Carriers!$P$23*((CF103+FA_st_ab_losses)/365.25*short_st_duration_hrs/24)*(h2_short_st_invest*(1/gh2_short_st_lifetime+$M103+h2_short_st_opex)+h2_short_st_e_demand*1000*$AU103/100)/1000000+Carriers!$P$20/Carriers!$P$23*((CF103+FA_st_ab_losses)/365.25*short_st_duration_hrs/24)*(co2_short_st_invest*(1/co2_short_st_lifetime+$M103+co2_short_st_opex)+co2_short_st_e_demand*1000*$AU103/100)/1000000</f>
        <v>4556.3429133839563</v>
      </c>
      <c r="CF103" s="63">
        <f>Storage!$I$57/((1-Shipping!$J$37)^($F103/24/Shipping!$J$44+0.5*Shipping!$J$59))</f>
        <v>310425396.82539684</v>
      </c>
      <c r="CG103" s="28">
        <f>IF($E103="","No Port",((F103/24/Shipping!$J$44+F103/24/Shipping!$J$50+Shipping!$J$59+Shipping!$J$64)*(Shipping!$J$22+wacc_nl*Shipping!$J$19/365.25*1000000+Shipping!$J$35)+(F103/24/Shipping!$J$44*Shipping!$J$45+Shipping!$J$64*Shipping!$J$65)*IF(bunker_choice="HFO",$H103,IF(bunker_choice="hydrogen",$BD103*hfo_e_density_lhv/h2_e_density_lhv,(CB103+CD103)*1000000/CF103*hfo_e_density_lhv/FA_e_density_lhv))+(F103/24/Shipping!$J$50*Shipping!$J$51+Shipping!$J$59*Shipping!$J$60)*IF(bunker_choice="HFO",bunker_price_ROT,IF(bunker_choice="hydrogen",$BD103*hfo_e_density_lhv/h2_e_density_lhv,(CB103+CD103)*1000000/CF103*hfo_e_density_lhv/FA_e_density_lhv))+Shipping!$J$73+IF(G103="Panama",Shipping!$J$55,0)+IF(G103="Suez",Shipping!$J$56,0))/Shipping!$J$31*CF103/1000000+IF(inland_transport_to_port="hv dc grid",$BM103/100*1000*CI103,IF(inland_transport_to_port="pipeline",$BN103,0)))</f>
        <v>27963.930834200557</v>
      </c>
      <c r="CH103" s="28">
        <f t="shared" si="132"/>
        <v>147750.84615583636</v>
      </c>
      <c r="CI103" s="29">
        <f>((Carriers!$P$18/Carriers!$P$23*alk_el_e_demand)+FA_e_demand)*(CF103+FA_st_ab_losses)/1000000+FA_st_e_demand*CF103/1000000</f>
        <v>1897.8881241622576</v>
      </c>
      <c r="CJ103" s="29">
        <f t="shared" si="103"/>
        <v>0.46563809523809524</v>
      </c>
      <c r="CK103" s="28">
        <f>IFERROR(CH103*1000000/Storage!$I$12,"")</f>
        <v>475.96249426376966</v>
      </c>
      <c r="CL103" s="28">
        <f>IF($E103="","No Port",((F103/24/Shipping!$J$44+F103/24/Shipping!$J$50+Shipping!$J$59+Shipping!$J$64)*Carriers!$P$39*wacc_nl))</f>
        <v>513.18359540969595</v>
      </c>
      <c r="CM103" s="29">
        <f>H2_retrieval!$H$25*h2_demand_kt/1000+(co2_liq_e_demand+co2_st_e_demand*2)*Storage!$I$12*co2_density/FA_density/1000000</f>
        <v>94.204253879484654</v>
      </c>
      <c r="CN103" s="28">
        <f>IFERROR((((CB103+CD103+CG103)*(1+H2_retrieval!$H$34)+CL103)*1000000/H2_retrieval!$H$8)+h2_regen_fa,"")</f>
        <v>9689.6415587326337</v>
      </c>
      <c r="CO103" s="149">
        <f>(meoh_invest*(M103+1/meoh_lifetime)/meoh_prod+meoh_opex+meoh_e_demand*1000*$AU103/100+Carriers!$R$18/Carriers!$R$23*BD103+Carriers!$R$20/Carriers!$R$23*co2_liq_cost)*(CS103+meoh_st_ab_losses)/1000000</f>
        <v>47771.99069053823</v>
      </c>
      <c r="CP103" s="86">
        <f>(meoh_invest*(M103+1/meoh_lifetime)/meoh_prod+meoh_opex+meoh_e_demand*1000*$AU103/100+Carriers!$R$18/Carriers!$R$23*BD103+Carriers!$R$20/Carriers!$R$23*BP103)*(CS103+meoh_st_ab_losses)/1000000</f>
        <v>61901.18092808978</v>
      </c>
      <c r="CQ103" s="63">
        <f>meoh_st_nl_cost*meoh_st_nl_demand/1000000+(meoh_st_invest*(M103+1/meoh_st_lifetime+meoh_st_opex)/(Storage!$K$63/1000000)+meoh_st_e_demand*1000*$AU103/100)*(CS103+meoh_st_ab_losses)/1000000+co2_st_nl_cost*Storage!$K$12*co2_density/meoh_density/1000000+(co2_st_opex_lev+co2_st_invest_lev+co2_st_e_demand*1000*IFERROR(MIN(S103,AA103,AI103),S103)/100)*Storage!$K$12/1000000+co2_st_invest_lev*Storage!$K$12*co2_st_lifetime*M103/1000000+Carriers!$R$18/Carriers!$R$23*((CS103+meoh_st_ab_losses)/365.25*short_st_duration_hrs/24)*(h2_short_st_invest*(1/gh2_short_st_lifetime+$M103+h2_short_st_opex)+h2_short_st_e_demand*1000*$AU103/100)/1000000+Carriers!$R$20/Carriers!$R$23*((CF103+meoh_st_ab_losses)/365.25*short_st_duration_hrs/24)*(co2_short_st_invest*(1/co2_short_st_lifetime+$M103+co2_short_st_opex)+co2_short_st_e_demand*1000*$AU103/100)/1000000</f>
        <v>4507.7717712490394</v>
      </c>
      <c r="CR103" s="63">
        <f>meoh_st_nl_cost*meoh_st_nl_demand/1000000+(meoh_st_invest*(M103+1/meoh_st_lifetime+meoh_st_opex)/(Storage!$K$63/1000000)+meoh_st_e_demand*1000*$AU103/100)*(CS103+meoh_st_ab_losses)/1000000+Carriers!$R$18/Carriers!$R$23*((CS103+meoh_st_ab_losses)/365.25*short_st_duration_hrs/24)*(h2_short_st_invest*(1/gh2_short_st_lifetime+$M103+h2_short_st_opex)+h2_short_st_e_demand*1000*$AU103/100)/1000000+Carriers!$R$20/Carriers!$R$23*((CF103+meoh_st_ab_losses)/365.25*short_st_duration_hrs/24)*(co2_short_st_invest*(1/co2_short_st_lifetime+$M103+co2_short_st_opex)+co2_short_st_e_demand*1000*$AU103/100)/1000000</f>
        <v>1760.8553714486179</v>
      </c>
      <c r="CS103" s="63">
        <f>Storage!$K$57/((1-Shipping!$L$37)^($F103/24/Shipping!$L$44+0.5*Shipping!$L$59))</f>
        <v>108044444.44444443</v>
      </c>
      <c r="CT103" s="28">
        <f>IF($E103="","No Port",IF(AND(ship_choice="VLCC",G103="Panama"),"Ship cannot pass through Panama",IF(ship_choice="VLCC",((F103/24/Shipping!$AD$44+F103/24/Shipping!$AD$50+Shipping!$AD$59+Shipping!$AD$64)*(Shipping!$AD$22+wacc_nl*Shipping!$AD$19/365.25*1000000+Shipping!$AD$35)+(F103/24/Shipping!$AD$44*Shipping!$AD$45+Shipping!$AD$64*Shipping!$AD$65)*IF(bunker_choice="HFO",$H103,IF(bunker_choice="hydrogen",$BD103*hfo_e_density_lhv/h2_e_density_lhv,(CO103+CQ103)*1000000/CS103*hfo_e_density_lhv/meoh_e_density_lhv))+(F103/24/Shipping!$AD$50*Shipping!$AD$51+Shipping!$AD$59*Shipping!$AD$60)*IF(bunker_choice="HFO",bunker_price_ROT,IF(bunker_choice="hydrogen",$BD103*hfo_e_density_lhv/h2_e_density_lhv,(CO103+CQ103)*1000000/CS103*hfo_e_density_lhv/meoh_e_density_lhv))+Shipping!$AD$73+IF(G103="Panama",Shipping!$AD$55,0)+IF(G103="Suez",Shipping!$AD$56,0))/Shipping!$AD$31*CS103/1000000+IF(inland_transport_to_port="hv dc grid",$BM103/100*1000*CV103,IF(inland_transport_to_port="pipeline",$BN103,0)),((F103/24/Shipping!$L$44+F103/24/Shipping!$L$50+Shipping!$L$59+Shipping!$L$64)*(Shipping!$L$22+wacc_nl*Shipping!$L$19/365.25*1000000+Shipping!$L$35)+(F103/24/Shipping!$L$44*Shipping!$L$45+Shipping!$L$64*Shipping!$L$65)*IF(bunker_choice="HFO",$H103,IF(bunker_choice="hydrogen",$BD103*hfo_e_density_lhv/h2_e_density_lhv,(CO103+CQ103)*1000000/CS103*hfo_e_density_lhv/meoh_e_density_lhv))+(F103/24/Shipping!$L$50*Shipping!$L$51+Shipping!$L$59*Shipping!$L$60)*IF(bunker_choice="HFO",bunker_price_ROT,IF(bunker_choice="hydrogen",$BD103*hfo_e_density_lhv/h2_e_density_lhv,(CO103+CQ103)*1000000/CS103*hfo_e_density_lhv/meoh_e_density_lhv))+Shipping!$L$73+IF(G103="Panama",Shipping!$L$55,0)+IF(G103="Suez",Shipping!$L$56,0))/Shipping!$L$31*CS103/1000000+IF(inland_transport_to_port="hv dc grid",$BM103/100*1000*CV103,IF(inland_transport_to_port="pipeline",$BN103,0)))))</f>
        <v>9676.6048525060651</v>
      </c>
      <c r="CU103" s="28">
        <f t="shared" si="133"/>
        <v>73338.641152044467</v>
      </c>
      <c r="CV103" s="29">
        <f>((Carriers!$R$18/Carriers!$R$23*alk_el_e_demand)+meoh_e_demand)*(CS103+meoh_st_ab_losses)/1000000+meoh_st_e_demand*CS103/1000000</f>
        <v>1119.9789871111109</v>
      </c>
      <c r="CW103" s="29">
        <f t="shared" si="104"/>
        <v>0.16206666666666666</v>
      </c>
      <c r="CX103" s="28">
        <f>IFERROR(CU103*1000000/Storage!$K$12,"")</f>
        <v>678.78215792719072</v>
      </c>
      <c r="CY103" s="28">
        <f>IF($E103="","No Port",((F103/24/Shipping!$L$44+F103/24/Shipping!$L$50+Shipping!$L$59+Shipping!$L$64)*Carriers!$R$39*wacc_nl))</f>
        <v>184.23697442155856</v>
      </c>
      <c r="CZ103" s="29">
        <f>H2_retrieval!$J$25*h2_demand_kt/1000+(co2_liq_e_demand+co2_st_e_demand*2)*Storage!$K$12*co2_density/meoh_density/1000000</f>
        <v>251.05079059698966</v>
      </c>
      <c r="DA103" s="28">
        <f>IFERROR((((CO103+CQ103+CT103)*(1+H2_retrieval!$J$34)+CY103)*1000000/H2_retrieval!$J$8)+h2_regen_meoh,"")</f>
        <v>5739.2906232486821</v>
      </c>
      <c r="DB103" s="149">
        <f>(DBT_invest*(M103+1/DBT_lifetime)/DBT_prod+DBT_opex+DBT_e_demand*1000*$AU103/100+Carriers!$T$18/Carriers!$T$23*BD103)*(DD103+DBT_st_ab_losses)/1000000</f>
        <v>32006.53503210111</v>
      </c>
      <c r="DC103" s="28">
        <f>2*(DBT_st_nl_cost*DBT_st_nl_demand/1000000+(DBT_st_invest*(M103+1/DBT_st_lifetime+DBT_st_opex)/(Storage!$M$63/1000000)+DBT_st_e_demand*1000*$AU103/100)*(DD103+DBT_st_ab_losses)/1000000)+Carriers!$T$18/Carriers!$T$23*((DD103+DBT_st_ab_losses)/365.25*short_st_duration_hrs/24)*(h2_short_st_invest*(1/gh2_short_st_lifetime+$M103+h2_short_st_opex)+h2_short_st_e_demand*1000*$AU103/100)/1000000</f>
        <v>3708.6138401684116</v>
      </c>
      <c r="DD103" s="63">
        <f>Storage!$M$57/((1-Shipping!$N$37)^($F103/24/Shipping!$N$44+0.5*Shipping!$N$59))</f>
        <v>219354838.70967743</v>
      </c>
      <c r="DE103" s="28">
        <f>IF($E103="","No Port",IF(AND(ship_choice="VLCC",G103="Panama"),"Ship cannot pass through Panama",IF(ship_choice="VLCC",((F103/24/Shipping!$AD$44+F103/24/Shipping!$AD$50+Shipping!$AD$59+Shipping!$AD$64)*(Shipping!$AD$22+wacc_nl*Shipping!$AD$19/365.25*1000000+Shipping!$AD$35)+(F103/24/Shipping!$AD$44*Shipping!$AD$45+Shipping!$AD$64*Shipping!$AD$65)*IF(bunker_choice="HFO",$H103,IF(bunker_choice="hydrogen",$BD103*hfo_e_density_lhv/h2_e_density_lhv,(DB103+DC103)*1000000/DD103*hfo_e_density_lhv/DBT_e_density_lhv))+(F103/24/Shipping!$AD$50*Shipping!$AD$51+Shipping!$AD$59*Shipping!$AD$60)*IF(bunker_choice="HFO",bunker_price_ROT,IF(bunker_choice="hydrogen",$BD103*hfo_e_density_lhv/h2_e_density_lhv,(DB103+DC103)*1000000/DD103*hfo_e_density_lhv/DBT_e_density_lhv))+Shipping!$AD$73+IF(G103="Panama",Shipping!$AD$55,0)+IF(G103="Suez",Shipping!$AD$56,0))/Shipping!$AD$31*DD103/1000000+IF(inland_transport_to_port="hv dc grid",$BM103/100*1000*DG103,IF(inland_transport_to_port="pipeline",$BN103,0)),((F103/24/Shipping!$N$44+F103/24/Shipping!$N$50+Shipping!$N$59+Shipping!$N$64)*(Shipping!$N$22+wacc_nl*Shipping!$N$19/365.25*1000000+Shipping!$N$35)+(F103/24/Shipping!$N$44*Shipping!$N$45+Shipping!$N$64*Shipping!$N$65)*IF(bunker_choice="HFO",$H103,IF(bunker_choice="hydrogen",$BD103*hfo_e_density_lhv/h2_e_density_lhv,(DB103+DC103)*1000000/DD103*hfo_e_density_lhv/DBT_e_density_lhv))+(F103/24/Shipping!$N$50*Shipping!$N$51+Shipping!$N$59*Shipping!$N$60)*IF(bunker_choice="HFO",bunker_price_ROT,IF(bunker_choice="hydrogen",$BD103*hfo_e_density_lhv/h2_e_density_lhv,(DB103+DC103)*1000000/DD103*hfo_e_density_lhv/DBT_e_density_lhv))+Shipping!$N$73+IF(G103="Panama",Shipping!$N$55,0)+IF(G103="Suez",Shipping!$N$56,0))/Shipping!$N$31*Shipping!$N$86/1000000+IF(inland_transport_to_port="hv dc grid",$BM103/100*1000*DG103,IF(inland_transport_to_port="pipeline",$BN103,0)))))</f>
        <v>17504.192071827645</v>
      </c>
      <c r="DF103" s="28">
        <f t="shared" si="82"/>
        <v>53219.340944097166</v>
      </c>
      <c r="DG103" s="29">
        <f>((Carriers!$T$18/Carriers!$T$23*alk_el_e_demand)+DBT_e_demand)*(DD103+DBT_st_ab_losses)/1000000+DBT_st_e_demand*DD103/1000000</f>
        <v>703.88335483870969</v>
      </c>
      <c r="DH103" s="29">
        <f t="shared" si="105"/>
        <v>0.21935483870967742</v>
      </c>
      <c r="DI103" s="28">
        <f>IFERROR(DF103*1000000/Storage!$M$12,"")</f>
        <v>242.61758371573708</v>
      </c>
      <c r="DJ103" s="28">
        <f>IF($E103="","No Port",((F103/24/Shipping!$N$44+F103/24/Shipping!$N$50+Shipping!$N$59+Shipping!$N$64)*Carriers!$T$39*wacc_nl))</f>
        <v>13418.584179955087</v>
      </c>
      <c r="DK103" s="100">
        <f>H2_retrieval!$L$25*h2_demand_kt/1000+(co2_liq_e_demand+co2_st_e_demand*2)*Storage!$M$12*co2_density/DBT_density/1000000</f>
        <v>206.61934861671787</v>
      </c>
      <c r="DL103" s="28">
        <f>IFERROR(((DF103*(1+H2_retrieval!$L$34)+DJ103)*1000000/H2_retrieval!$L$8)+h2_regen_lohc,"")</f>
        <v>5370.4972162308723</v>
      </c>
      <c r="DM103" s="149">
        <f t="shared" si="127"/>
        <v>52930.95138746655</v>
      </c>
      <c r="DN103" s="16">
        <f>2*(nabh4_st_nl_cost*nabh4_st_nl_demand/1000000+(nabh4_st_invest*(M103+1/nabh4_st_lifetime+nabh4_st_opex)/(Storage!$O$63/1000000)+nabh4_st_e_demand*1000*$AU103/100)*(DO103+nabh4_st_ab_losses)/1000000)+(h2_demand_kt*1000/365.25*short_st_duration_hrs/24)*(h2_short_st_invest*(1/gh2_short_st_lifetime+$M103+h2_short_st_opex)+h2_short_st_e_demand*1000*$AU103/100)/1000000</f>
        <v>1308.444185251155</v>
      </c>
      <c r="DO103" s="63">
        <f>Storage!$O$57/((1-Shipping!$P$37)^($F103/24/Shipping!$P$44+0.5*Shipping!$P$59))</f>
        <v>63920000</v>
      </c>
      <c r="DP103" s="16">
        <f>IF($E103="","No Port",((F103/24/Shipping!$P$44+F103/24/Shipping!$P$50+Shipping!$P$59+Shipping!$P$64)*(Shipping!$P$22+wacc_nl*Shipping!$P$19/365.25*1000000+Shipping!$P$35)+(F103/24/Shipping!$P$44*Shipping!$P$45+Shipping!$P$64*Shipping!$P$65)*IF(bunker_choice="HFO",$H103,IF(bunker_choice="hydrogen",$BD103*hfo_e_density_lhv/h2_e_density_lhv,(DM103+DN103)*1000000/DO103*hfo_e_density_lhv/nabh4_e_density_lhv))+(F103/24/Shipping!$P$50*Shipping!$P$51+Shipping!$P$59*Shipping!$P$60)*IF(bunker_choice="HFO",bunker_price_ROT,IF(bunker_choice="hydrogen",$BD103*hfo_e_density_lhv/h2_e_density_lhv,(DM103+DN103)*1000000/DO103*hfo_e_density_lhv/nabh4_e_density_lhv))+Shipping!$P$73+IF(G103="Panama",Shipping!$P$55,0)+IF(G103="Suez",Shipping!$P$56,0))/Shipping!$P$31*(DO103+nabh4_st_ab_losses)/1000000+IF(inland_transport_to_port="hv dc grid",$BM103/100*1000*DR103,IF(inland_transport_to_port="pipeline",$BN103,0)))</f>
        <v>5620.3961953237131</v>
      </c>
      <c r="DQ103" s="28">
        <f t="shared" si="146"/>
        <v>59859.791768041418</v>
      </c>
      <c r="DR103" s="29">
        <f>((Carriers!$V$18/Carriers!$V$23*alk_el_e_demand)+nabh4_e_demand)*(DO103+nabh4_st_ab_losses)/1000000+nabh4_st_e_demand*DO103/1000000</f>
        <v>980.02139682539689</v>
      </c>
      <c r="DS103" s="28">
        <f t="shared" si="106"/>
        <v>3.1960000000000002</v>
      </c>
      <c r="DT103" s="28">
        <f>IFERROR(DQ103*1000000/Storage!$O$12,"")</f>
        <v>936.47984618337637</v>
      </c>
      <c r="DU103" s="28">
        <f>IF($E103="","No Port",((F103/24/Shipping!$P$44+F103/24/Shipping!$P$50+Shipping!$P$59+Shipping!$P$64)*Carriers!$V$39*wacc_nl))</f>
        <v>1223.634380717757</v>
      </c>
      <c r="DV103" s="100">
        <f>H2_retrieval!$N$25*h2_demand_kt/1000+(co2_liq_e_demand+co2_st_e_demand*2)*Storage!$O$12*co2_density/nabh4_density/1000000</f>
        <v>18.783638728971958</v>
      </c>
      <c r="DW103" s="28">
        <f>IFERROR(((DQ103*(1+H2_retrieval!$N$34)+DU103)*1000000/H2_retrieval!$N$8)+h2_regen_nabh4,"")</f>
        <v>4586.3317092829921</v>
      </c>
      <c r="DX103" s="149">
        <f>(Dme_invest*(M103+1/Dme_lifetime)/Dme_prod+Dme_opex+Dme_e_demand*1000*$AU103/100+Carriers!$X$21/Carriers!$X$23*(CO103*1000000/CS103))*(EB103+Dme_st_ab_losses)/1000000</f>
        <v>67752.672746542172</v>
      </c>
      <c r="DY103" s="86">
        <f>(Dme_invest*(M103+1/Dme_lifetime)/Dme_prod+Dme_opex+Dme_e_demand*1000*$AU103/100+Carriers!$X$21/Carriers!$X$23*(CP103*1000000/CS103))*(EB103+Dme_st_ab_losses)/1000000</f>
        <v>86921.236660004623</v>
      </c>
      <c r="DZ103" s="63">
        <f>Dme_st_nl_cost*Dme_st_nl_demand/1000000+(Dme_st_invest*(M103+1/Dme_st_lifetime+Dme_st_opex)/(Storage!$Q$63/1000000)+Dme_st_e_demand*1000*$AU103/100)*(EB103+Dme_st_ab_losses)/1000000+co2_st_nl_cost*Storage!$Q$12*co2_density/Dme_density/1000000+(co2_st_opex_lev+co2_st_invest_lev+co2_st_e_demand*1000*$AU103/100)*Storage!$Q$12/1000000+co2_st_invest_lev*Storage!$Q$12*co2_st_lifetime*M103/1000000+(h2_demand_kt*1000/365.25*short_st_duration_hrs/24)*(h2_short_st_invest*(1/gh2_short_st_lifetime+$M103+h2_short_st_opex)+h2_short_st_e_demand*1000*$AU103/100)/1000000</f>
        <v>5521.7107745687854</v>
      </c>
      <c r="EA103" s="63">
        <f>Dme_st_nl_cost*Dme_st_nl_demand/1000000+(Dme_st_invest*(M103+1/Dme_st_lifetime+Dme_st_opex)/(Storage!$Q$63/1000000)+Dme_st_e_demand*1000*$AU103/100)*(EB103+Dme_st_ab_losses)/1000000+(h2_demand_kt*1000/365.25*short_st_duration_hrs/24)*(h2_short_st_invest*(1/gh2_short_st_lifetime+$M103+h2_short_st_opex)+h2_short_st_e_demand*1000*$AU103/100)/1000000</f>
        <v>2697.853291760548</v>
      </c>
      <c r="EB103" s="63">
        <f>Storage!$Q$57/((1-Shipping!$R$37)^($F103/24/Shipping!$R$44+0.5*Shipping!$R$59))</f>
        <v>103547089.94708996</v>
      </c>
      <c r="EC103" s="153">
        <f>IF($E103="","No Port",IF(AND(ship_choice="VLCC",G103="Panama"),"Ship cannot pass through Panama",IF(ship_choice="VLCC",((F103/24/Shipping!$AD$44+F103/24/Shipping!$AD$50+Shipping!$AD$59+Shipping!$AD$64)*(Shipping!$AD$22+wacc_nl*Shipping!$AD$19/365.25*1000000+Shipping!$AD$35)+(F103/24/Shipping!$AD$44*Shipping!$AD$45+Shipping!$AD$64*Shipping!$AD$65)*IF(bunker_choice="HFO",$H103,IF(bunker_choice="hydrogen",$BD103*hfo_e_density_lhv/h2_e_density_lhv,(DX103+DZ103)*1000000/EB103*hfo_e_density_lhv/Dme_e_density_lhv))+(F103/24/Shipping!$AD$50*Shipping!$AD$51+Shipping!$AD$59*Shipping!$AD$60)*IF(bunker_choice="HFO",bunker_price_ROT,IF(bunker_choice="hydrogen",$BD103*hfo_e_density_lhv/h2_e_density_lhv,(DX103+DZ103)*1000000/EB103*hfo_e_density_lhv/Dme_e_density_lhv))+Shipping!$AD$73+IF(G103="Panama",Shipping!$AD$55,0)+IF(G103="Suez",Shipping!$AD$56,0))/Shipping!$AD$31*(EB103+Dme_st_ab_losses)/1000000+IF(inland_transport_to_port="hv dc grid",$BM103/100*1000*EE103,IF(inland_transport_to_port="pipeline",$BN103,0)),((F103/24/Shipping!$R$44+F103/24/Shipping!$R$50+Shipping!$R$59+Shipping!$R$64)*(Shipping!$R$22+wacc_nl*Shipping!$R$19/365.25*1000000+Shipping!$R$35)+(F103/24/Shipping!$R$44*Shipping!$R$45+Shipping!$R$64*Shipping!$R$65)*IF(bunker_choice="HFO",$H103,IF(bunker_choice="hydrogen",$BD103*hfo_e_density_lhv/h2_e_density_lhv,(DX103+DZ103)*1000000/EB103*hfo_e_density_lhv/Dme_e_density_lhv))+(F103/24/Shipping!$R$50*Shipping!$R$51+Shipping!$R$59*Shipping!$R$60)*IF(bunker_choice="HFO",bunker_price_ROT,IF(bunker_choice="hydrogen",$BD103*hfo_e_density_lhv/h2_e_density_lhv,(DX103+DZ103)*1000000/EB103*hfo_e_density_lhv/Dme_e_density_lhv))+Shipping!$R$73+IF(G103="Panama",Shipping!$R$55,0)+IF(G103="Suez",Shipping!$R$56,0))/Shipping!$R$31*(EB103+Dme_st_ab_losses)/1000000+IF(inland_transport_to_port="hv dc grid",$BM103/100*1000*EE103,IF(inland_transport_to_port="pipeline",$BN103,0)))))</f>
        <v>9922.6443961372843</v>
      </c>
      <c r="ED103" s="28">
        <f t="shared" si="134"/>
        <v>99541.734347902457</v>
      </c>
      <c r="EE103" s="29">
        <f>(Dme_e_demand)*(EB103+Dme_st_ab_losses)/1000000+Dme_st_e_demand*DZ103/1000000+$CV103*(Carriers!$X$21/Carriers!$X$23*EB103)/$CS103</f>
        <v>1550.2168153841635</v>
      </c>
      <c r="EF103" s="29">
        <f t="shared" si="107"/>
        <v>1.0354708994708997</v>
      </c>
      <c r="EG103" s="28">
        <f>IFERROR(ED103*1000000/Storage!$Q$12,"")</f>
        <v>961.31851120843532</v>
      </c>
      <c r="EH103" s="28">
        <f>IF($E103="","No Port",((F103/24/Shipping!$R$44+F103/24/Shipping!$R$50+Shipping!$R$59+Shipping!$R$64)*Carriers!$X$39*wacc_nl))</f>
        <v>192.64195963898035</v>
      </c>
      <c r="EI103" s="100">
        <f>H2_retrieval!$P$25*h2_demand_kt/1000+(co2_liq_e_demand+co2_st_e_demand*2)*Storage!$Q$12*co2_density/Dme_density/1000000</f>
        <v>252.45335899349112</v>
      </c>
      <c r="EJ103" s="28">
        <f>IFERROR((((DX103+DZ103+EC103)*(1+H2_retrieval!$P$34)+EH103)*1000000/H2_retrieval!$P$8)+h2_regen_dme,"")</f>
        <v>7301.7219164966473</v>
      </c>
      <c r="EK103" s="149">
        <f>(ome_invest*(M103+1/ome_lifetime)/ome_prod+ome_opex+ome_e_demand*1000*$AU103/100+Carriers!$Z$21/Carriers!$Z$23*(CO103*1000000/CS103))*(EO103+ome_st_ab_losses)/1000000</f>
        <v>148815.74279241325</v>
      </c>
      <c r="EL103" s="86">
        <f>(ome_invest*(M103+1/ome_lifetime)/ome_prod+ome_opex+ome_e_demand*1000*$AU103/100+Carriers!$Z$21/Carriers!$Z$23*(CP103*1000000/CS103))*(EO103+ome_st_ab_losses)/1000000</f>
        <v>189054.28985756764</v>
      </c>
      <c r="EM103" s="63">
        <f>ome_st_nl_cost*ome_st_nl_demand/1000000+(ome_st_invest*(M103+1/ome_st_lifetime+ome_st_opex)/(Storage!$S$63/1000000)+ome_st_e_demand*1000*$AU103/100)*(EO103+ome_st_ab_losses)/1000000+co2_st_nl_cost*Storage!$S$12*co2_density/ome_density/1000000+(co2_st_opex_lev+co2_st_invest_lev+co2_st_e_demand*1000*$AU103/100)*Storage!$S$12/1000000+co2_st_invest_lev*Storage!$S$12*co2_st_lifetime*M103/1000000+(h2_demand_kt*1000/365.25*short_st_duration_hrs/24)*(h2_short_st_invest*(1/gh2_short_st_lifetime+$M103+h2_short_st_opex)+h2_short_st_e_demand*1000*$AU103/100)/1000000</f>
        <v>4760.4421831779155</v>
      </c>
      <c r="EN103" s="63">
        <f>ome_st_nl_cost*ome_st_nl_demand/1000000+(ome_st_invest*(M103+1/ome_st_lifetime+ome_st_opex)/(Storage!$S$63/1000000)+ome_st_e_demand*1000*$AU103/100)*(EO103+ome_st_ab_losses)/1000000+(h2_demand_kt*1000/365.25*short_st_duration_hrs/24)*(h2_short_st_invest*(1/gh2_short_st_lifetime+$M103+h2_short_st_opex)+h2_short_st_e_demand*1000*$AU103/100)/1000000</f>
        <v>1600.9861661942514</v>
      </c>
      <c r="EO103" s="63">
        <f>Storage!$S$57/((1-Shipping!$T$37)^($F103/24/Shipping!$T$44+0.5*Shipping!$T$59))</f>
        <v>128282539.68253967</v>
      </c>
      <c r="EP103" s="28">
        <f>IF($E103="","No Port",IF(AND(ship_choice="VLCC",G103="Panama"),"Ship cannot pass through Panama",IF(ship_choice="VLCC",((F103/24/Shipping!$AD$44+F103/24/Shipping!$AD$50+Shipping!$AD$59+Shipping!$AD$64)*(Shipping!$AD$22+wacc_nl*Shipping!$AD$19/365.25*1000000+Shipping!$AD$35)+(F103/24/Shipping!$AD$44*Shipping!$AD$45+Shipping!$AD$64*Shipping!$AD$65)*IF(bunker_choice="HFO",$H103,IF(bunker_choice="hydrogen",$BD103*hfo_e_density_lhv/h2_e_density_lhv,(EK103+EM103)*1000000/EO103*hfo_e_density_lhv/Dme_e_density_lhv))+(F103/24/Shipping!$AD$50*Shipping!$AD$51+Shipping!$AD$59*Shipping!$AD$60)*IF(bunker_choice="HFO",bunker_price_ROT,IF(bunker_choice="hydrogen",$BD103*hfo_e_density_lhv/h2_e_density_lhv,(EK103+EM103)*1000000/EO103*hfo_e_density_lhv/ome_e_density_lhv))+Shipping!$AD$73+IF(G103="Panama",Shipping!$AD$55,0)+IF(G103="Suez",Shipping!$AD$56,0))/Shipping!$AD$31*(EO103+ome_st_ab_losses)/1000000+IF(inland_transport_to_port="hv dc grid",$BM103/100*1000*ER103,IF(inland_transport_to_port="pipeline",$BN103,0)),((F103/24/Shipping!$T$44+F103/24/Shipping!$T$50+Shipping!$T$59+Shipping!$T$64)*(Shipping!$T$22+wacc_nl*Shipping!$T$19/365.25*1000000+Shipping!$T$35)+(F103/24/Shipping!$T$44*Shipping!$T$45+Shipping!$T$64*Shipping!$T$65)*IF(bunker_choice="HFO",$H103,IF(bunker_choice="hydrogen",$BD103*hfo_e_density_lhv/h2_e_density_lhv,(EK103+EM103)*1000000/EO103*hfo_e_density_lhv/Dme_e_density_lhv))+(F103/24/Shipping!$T$50*Shipping!$T$51+Shipping!$T$59*Shipping!$T$60)*IF(bunker_choice="HFO",bunker_price_ROT,IF(bunker_choice="hydrogen",$BD103*hfo_e_density_lhv/h2_e_density_lhv,(EK103+EM103)*1000000/EO103*hfo_e_density_lhv/ome_e_density_lhv))+Shipping!$T$73+IF(G103="Panama",Shipping!$T$55,0)+IF(G103="Suez",Shipping!$T$56,0))/Shipping!$T$31*(EO103+ome_st_ab_losses)/1000000+IF(inland_transport_to_port="hv dc grid",$BM103/100*1000*ER103,IF(inland_transport_to_port="pipeline",$BN103,0)))))</f>
        <v>10740.954367933653</v>
      </c>
      <c r="EQ103" s="28">
        <f t="shared" si="135"/>
        <v>201396.23039169554</v>
      </c>
      <c r="ER103" s="29">
        <f>(ome_e_demand)*(EO103+ome_st_ab_losses)/1000000+ome_st_e_demand*EM103/1000000+$CV103*(Carriers!$Z$21/Carriers!$Z$23*EO103)/$CS103</f>
        <v>3352.0814572814465</v>
      </c>
      <c r="ES103" s="29">
        <f t="shared" si="108"/>
        <v>0.1924238095238095</v>
      </c>
      <c r="ET103" s="28">
        <f>IFERROR(EQ103*1000000/Storage!$S$12,"")</f>
        <v>1569.9426507308794</v>
      </c>
      <c r="EU103" s="28">
        <f>IF($E103="","No Port",((F103/24/Shipping!$T$44+F103/24/Shipping!$T$50+Shipping!$T$59+Shipping!$T$64)*Carriers!$Z$39*wacc_nl))</f>
        <v>218.74689720281955</v>
      </c>
      <c r="EV103" s="100">
        <f>H2_retrieval!$R$25*h2_demand_kt/1000+(co2_liq_e_demand+co2_st_e_demand*2)*Storage!$S$12*co2_density/ome_density/1000000</f>
        <v>254.51942895252085</v>
      </c>
      <c r="EW103" s="28">
        <f>IFERROR((((EK103+EM103+EP103)*(1+H2_retrieval!$R$34)+EU103)*1000000/H2_retrieval!$R$8)+h2_regen_ome,"")</f>
        <v>13268.355472661384</v>
      </c>
      <c r="EX103" s="149">
        <f>(sng_invest*(M103+1/sng_lifetime)/sng_prod+lng_invest*(M103+1/lng_lifetime)/lng_prod+sng_opex+lng_opex+(sng_e_demand+lng_e_demand)*1000*$AU103/100+Carriers!$AB$18/Carriers!$AB$23*BD103+Carriers!$AB$20/Carriers!$AB$23*co2_liq_cost)*(FB103+lng_st_ab_losses)/1000000</f>
        <v>53569.299610718212</v>
      </c>
      <c r="EY103" s="86">
        <f>(sng_invest*(M103+1/sng_lifetime)/sng_prod+lng_invest*(M103+1/lng_lifetime)/lng_prod+sng_opex+lng_opex+(sng_e_demand+lng_e_demand)*1000*$AU103/100+Carriers!$AB$18/Carriers!$AB$23*BD103+Carriers!$AB$20/Carriers!$AB$23*BP103)*(FB103+lng_st_ab_losses)/1000000</f>
        <v>64403.488999397821</v>
      </c>
      <c r="EZ103" s="63">
        <f>lng_st_nl_cost*lng_st_nl_demand/1000000+(lng_st_invest*(M103+1/lng_st_lifetime+lng_st_opex)/(Storage!$U$63/1000000)+lng_st_e_demand*1000*$AU103/100)*(FB103+lng_st_ab_losses)/1000000+co2_st_nl_cost*Storage!$U$12*co2_density/lng_density/1000000+(co2_st_opex_lev+co2_st_invest_lev+co2_st_e_demand*1000*$AU103/100)*Storage!$U$12/1000000+co2_st_invest_lev*Storage!$U$12*co2_st_lifetime*M103/1000000+Carriers!$AB$18/Carriers!$AB$23*((FB103+lng_st_ab_losses)/365.25*short_st_duration_hrs/24)*(h2_short_st_invest*(1/gh2_short_st_lifetime+$M103+h2_short_st_opex)+h2_short_st_e_demand*1000*$AU103/100)/1000000+Carriers!$AB$20/Carriers!$AB$23*((FB103+lng_st_ab_losses)/365.25*short_st_duration_hrs/24)*(co2_short_st_invest*(1/co2_short_st_lifetime+$M103+co2_short_st_opex)+co2_short_st_e_demand*1000*$AU103/100)/1000000</f>
        <v>5822.0523776121381</v>
      </c>
      <c r="FA103" s="63">
        <f>lng_st_nl_cost*lng_st_nl_demand/1000000+(lng_st_invest*(M103+1/lng_st_lifetime+lng_st_opex)/(Storage!$U$63/1000000)+lng_st_e_demand*1000*$AU103/100)*(FB103+lng_st_ab_losses)/1000000+Carriers!$AB$18/Carriers!$AB$23*((FB103+lng_st_ab_losses)/365.25*short_st_duration_hrs/24)*(h2_short_st_invest*(1/gh2_short_st_lifetime+$M103+h2_short_st_opex)+h2_short_st_e_demand*1000*$AU103/100)/1000000+Carriers!$AB$20/Carriers!$AB$23*((FB103+lng_st_ab_losses)/365.25*short_st_duration_hrs/24)*(co2_short_st_invest*(1/co2_short_st_lifetime+$M103+co2_short_st_opex)+co2_short_st_e_demand*1000*$AU103/100)/1000000</f>
        <v>4277.5845877604888</v>
      </c>
      <c r="FB103" s="63">
        <f>Storage!$U$57/((1-Shipping!$V$37)^($F103/24/Shipping!$V$44+0.5*Shipping!$V$59))</f>
        <v>42214673.066427201</v>
      </c>
      <c r="FC103" s="28" t="e">
        <f>IF($E103="","No Port",IF(G103="Panama","Ship cannot pass through Panama",((F103/24/Shipping!$V$44+F103/24/Shipping!$V$50+Shipping!$V$59+Shipping!$V$64)*(Shipping!$V$22+wacc_nl*Shipping!$V$19/365.25*1000000+Shipping!$V$35)+(F103/24/Shipping!$V$44*Shipping!$V$45+Shipping!$V$64*Shipping!$V$65)*IF(bunker_choice="HFO",$H103,IF(bunker_choice="hydrogen",$BD103*hfo_e_density_lhv/h2_e_density_lhv,(EX103+EZ103)*1000000/FB103*hfo_e_density_lhv/lng_e_density_lhv))+(F103/24/Shipping!$V$50*Shipping!$V$51+Shipping!$V$59*Shipping!$V$60)*IF(bunker_choice="HFO",bunker_price_ROT,IF(bunker_choice="hydrogen",$BD103*hfo_e_density_lhv/h2_e_density_lhv,(EX103+EZ103)*1000000/FB103*hfo_e_density_lhv/lng_e_density_lhv))+Shipping!$V$73+IF(G103="Panama",Shipping!$V$55,0)+IF(G103="Suez",Shipping!$V$56,0))/Shipping!$V$31*(FB103+lng_st_ab_losses)/1000000)+IF(inland_transport_to_port="hv dc grid",$BM103/100*1000*FE103,IF(inland_transport_to_port="pipeline",$BN103,0)))</f>
        <v>#VALUE!</v>
      </c>
      <c r="FD103" s="28" t="str">
        <f t="shared" si="136"/>
        <v/>
      </c>
      <c r="FE103" s="29">
        <f>((Carriers!$AB$18/Carriers!$AB$23*alk_el_e_demand)+sng_e_demand+lng_e_demand)*(FB103+lng_st_ab_losses)/1000000+lng_st_e_demand*EZ103/1000000</f>
        <v>1132.134429521655</v>
      </c>
      <c r="FF103" s="29">
        <f t="shared" si="109"/>
        <v>0.8126185861001558</v>
      </c>
      <c r="FG103" s="28" t="str">
        <f>IFERROR(FD103*1000000/Storage!$U$12,"")</f>
        <v/>
      </c>
      <c r="FH103" s="28">
        <f>IF($E103="","No Port",((F103/24/Shipping!$V$44+F103/24/Shipping!$V$50+Shipping!$V$59+Shipping!$V$64)*Carriers!$AB$39*wacc_nl))</f>
        <v>63.835135879825117</v>
      </c>
      <c r="FI103" s="100">
        <f>H2_retrieval!$T$25*h2_demand_kt/1000+(co2_liq_e_demand+co2_st_e_demand*2)*Storage!$U$12*co2_density/lng_density/1000000</f>
        <v>236.51371749646054</v>
      </c>
      <c r="FJ103" s="28" t="str">
        <f>IFERROR((((EX103+EZ103+FC103)*(1+H2_retrieval!$T$34)+FH103)*1000000/H2_retrieval!$T$8)+h2_regen_lng,"")</f>
        <v/>
      </c>
      <c r="FK103" s="149">
        <f>(lh2_invest*(M103+1/lh2_lifetime)/lh2_prod+lh2_opex+lh2_e_demand*1000*$AU103/100+Carriers!$AD$18/Carriers!$AD$23*BD103)*(FM103+lh2_st_ab_losses)/1000000</f>
        <v>43511.365376580383</v>
      </c>
      <c r="FL103" s="28">
        <f>lh2_st_nl_cost*lh2_st_nl_demand/1000000+(lh2_st_invest*(M103+1/lh2_st_lifetime+lh2_st_opex)/(Storage!$Y$63/1000000)+lh2_st_e_demand*1000*$AU103/100)*(FM103+lh2_st_ab_losses)/1000000+((FM103+lh2_st_ab_losses)/365.25*short_st_duration_hrs/24)*(h2_short_st_invest*(1/gh2_short_st_lifetime+$M103+h2_short_st_opex)+h2_short_st_e_demand*1000*$AU103/100)/1000000</f>
        <v>50513.103850187152</v>
      </c>
      <c r="FM103" s="63">
        <f>Storage!$Y$57/((1-Shipping!$Z$37)^($F103/24/Shipping!$Z$44+0.5*Shipping!$Z$59))</f>
        <v>14478603.141897878</v>
      </c>
      <c r="FN103" s="28" t="e">
        <f>IF($E103="","No Port",IF(G103="Panama","Ship cannot pass through Panama",((F103/24/Shipping!$Z$44+F103/24/Shipping!$Z$50+Shipping!$Z$59+Shipping!$Z$64)*(Shipping!$Z$22+wacc_nl*Shipping!$Z$19/365.25*1000000+Shipping!$Z$35)+(F103/24/Shipping!$Z$44*Shipping!$Z$45+Shipping!$Z$64*Shipping!$Z$65)*IF(bunker_choice="HFO",$H103,IF(bunker_choice="hydrogen",$BD103*hfo_e_density_lhv/h2_e_density_lhv,(FK103+FL103)*1000000/FM103*hfo_e_density_lhv/lh2_e_density_lhv))+(F103/24/Shipping!$Z$50*Shipping!$Z$51+Shipping!$Z$59*Shipping!$Z$60)*IF(bunker_choice="HFO",bunker_price_ROT,IF(bunker_choice="hydrogen",$BD103*hfo_e_density_lhv/h2_e_density_lhv,(FK103+FL103)*1000000/FM103*hfo_e_density_lhv/lh2_e_density_lhv))+Shipping!$Z$73+IF(G103="Panama",Shipping!$Z$55,0)+IF(G103="Suez",Shipping!$Z$56,0))/Shipping!$Z$31*(FM103+lh2_st_ab_losses)/1000000)+IF(inland_transport_to_port="hv dc grid",$BM103/100*1000*FP103,IF(inland_transport_to_port="pipeline",$BN103,0)))</f>
        <v>#VALUE!</v>
      </c>
      <c r="FO103" s="28" t="str">
        <f t="shared" si="128"/>
        <v/>
      </c>
      <c r="FP103" s="29">
        <f>((Carriers!$AD$18/Carriers!$AD$23*alk_el_e_demand)+lh2_e_demand)*(FM103+lh2_st_ab_losses)/1000000+lh2_st_e_demand*FM103/1000000</f>
        <v>838.97581697163389</v>
      </c>
      <c r="FQ103" s="100">
        <f t="shared" si="110"/>
        <v>1.361902463475859</v>
      </c>
      <c r="FR103" s="28" t="str">
        <f>IFERROR(FO103*1000000/Storage!$Y$12,"")</f>
        <v/>
      </c>
      <c r="FS103" s="100">
        <f>H2_retrieval!$V$25*h2_demand_kt/1000</f>
        <v>8.16</v>
      </c>
      <c r="FT103" s="28" t="str">
        <f>IFERROR(FR103*(1+H2_retrieval!$V$34)/Carrier_properties!$U$7+H2_retrieval!$V$38,"")</f>
        <v/>
      </c>
      <c r="FU103" s="12"/>
      <c r="FV103" s="24">
        <f t="shared" si="129"/>
        <v>2.4555496280690532</v>
      </c>
      <c r="FW103" s="24">
        <f t="shared" si="143"/>
        <v>3.3352538514171575</v>
      </c>
      <c r="FX103" s="24">
        <f t="shared" si="144"/>
        <v>5.5851296578486345</v>
      </c>
      <c r="FY103" s="24">
        <f t="shared" si="130"/>
        <v>2.4555496280690532</v>
      </c>
      <c r="FZ103" s="28">
        <f t="shared" si="145"/>
        <v>2136.6178474739295</v>
      </c>
      <c r="GA103" s="28">
        <f t="shared" si="137"/>
        <v>508.25854965529538</v>
      </c>
      <c r="GB103" s="28">
        <f t="shared" si="138"/>
        <v>371.202142565239</v>
      </c>
      <c r="GC103" s="28">
        <f t="shared" si="139"/>
        <v>572.92331175730988</v>
      </c>
      <c r="GD103" s="28">
        <f t="shared" si="140"/>
        <v>839.43678865740469</v>
      </c>
      <c r="GE103" s="28">
        <f t="shared" si="141"/>
        <v>1473.7336065018637</v>
      </c>
      <c r="GF103" s="28">
        <f t="shared" si="142"/>
        <v>1525.6185662756466</v>
      </c>
      <c r="GG103" s="12"/>
      <c r="GH103" s="12"/>
      <c r="GI103" s="12"/>
      <c r="GJ103" s="12"/>
      <c r="GK103" s="12"/>
      <c r="GL103" s="12"/>
      <c r="GM103" s="12"/>
      <c r="GN103" s="12"/>
      <c r="GO103" s="12"/>
      <c r="GP103" s="12"/>
      <c r="GQ103" s="12"/>
      <c r="GR103" s="12"/>
      <c r="GS103" s="12"/>
      <c r="GT103" s="12"/>
      <c r="GU103" s="12"/>
      <c r="GV103" s="12"/>
      <c r="GW103" s="12"/>
      <c r="GX103" s="12"/>
      <c r="GY103" s="12"/>
      <c r="GZ103" s="12"/>
      <c r="HA103" s="12"/>
      <c r="HB103" s="12"/>
      <c r="HC103" s="12"/>
      <c r="HD103" s="12"/>
      <c r="HE103" s="12"/>
      <c r="HF103" s="12"/>
    </row>
    <row r="104" spans="1:214" x14ac:dyDescent="0.2">
      <c r="A104" s="154" t="s">
        <v>107</v>
      </c>
      <c r="B104" s="12">
        <v>8916</v>
      </c>
      <c r="C104" s="12">
        <v>0</v>
      </c>
      <c r="D104" s="12">
        <f t="shared" si="111"/>
        <v>1</v>
      </c>
      <c r="E104" s="12" t="s">
        <v>762</v>
      </c>
      <c r="F104" s="12">
        <v>5521</v>
      </c>
      <c r="G104" s="14" t="s">
        <v>113</v>
      </c>
      <c r="H104" s="16">
        <f t="shared" si="112"/>
        <v>382.75862068965517</v>
      </c>
      <c r="I104" s="16">
        <v>120340</v>
      </c>
      <c r="J104" s="16">
        <f t="shared" si="113"/>
        <v>195.71768367563871</v>
      </c>
      <c r="K104" s="27">
        <f t="shared" si="114"/>
        <v>234.86122041076644</v>
      </c>
      <c r="L104" s="103">
        <v>0.14099999999999999</v>
      </c>
      <c r="M104" s="103">
        <f t="shared" si="115"/>
        <v>0.14113641601972132</v>
      </c>
      <c r="N104" s="122">
        <f t="shared" si="116"/>
        <v>0.8</v>
      </c>
      <c r="O104" s="46">
        <f t="shared" si="117"/>
        <v>40</v>
      </c>
      <c r="P104" s="70">
        <f t="array" ref="P104">SUMPRODUCT(IF(Solar_data!A$4:A$777=A104,Solar_data!C$4:C$777),IF(Solar_data!A$4:A$777=A104,Solar_data!I$4:I$777))/SUMIF(Solar_data!A$4:A$777,A104,Solar_data!I$4:I$777)</f>
        <v>1835.5137065818737</v>
      </c>
      <c r="Q104" s="16">
        <f t="array" ref="Q104">MAX(IF(Solar_data!$A$777:'Solar_data'!$A$4=Country_details!$A104,Solar_data!$C$4:'Solar_data'!$C$777))</f>
        <v>2463.75</v>
      </c>
      <c r="R104" s="16">
        <f t="array" ref="R104">MIN(IF(Solar_data!$A$777:'Solar_data'!$A$4=Country_details!A104,Solar_data!$C$4:'Solar_data'!$C$777))</f>
        <v>1733.75</v>
      </c>
      <c r="S104" s="24">
        <f t="shared" ref="S104:S134" si="149">(solar_invest*($M104+1/$O104)+solar_opex)/(P104*$N104)*100</f>
        <v>3.0345427400696887</v>
      </c>
      <c r="T104" s="24">
        <f t="shared" ref="T104:T134" si="150">(solar_invest*($M104+1/$O104)+solar_opex)/(Q104*$N104)*100</f>
        <v>2.2607589214029145</v>
      </c>
      <c r="U104" s="24">
        <f t="shared" ref="U104:U134" si="151">(solar_invest*($M104+1/$O104)+solar_opex)/(R104*$N104)*100</f>
        <v>3.2126574146251938</v>
      </c>
      <c r="V104" s="16">
        <f t="array" ref="V104">SUM(IF(Solar_data!$A$777:'Solar_data'!$A$4=Country_details!$A104,Solar_data!$I$4:'Solar_data'!$I$777))</f>
        <v>861.62350222873374</v>
      </c>
      <c r="W104" s="148"/>
      <c r="X104" s="16">
        <f>IFERROR(INDEX(Onshore_wind_data!$J$5:'Onshore_wind_data'!$J$221,MATCH(A104,Onshore_wind_data!$B$5:'Onshore_wind_data'!$B$221,0)),"")</f>
        <v>3215.4745046418179</v>
      </c>
      <c r="Y104" s="16">
        <f>IFERROR(INDEX(Onshore_wind_data!$K$5:'Onshore_wind_data'!$K$221,MATCH(A104,Onshore_wind_data!$B$5:'Onshore_wind_data'!$B$221,0)),"")</f>
        <v>3971</v>
      </c>
      <c r="Z104" s="16">
        <f>IFERROR(INDEX(Onshore_wind_data!$L$5:'Onshore_wind_data'!$L$221,MATCH(A104,Onshore_wind_data!$B$5:'Onshore_wind_data'!$B$221,0)),"")</f>
        <v>2847.5</v>
      </c>
      <c r="AA104" s="24">
        <f t="shared" si="118"/>
        <v>4.8728505809383371</v>
      </c>
      <c r="AB104" s="24">
        <f t="shared" si="119"/>
        <v>3.9457383046930987</v>
      </c>
      <c r="AC104" s="24">
        <f t="shared" si="120"/>
        <v>5.5025555076159067</v>
      </c>
      <c r="AD104" s="16">
        <f>IFERROR(INDEX(Onshore_wind_data!$I$5:'Onshore_wind_data'!$I$221,MATCH(A104,Onshore_wind_data!$B$5:'Onshore_wind_data'!$B$221,0)),"")</f>
        <v>232.06079500000001</v>
      </c>
      <c r="AE104" s="148"/>
      <c r="AF104" s="16">
        <f>INDEX(Offshore_wind_data!$AA$7:$AA$192,MATCH(Country_details!A104,Offshore_wind_data!$A$7:$A$192,0))</f>
        <v>3713.5765361054391</v>
      </c>
      <c r="AG104" s="16">
        <f>INDEX(Offshore_wind_data!$Y$7:$Y$192,MATCH(Country_details!A104,Offshore_wind_data!$A$7:$A$192,0))</f>
        <v>4204.8</v>
      </c>
      <c r="AH104" s="16">
        <f>INDEX(Offshore_wind_data!$Z$7:$Z$192,MATCH(Country_details!A104,Offshore_wind_data!$A$7:$A$192,0))</f>
        <v>3153.6</v>
      </c>
      <c r="AI104" s="24">
        <f t="shared" ref="AI104:AI134" si="152">IF(AF104="","",(offshore_invest*($M104+1/offshore_lifetime)+offshore_opex)/AF104*100)</f>
        <v>7.9597385311359918</v>
      </c>
      <c r="AJ104" s="24">
        <f t="shared" ref="AJ104:AJ134" si="153">IF(AG104="","",(offshore_invest*($M104+1/offshore_lifetime)+offshore_opex)/AG104*100)</f>
        <v>7.0298464237920921</v>
      </c>
      <c r="AK104" s="24">
        <f t="shared" ref="AK104:AK134" si="154">IF(AH104="","",(offshore_invest*($M104+1/offshore_lifetime)+offshore_opex)/AH104*100)</f>
        <v>9.373128565056124</v>
      </c>
      <c r="AL104" s="16">
        <f>INDEX(Offshore_wind_data!$W$7:$W$191,MATCH(A104,Offshore_wind_data!$A$7:$A$191,0))</f>
        <v>1200.3022080000001</v>
      </c>
      <c r="AM104" s="148"/>
      <c r="AN104" s="12">
        <v>6.2</v>
      </c>
      <c r="AO104" s="12">
        <v>7.9</v>
      </c>
      <c r="AP104" s="34">
        <f>0.593*11.63</f>
        <v>6.8965899999999998</v>
      </c>
      <c r="AQ104" s="15">
        <f t="shared" ref="AQ104:AQ134" si="155">Fut_demand_pc</f>
        <v>50</v>
      </c>
      <c r="AR104" s="12">
        <f t="shared" si="131"/>
        <v>395</v>
      </c>
      <c r="AS104" s="16">
        <f t="shared" si="121"/>
        <v>1898.9865052287341</v>
      </c>
      <c r="AT104" s="12"/>
      <c r="AU104" s="24">
        <f t="shared" si="147"/>
        <v>4.2048151198114416</v>
      </c>
      <c r="AV104" s="16">
        <f t="shared" si="148"/>
        <v>5050.9882112236919</v>
      </c>
      <c r="AW104" s="149">
        <f>HV_DC_Grid!$E$3/(1-AX104)*AU104/100*1000</f>
        <v>5081.3590368614532</v>
      </c>
      <c r="AX104" s="31">
        <f>(1-(1-HV_DC_Grid!$E$25)^(B104*C104*HV_DC_Grid!$E$8/1000))+(1-(1-HV_DC_Grid!$E$26)^(B104*D104*HV_DC_Grid!$E$8/1000))+HV_DC_Grid!$E$35*HV_DC_Grid!$E$28</f>
        <v>0.17250186627068509</v>
      </c>
      <c r="AY104" s="28">
        <f>B104*nl_e_demand/IF(hv_dc_flh="electricity FLH",$AV104,hv_dc_custom)*1000*hv_dc_capacity_multiplier*hv_dc_length_multiplier*1000*(C104*hv_dc_overhead_invest*(hv_dc_overhead_opex+M104+1/hv_dc_lifetime)+D104*hv_dc_sea_invest*(hv_dc_sea_opex+M104+1/hv_dc_lifetime))/1000000+HV_DC_Grid!$E$10*1000*hv_dc_station_invest*hv_dc_station_number*(hv_dc_station_opex+M104+1/hv_dc_lifetime)/1000000</f>
        <v>26692.313958372364</v>
      </c>
      <c r="AZ104" s="24">
        <f>(AW104+AY104)/(HV_DC_Grid!$E$3*1000)*100</f>
        <v>31.773672995233817</v>
      </c>
      <c r="BA104" s="28">
        <f>MIN(((Carriers!$F$26+Carriers!$F$27)*(alk_el_opex+wacc_nl+1/alk_el_lifetime)+IF(hv_dc_flh="electricity FLH",$AV104,hv_dc_custom)*AZ104/100)/(IF(hv_dc_flh="electricity FLH",$AV104,hv_dc_custom)/alk_el_e_demand)*1000,((Carriers!$H$26+Carriers!$H$27)*(pem_el_opex+wacc_nl+1/pem_el_lifetime)+IF(hv_dc_flh="electricity FLH",$AV104,hv_dc_custom)*AZ104/100)/(IF(hv_dc_flh="electricity FLH",$AV104,hv_dc_custom)/pem_el_e_demand)*1000)</f>
        <v>16374.961541966226</v>
      </c>
      <c r="BB104" s="12"/>
      <c r="BC104" s="12"/>
      <c r="BD104" s="149">
        <f>MIN(((Carriers!$F$26+Carriers!$F$27)*(alk_el_opex+M104+1/alk_el_lifetime)+$AV104*$AU104/100)/($AV104/alk_el_e_demand)*1000,((Carriers!$H$26+Carriers!$H$27)*(pem_el_opex+M104+1/pem_el_lifetime)+$AV104*$AU104/100)/($AV104/pem_el_e_demand)*1000)</f>
        <v>2887.8441425144838</v>
      </c>
      <c r="BE104" s="28">
        <f>Storage!$AC$50</f>
        <v>8.1664117557772418</v>
      </c>
      <c r="BF104" s="28">
        <f>((Pipeline!$D$22*Pipeline!$D$24*B104*(pipeline_opex+M104+1/pipeline_lifetime))*(Pipeline!$D$39/Pipeline!$D$3)+(Pipeline!$D$57*(pipeline_comp_opex+M104+1/pipeline_comp_lifetime)+Pipeline!$D$47*1000*Pipeline!$D$45*$AU104/100/1000000))*(Pipeline!$D$75/Pipeline!$D$45)</f>
        <v>21746.621472620474</v>
      </c>
      <c r="BG104" s="28">
        <f>BD104+(BE104+BF104)/Storage!$AC$12*1000000</f>
        <v>4487.4608987186202</v>
      </c>
      <c r="BH104" s="28"/>
      <c r="BI104" s="28"/>
      <c r="BJ104" s="28">
        <f>IF($E104="","No Port",BK104*HV_DC_Grid!$E$3*$AU104/100*1000)</f>
        <v>77.938279510549137</v>
      </c>
      <c r="BK104" s="31">
        <f>IFERROR((1-(1-HV_DC_Grid!$E$25)^(K104*HV_DC_Grid!$E$8/1000))+HV_DC_Grid!$E$35*HV_DC_Grid!$E$28,"")</f>
        <v>1.8535483080655432E-2</v>
      </c>
      <c r="BL104" s="28">
        <f>IFERROR(K104*nl_e_demand/IF(hv_dc_flh="electricity FLH",$AV104,hv_dc_custom)*1000*hv_dc_capacity_multiplier*hv_dc_length_multiplier*1000*(hv_dc_overhead_invest*(hv_dc_overhead_opex+M104+1/hv_dc_lifetime))/1000000+HV_DC_Grid!$E$10*1000*hv_dc_station_invest*hv_dc_station_number*(hv_dc_station_opex+M104+1/hv_dc_lifetime)/1000000,"")</f>
        <v>683.42113823296313</v>
      </c>
      <c r="BM104" s="29">
        <f>IFERROR((BJ104+BL104)/(HV_DC_Grid!$E$3*1000)*100,"")</f>
        <v>0.76135941774351223</v>
      </c>
      <c r="BN104" s="28">
        <f>IFERROR(((Pipeline!$D$22*Pipeline!$D$24*K104*(pipeline_opex+M104+1/pipeline_lifetime))*(Pipeline!$D$39/Pipeline!$D$3)+(Pipeline!$D$57*(pipeline_comp_opex+M104+1/pipeline_comp_lifetime)+Pipeline!$D$47*1000*Pipeline!$D$45*S104/100/1000000))*(Pipeline!$D$75/Pipeline!$D$45),"")</f>
        <v>667.86963225897568</v>
      </c>
      <c r="BO104" s="28"/>
      <c r="BP104" s="150">
        <f t="shared" si="124"/>
        <v>130.1946911688236</v>
      </c>
      <c r="BQ104" s="34">
        <f t="shared" si="125"/>
        <v>38.084368465588405</v>
      </c>
      <c r="BR104" s="151">
        <f>(nh3_invest*(M104+1/nh3_lifetime)/nh3_prod+nh3_opex+nh3_e_demand*1000*$AU104/100+Carriers!$N$18/Carriers!$N$23*BD104+Carriers!$N$19/Carriers!$N$23*BQ104)*(BT104+nh3_st_ab_losses)/1000000</f>
        <v>54012.581207346157</v>
      </c>
      <c r="BS104" s="63">
        <f>nh3_st_nl_cost*nh3_st_nl_demand/1000000+(nh3_st_invest*(M104+1/nh3_st_lifetime+nh3_st_opex)/(Storage!$G$63/1000000)+nh3_st_e_demand*1000*$AU104/100)*(BT104+nh3_st_ab_losses)/1000000+Carriers!$N$18/Carriers!$N$23*((BT104+nh3_st_ab_losses)/365.25*short_st_duration_hrs/24)*(h2_short_st_invest*(1/gh2_short_st_lifetime+$M104+h2_short_st_opex)+h2_short_st_e_demand*1000*$AU104/100)/1000000+Carriers!$N$19/Carriers!$N$23*((BT104+nh3_st_ab_losses)/365.25*short_st_duration_hrs/24)*(n2_short_st_invest*(1/n2_short_st_lifetime+$M104+n2_short_st_opex)+n2_short_st_e_demand*1000*$AU104/100)/1000000</f>
        <v>3656.9498196188902</v>
      </c>
      <c r="BT104" s="63">
        <f>Storage!$G$57/((1-Shipping!$H$37)^(F104/24/Shipping!$H$44+0.5*Shipping!$H$59))</f>
        <v>79586063.372058019</v>
      </c>
      <c r="BU104" s="63">
        <f>IF($E104="","No Port",((F104/24/Shipping!$H$44+F104/24/Shipping!$H$50+Shipping!$H$59+Shipping!$H$64)*(Shipping!$H$22+wacc_nl*Shipping!$H$19/365.25*1000000+Shipping!$H$35)+(F104/24/Shipping!$H$44*Shipping!$H$45+Shipping!$H$64*Shipping!$H$65)*IF(bunker_choice="HFO",H104,IF(bunker_choice="hydrogen",BD104*hfo_e_density_lhv/h2_e_density_lhv,(BR104+BS104)*1000000/BT104*hfo_e_density_lhv/nh3_e_density_lhv))+(F104/24/Shipping!$H$50*Shipping!$H$51+Shipping!$H$59*Shipping!$H$60)*IF(bunker_choice="HFO",bunker_price_ROT,IF(bunker_choice="hydrogen",BD104*hfo_e_density_lhv/h2_e_density_lhv,(BR104+BS104)*1000000/BT104*hfo_e_density_lhv/nh3_e_density_lhv))+Shipping!$H$73+IF(G104="Panama",Shipping!$H$55,0)+IF(G104="Suez",Shipping!$H$56,0))/Shipping!$H$31*BT104/1000000+IF(inland_transport_to_port="hv dc grid",$BM104/100*1000*BW104,IF(inland_transport_to_port="pipeline",$BN104,0)))</f>
        <v>4869.588002119719</v>
      </c>
      <c r="BV104" s="63">
        <f t="shared" si="126"/>
        <v>62539.119029084759</v>
      </c>
      <c r="BW104" s="33">
        <f>((Carriers!$N$18/Carriers!$N$23*alk_el_e_demand)+(Carriers!$N$19/Carriers!$N$23*n2_e_demand)+nh3_e_demand)*(BT104+nh3_st_ab_losses)/1000000+nh3_st_e_demand*BT104/1000000</f>
        <v>785.92810970922528</v>
      </c>
      <c r="BX104" s="33">
        <f t="shared" ref="BX104:BX134" si="156">nh3_st_e_demand*nh3_st_nl_demand/1000000</f>
        <v>0.76626754477640768</v>
      </c>
      <c r="BY104" s="63">
        <f>IFERROR(BV104*1000000/Storage!$G$12,"")</f>
        <v>816.83253375836318</v>
      </c>
      <c r="BZ104" s="63">
        <f>H2_retrieval!$F$25*h2_demand_kt/1000</f>
        <v>80</v>
      </c>
      <c r="CA104" s="63">
        <f>IFERROR(BY104*(1+H2_retrieval!$F$34)/Carrier_properties!$E$7+H2_retrieval!$F$38,"")</f>
        <v>5007.690614135262</v>
      </c>
      <c r="CB104" s="149">
        <f>(FA_invest*(M104+1/FA_lifetime)/FA_prod+FA_opex+FA_e_demand*1000*$AU104/100+Carriers!$P$18/Carriers!$P$23*BD104+Carriers!$P$20/Carriers!$P$23*co2_liq_cost)*(CF104+FA_st_ab_losses)/1000000</f>
        <v>121166.94459551708</v>
      </c>
      <c r="CC104" s="86">
        <f>(FA_invest*(M104+1/FA_lifetime)/FA_prod+FA_opex+FA_e_demand*1000*$AU104/100+Carriers!$P$18/Carriers!$P$23*BD104+Carriers!$P$20/Carriers!$P$23*BP104)*(CF104+FA_st_ab_losses)/1000000</f>
        <v>152846.44702567029</v>
      </c>
      <c r="CD104" s="63">
        <f>FA_st_nl_cost*FA_st_nl_demand/1000000+(FA_st_invest*(M104+1/FA_st_lifetime+FA_st_opex)/(Storage!$I$63/1000000)+FA_st_e_demand*1000*$AU104/100)*(CF104+FA_st_ab_losses)/1000000+co2_st_nl_cost*Storage!$I$12*co2_density/FA_density/1000000+(co2_st_opex_lev+co2_st_invest_lev+co2_st_e_demand*1000*$AU104/100)*Storage!$I$12/1000000+co2_st_invest_lev*Storage!$I$12*co2_st_lifetime*M104/1000000+Carriers!$P$18/Carriers!$P$23*((CF104+FA_st_ab_losses)/365.25*short_st_duration_hrs/24)*(h2_short_st_invest*(1/gh2_short_st_lifetime+$M104+h2_short_st_opex)+h2_short_st_e_demand*1000*$AU104/100)/1000000+Carriers!$P$20/Carriers!$P$23*((CF104+FA_st_ab_losses)/365.25*short_st_duration_hrs/24)*(co2_short_st_invest*(1/co2_short_st_lifetime+$M104+co2_short_st_opex)+co2_short_st_e_demand*1000*$AU104/100)/1000000</f>
        <v>12779.52396226591</v>
      </c>
      <c r="CE104" s="63">
        <f>FA_st_nl_cost*FA_st_nl_demand/1000000+(FA_st_invest*(M104+1/FA_st_lifetime+FA_st_opex)/(Storage!$I$63/1000000)+FA_st_e_demand*1000*$AU104/100)*(CF104+FA_st_ab_losses)/1000000+Carriers!$P$18/Carriers!$P$23*((CF104+FA_st_ab_losses)/365.25*short_st_duration_hrs/24)*(h2_short_st_invest*(1/gh2_short_st_lifetime+$M104+h2_short_st_opex)+h2_short_st_e_demand*1000*$AU104/100)/1000000+Carriers!$P$20/Carriers!$P$23*((CF104+FA_st_ab_losses)/365.25*short_st_duration_hrs/24)*(co2_short_st_invest*(1/co2_short_st_lifetime+$M104+co2_short_st_opex)+co2_short_st_e_demand*1000*$AU104/100)/1000000</f>
        <v>5385.8986099825715</v>
      </c>
      <c r="CF104" s="63">
        <f>Storage!$I$57/((1-Shipping!$J$37)^($F104/24/Shipping!$J$44+0.5*Shipping!$J$59))</f>
        <v>310425396.82539684</v>
      </c>
      <c r="CG104" s="28">
        <f>IF($E104="","No Port",((F104/24/Shipping!$J$44+F104/24/Shipping!$J$50+Shipping!$J$59+Shipping!$J$64)*(Shipping!$J$22+wacc_nl*Shipping!$J$19/365.25*1000000+Shipping!$J$35)+(F104/24/Shipping!$J$44*Shipping!$J$45+Shipping!$J$64*Shipping!$J$65)*IF(bunker_choice="HFO",$H104,IF(bunker_choice="hydrogen",$BD104*hfo_e_density_lhv/h2_e_density_lhv,(CB104+CD104)*1000000/CF104*hfo_e_density_lhv/FA_e_density_lhv))+(F104/24/Shipping!$J$50*Shipping!$J$51+Shipping!$J$59*Shipping!$J$60)*IF(bunker_choice="HFO",bunker_price_ROT,IF(bunker_choice="hydrogen",$BD104*hfo_e_density_lhv/h2_e_density_lhv,(CB104+CD104)*1000000/CF104*hfo_e_density_lhv/FA_e_density_lhv))+Shipping!$J$73+IF(G104="Panama",Shipping!$J$55,0)+IF(G104="Suez",Shipping!$J$56,0))/Shipping!$J$31*CF104/1000000+IF(inland_transport_to_port="hv dc grid",$BM104/100*1000*CI104,IF(inland_transport_to_port="pipeline",$BN104,0)))</f>
        <v>17617.089457961578</v>
      </c>
      <c r="CH104" s="28">
        <f t="shared" si="132"/>
        <v>175849.43509361445</v>
      </c>
      <c r="CI104" s="29">
        <f>((Carriers!$P$18/Carriers!$P$23*alk_el_e_demand)+FA_e_demand)*(CF104+FA_st_ab_losses)/1000000+FA_st_e_demand*CF104/1000000</f>
        <v>1897.8881241622576</v>
      </c>
      <c r="CJ104" s="29">
        <f t="shared" ref="CJ104:CJ134" si="157">FA_st_e_demand*FA_st_nl_demand/1000000</f>
        <v>0.46563809523809524</v>
      </c>
      <c r="CK104" s="28">
        <f>IFERROR(CH104*1000000/Storage!$I$12,"")</f>
        <v>566.47889280954496</v>
      </c>
      <c r="CL104" s="28">
        <f>IF($E104="","No Port",((F104/24/Shipping!$J$44+F104/24/Shipping!$J$50+Shipping!$J$59+Shipping!$J$64)*Carriers!$P$39*wacc_nl))</f>
        <v>273.56253842359706</v>
      </c>
      <c r="CM104" s="29">
        <f>H2_retrieval!$H$25*h2_demand_kt/1000+(co2_liq_e_demand+co2_st_e_demand*2)*Storage!$I$12*co2_density/FA_density/1000000</f>
        <v>94.204253879484654</v>
      </c>
      <c r="CN104" s="28">
        <f>IFERROR((((CB104+CD104+CG104)*(1+H2_retrieval!$H$34)+CL104)*1000000/H2_retrieval!$H$8)+h2_regen_fa,"")</f>
        <v>11254.181526161674</v>
      </c>
      <c r="CO104" s="149">
        <f>(meoh_invest*(M104+1/meoh_lifetime)/meoh_prod+meoh_opex+meoh_e_demand*1000*$AU104/100+Carriers!$R$18/Carriers!$R$23*BD104+Carriers!$R$20/Carriers!$R$23*co2_liq_cost)*(CS104+meoh_st_ab_losses)/1000000</f>
        <v>64162.575259890516</v>
      </c>
      <c r="CP104" s="86">
        <f>(meoh_invest*(M104+1/meoh_lifetime)/meoh_prod+meoh_opex+meoh_e_demand*1000*$AU104/100+Carriers!$R$18/Carriers!$R$23*BD104+Carriers!$R$20/Carriers!$R$23*BP104)*(CS104+meoh_st_ab_losses)/1000000</f>
        <v>82759.421190807683</v>
      </c>
      <c r="CQ104" s="63">
        <f>meoh_st_nl_cost*meoh_st_nl_demand/1000000+(meoh_st_invest*(M104+1/meoh_st_lifetime+meoh_st_opex)/(Storage!$K$63/1000000)+meoh_st_e_demand*1000*$AU104/100)*(CS104+meoh_st_ab_losses)/1000000+co2_st_nl_cost*Storage!$K$12*co2_density/meoh_density/1000000+(co2_st_opex_lev+co2_st_invest_lev+co2_st_e_demand*1000*IFERROR(MIN(S104,AA104,AI104),S104)/100)*Storage!$K$12/1000000+co2_st_invest_lev*Storage!$K$12*co2_st_lifetime*M104/1000000+Carriers!$R$18/Carriers!$R$23*((CS104+meoh_st_ab_losses)/365.25*short_st_duration_hrs/24)*(h2_short_st_invest*(1/gh2_short_st_lifetime+$M104+h2_short_st_opex)+h2_short_st_e_demand*1000*$AU104/100)/1000000+Carriers!$R$20/Carriers!$R$23*((CF104+meoh_st_ab_losses)/365.25*short_st_duration_hrs/24)*(co2_short_st_invest*(1/co2_short_st_lifetime+$M104+co2_short_st_opex)+co2_short_st_e_demand*1000*$AU104/100)/1000000</f>
        <v>5186.6802481789891</v>
      </c>
      <c r="CR104" s="63">
        <f>meoh_st_nl_cost*meoh_st_nl_demand/1000000+(meoh_st_invest*(M104+1/meoh_st_lifetime+meoh_st_opex)/(Storage!$K$63/1000000)+meoh_st_e_demand*1000*$AU104/100)*(CS104+meoh_st_ab_losses)/1000000+Carriers!$R$18/Carriers!$R$23*((CS104+meoh_st_ab_losses)/365.25*short_st_duration_hrs/24)*(h2_short_st_invest*(1/gh2_short_st_lifetime+$M104+h2_short_st_opex)+h2_short_st_e_demand*1000*$AU104/100)/1000000+Carriers!$R$20/Carriers!$R$23*((CF104+meoh_st_ab_losses)/365.25*short_st_duration_hrs/24)*(co2_short_st_invest*(1/co2_short_st_lifetime+$M104+co2_short_st_opex)+co2_short_st_e_demand*1000*$AU104/100)/1000000</f>
        <v>2140.7518548369717</v>
      </c>
      <c r="CS104" s="63">
        <f>Storage!$K$57/((1-Shipping!$L$37)^($F104/24/Shipping!$L$44+0.5*Shipping!$L$59))</f>
        <v>108044444.44444443</v>
      </c>
      <c r="CT104" s="28">
        <f>IF($E104="","No Port",IF(AND(ship_choice="VLCC",G104="Panama"),"Ship cannot pass through Panama",IF(ship_choice="VLCC",((F104/24/Shipping!$AD$44+F104/24/Shipping!$AD$50+Shipping!$AD$59+Shipping!$AD$64)*(Shipping!$AD$22+wacc_nl*Shipping!$AD$19/365.25*1000000+Shipping!$AD$35)+(F104/24/Shipping!$AD$44*Shipping!$AD$45+Shipping!$AD$64*Shipping!$AD$65)*IF(bunker_choice="HFO",$H104,IF(bunker_choice="hydrogen",$BD104*hfo_e_density_lhv/h2_e_density_lhv,(CO104+CQ104)*1000000/CS104*hfo_e_density_lhv/meoh_e_density_lhv))+(F104/24/Shipping!$AD$50*Shipping!$AD$51+Shipping!$AD$59*Shipping!$AD$60)*IF(bunker_choice="HFO",bunker_price_ROT,IF(bunker_choice="hydrogen",$BD104*hfo_e_density_lhv/h2_e_density_lhv,(CO104+CQ104)*1000000/CS104*hfo_e_density_lhv/meoh_e_density_lhv))+Shipping!$AD$73+IF(G104="Panama",Shipping!$AD$55,0)+IF(G104="Suez",Shipping!$AD$56,0))/Shipping!$AD$31*CS104/1000000+IF(inland_transport_to_port="hv dc grid",$BM104/100*1000*CV104,IF(inland_transport_to_port="pipeline",$BN104,0)),((F104/24/Shipping!$L$44+F104/24/Shipping!$L$50+Shipping!$L$59+Shipping!$L$64)*(Shipping!$L$22+wacc_nl*Shipping!$L$19/365.25*1000000+Shipping!$L$35)+(F104/24/Shipping!$L$44*Shipping!$L$45+Shipping!$L$64*Shipping!$L$65)*IF(bunker_choice="HFO",$H104,IF(bunker_choice="hydrogen",$BD104*hfo_e_density_lhv/h2_e_density_lhv,(CO104+CQ104)*1000000/CS104*hfo_e_density_lhv/meoh_e_density_lhv))+(F104/24/Shipping!$L$50*Shipping!$L$51+Shipping!$L$59*Shipping!$L$60)*IF(bunker_choice="HFO",bunker_price_ROT,IF(bunker_choice="hydrogen",$BD104*hfo_e_density_lhv/h2_e_density_lhv,(CO104+CQ104)*1000000/CS104*hfo_e_density_lhv/meoh_e_density_lhv))+Shipping!$L$73+IF(G104="Panama",Shipping!$L$55,0)+IF(G104="Suez",Shipping!$L$56,0))/Shipping!$L$31*CS104/1000000+IF(inland_transport_to_port="hv dc grid",$BM104/100*1000*CV104,IF(inland_transport_to_port="pipeline",$BN104,0)))))</f>
        <v>6270.0977044471238</v>
      </c>
      <c r="CU104" s="28">
        <f t="shared" si="133"/>
        <v>91170.270750091775</v>
      </c>
      <c r="CV104" s="29">
        <f>((Carriers!$R$18/Carriers!$R$23*alk_el_e_demand)+meoh_e_demand)*(CS104+meoh_st_ab_losses)/1000000+meoh_st_e_demand*CS104/1000000</f>
        <v>1119.9789871111109</v>
      </c>
      <c r="CW104" s="29">
        <f t="shared" ref="CW104:CW134" si="158">meoh_st_e_demand*meoh_st_nl_demand/1000000</f>
        <v>0.16206666666666666</v>
      </c>
      <c r="CX104" s="28">
        <f>IFERROR(CU104*1000000/Storage!$K$12,"")</f>
        <v>843.82192179229344</v>
      </c>
      <c r="CY104" s="28">
        <f>IF($E104="","No Port",((F104/24/Shipping!$L$44+F104/24/Shipping!$L$50+Shipping!$L$59+Shipping!$L$64)*Carriers!$R$39*wacc_nl))</f>
        <v>97.960292951934235</v>
      </c>
      <c r="CZ104" s="29">
        <f>H2_retrieval!$J$25*h2_demand_kt/1000+(co2_liq_e_demand+co2_st_e_demand*2)*Storage!$K$12*co2_density/meoh_density/1000000</f>
        <v>251.05079059698966</v>
      </c>
      <c r="DA104" s="28">
        <f>IFERROR((((CO104+CQ104+CT104)*(1+H2_retrieval!$J$34)+CY104)*1000000/H2_retrieval!$J$8)+h2_regen_meoh,"")</f>
        <v>6737.5780656570387</v>
      </c>
      <c r="DB104" s="149">
        <f>(DBT_invest*(M104+1/DBT_lifetime)/DBT_prod+DBT_opex+DBT_e_demand*1000*$AU104/100+Carriers!$T$18/Carriers!$T$23*BD104)*(DD104+DBT_st_ab_losses)/1000000</f>
        <v>42792.538642390449</v>
      </c>
      <c r="DC104" s="28">
        <f>2*(DBT_st_nl_cost*DBT_st_nl_demand/1000000+(DBT_st_invest*(M104+1/DBT_st_lifetime+DBT_st_opex)/(Storage!$M$63/1000000)+DBT_st_e_demand*1000*$AU104/100)*(DD104+DBT_st_ab_losses)/1000000)+Carriers!$T$18/Carriers!$T$23*((DD104+DBT_st_ab_losses)/365.25*short_st_duration_hrs/24)*(h2_short_st_invest*(1/gh2_short_st_lifetime+$M104+h2_short_st_opex)+h2_short_st_e_demand*1000*$AU104/100)/1000000</f>
        <v>4377.6799581743799</v>
      </c>
      <c r="DD104" s="63">
        <f>Storage!$M$57/((1-Shipping!$N$37)^($F104/24/Shipping!$N$44+0.5*Shipping!$N$59))</f>
        <v>219354838.70967743</v>
      </c>
      <c r="DE104" s="28">
        <f>IF($E104="","No Port",IF(AND(ship_choice="VLCC",G104="Panama"),"Ship cannot pass through Panama",IF(ship_choice="VLCC",((F104/24/Shipping!$AD$44+F104/24/Shipping!$AD$50+Shipping!$AD$59+Shipping!$AD$64)*(Shipping!$AD$22+wacc_nl*Shipping!$AD$19/365.25*1000000+Shipping!$AD$35)+(F104/24/Shipping!$AD$44*Shipping!$AD$45+Shipping!$AD$64*Shipping!$AD$65)*IF(bunker_choice="HFO",$H104,IF(bunker_choice="hydrogen",$BD104*hfo_e_density_lhv/h2_e_density_lhv,(DB104+DC104)*1000000/DD104*hfo_e_density_lhv/DBT_e_density_lhv))+(F104/24/Shipping!$AD$50*Shipping!$AD$51+Shipping!$AD$59*Shipping!$AD$60)*IF(bunker_choice="HFO",bunker_price_ROT,IF(bunker_choice="hydrogen",$BD104*hfo_e_density_lhv/h2_e_density_lhv,(DB104+DC104)*1000000/DD104*hfo_e_density_lhv/DBT_e_density_lhv))+Shipping!$AD$73+IF(G104="Panama",Shipping!$AD$55,0)+IF(G104="Suez",Shipping!$AD$56,0))/Shipping!$AD$31*DD104/1000000+IF(inland_transport_to_port="hv dc grid",$BM104/100*1000*DG104,IF(inland_transport_to_port="pipeline",$BN104,0)),((F104/24/Shipping!$N$44+F104/24/Shipping!$N$50+Shipping!$N$59+Shipping!$N$64)*(Shipping!$N$22+wacc_nl*Shipping!$N$19/365.25*1000000+Shipping!$N$35)+(F104/24/Shipping!$N$44*Shipping!$N$45+Shipping!$N$64*Shipping!$N$65)*IF(bunker_choice="HFO",$H104,IF(bunker_choice="hydrogen",$BD104*hfo_e_density_lhv/h2_e_density_lhv,(DB104+DC104)*1000000/DD104*hfo_e_density_lhv/DBT_e_density_lhv))+(F104/24/Shipping!$N$50*Shipping!$N$51+Shipping!$N$59*Shipping!$N$60)*IF(bunker_choice="HFO",bunker_price_ROT,IF(bunker_choice="hydrogen",$BD104*hfo_e_density_lhv/h2_e_density_lhv,(DB104+DC104)*1000000/DD104*hfo_e_density_lhv/DBT_e_density_lhv))+Shipping!$N$73+IF(G104="Panama",Shipping!$N$55,0)+IF(G104="Suez",Shipping!$N$56,0))/Shipping!$N$31*Shipping!$N$86/1000000+IF(inland_transport_to_port="hv dc grid",$BM104/100*1000*DG104,IF(inland_transport_to_port="pipeline",$BN104,0)))))</f>
        <v>11217.305333801147</v>
      </c>
      <c r="DF104" s="28">
        <f t="shared" ref="DF104:DF154" si="159">IFERROR(DB104+DC104+DE104,"")</f>
        <v>58387.52393436597</v>
      </c>
      <c r="DG104" s="29">
        <f>((Carriers!$T$18/Carriers!$T$23*alk_el_e_demand)+DBT_e_demand)*(DD104+DBT_st_ab_losses)/1000000+DBT_st_e_demand*DD104/1000000</f>
        <v>703.88335483870969</v>
      </c>
      <c r="DH104" s="29">
        <f t="shared" ref="DH104:DH134" si="160">DBT_st_e_demand*DBT_st_nl_demand/1000000</f>
        <v>0.21935483870967742</v>
      </c>
      <c r="DI104" s="28">
        <f>IFERROR(DF104*1000000/Storage!$M$12,"")</f>
        <v>266.17841793608011</v>
      </c>
      <c r="DJ104" s="28">
        <f>IF($E104="","No Port",((F104/24/Shipping!$N$44+F104/24/Shipping!$N$50+Shipping!$N$59+Shipping!$N$64)*Carriers!$T$39*wacc_nl))</f>
        <v>7134.7699960642376</v>
      </c>
      <c r="DK104" s="100">
        <f>H2_retrieval!$L$25*h2_demand_kt/1000+(co2_liq_e_demand+co2_st_e_demand*2)*Storage!$M$12*co2_density/DBT_density/1000000</f>
        <v>206.61934861671787</v>
      </c>
      <c r="DL104" s="28">
        <f>IFERROR(((DF104*(1+H2_retrieval!$L$34)+DJ104)*1000000/H2_retrieval!$L$8)+h2_regen_lohc,"")</f>
        <v>5288.4655108174866</v>
      </c>
      <c r="DM104" s="149">
        <f t="shared" si="127"/>
        <v>67822.773605447161</v>
      </c>
      <c r="DN104" s="16">
        <f>2*(nabh4_st_nl_cost*nabh4_st_nl_demand/1000000+(nabh4_st_invest*(M104+1/nabh4_st_lifetime+nabh4_st_opex)/(Storage!$O$63/1000000)+nabh4_st_e_demand*1000*$AU104/100)*(DO104+nabh4_st_ab_losses)/1000000)+(h2_demand_kt*1000/365.25*short_st_duration_hrs/24)*(h2_short_st_invest*(1/gh2_short_st_lifetime+$M104+h2_short_st_opex)+h2_short_st_e_demand*1000*$AU104/100)/1000000</f>
        <v>1576.6583510981764</v>
      </c>
      <c r="DO104" s="63">
        <f>Storage!$O$57/((1-Shipping!$P$37)^($F104/24/Shipping!$P$44+0.5*Shipping!$P$59))</f>
        <v>63920000</v>
      </c>
      <c r="DP104" s="16">
        <f>IF($E104="","No Port",((F104/24/Shipping!$P$44+F104/24/Shipping!$P$50+Shipping!$P$59+Shipping!$P$64)*(Shipping!$P$22+wacc_nl*Shipping!$P$19/365.25*1000000+Shipping!$P$35)+(F104/24/Shipping!$P$44*Shipping!$P$45+Shipping!$P$64*Shipping!$P$65)*IF(bunker_choice="HFO",$H104,IF(bunker_choice="hydrogen",$BD104*hfo_e_density_lhv/h2_e_density_lhv,(DM104+DN104)*1000000/DO104*hfo_e_density_lhv/nabh4_e_density_lhv))+(F104/24/Shipping!$P$50*Shipping!$P$51+Shipping!$P$59*Shipping!$P$60)*IF(bunker_choice="HFO",bunker_price_ROT,IF(bunker_choice="hydrogen",$BD104*hfo_e_density_lhv/h2_e_density_lhv,(DM104+DN104)*1000000/DO104*hfo_e_density_lhv/nabh4_e_density_lhv))+Shipping!$P$73+IF(G104="Panama",Shipping!$P$55,0)+IF(G104="Suez",Shipping!$P$56,0))/Shipping!$P$31*(DO104+nabh4_st_ab_losses)/1000000+IF(inland_transport_to_port="hv dc grid",$BM104/100*1000*DR104,IF(inland_transport_to_port="pipeline",$BN104,0)))</f>
        <v>4124.0372790532037</v>
      </c>
      <c r="DQ104" s="28">
        <f t="shared" si="146"/>
        <v>73523.469235598532</v>
      </c>
      <c r="DR104" s="29">
        <f>((Carriers!$V$18/Carriers!$V$23*alk_el_e_demand)+nabh4_e_demand)*(DO104+nabh4_st_ab_losses)/1000000+nabh4_st_e_demand*DO104/1000000</f>
        <v>980.02139682539689</v>
      </c>
      <c r="DS104" s="28">
        <f t="shared" ref="DS104:DS134" si="161">nabh4_st_e_demand*nabh4_st_nl_demand/1000000</f>
        <v>3.1960000000000002</v>
      </c>
      <c r="DT104" s="28">
        <f>IFERROR(DQ104*1000000/Storage!$O$12,"")</f>
        <v>1150.2420093178744</v>
      </c>
      <c r="DU104" s="28">
        <f>IF($E104="","No Port",((F104/24/Shipping!$P$44+F104/24/Shipping!$P$50+Shipping!$P$59+Shipping!$P$64)*Carriers!$V$39*wacc_nl))</f>
        <v>661.11319276873166</v>
      </c>
      <c r="DV104" s="100">
        <f>H2_retrieval!$N$25*h2_demand_kt/1000+(co2_liq_e_demand+co2_st_e_demand*2)*Storage!$O$12*co2_density/nabh4_density/1000000</f>
        <v>18.783638728971958</v>
      </c>
      <c r="DW104" s="28">
        <f>IFERROR(((DQ104*(1+H2_retrieval!$N$34)+DU104)*1000000/H2_retrieval!$N$8)+h2_regen_nabh4,"")</f>
        <v>5569.7456672947019</v>
      </c>
      <c r="DX104" s="149">
        <f>(Dme_invest*(M104+1/Dme_lifetime)/Dme_prod+Dme_opex+Dme_e_demand*1000*$AU104/100+Carriers!$X$21/Carriers!$X$23*(CO104*1000000/CS104))*(EB104+Dme_st_ab_losses)/1000000</f>
        <v>90873.595278901586</v>
      </c>
      <c r="DY104" s="86">
        <f>(Dme_invest*(M104+1/Dme_lifetime)/Dme_prod+Dme_opex+Dme_e_demand*1000*$AU104/100+Carriers!$X$21/Carriers!$X$23*(CP104*1000000/CS104))*(EB104+Dme_st_ab_losses)/1000000</f>
        <v>116103.26688939385</v>
      </c>
      <c r="DZ104" s="63">
        <f>Dme_st_nl_cost*Dme_st_nl_demand/1000000+(Dme_st_invest*(M104+1/Dme_st_lifetime+Dme_st_opex)/(Storage!$Q$63/1000000)+Dme_st_e_demand*1000*$AU104/100)*(EB104+Dme_st_ab_losses)/1000000+co2_st_nl_cost*Storage!$Q$12*co2_density/Dme_density/1000000+(co2_st_opex_lev+co2_st_invest_lev+co2_st_e_demand*1000*$AU104/100)*Storage!$Q$12/1000000+co2_st_invest_lev*Storage!$Q$12*co2_st_lifetime*M104/1000000+(h2_demand_kt*1000/365.25*short_st_duration_hrs/24)*(h2_short_st_invest*(1/gh2_short_st_lifetime+$M104+h2_short_st_opex)+h2_short_st_e_demand*1000*$AU104/100)/1000000</f>
        <v>6366.630793716321</v>
      </c>
      <c r="EA104" s="63">
        <f>Dme_st_nl_cost*Dme_st_nl_demand/1000000+(Dme_st_invest*(M104+1/Dme_st_lifetime+Dme_st_opex)/(Storage!$Q$63/1000000)+Dme_st_e_demand*1000*$AU104/100)*(EB104+Dme_st_ab_losses)/1000000+(h2_demand_kt*1000/365.25*short_st_duration_hrs/24)*(h2_short_st_invest*(1/gh2_short_st_lifetime+$M104+h2_short_st_opex)+h2_short_st_e_demand*1000*$AU104/100)/1000000</f>
        <v>3199.4103021928063</v>
      </c>
      <c r="EB104" s="63">
        <f>Storage!$Q$57/((1-Shipping!$R$37)^($F104/24/Shipping!$R$44+0.5*Shipping!$R$59))</f>
        <v>103547089.94708996</v>
      </c>
      <c r="EC104" s="153">
        <f>IF($E104="","No Port",IF(AND(ship_choice="VLCC",G104="Panama"),"Ship cannot pass through Panama",IF(ship_choice="VLCC",((F104/24/Shipping!$AD$44+F104/24/Shipping!$AD$50+Shipping!$AD$59+Shipping!$AD$64)*(Shipping!$AD$22+wacc_nl*Shipping!$AD$19/365.25*1000000+Shipping!$AD$35)+(F104/24/Shipping!$AD$44*Shipping!$AD$45+Shipping!$AD$64*Shipping!$AD$65)*IF(bunker_choice="HFO",$H104,IF(bunker_choice="hydrogen",$BD104*hfo_e_density_lhv/h2_e_density_lhv,(DX104+DZ104)*1000000/EB104*hfo_e_density_lhv/Dme_e_density_lhv))+(F104/24/Shipping!$AD$50*Shipping!$AD$51+Shipping!$AD$59*Shipping!$AD$60)*IF(bunker_choice="HFO",bunker_price_ROT,IF(bunker_choice="hydrogen",$BD104*hfo_e_density_lhv/h2_e_density_lhv,(DX104+DZ104)*1000000/EB104*hfo_e_density_lhv/Dme_e_density_lhv))+Shipping!$AD$73+IF(G104="Panama",Shipping!$AD$55,0)+IF(G104="Suez",Shipping!$AD$56,0))/Shipping!$AD$31*(EB104+Dme_st_ab_losses)/1000000+IF(inland_transport_to_port="hv dc grid",$BM104/100*1000*EE104,IF(inland_transport_to_port="pipeline",$BN104,0)),((F104/24/Shipping!$R$44+F104/24/Shipping!$R$50+Shipping!$R$59+Shipping!$R$64)*(Shipping!$R$22+wacc_nl*Shipping!$R$19/365.25*1000000+Shipping!$R$35)+(F104/24/Shipping!$R$44*Shipping!$R$45+Shipping!$R$64*Shipping!$R$65)*IF(bunker_choice="HFO",$H104,IF(bunker_choice="hydrogen",$BD104*hfo_e_density_lhv/h2_e_density_lhv,(DX104+DZ104)*1000000/EB104*hfo_e_density_lhv/Dme_e_density_lhv))+(F104/24/Shipping!$R$50*Shipping!$R$51+Shipping!$R$59*Shipping!$R$60)*IF(bunker_choice="HFO",bunker_price_ROT,IF(bunker_choice="hydrogen",$BD104*hfo_e_density_lhv/h2_e_density_lhv,(DX104+DZ104)*1000000/EB104*hfo_e_density_lhv/Dme_e_density_lhv))+Shipping!$R$73+IF(G104="Panama",Shipping!$R$55,0)+IF(G104="Suez",Shipping!$R$56,0))/Shipping!$R$31*(EB104+Dme_st_ab_losses)/1000000+IF(inland_transport_to_port="hv dc grid",$BM104/100*1000*EE104,IF(inland_transport_to_port="pipeline",$BN104,0)))))</f>
        <v>6263.779693099179</v>
      </c>
      <c r="ED104" s="28">
        <f t="shared" si="134"/>
        <v>125566.45688468583</v>
      </c>
      <c r="EE104" s="29">
        <f>(Dme_e_demand)*(EB104+Dme_st_ab_losses)/1000000+Dme_st_e_demand*DZ104/1000000+$CV104*(Carriers!$X$21/Carriers!$X$23*EB104)/$CS104</f>
        <v>1550.2168238333638</v>
      </c>
      <c r="EF104" s="29">
        <f t="shared" ref="EF104:EF134" si="162">Dme_st_e_demand*Dme_st_nl_demand/1000000</f>
        <v>1.0354708994708997</v>
      </c>
      <c r="EG104" s="28">
        <f>IFERROR(ED104*1000000/Storage!$Q$12,"")</f>
        <v>1212.6507557947523</v>
      </c>
      <c r="EH104" s="28">
        <f>IF($E104="","No Port",((F104/24/Shipping!$R$44+F104/24/Shipping!$R$50+Shipping!$R$59+Shipping!$R$64)*Carriers!$X$39*wacc_nl))</f>
        <v>101.74018456980897</v>
      </c>
      <c r="EI104" s="100">
        <f>H2_retrieval!$P$25*h2_demand_kt/1000+(co2_liq_e_demand+co2_st_e_demand*2)*Storage!$Q$12*co2_density/Dme_density/1000000</f>
        <v>252.45335899349112</v>
      </c>
      <c r="EJ104" s="28">
        <f>IFERROR((((DX104+DZ104+EC104)*(1+H2_retrieval!$P$34)+EH104)*1000000/H2_retrieval!$P$8)+h2_regen_dme,"")</f>
        <v>8788.1980983642679</v>
      </c>
      <c r="EK104" s="149">
        <f>(ome_invest*(M104+1/ome_lifetime)/ome_prod+ome_opex+ome_e_demand*1000*$AU104/100+Carriers!$Z$21/Carriers!$Z$23*(CO104*1000000/CS104))*(EO104+ome_st_ab_losses)/1000000</f>
        <v>199403.84009037676</v>
      </c>
      <c r="EL104" s="86">
        <f>(ome_invest*(M104+1/ome_lifetime)/ome_prod+ome_opex+ome_e_demand*1000*$AU104/100+Carriers!$Z$21/Carriers!$Z$23*(CP104*1000000/CS104))*(EO104+ome_st_ab_losses)/1000000</f>
        <v>252365.83208520673</v>
      </c>
      <c r="EM104" s="63">
        <f>ome_st_nl_cost*ome_st_nl_demand/1000000+(ome_st_invest*(M104+1/ome_st_lifetime+ome_st_opex)/(Storage!$S$63/1000000)+ome_st_e_demand*1000*$AU104/100)*(EO104+ome_st_ab_losses)/1000000+co2_st_nl_cost*Storage!$S$12*co2_density/ome_density/1000000+(co2_st_opex_lev+co2_st_invest_lev+co2_st_e_demand*1000*$AU104/100)*Storage!$S$12/1000000+co2_st_invest_lev*Storage!$S$12*co2_st_lifetime*M104/1000000+(h2_demand_kt*1000/365.25*short_st_duration_hrs/24)*(h2_short_st_invest*(1/gh2_short_st_lifetime+$M104+h2_short_st_opex)+h2_short_st_e_demand*1000*$AU104/100)/1000000</f>
        <v>5507.6883190742119</v>
      </c>
      <c r="EN104" s="63">
        <f>ome_st_nl_cost*ome_st_nl_demand/1000000+(ome_st_invest*(M104+1/ome_st_lifetime+ome_st_opex)/(Storage!$S$63/1000000)+ome_st_e_demand*1000*$AU104/100)*(EO104+ome_st_ab_losses)/1000000+(h2_demand_kt*1000/365.25*short_st_duration_hrs/24)*(h2_short_st_invest*(1/gh2_short_st_lifetime+$M104+h2_short_st_opex)+h2_short_st_e_demand*1000*$AU104/100)/1000000</f>
        <v>1922.8463369848064</v>
      </c>
      <c r="EO104" s="63">
        <f>Storage!$S$57/((1-Shipping!$T$37)^($F104/24/Shipping!$T$44+0.5*Shipping!$T$59))</f>
        <v>128282539.68253967</v>
      </c>
      <c r="EP104" s="28">
        <f>IF($E104="","No Port",IF(AND(ship_choice="VLCC",G104="Panama"),"Ship cannot pass through Panama",IF(ship_choice="VLCC",((F104/24/Shipping!$AD$44+F104/24/Shipping!$AD$50+Shipping!$AD$59+Shipping!$AD$64)*(Shipping!$AD$22+wacc_nl*Shipping!$AD$19/365.25*1000000+Shipping!$AD$35)+(F104/24/Shipping!$AD$44*Shipping!$AD$45+Shipping!$AD$64*Shipping!$AD$65)*IF(bunker_choice="HFO",$H104,IF(bunker_choice="hydrogen",$BD104*hfo_e_density_lhv/h2_e_density_lhv,(EK104+EM104)*1000000/EO104*hfo_e_density_lhv/Dme_e_density_lhv))+(F104/24/Shipping!$AD$50*Shipping!$AD$51+Shipping!$AD$59*Shipping!$AD$60)*IF(bunker_choice="HFO",bunker_price_ROT,IF(bunker_choice="hydrogen",$BD104*hfo_e_density_lhv/h2_e_density_lhv,(EK104+EM104)*1000000/EO104*hfo_e_density_lhv/ome_e_density_lhv))+Shipping!$AD$73+IF(G104="Panama",Shipping!$AD$55,0)+IF(G104="Suez",Shipping!$AD$56,0))/Shipping!$AD$31*(EO104+ome_st_ab_losses)/1000000+IF(inland_transport_to_port="hv dc grid",$BM104/100*1000*ER104,IF(inland_transport_to_port="pipeline",$BN104,0)),((F104/24/Shipping!$T$44+F104/24/Shipping!$T$50+Shipping!$T$59+Shipping!$T$64)*(Shipping!$T$22+wacc_nl*Shipping!$T$19/365.25*1000000+Shipping!$T$35)+(F104/24/Shipping!$T$44*Shipping!$T$45+Shipping!$T$64*Shipping!$T$65)*IF(bunker_choice="HFO",$H104,IF(bunker_choice="hydrogen",$BD104*hfo_e_density_lhv/h2_e_density_lhv,(EK104+EM104)*1000000/EO104*hfo_e_density_lhv/Dme_e_density_lhv))+(F104/24/Shipping!$T$50*Shipping!$T$51+Shipping!$T$59*Shipping!$T$60)*IF(bunker_choice="HFO",bunker_price_ROT,IF(bunker_choice="hydrogen",$BD104*hfo_e_density_lhv/h2_e_density_lhv,(EK104+EM104)*1000000/EO104*hfo_e_density_lhv/ome_e_density_lhv))+Shipping!$T$73+IF(G104="Panama",Shipping!$T$55,0)+IF(G104="Suez",Shipping!$T$56,0))/Shipping!$T$31*(EO104+ome_st_ab_losses)/1000000+IF(inland_transport_to_port="hv dc grid",$BM104/100*1000*ER104,IF(inland_transport_to_port="pipeline",$BN104,0)))))</f>
        <v>6944.0867845678868</v>
      </c>
      <c r="EQ104" s="28">
        <f t="shared" si="135"/>
        <v>261232.76520675942</v>
      </c>
      <c r="ER104" s="29">
        <f>(ome_e_demand)*(EO104+ome_st_ab_losses)/1000000+ome_st_e_demand*EM104/1000000+$CV104*(Carriers!$Z$21/Carriers!$Z$23*EO104)/$CS104</f>
        <v>3352.081458402316</v>
      </c>
      <c r="ES104" s="29">
        <f t="shared" ref="ES104:ES134" si="163">ome_st_e_demand*ome_st_nl_demand/1000000</f>
        <v>0.1924238095238095</v>
      </c>
      <c r="ET104" s="28">
        <f>IFERROR(EQ104*1000000/Storage!$S$12,"")</f>
        <v>2036.3859793642314</v>
      </c>
      <c r="EU104" s="28">
        <f>IF($E104="","No Port",((F104/24/Shipping!$T$44+F104/24/Shipping!$T$50+Shipping!$T$59+Shipping!$T$64)*Carriers!$Z$39*wacc_nl))</f>
        <v>116.30949867469914</v>
      </c>
      <c r="EV104" s="100">
        <f>H2_retrieval!$R$25*h2_demand_kt/1000+(co2_liq_e_demand+co2_st_e_demand*2)*Storage!$S$12*co2_density/ome_density/1000000</f>
        <v>254.51942895252085</v>
      </c>
      <c r="EW104" s="28">
        <f>IFERROR((((EK104+EM104+EP104)*(1+H2_retrieval!$R$34)+EU104)*1000000/H2_retrieval!$R$8)+h2_regen_ome,"")</f>
        <v>16756.299476482407</v>
      </c>
      <c r="EX104" s="149">
        <f>(sng_invest*(M104+1/sng_lifetime)/sng_prod+lng_invest*(M104+1/lng_lifetime)/lng_prod+sng_opex+lng_opex+(sng_e_demand+lng_e_demand)*1000*$AU104/100+Carriers!$AB$18/Carriers!$AB$23*BD104+Carriers!$AB$20/Carriers!$AB$23*co2_liq_cost)*(FB104+lng_st_ab_losses)/1000000</f>
        <v>70218.298691435513</v>
      </c>
      <c r="EY104" s="86">
        <f>(sng_invest*(M104+1/sng_lifetime)/sng_prod+lng_invest*(M104+1/lng_lifetime)/lng_prod+sng_opex+lng_opex+(sng_e_demand+lng_e_demand)*1000*$AU104/100+Carriers!$AB$18/Carriers!$AB$23*BD104+Carriers!$AB$20/Carriers!$AB$23*BP104)*(FB104+lng_st_ab_losses)/1000000</f>
        <v>84215.75805115221</v>
      </c>
      <c r="EZ104" s="63">
        <f>lng_st_nl_cost*lng_st_nl_demand/1000000+(lng_st_invest*(M104+1/lng_st_lifetime+lng_st_opex)/(Storage!$U$63/1000000)+lng_st_e_demand*1000*$AU104/100)*(FB104+lng_st_ab_losses)/1000000+co2_st_nl_cost*Storage!$U$12*co2_density/lng_density/1000000+(co2_st_opex_lev+co2_st_invest_lev+co2_st_e_demand*1000*$AU104/100)*Storage!$U$12/1000000+co2_st_invest_lev*Storage!$U$12*co2_st_lifetime*M104/1000000+Carriers!$AB$18/Carriers!$AB$23*((FB104+lng_st_ab_losses)/365.25*short_st_duration_hrs/24)*(h2_short_st_invest*(1/gh2_short_st_lifetime+$M104+h2_short_st_opex)+h2_short_st_e_demand*1000*$AU104/100)/1000000+Carriers!$AB$20/Carriers!$AB$23*((FB104+lng_st_ab_losses)/365.25*short_st_duration_hrs/24)*(co2_short_st_invest*(1/co2_short_st_lifetime+$M104+co2_short_st_opex)+co2_short_st_e_demand*1000*$AU104/100)/1000000</f>
        <v>6693.9470742181393</v>
      </c>
      <c r="FA104" s="63">
        <f>lng_st_nl_cost*lng_st_nl_demand/1000000+(lng_st_invest*(M104+1/lng_st_lifetime+lng_st_opex)/(Storage!$U$63/1000000)+lng_st_e_demand*1000*$AU104/100)*(FB104+lng_st_ab_losses)/1000000+Carriers!$AB$18/Carriers!$AB$23*((FB104+lng_st_ab_losses)/365.25*short_st_duration_hrs/24)*(h2_short_st_invest*(1/gh2_short_st_lifetime+$M104+h2_short_st_opex)+h2_short_st_e_demand*1000*$AU104/100)/1000000+Carriers!$AB$20/Carriers!$AB$23*((FB104+lng_st_ab_losses)/365.25*short_st_duration_hrs/24)*(co2_short_st_invest*(1/co2_short_st_lifetime+$M104+co2_short_st_opex)+co2_short_st_e_demand*1000*$AU104/100)/1000000</f>
        <v>5014.9019828269365</v>
      </c>
      <c r="FB104" s="63">
        <f>Storage!$U$57/((1-Shipping!$V$37)^($F104/24/Shipping!$V$44+0.5*Shipping!$V$59))</f>
        <v>41436701.039427385</v>
      </c>
      <c r="FC104" s="28" t="e">
        <f>IF($E104="","No Port",IF(G104="Panama","Ship cannot pass through Panama",((F104/24/Shipping!$V$44+F104/24/Shipping!$V$50+Shipping!$V$59+Shipping!$V$64)*(Shipping!$V$22+wacc_nl*Shipping!$V$19/365.25*1000000+Shipping!$V$35)+(F104/24/Shipping!$V$44*Shipping!$V$45+Shipping!$V$64*Shipping!$V$65)*IF(bunker_choice="HFO",$H104,IF(bunker_choice="hydrogen",$BD104*hfo_e_density_lhv/h2_e_density_lhv,(EX104+EZ104)*1000000/FB104*hfo_e_density_lhv/lng_e_density_lhv))+(F104/24/Shipping!$V$50*Shipping!$V$51+Shipping!$V$59*Shipping!$V$60)*IF(bunker_choice="HFO",bunker_price_ROT,IF(bunker_choice="hydrogen",$BD104*hfo_e_density_lhv/h2_e_density_lhv,(EX104+EZ104)*1000000/FB104*hfo_e_density_lhv/lng_e_density_lhv))+Shipping!$V$73+IF(G104="Panama",Shipping!$V$55,0)+IF(G104="Suez",Shipping!$V$56,0))/Shipping!$V$31*(FB104+lng_st_ab_losses)/1000000)+IF(inland_transport_to_port="hv dc grid",$BM104/100*1000*FE104,IF(inland_transport_to_port="pipeline",$BN104,0)))</f>
        <v>#VALUE!</v>
      </c>
      <c r="FD104" s="28" t="str">
        <f t="shared" si="136"/>
        <v/>
      </c>
      <c r="FE104" s="29">
        <f>((Carriers!$AB$18/Carriers!$AB$23*alk_el_e_demand)+sng_e_demand+lng_e_demand)*(FB104+lng_st_ab_losses)/1000000+lng_st_e_demand*EZ104/1000000</f>
        <v>1111.2935080592501</v>
      </c>
      <c r="FF104" s="29">
        <f t="shared" ref="FF104:FF134" si="164">lng_st_e_demand*lng_st_nl_demand/1000000</f>
        <v>0.8126185861001558</v>
      </c>
      <c r="FG104" s="28" t="str">
        <f>IFERROR(FD104*1000000/Storage!$U$12,"")</f>
        <v/>
      </c>
      <c r="FH104" s="28">
        <f>IF($E104="","No Port",((F104/24/Shipping!$V$44+F104/24/Shipping!$V$50+Shipping!$V$59+Shipping!$V$64)*Carriers!$AB$39*wacc_nl))</f>
        <v>34.23509452601909</v>
      </c>
      <c r="FI104" s="100">
        <f>H2_retrieval!$T$25*h2_demand_kt/1000+(co2_liq_e_demand+co2_st_e_demand*2)*Storage!$U$12*co2_density/lng_density/1000000</f>
        <v>236.51371749646054</v>
      </c>
      <c r="FJ104" s="28" t="str">
        <f>IFERROR((((EX104+EZ104+FC104)*(1+H2_retrieval!$T$34)+FH104)*1000000/H2_retrieval!$T$8)+h2_regen_lng,"")</f>
        <v/>
      </c>
      <c r="FK104" s="149">
        <f>(lh2_invest*(M104+1/lh2_lifetime)/lh2_prod+lh2_opex+lh2_e_demand*1000*$AU104/100+Carriers!$AD$18/Carriers!$AD$23*BD104)*(FM104+lh2_st_ab_losses)/1000000</f>
        <v>56603.164939658527</v>
      </c>
      <c r="FL104" s="28">
        <f>lh2_st_nl_cost*lh2_st_nl_demand/1000000+(lh2_st_invest*(M104+1/lh2_st_lifetime+lh2_st_opex)/(Storage!$Y$63/1000000)+lh2_st_e_demand*1000*$AU104/100)*(FM104+lh2_st_ab_losses)/1000000+((FM104+lh2_st_ab_losses)/365.25*short_st_duration_hrs/24)*(h2_short_st_invest*(1/gh2_short_st_lifetime+$M104+h2_short_st_opex)+h2_short_st_e_demand*1000*$AU104/100)/1000000</f>
        <v>57960.337089663233</v>
      </c>
      <c r="FM104" s="63">
        <f>Storage!$Y$57/((1-Shipping!$Z$37)^($F104/24/Shipping!$Z$44+0.5*Shipping!$Z$59))</f>
        <v>14053891.511469882</v>
      </c>
      <c r="FN104" s="28" t="e">
        <f>IF($E104="","No Port",IF(G104="Panama","Ship cannot pass through Panama",((F104/24/Shipping!$Z$44+F104/24/Shipping!$Z$50+Shipping!$Z$59+Shipping!$Z$64)*(Shipping!$Z$22+wacc_nl*Shipping!$Z$19/365.25*1000000+Shipping!$Z$35)+(F104/24/Shipping!$Z$44*Shipping!$Z$45+Shipping!$Z$64*Shipping!$Z$65)*IF(bunker_choice="HFO",$H104,IF(bunker_choice="hydrogen",$BD104*hfo_e_density_lhv/h2_e_density_lhv,(FK104+FL104)*1000000/FM104*hfo_e_density_lhv/lh2_e_density_lhv))+(F104/24/Shipping!$Z$50*Shipping!$Z$51+Shipping!$Z$59*Shipping!$Z$60)*IF(bunker_choice="HFO",bunker_price_ROT,IF(bunker_choice="hydrogen",$BD104*hfo_e_density_lhv/h2_e_density_lhv,(FK104+FL104)*1000000/FM104*hfo_e_density_lhv/lh2_e_density_lhv))+Shipping!$Z$73+IF(G104="Panama",Shipping!$Z$55,0)+IF(G104="Suez",Shipping!$Z$56,0))/Shipping!$Z$31*(FM104+lh2_st_ab_losses)/1000000)+IF(inland_transport_to_port="hv dc grid",$BM104/100*1000*FP104,IF(inland_transport_to_port="pipeline",$BN104,0)))</f>
        <v>#VALUE!</v>
      </c>
      <c r="FO104" s="28" t="str">
        <f t="shared" si="128"/>
        <v/>
      </c>
      <c r="FP104" s="29">
        <f>((Carriers!$AD$18/Carriers!$AD$23*alk_el_e_demand)+lh2_e_demand)*(FM104+lh2_st_ab_losses)/1000000+lh2_st_e_demand*FM104/1000000</f>
        <v>814.39775491876583</v>
      </c>
      <c r="FQ104" s="100">
        <f t="shared" ref="FQ104:FQ134" si="165">lh2_st_e_demand*lh2_st_nl_demand/1000000</f>
        <v>1.361902463475859</v>
      </c>
      <c r="FR104" s="28" t="str">
        <f>IFERROR(FO104*1000000/Storage!$Y$12,"")</f>
        <v/>
      </c>
      <c r="FS104" s="100">
        <f>H2_retrieval!$V$25*h2_demand_kt/1000</f>
        <v>8.16</v>
      </c>
      <c r="FT104" s="28" t="str">
        <f>IFERROR(FR104*(1+H2_retrieval!$V$34)/Carrier_properties!$U$7+H2_retrieval!$V$38,"")</f>
        <v/>
      </c>
      <c r="FU104" s="12"/>
      <c r="FV104" s="24">
        <f t="shared" si="129"/>
        <v>3.0345427400696887</v>
      </c>
      <c r="FW104" s="24">
        <f t="shared" si="143"/>
        <v>4.8728505809383371</v>
      </c>
      <c r="FX104" s="24">
        <f t="shared" si="144"/>
        <v>7.9597385311359918</v>
      </c>
      <c r="FY104" s="24">
        <f t="shared" si="130"/>
        <v>3.0345427400696887</v>
      </c>
      <c r="FZ104" s="28">
        <f t="shared" si="145"/>
        <v>2887.8441425144838</v>
      </c>
      <c r="GA104" s="28">
        <f t="shared" si="137"/>
        <v>678.66883872421192</v>
      </c>
      <c r="GB104" s="28">
        <f t="shared" si="138"/>
        <v>492.37739111803711</v>
      </c>
      <c r="GC104" s="28">
        <f t="shared" si="139"/>
        <v>765.97572060599464</v>
      </c>
      <c r="GD104" s="28">
        <f t="shared" si="140"/>
        <v>1121.2605486906471</v>
      </c>
      <c r="GE104" s="28">
        <f t="shared" si="141"/>
        <v>1967.2656365374082</v>
      </c>
      <c r="GF104" s="28">
        <f t="shared" si="142"/>
        <v>2032.39533888135</v>
      </c>
      <c r="GG104" s="12"/>
      <c r="GH104" s="12"/>
      <c r="GI104" s="12"/>
      <c r="GJ104" s="12"/>
      <c r="GK104" s="12"/>
      <c r="GL104" s="12"/>
      <c r="GM104" s="12"/>
      <c r="GN104" s="12"/>
      <c r="GO104" s="12"/>
      <c r="GP104" s="12"/>
      <c r="GQ104" s="12"/>
      <c r="GR104" s="12"/>
      <c r="GS104" s="12"/>
      <c r="GT104" s="12"/>
      <c r="GU104" s="12"/>
      <c r="GV104" s="12"/>
      <c r="GW104" s="12"/>
      <c r="GX104" s="12"/>
      <c r="GY104" s="12"/>
      <c r="GZ104" s="12"/>
      <c r="HA104" s="12"/>
      <c r="HB104" s="12"/>
      <c r="HC104" s="12"/>
      <c r="HD104" s="12"/>
      <c r="HE104" s="12"/>
      <c r="HF104" s="12"/>
    </row>
    <row r="105" spans="1:214" x14ac:dyDescent="0.2">
      <c r="A105" s="154" t="s">
        <v>108</v>
      </c>
      <c r="B105" s="12">
        <v>3847</v>
      </c>
      <c r="C105" s="12">
        <v>0.9</v>
      </c>
      <c r="D105" s="12">
        <f t="shared" si="111"/>
        <v>9.9999999999999978E-2</v>
      </c>
      <c r="E105" s="12"/>
      <c r="F105" s="12"/>
      <c r="G105" s="12"/>
      <c r="H105" s="16">
        <f t="shared" ref="H105:H136" si="166">bunker_price_gen</f>
        <v>382.75862068965517</v>
      </c>
      <c r="I105" s="16">
        <v>1266700</v>
      </c>
      <c r="J105" s="16">
        <f t="shared" si="113"/>
        <v>634.98278152167848</v>
      </c>
      <c r="K105" s="16" t="str">
        <f t="shared" si="114"/>
        <v/>
      </c>
      <c r="L105" s="103">
        <v>0.156</v>
      </c>
      <c r="M105" s="103">
        <f t="shared" ref="M105:M136" si="167">IF(wacc="dataset",L105,IF(wacc="dataset rv",wacc_average+SQRT(wacc_rv_factor)*(L105-wacc_average),uniform_wacc))</f>
        <v>0.15174301773751955</v>
      </c>
      <c r="N105" s="122">
        <f t="shared" si="116"/>
        <v>0.75</v>
      </c>
      <c r="O105" s="46">
        <f t="shared" ref="O105:O136" si="168">solar_lifetime</f>
        <v>40</v>
      </c>
      <c r="P105" s="70">
        <f t="array" ref="P105">SUMPRODUCT(IF(Solar_data!A$4:A$777=A105,Solar_data!C$4:C$777),IF(Solar_data!A$4:A$777=A105,Solar_data!I$4:I$777))/SUMIF(Solar_data!A$4:A$777,A105,Solar_data!I$4:I$777)</f>
        <v>2404.8490241687919</v>
      </c>
      <c r="Q105" s="16">
        <f t="array" ref="Q105">MAX(IF(Solar_data!$A$777:'Solar_data'!$A$4=Country_details!$A105,Solar_data!$C$4:'Solar_data'!$C$777))</f>
        <v>2646.25</v>
      </c>
      <c r="R105" s="16">
        <f t="array" ref="R105">MIN(IF(Solar_data!$A$777:'Solar_data'!$A$4=Country_details!A105,Solar_data!$C$4:'Solar_data'!$C$777))</f>
        <v>2098.75</v>
      </c>
      <c r="S105" s="24">
        <f t="shared" si="149"/>
        <v>2.6152040808318184</v>
      </c>
      <c r="T105" s="24">
        <f t="shared" si="150"/>
        <v>2.3766352316639172</v>
      </c>
      <c r="U105" s="24">
        <f t="shared" si="151"/>
        <v>2.9966270312284173</v>
      </c>
      <c r="V105" s="16">
        <f t="array" ref="V105">SUM(IF(Solar_data!$A$777:'Solar_data'!$A$4=Country_details!$A105,Solar_data!$I$4:'Solar_data'!$I$777))</f>
        <v>9572.505595746863</v>
      </c>
      <c r="W105" s="148"/>
      <c r="X105" s="16" t="str">
        <f>IFERROR(INDEX(Onshore_wind_data!$J$5:'Onshore_wind_data'!$J$221,MATCH(A105,Onshore_wind_data!$B$5:'Onshore_wind_data'!$B$221,0)),"")</f>
        <v/>
      </c>
      <c r="Y105" s="16" t="str">
        <f>IFERROR(INDEX(Onshore_wind_data!$K$5:'Onshore_wind_data'!$K$221,MATCH(A105,Onshore_wind_data!$B$5:'Onshore_wind_data'!$B$221,0)),"")</f>
        <v/>
      </c>
      <c r="Z105" s="16" t="str">
        <f>IFERROR(INDEX(Onshore_wind_data!$L$5:'Onshore_wind_data'!$L$221,MATCH(A105,Onshore_wind_data!$B$5:'Onshore_wind_data'!$B$221,0)),"")</f>
        <v/>
      </c>
      <c r="AA105" s="24" t="str">
        <f t="shared" ref="AA105:AA136" si="169">IFERROR(IF(X105="","",(onshore_invest*($M105+1/onshore_lifetime)+onshore_opex)/X105*100),"")</f>
        <v/>
      </c>
      <c r="AB105" s="24" t="str">
        <f t="shared" ref="AB105:AB136" si="170">IFERROR(IF(Y105="","",(onshore_invest*($M105+1/onshore_lifetime)+onshore_opex)/Y105*100),"")</f>
        <v/>
      </c>
      <c r="AC105" s="24" t="str">
        <f t="shared" ref="AC105:AC136" si="171">IFERROR(IF(Z105="","",(onshore_invest*($M105+1/onshore_lifetime)+onshore_opex)/Z105*100),"")</f>
        <v/>
      </c>
      <c r="AD105" s="16">
        <f>IFERROR(INDEX(Onshore_wind_data!$I$5:'Onshore_wind_data'!$I$221,MATCH(A105,Onshore_wind_data!$B$5:'Onshore_wind_data'!$B$221,0)),"")</f>
        <v>0</v>
      </c>
      <c r="AE105" s="148"/>
      <c r="AF105" s="16" t="str">
        <f>INDEX(Offshore_wind_data!$AA$7:$AA$192,MATCH(Country_details!A105,Offshore_wind_data!$A$7:$A$192,0))</f>
        <v/>
      </c>
      <c r="AG105" s="16" t="str">
        <f>INDEX(Offshore_wind_data!$Y$7:$Y$192,MATCH(Country_details!A105,Offshore_wind_data!$A$7:$A$192,0))</f>
        <v/>
      </c>
      <c r="AH105" s="16" t="str">
        <f>INDEX(Offshore_wind_data!$Z$7:$Z$192,MATCH(Country_details!A105,Offshore_wind_data!$A$7:$A$192,0))</f>
        <v/>
      </c>
      <c r="AI105" s="24" t="str">
        <f t="shared" si="152"/>
        <v/>
      </c>
      <c r="AJ105" s="24" t="str">
        <f t="shared" si="153"/>
        <v/>
      </c>
      <c r="AK105" s="24" t="str">
        <f t="shared" si="154"/>
        <v/>
      </c>
      <c r="AL105" s="16">
        <f>INDEX(Offshore_wind_data!$W$7:$W$191,MATCH(A105,Offshore_wind_data!$A$7:$A$191,0))</f>
        <v>0</v>
      </c>
      <c r="AM105" s="148"/>
      <c r="AN105" s="12">
        <v>21.5</v>
      </c>
      <c r="AO105" s="12">
        <v>68.5</v>
      </c>
      <c r="AP105" s="34"/>
      <c r="AQ105" s="15">
        <f t="shared" si="155"/>
        <v>50</v>
      </c>
      <c r="AR105" s="12">
        <f t="shared" si="131"/>
        <v>3425</v>
      </c>
      <c r="AS105" s="16">
        <f t="shared" si="121"/>
        <v>6147.505595746863</v>
      </c>
      <c r="AT105" s="12"/>
      <c r="AU105" s="24">
        <f t="shared" si="147"/>
        <v>2.6152040808318184</v>
      </c>
      <c r="AV105" s="16">
        <f t="shared" si="148"/>
        <v>2404.8490241687919</v>
      </c>
      <c r="AW105" s="149">
        <f>HV_DC_Grid!$E$3/(1-AX105)*AU105/100*1000</f>
        <v>2862.0123996568791</v>
      </c>
      <c r="AX105" s="31">
        <f>(1-(1-HV_DC_Grid!$E$25)^(B105*C105*HV_DC_Grid!$E$8/1000))+(1-(1-HV_DC_Grid!$E$26)^(B105*D105*HV_DC_Grid!$E$8/1000))+HV_DC_Grid!$E$35*HV_DC_Grid!$E$28</f>
        <v>8.6235936243550179E-2</v>
      </c>
      <c r="AY105" s="28">
        <f>B105*nl_e_demand/IF(hv_dc_flh="electricity FLH",$AV105,hv_dc_custom)*1000*hv_dc_capacity_multiplier*hv_dc_length_multiplier*1000*(C105*hv_dc_overhead_invest*(hv_dc_overhead_opex+M105+1/hv_dc_lifetime)+D105*hv_dc_sea_invest*(hv_dc_sea_opex+M105+1/hv_dc_lifetime))/1000000+HV_DC_Grid!$E$10*1000*hv_dc_station_invest*hv_dc_station_number*(hv_dc_station_opex+M105+1/hv_dc_lifetime)/1000000</f>
        <v>5110.2884215334325</v>
      </c>
      <c r="AZ105" s="24">
        <f>(AW105+AY105)/(HV_DC_Grid!$E$3*1000)*100</f>
        <v>7.9723008211903119</v>
      </c>
      <c r="BA105" s="28">
        <f>MIN(((Carriers!$F$26+Carriers!$F$27)*(alk_el_opex+wacc_nl+1/alk_el_lifetime)+IF(hv_dc_flh="electricity FLH",$AV105,hv_dc_custom)*AZ105/100)/(IF(hv_dc_flh="electricity FLH",$AV105,hv_dc_custom)/alk_el_e_demand)*1000,((Carriers!$H$26+Carriers!$H$27)*(pem_el_opex+wacc_nl+1/pem_el_lifetime)+IF(hv_dc_flh="electricity FLH",$AV105,hv_dc_custom)*AZ105/100)/(IF(hv_dc_flh="electricity FLH",$AV105,hv_dc_custom)/pem_el_e_demand)*1000)</f>
        <v>4419.4173417126067</v>
      </c>
      <c r="BB105" s="12"/>
      <c r="BC105" s="12"/>
      <c r="BD105" s="149">
        <f>MIN(((Carriers!$F$26+Carriers!$F$27)*(alk_el_opex+M105+1/alk_el_lifetime)+$AV105*$AU105/100)/($AV105/alk_el_e_demand)*1000,((Carriers!$H$26+Carriers!$H$27)*(pem_el_opex+M105+1/pem_el_lifetime)+$AV105*$AU105/100)/($AV105/pem_el_e_demand)*1000)</f>
        <v>2951.4170395280817</v>
      </c>
      <c r="BE105" s="28">
        <f>Storage!$AC$50</f>
        <v>8.1664117557772418</v>
      </c>
      <c r="BF105" s="28">
        <f>((Pipeline!$D$22*Pipeline!$D$24*B105*(pipeline_opex+M105+1/pipeline_lifetime))*(Pipeline!$D$39/Pipeline!$D$3)+(Pipeline!$D$57*(pipeline_comp_opex+M105+1/pipeline_comp_lifetime)+Pipeline!$D$47*1000*Pipeline!$D$45*$AU105/100/1000000))*(Pipeline!$D$75/Pipeline!$D$45)</f>
        <v>9894.1117782363199</v>
      </c>
      <c r="BG105" s="28">
        <f>BD105+(BE105+BF105)/Storage!$AC$12*1000000</f>
        <v>3679.5257299686773</v>
      </c>
      <c r="BH105" s="28"/>
      <c r="BI105" s="28"/>
      <c r="BJ105" s="28" t="str">
        <f>IF($E105="","No Port",BK105*HV_DC_Grid!$E$3*$AU105/100*1000)</f>
        <v>No Port</v>
      </c>
      <c r="BK105" s="31" t="str">
        <f>IFERROR((1-(1-HV_DC_Grid!$E$25)^(K105*HV_DC_Grid!$E$8/1000))+HV_DC_Grid!$E$35*HV_DC_Grid!$E$28,"")</f>
        <v/>
      </c>
      <c r="BL105" s="28" t="str">
        <f>IFERROR(K105*nl_e_demand/IF(hv_dc_flh="electricity FLH",$AV105,hv_dc_custom)*1000*hv_dc_capacity_multiplier*hv_dc_length_multiplier*1000*(hv_dc_overhead_invest*(hv_dc_overhead_opex+M105+1/hv_dc_lifetime))/1000000+HV_DC_Grid!$E$10*1000*hv_dc_station_invest*hv_dc_station_number*(hv_dc_station_opex+M105+1/hv_dc_lifetime)/1000000,"")</f>
        <v/>
      </c>
      <c r="BM105" s="29" t="str">
        <f>IFERROR((BJ105+BL105)/(HV_DC_Grid!$E$3*1000)*100,"")</f>
        <v/>
      </c>
      <c r="BN105" s="28" t="str">
        <f>IFERROR(((Pipeline!$D$22*Pipeline!$D$24*K105*(pipeline_opex+M105+1/pipeline_lifetime))*(Pipeline!$D$39/Pipeline!$D$3)+(Pipeline!$D$57*(pipeline_comp_opex+M105+1/pipeline_comp_lifetime)+Pipeline!$D$47*1000*Pipeline!$D$45*S105/100/1000000))*(Pipeline!$D$75/Pipeline!$D$45),"")</f>
        <v/>
      </c>
      <c r="BO105" s="28"/>
      <c r="BP105" s="150">
        <f t="shared" ref="BP105:BP136" si="172">DAC_invest*(M105+1/DAC_lifetime)/DAC_prod+DAC_opex+DAC_e_demand*1000*$AU105/100</f>
        <v>126.75513131333477</v>
      </c>
      <c r="BQ105" s="34">
        <f t="shared" ref="BQ105:BQ136" si="173">n2_invest*(M105+1/n2_lifetime)/n2_prod+n2_opex+n2_e_demand*1000*$AU105/100</f>
        <v>38.029700130747543</v>
      </c>
      <c r="BR105" s="151">
        <f>(nh3_invest*(M105+1/nh3_lifetime)/nh3_prod+nh3_opex+nh3_e_demand*1000*$AU105/100+Carriers!$N$18/Carriers!$N$23*BD105+Carriers!$N$19/Carriers!$N$23*BQ105)*(BT105+nh3_st_ab_losses)/1000000</f>
        <v>52636.780835850237</v>
      </c>
      <c r="BS105" s="63">
        <f>nh3_st_nl_cost*nh3_st_nl_demand/1000000+(nh3_st_invest*(M105+1/nh3_st_lifetime+nh3_st_opex)/(Storage!$G$63/1000000)+nh3_st_e_demand*1000*$AU105/100)*(BT105+nh3_st_ab_losses)/1000000+Carriers!$N$18/Carriers!$N$23*((BT105+nh3_st_ab_losses)/365.25*short_st_duration_hrs/24)*(h2_short_st_invest*(1/gh2_short_st_lifetime+$M105+h2_short_st_opex)+h2_short_st_e_demand*1000*$AU105/100)/1000000+Carriers!$N$19/Carriers!$N$23*((BT105+nh3_st_ab_losses)/365.25*short_st_duration_hrs/24)*(n2_short_st_invest*(1/n2_short_st_lifetime+$M105+n2_short_st_opex)+n2_short_st_e_demand*1000*$AU105/100)/1000000</f>
        <v>3683.7110883559631</v>
      </c>
      <c r="BT105" s="63">
        <f>Storage!$G$57/((1-Shipping!$H$37)^(F105/24/Shipping!$H$44+0.5*Shipping!$H$59))</f>
        <v>76857210.785724297</v>
      </c>
      <c r="BU105" s="63" t="str">
        <f>IF($E105="","No Port",((F105/24/Shipping!$H$44+F105/24/Shipping!$H$50+Shipping!$H$59+Shipping!$H$64)*(Shipping!$H$22+wacc_nl*Shipping!$H$19/365.25*1000000+Shipping!$H$35)+(F105/24/Shipping!$H$44*Shipping!$H$45+Shipping!$H$64*Shipping!$H$65)*IF(bunker_choice="HFO",H105,IF(bunker_choice="hydrogen",BD105*hfo_e_density_lhv/h2_e_density_lhv,(BR105+BS105)*1000000/BT105*hfo_e_density_lhv/nh3_e_density_lhv))+(F105/24/Shipping!$H$50*Shipping!$H$51+Shipping!$H$59*Shipping!$H$60)*IF(bunker_choice="HFO",bunker_price_ROT,IF(bunker_choice="hydrogen",BD105*hfo_e_density_lhv/h2_e_density_lhv,(BR105+BS105)*1000000/BT105*hfo_e_density_lhv/nh3_e_density_lhv))+Shipping!$H$73+IF(G105="Panama",Shipping!$H$55,0)+IF(G105="Suez",Shipping!$H$56,0))/Shipping!$H$31*BT105/1000000+IF(inland_transport_to_port="hv dc grid",$BM105/100*1000*BW105,IF(inland_transport_to_port="pipeline",$BN105,0)))</f>
        <v>No Port</v>
      </c>
      <c r="BV105" s="63" t="str">
        <f t="shared" ref="BV105:BV135" si="174">IFERROR(BR105+BS105+BU105,"")</f>
        <v/>
      </c>
      <c r="BW105" s="33">
        <f>((Carriers!$N$18/Carriers!$N$23*alk_el_e_demand)+(Carriers!$N$19/Carriers!$N$23*n2_e_demand)+nh3_e_demand)*(BT105+nh3_st_ab_losses)/1000000+nh3_st_e_demand*BT105/1000000</f>
        <v>759.00171168026975</v>
      </c>
      <c r="BX105" s="33">
        <f t="shared" si="156"/>
        <v>0.76626754477640768</v>
      </c>
      <c r="BY105" s="63" t="str">
        <f>IFERROR(BV105*1000000/Storage!$G$12,"")</f>
        <v/>
      </c>
      <c r="BZ105" s="63">
        <f>H2_retrieval!$F$25*h2_demand_kt/1000</f>
        <v>80</v>
      </c>
      <c r="CA105" s="63" t="str">
        <f>IFERROR(BY105*(1+H2_retrieval!$F$34)/Carrier_properties!$E$7+H2_retrieval!$F$38,"")</f>
        <v/>
      </c>
      <c r="CB105" s="149">
        <f>(FA_invest*(M105+1/FA_lifetime)/FA_prod+FA_opex+FA_e_demand*1000*$AU105/100+Carriers!$P$18/Carriers!$P$23*BD105+Carriers!$P$20/Carriers!$P$23*co2_liq_cost)*(CF105+FA_st_ab_losses)/1000000</f>
        <v>108405.83684303539</v>
      </c>
      <c r="CC105" s="86">
        <f>(FA_invest*(M105+1/FA_lifetime)/FA_prod+FA_opex+FA_e_demand*1000*$AU105/100+Carriers!$P$18/Carriers!$P$23*BD105+Carriers!$P$20/Carriers!$P$23*BP105)*(CF105+FA_st_ab_losses)/1000000</f>
        <v>139199.05629870042</v>
      </c>
      <c r="CD105" s="63">
        <f>FA_st_nl_cost*FA_st_nl_demand/1000000+(FA_st_invest*(M105+1/FA_st_lifetime+FA_st_opex)/(Storage!$I$63/1000000)+FA_st_e_demand*1000*$AU105/100)*(CF105+FA_st_ab_losses)/1000000+co2_st_nl_cost*Storage!$I$12*co2_density/FA_density/1000000+(co2_st_opex_lev+co2_st_invest_lev+co2_st_e_demand*1000*$AU105/100)*Storage!$I$12/1000000+co2_st_invest_lev*Storage!$I$12*co2_st_lifetime*M105/1000000+Carriers!$P$18/Carriers!$P$23*((CF105+FA_st_ab_losses)/365.25*short_st_duration_hrs/24)*(h2_short_st_invest*(1/gh2_short_st_lifetime+$M105+h2_short_st_opex)+h2_short_st_e_demand*1000*$AU105/100)/1000000+Carriers!$P$20/Carriers!$P$23*((CF105+FA_st_ab_losses)/365.25*short_st_duration_hrs/24)*(co2_short_st_invest*(1/co2_short_st_lifetime+$M105+co2_short_st_opex)+co2_short_st_e_demand*1000*$AU105/100)/1000000</f>
        <v>12619.944855352711</v>
      </c>
      <c r="CE105" s="63">
        <f>FA_st_nl_cost*FA_st_nl_demand/1000000+(FA_st_invest*(M105+1/FA_st_lifetime+FA_st_opex)/(Storage!$I$63/1000000)+FA_st_e_demand*1000*$AU105/100)*(CF105+FA_st_ab_losses)/1000000+Carriers!$P$18/Carriers!$P$23*((CF105+FA_st_ab_losses)/365.25*short_st_duration_hrs/24)*(h2_short_st_invest*(1/gh2_short_st_lifetime+$M105+h2_short_st_opex)+h2_short_st_e_demand*1000*$AU105/100)/1000000+Carriers!$P$20/Carriers!$P$23*((CF105+FA_st_ab_losses)/365.25*short_st_duration_hrs/24)*(co2_short_st_invest*(1/co2_short_st_lifetime+$M105+co2_short_st_opex)+co2_short_st_e_demand*1000*$AU105/100)/1000000</f>
        <v>5565.3739525791034</v>
      </c>
      <c r="CF105" s="63">
        <f>Storage!$I$57/((1-Shipping!$J$37)^($F105/24/Shipping!$J$44+0.5*Shipping!$J$59))</f>
        <v>310425396.82539684</v>
      </c>
      <c r="CG105" s="28" t="str">
        <f>IF($E105="","No Port",((F105/24/Shipping!$J$44+F105/24/Shipping!$J$50+Shipping!$J$59+Shipping!$J$64)*(Shipping!$J$22+wacc_nl*Shipping!$J$19/365.25*1000000+Shipping!$J$35)+(F105/24/Shipping!$J$44*Shipping!$J$45+Shipping!$J$64*Shipping!$J$65)*IF(bunker_choice="HFO",$H105,IF(bunker_choice="hydrogen",$BD105*hfo_e_density_lhv/h2_e_density_lhv,(CB105+CD105)*1000000/CF105*hfo_e_density_lhv/FA_e_density_lhv))+(F105/24/Shipping!$J$50*Shipping!$J$51+Shipping!$J$59*Shipping!$J$60)*IF(bunker_choice="HFO",bunker_price_ROT,IF(bunker_choice="hydrogen",$BD105*hfo_e_density_lhv/h2_e_density_lhv,(CB105+CD105)*1000000/CF105*hfo_e_density_lhv/FA_e_density_lhv))+Shipping!$J$73+IF(G105="Panama",Shipping!$J$55,0)+IF(G105="Suez",Shipping!$J$56,0))/Shipping!$J$31*CF105/1000000+IF(inland_transport_to_port="hv dc grid",$BM105/100*1000*CI105,IF(inland_transport_to_port="pipeline",$BN105,0)))</f>
        <v>No Port</v>
      </c>
      <c r="CH105" s="28" t="str">
        <f t="shared" si="132"/>
        <v/>
      </c>
      <c r="CI105" s="29">
        <f>((Carriers!$P$18/Carriers!$P$23*alk_el_e_demand)+FA_e_demand)*(CF105+FA_st_ab_losses)/1000000+FA_st_e_demand*CF105/1000000</f>
        <v>1897.8881241622576</v>
      </c>
      <c r="CJ105" s="29">
        <f t="shared" si="157"/>
        <v>0.46563809523809524</v>
      </c>
      <c r="CK105" s="28" t="str">
        <f>IFERROR(CH105*1000000/Storage!$I$12,"")</f>
        <v/>
      </c>
      <c r="CL105" s="28" t="str">
        <f>IF($E105="","No Port",((F105/24/Shipping!$J$44+F105/24/Shipping!$J$50+Shipping!$J$59+Shipping!$J$64)*Carriers!$P$39*wacc_nl))</f>
        <v>No Port</v>
      </c>
      <c r="CM105" s="29">
        <f>H2_retrieval!$H$25*h2_demand_kt/1000+(co2_liq_e_demand+co2_st_e_demand*2)*Storage!$I$12*co2_density/FA_density/1000000</f>
        <v>94.204253879484654</v>
      </c>
      <c r="CN105" s="28" t="str">
        <f>IFERROR((((CB105+CD105+CG105)*(1+H2_retrieval!$H$34)+CL105)*1000000/H2_retrieval!$H$8)+h2_regen_fa,"")</f>
        <v/>
      </c>
      <c r="CO105" s="149">
        <f>(meoh_invest*(M105+1/meoh_lifetime)/meoh_prod+meoh_opex+meoh_e_demand*1000*$AU105/100+Carriers!$R$18/Carriers!$R$23*BD105+Carriers!$R$20/Carriers!$R$23*co2_liq_cost)*(CS105+meoh_st_ab_losses)/1000000</f>
        <v>64755.679723268513</v>
      </c>
      <c r="CP105" s="86">
        <f>(meoh_invest*(M105+1/meoh_lifetime)/meoh_prod+meoh_opex+meoh_e_demand*1000*$AU105/100+Carriers!$R$18/Carriers!$R$23*BD105+Carriers!$R$20/Carriers!$R$23*BP105)*(CS105+meoh_st_ab_losses)/1000000</f>
        <v>82832.250186978083</v>
      </c>
      <c r="CQ105" s="63">
        <f>meoh_st_nl_cost*meoh_st_nl_demand/1000000+(meoh_st_invest*(M105+1/meoh_st_lifetime+meoh_st_opex)/(Storage!$K$63/1000000)+meoh_st_e_demand*1000*$AU105/100)*(CS105+meoh_st_ab_losses)/1000000+co2_st_nl_cost*Storage!$K$12*co2_density/meoh_density/1000000+(co2_st_opex_lev+co2_st_invest_lev+co2_st_e_demand*1000*IFERROR(MIN(S105,AA105,AI105),S105)/100)*Storage!$K$12/1000000+co2_st_invest_lev*Storage!$K$12*co2_st_lifetime*M105/1000000+Carriers!$R$18/Carriers!$R$23*((CS105+meoh_st_ab_losses)/365.25*short_st_duration_hrs/24)*(h2_short_st_invest*(1/gh2_short_st_lifetime+$M105+h2_short_st_opex)+h2_short_st_e_demand*1000*$AU105/100)/1000000+Carriers!$R$20/Carriers!$R$23*((CF105+meoh_st_ab_losses)/365.25*short_st_duration_hrs/24)*(co2_short_st_invest*(1/co2_short_st_lifetime+$M105+co2_short_st_opex)+co2_short_st_e_demand*1000*$AU105/100)/1000000</f>
        <v>5277.6941573384483</v>
      </c>
      <c r="CR105" s="63">
        <f>meoh_st_nl_cost*meoh_st_nl_demand/1000000+(meoh_st_invest*(M105+1/meoh_st_lifetime+meoh_st_opex)/(Storage!$K$63/1000000)+meoh_st_e_demand*1000*$AU105/100)*(CS105+meoh_st_ab_losses)/1000000+Carriers!$R$18/Carriers!$R$23*((CS105+meoh_st_ab_losses)/365.25*short_st_duration_hrs/24)*(h2_short_st_invest*(1/gh2_short_st_lifetime+$M105+h2_short_st_opex)+h2_short_st_e_demand*1000*$AU105/100)/1000000+Carriers!$R$20/Carriers!$R$23*((CF105+meoh_st_ab_losses)/365.25*short_st_duration_hrs/24)*(co2_short_st_invest*(1/co2_short_st_lifetime+$M105+co2_short_st_opex)+co2_short_st_e_demand*1000*$AU105/100)/1000000</f>
        <v>2223.3332027364268</v>
      </c>
      <c r="CS105" s="63">
        <f>Storage!$K$57/((1-Shipping!$L$37)^($F105/24/Shipping!$L$44+0.5*Shipping!$L$59))</f>
        <v>108044444.44444443</v>
      </c>
      <c r="CT105" s="28" t="str">
        <f>IF($E105="","No Port",IF(AND(ship_choice="VLCC",G105="Panama"),"Ship cannot pass through Panama",IF(ship_choice="VLCC",((F105/24/Shipping!$AD$44+F105/24/Shipping!$AD$50+Shipping!$AD$59+Shipping!$AD$64)*(Shipping!$AD$22+wacc_nl*Shipping!$AD$19/365.25*1000000+Shipping!$AD$35)+(F105/24/Shipping!$AD$44*Shipping!$AD$45+Shipping!$AD$64*Shipping!$AD$65)*IF(bunker_choice="HFO",$H105,IF(bunker_choice="hydrogen",$BD105*hfo_e_density_lhv/h2_e_density_lhv,(CO105+CQ105)*1000000/CS105*hfo_e_density_lhv/meoh_e_density_lhv))+(F105/24/Shipping!$AD$50*Shipping!$AD$51+Shipping!$AD$59*Shipping!$AD$60)*IF(bunker_choice="HFO",bunker_price_ROT,IF(bunker_choice="hydrogen",$BD105*hfo_e_density_lhv/h2_e_density_lhv,(CO105+CQ105)*1000000/CS105*hfo_e_density_lhv/meoh_e_density_lhv))+Shipping!$AD$73+IF(G105="Panama",Shipping!$AD$55,0)+IF(G105="Suez",Shipping!$AD$56,0))/Shipping!$AD$31*CS105/1000000+IF(inland_transport_to_port="hv dc grid",$BM105/100*1000*CV105,IF(inland_transport_to_port="pipeline",$BN105,0)),((F105/24/Shipping!$L$44+F105/24/Shipping!$L$50+Shipping!$L$59+Shipping!$L$64)*(Shipping!$L$22+wacc_nl*Shipping!$L$19/365.25*1000000+Shipping!$L$35)+(F105/24/Shipping!$L$44*Shipping!$L$45+Shipping!$L$64*Shipping!$L$65)*IF(bunker_choice="HFO",$H105,IF(bunker_choice="hydrogen",$BD105*hfo_e_density_lhv/h2_e_density_lhv,(CO105+CQ105)*1000000/CS105*hfo_e_density_lhv/meoh_e_density_lhv))+(F105/24/Shipping!$L$50*Shipping!$L$51+Shipping!$L$59*Shipping!$L$60)*IF(bunker_choice="HFO",bunker_price_ROT,IF(bunker_choice="hydrogen",$BD105*hfo_e_density_lhv/h2_e_density_lhv,(CO105+CQ105)*1000000/CS105*hfo_e_density_lhv/meoh_e_density_lhv))+Shipping!$L$73+IF(G105="Panama",Shipping!$L$55,0)+IF(G105="Suez",Shipping!$L$56,0))/Shipping!$L$31*CS105/1000000+IF(inland_transport_to_port="hv dc grid",$BM105/100*1000*CV105,IF(inland_transport_to_port="pipeline",$BN105,0)))))</f>
        <v>No Port</v>
      </c>
      <c r="CU105" s="28" t="str">
        <f t="shared" si="133"/>
        <v/>
      </c>
      <c r="CV105" s="29">
        <f>((Carriers!$R$18/Carriers!$R$23*alk_el_e_demand)+meoh_e_demand)*(CS105+meoh_st_ab_losses)/1000000+meoh_st_e_demand*CS105/1000000</f>
        <v>1119.9789871111109</v>
      </c>
      <c r="CW105" s="29">
        <f t="shared" si="158"/>
        <v>0.16206666666666666</v>
      </c>
      <c r="CX105" s="28" t="str">
        <f>IFERROR(CU105*1000000/Storage!$K$12,"")</f>
        <v/>
      </c>
      <c r="CY105" s="28" t="str">
        <f>IF($E105="","No Port",((F105/24/Shipping!$L$44+F105/24/Shipping!$L$50+Shipping!$L$59+Shipping!$L$64)*Carriers!$R$39*wacc_nl))</f>
        <v>No Port</v>
      </c>
      <c r="CZ105" s="29">
        <f>H2_retrieval!$J$25*h2_demand_kt/1000+(co2_liq_e_demand+co2_st_e_demand*2)*Storage!$K$12*co2_density/meoh_density/1000000</f>
        <v>251.05079059698966</v>
      </c>
      <c r="DA105" s="28" t="str">
        <f>IFERROR((((CO105+CQ105+CT105)*(1+H2_retrieval!$J$34)+CY105)*1000000/H2_retrieval!$J$8)+h2_regen_meoh,"")</f>
        <v/>
      </c>
      <c r="DB105" s="149">
        <f>(DBT_invest*(M105+1/DBT_lifetime)/DBT_prod+DBT_opex+DBT_e_demand*1000*$AU105/100+Carriers!$T$18/Carriers!$T$23*BD105)*(DD105+DBT_st_ab_losses)/1000000</f>
        <v>43693.63846393596</v>
      </c>
      <c r="DC105" s="28">
        <f>2*(DBT_st_nl_cost*DBT_st_nl_demand/1000000+(DBT_st_invest*(M105+1/DBT_st_lifetime+DBT_st_opex)/(Storage!$M$63/1000000)+DBT_st_e_demand*1000*$AU105/100)*(DD105+DBT_st_ab_losses)/1000000)+Carriers!$T$18/Carriers!$T$23*((DD105+DBT_st_ab_losses)/365.25*short_st_duration_hrs/24)*(h2_short_st_invest*(1/gh2_short_st_lifetime+$M105+h2_short_st_opex)+h2_short_st_e_demand*1000*$AU105/100)/1000000</f>
        <v>4521.6195477423435</v>
      </c>
      <c r="DD105" s="63">
        <f>Storage!$M$57/((1-Shipping!$N$37)^($F105/24/Shipping!$N$44+0.5*Shipping!$N$59))</f>
        <v>219354838.70967743</v>
      </c>
      <c r="DE105" s="28" t="str">
        <f>IF($E105="","No Port",IF(AND(ship_choice="VLCC",G105="Panama"),"Ship cannot pass through Panama",IF(ship_choice="VLCC",((F105/24/Shipping!$AD$44+F105/24/Shipping!$AD$50+Shipping!$AD$59+Shipping!$AD$64)*(Shipping!$AD$22+wacc_nl*Shipping!$AD$19/365.25*1000000+Shipping!$AD$35)+(F105/24/Shipping!$AD$44*Shipping!$AD$45+Shipping!$AD$64*Shipping!$AD$65)*IF(bunker_choice="HFO",$H105,IF(bunker_choice="hydrogen",$BD105*hfo_e_density_lhv/h2_e_density_lhv,(DB105+DC105)*1000000/DD105*hfo_e_density_lhv/DBT_e_density_lhv))+(F105/24/Shipping!$AD$50*Shipping!$AD$51+Shipping!$AD$59*Shipping!$AD$60)*IF(bunker_choice="HFO",bunker_price_ROT,IF(bunker_choice="hydrogen",$BD105*hfo_e_density_lhv/h2_e_density_lhv,(DB105+DC105)*1000000/DD105*hfo_e_density_lhv/DBT_e_density_lhv))+Shipping!$AD$73+IF(G105="Panama",Shipping!$AD$55,0)+IF(G105="Suez",Shipping!$AD$56,0))/Shipping!$AD$31*DD105/1000000+IF(inland_transport_to_port="hv dc grid",$BM105/100*1000*DG105,IF(inland_transport_to_port="pipeline",$BN105,0)),((F105/24/Shipping!$N$44+F105/24/Shipping!$N$50+Shipping!$N$59+Shipping!$N$64)*(Shipping!$N$22+wacc_nl*Shipping!$N$19/365.25*1000000+Shipping!$N$35)+(F105/24/Shipping!$N$44*Shipping!$N$45+Shipping!$N$64*Shipping!$N$65)*IF(bunker_choice="HFO",$H105,IF(bunker_choice="hydrogen",$BD105*hfo_e_density_lhv/h2_e_density_lhv,(DB105+DC105)*1000000/DD105*hfo_e_density_lhv/DBT_e_density_lhv))+(F105/24/Shipping!$N$50*Shipping!$N$51+Shipping!$N$59*Shipping!$N$60)*IF(bunker_choice="HFO",bunker_price_ROT,IF(bunker_choice="hydrogen",$BD105*hfo_e_density_lhv/h2_e_density_lhv,(DB105+DC105)*1000000/DD105*hfo_e_density_lhv/DBT_e_density_lhv))+Shipping!$N$73+IF(G105="Panama",Shipping!$N$55,0)+IF(G105="Suez",Shipping!$N$56,0))/Shipping!$N$31*Shipping!$N$86/1000000+IF(inland_transport_to_port="hv dc grid",$BM105/100*1000*DG105,IF(inland_transport_to_port="pipeline",$BN105,0)))))</f>
        <v>No Port</v>
      </c>
      <c r="DF105" s="28" t="str">
        <f t="shared" si="159"/>
        <v/>
      </c>
      <c r="DG105" s="29">
        <f>((Carriers!$T$18/Carriers!$T$23*alk_el_e_demand)+DBT_e_demand)*(DD105+DBT_st_ab_losses)/1000000+DBT_st_e_demand*DD105/1000000</f>
        <v>703.88335483870969</v>
      </c>
      <c r="DH105" s="29">
        <f t="shared" si="160"/>
        <v>0.21935483870967742</v>
      </c>
      <c r="DI105" s="28" t="str">
        <f>IFERROR(DF105*1000000/Storage!$M$12,"")</f>
        <v/>
      </c>
      <c r="DJ105" s="28" t="str">
        <f>IF($E105="","No Port",((F105/24/Shipping!$N$44+F105/24/Shipping!$N$50+Shipping!$N$59+Shipping!$N$64)*Carriers!$T$39*wacc_nl))</f>
        <v>No Port</v>
      </c>
      <c r="DK105" s="100">
        <f>H2_retrieval!$L$25*h2_demand_kt/1000+(co2_liq_e_demand+co2_st_e_demand*2)*Storage!$M$12*co2_density/DBT_density/1000000</f>
        <v>206.61934861671787</v>
      </c>
      <c r="DL105" s="28" t="str">
        <f>IFERROR(((DF105*(1+H2_retrieval!$L$34)+DJ105)*1000000/H2_retrieval!$L$8)+h2_regen_lohc,"")</f>
        <v/>
      </c>
      <c r="DM105" s="149">
        <f t="shared" ref="DM105:DM136" si="175">(nabh4_invest*(M105+1/nabh4_lifetime)/nabh4_prod+nabh4_opex+nabh4_e_demand*1000*$AU105/100)*(DO105+nabh4_st_ab_losses)/1000000</f>
        <v>53176.415442296304</v>
      </c>
      <c r="DN105" s="16">
        <f>2*(nabh4_st_nl_cost*nabh4_st_nl_demand/1000000+(nabh4_st_invest*(M105+1/nabh4_st_lifetime+nabh4_st_opex)/(Storage!$O$63/1000000)+nabh4_st_e_demand*1000*$AU105/100)*(DO105+nabh4_st_ab_losses)/1000000)+(h2_demand_kt*1000/365.25*short_st_duration_hrs/24)*(h2_short_st_invest*(1/gh2_short_st_lifetime+$M105+h2_short_st_opex)+h2_short_st_e_demand*1000*$AU105/100)/1000000</f>
        <v>1519.6056126523165</v>
      </c>
      <c r="DO105" s="63">
        <f>Storage!$O$57/((1-Shipping!$P$37)^($F105/24/Shipping!$P$44+0.5*Shipping!$P$59))</f>
        <v>63920000</v>
      </c>
      <c r="DP105" s="16" t="str">
        <f>IF($E105="","No Port",((F105/24/Shipping!$P$44+F105/24/Shipping!$P$50+Shipping!$P$59+Shipping!$P$64)*(Shipping!$P$22+wacc_nl*Shipping!$P$19/365.25*1000000+Shipping!$P$35)+(F105/24/Shipping!$P$44*Shipping!$P$45+Shipping!$P$64*Shipping!$P$65)*IF(bunker_choice="HFO",$H105,IF(bunker_choice="hydrogen",$BD105*hfo_e_density_lhv/h2_e_density_lhv,(DM105+DN105)*1000000/DO105*hfo_e_density_lhv/nabh4_e_density_lhv))+(F105/24/Shipping!$P$50*Shipping!$P$51+Shipping!$P$59*Shipping!$P$60)*IF(bunker_choice="HFO",bunker_price_ROT,IF(bunker_choice="hydrogen",$BD105*hfo_e_density_lhv/h2_e_density_lhv,(DM105+DN105)*1000000/DO105*hfo_e_density_lhv/nabh4_e_density_lhv))+Shipping!$P$73+IF(G105="Panama",Shipping!$P$55,0)+IF(G105="Suez",Shipping!$P$56,0))/Shipping!$P$31*(DO105+nabh4_st_ab_losses)/1000000+IF(inland_transport_to_port="hv dc grid",$BM105/100*1000*DR105,IF(inland_transport_to_port="pipeline",$BN105,0)))</f>
        <v>No Port</v>
      </c>
      <c r="DQ105" s="28" t="str">
        <f t="shared" si="146"/>
        <v/>
      </c>
      <c r="DR105" s="29">
        <f>((Carriers!$V$18/Carriers!$V$23*alk_el_e_demand)+nabh4_e_demand)*(DO105+nabh4_st_ab_losses)/1000000+nabh4_st_e_demand*DO105/1000000</f>
        <v>980.02139682539689</v>
      </c>
      <c r="DS105" s="28">
        <f t="shared" si="161"/>
        <v>3.1960000000000002</v>
      </c>
      <c r="DT105" s="28" t="str">
        <f>IFERROR(DQ105*1000000/Storage!$O$12,"")</f>
        <v/>
      </c>
      <c r="DU105" s="28" t="str">
        <f>IF($E105="","No Port",((F105/24/Shipping!$P$44+F105/24/Shipping!$P$50+Shipping!$P$59+Shipping!$P$64)*Carriers!$V$39*wacc_nl))</f>
        <v>No Port</v>
      </c>
      <c r="DV105" s="100">
        <f>H2_retrieval!$N$25*h2_demand_kt/1000+(co2_liq_e_demand+co2_st_e_demand*2)*Storage!$O$12*co2_density/nabh4_density/1000000</f>
        <v>18.783638728971958</v>
      </c>
      <c r="DW105" s="28" t="str">
        <f>IFERROR(((DQ105*(1+H2_retrieval!$N$34)+DU105)*1000000/H2_retrieval!$N$8)+h2_regen_nabh4,"")</f>
        <v/>
      </c>
      <c r="DX105" s="149">
        <f>(Dme_invest*(M105+1/Dme_lifetime)/Dme_prod+Dme_opex+Dme_e_demand*1000*$AU105/100+Carriers!$X$21/Carriers!$X$23*(CO105*1000000/CS105))*(EB105+Dme_st_ab_losses)/1000000</f>
        <v>91288.498995757167</v>
      </c>
      <c r="DY105" s="86">
        <f>(Dme_invest*(M105+1/Dme_lifetime)/Dme_prod+Dme_opex+Dme_e_demand*1000*$AU105/100+Carriers!$X$21/Carriers!$X$23*(CP105*1000000/CS105))*(EB105+Dme_st_ab_losses)/1000000</f>
        <v>115812.33160358178</v>
      </c>
      <c r="DZ105" s="63">
        <f>Dme_st_nl_cost*Dme_st_nl_demand/1000000+(Dme_st_invest*(M105+1/Dme_st_lifetime+Dme_st_opex)/(Storage!$Q$63/1000000)+Dme_st_e_demand*1000*$AU105/100)*(EB105+Dme_st_ab_losses)/1000000+co2_st_nl_cost*Storage!$Q$12*co2_density/Dme_density/1000000+(co2_st_opex_lev+co2_st_invest_lev+co2_st_e_demand*1000*$AU105/100)*Storage!$Q$12/1000000+co2_st_invest_lev*Storage!$Q$12*co2_st_lifetime*M105/1000000+(h2_demand_kt*1000/365.25*short_st_duration_hrs/24)*(h2_short_st_invest*(1/gh2_short_st_lifetime+$M105+h2_short_st_opex)+h2_short_st_e_demand*1000*$AU105/100)/1000000</f>
        <v>6348.372606819391</v>
      </c>
      <c r="EA105" s="63">
        <f>Dme_st_nl_cost*Dme_st_nl_demand/1000000+(Dme_st_invest*(M105+1/Dme_st_lifetime+Dme_st_opex)/(Storage!$Q$63/1000000)+Dme_st_e_demand*1000*$AU105/100)*(EB105+Dme_st_ab_losses)/1000000+(h2_demand_kt*1000/365.25*short_st_duration_hrs/24)*(h2_short_st_invest*(1/gh2_short_st_lifetime+$M105+h2_short_st_opex)+h2_short_st_e_demand*1000*$AU105/100)/1000000</f>
        <v>3294.2488591170395</v>
      </c>
      <c r="EB105" s="63">
        <f>Storage!$Q$57/((1-Shipping!$R$37)^($F105/24/Shipping!$R$44+0.5*Shipping!$R$59))</f>
        <v>103547089.94708996</v>
      </c>
      <c r="EC105" s="153" t="str">
        <f>IF($E105="","No Port",IF(AND(ship_choice="VLCC",G105="Panama"),"Ship cannot pass through Panama",IF(ship_choice="VLCC",((F105/24/Shipping!$AD$44+F105/24/Shipping!$AD$50+Shipping!$AD$59+Shipping!$AD$64)*(Shipping!$AD$22+wacc_nl*Shipping!$AD$19/365.25*1000000+Shipping!$AD$35)+(F105/24/Shipping!$AD$44*Shipping!$AD$45+Shipping!$AD$64*Shipping!$AD$65)*IF(bunker_choice="HFO",$H105,IF(bunker_choice="hydrogen",$BD105*hfo_e_density_lhv/h2_e_density_lhv,(DX105+DZ105)*1000000/EB105*hfo_e_density_lhv/Dme_e_density_lhv))+(F105/24/Shipping!$AD$50*Shipping!$AD$51+Shipping!$AD$59*Shipping!$AD$60)*IF(bunker_choice="HFO",bunker_price_ROT,IF(bunker_choice="hydrogen",$BD105*hfo_e_density_lhv/h2_e_density_lhv,(DX105+DZ105)*1000000/EB105*hfo_e_density_lhv/Dme_e_density_lhv))+Shipping!$AD$73+IF(G105="Panama",Shipping!$AD$55,0)+IF(G105="Suez",Shipping!$AD$56,0))/Shipping!$AD$31*(EB105+Dme_st_ab_losses)/1000000+IF(inland_transport_to_port="hv dc grid",$BM105/100*1000*EE105,IF(inland_transport_to_port="pipeline",$BN105,0)),((F105/24/Shipping!$R$44+F105/24/Shipping!$R$50+Shipping!$R$59+Shipping!$R$64)*(Shipping!$R$22+wacc_nl*Shipping!$R$19/365.25*1000000+Shipping!$R$35)+(F105/24/Shipping!$R$44*Shipping!$R$45+Shipping!$R$64*Shipping!$R$65)*IF(bunker_choice="HFO",$H105,IF(bunker_choice="hydrogen",$BD105*hfo_e_density_lhv/h2_e_density_lhv,(DX105+DZ105)*1000000/EB105*hfo_e_density_lhv/Dme_e_density_lhv))+(F105/24/Shipping!$R$50*Shipping!$R$51+Shipping!$R$59*Shipping!$R$60)*IF(bunker_choice="HFO",bunker_price_ROT,IF(bunker_choice="hydrogen",$BD105*hfo_e_density_lhv/h2_e_density_lhv,(DX105+DZ105)*1000000/EB105*hfo_e_density_lhv/Dme_e_density_lhv))+Shipping!$R$73+IF(G105="Panama",Shipping!$R$55,0)+IF(G105="Suez",Shipping!$R$56,0))/Shipping!$R$31*(EB105+Dme_st_ab_losses)/1000000+IF(inland_transport_to_port="hv dc grid",$BM105/100*1000*EE105,IF(inland_transport_to_port="pipeline",$BN105,0)))))</f>
        <v>No Port</v>
      </c>
      <c r="ED105" s="28" t="str">
        <f t="shared" si="134"/>
        <v/>
      </c>
      <c r="EE105" s="29">
        <f>(Dme_e_demand)*(EB105+Dme_st_ab_losses)/1000000+Dme_st_e_demand*DZ105/1000000+$CV105*(Carriers!$X$21/Carriers!$X$23*EB105)/$CS105</f>
        <v>1550.2168236507819</v>
      </c>
      <c r="EF105" s="29">
        <f t="shared" si="162"/>
        <v>1.0354708994708997</v>
      </c>
      <c r="EG105" s="28" t="str">
        <f>IFERROR(ED105*1000000/Storage!$Q$12,"")</f>
        <v/>
      </c>
      <c r="EH105" s="28" t="str">
        <f>IF($E105="","No Port",((F105/24/Shipping!$R$44+F105/24/Shipping!$R$50+Shipping!$R$59+Shipping!$R$64)*Carriers!$X$39*wacc_nl))</f>
        <v>No Port</v>
      </c>
      <c r="EI105" s="100">
        <f>H2_retrieval!$P$25*h2_demand_kt/1000+(co2_liq_e_demand+co2_st_e_demand*2)*Storage!$Q$12*co2_density/Dme_density/1000000</f>
        <v>252.45335899349112</v>
      </c>
      <c r="EJ105" s="28" t="str">
        <f>IFERROR((((DX105+DZ105+EC105)*(1+H2_retrieval!$P$34)+EH105)*1000000/H2_retrieval!$P$8)+h2_regen_dme,"")</f>
        <v/>
      </c>
      <c r="EK105" s="149">
        <f>(ome_invest*(M105+1/ome_lifetime)/ome_prod+ome_opex+ome_e_demand*1000*$AU105/100+Carriers!$Z$21/Carriers!$Z$23*(CO105*1000000/CS105))*(EO105+ome_st_ab_losses)/1000000</f>
        <v>198982.0594414201</v>
      </c>
      <c r="EL105" s="86">
        <f>(ome_invest*(M105+1/ome_lifetime)/ome_prod+ome_opex+ome_e_demand*1000*$AU105/100+Carriers!$Z$21/Carriers!$Z$23*(CP105*1000000/CS105))*(EO105+ome_st_ab_losses)/1000000</f>
        <v>250462.35796888932</v>
      </c>
      <c r="EM105" s="63">
        <f>ome_st_nl_cost*ome_st_nl_demand/1000000+(ome_st_invest*(M105+1/ome_st_lifetime+ome_st_opex)/(Storage!$S$63/1000000)+ome_st_e_demand*1000*$AU105/100)*(EO105+ome_st_ab_losses)/1000000+co2_st_nl_cost*Storage!$S$12*co2_density/ome_density/1000000+(co2_st_opex_lev+co2_st_invest_lev+co2_st_e_demand*1000*$AU105/100)*Storage!$S$12/1000000+co2_st_invest_lev*Storage!$S$12*co2_st_lifetime*M105/1000000+(h2_demand_kt*1000/365.25*short_st_duration_hrs/24)*(h2_short_st_invest*(1/gh2_short_st_lifetime+$M105+h2_short_st_opex)+h2_short_st_e_demand*1000*$AU105/100)/1000000</f>
        <v>5437.1501409492685</v>
      </c>
      <c r="EN105" s="63">
        <f>ome_st_nl_cost*ome_st_nl_demand/1000000+(ome_st_invest*(M105+1/ome_st_lifetime+ome_st_opex)/(Storage!$S$63/1000000)+ome_st_e_demand*1000*$AU105/100)*(EO105+ome_st_ab_losses)/1000000+(h2_demand_kt*1000/365.25*short_st_duration_hrs/24)*(h2_short_st_invest*(1/gh2_short_st_lifetime+$M105+h2_short_st_opex)+h2_short_st_e_demand*1000*$AU105/100)/1000000</f>
        <v>1992.4215848829197</v>
      </c>
      <c r="EO105" s="63">
        <f>Storage!$S$57/((1-Shipping!$T$37)^($F105/24/Shipping!$T$44+0.5*Shipping!$T$59))</f>
        <v>128282539.68253967</v>
      </c>
      <c r="EP105" s="28" t="str">
        <f>IF($E105="","No Port",IF(AND(ship_choice="VLCC",G105="Panama"),"Ship cannot pass through Panama",IF(ship_choice="VLCC",((F105/24/Shipping!$AD$44+F105/24/Shipping!$AD$50+Shipping!$AD$59+Shipping!$AD$64)*(Shipping!$AD$22+wacc_nl*Shipping!$AD$19/365.25*1000000+Shipping!$AD$35)+(F105/24/Shipping!$AD$44*Shipping!$AD$45+Shipping!$AD$64*Shipping!$AD$65)*IF(bunker_choice="HFO",$H105,IF(bunker_choice="hydrogen",$BD105*hfo_e_density_lhv/h2_e_density_lhv,(EK105+EM105)*1000000/EO105*hfo_e_density_lhv/Dme_e_density_lhv))+(F105/24/Shipping!$AD$50*Shipping!$AD$51+Shipping!$AD$59*Shipping!$AD$60)*IF(bunker_choice="HFO",bunker_price_ROT,IF(bunker_choice="hydrogen",$BD105*hfo_e_density_lhv/h2_e_density_lhv,(EK105+EM105)*1000000/EO105*hfo_e_density_lhv/ome_e_density_lhv))+Shipping!$AD$73+IF(G105="Panama",Shipping!$AD$55,0)+IF(G105="Suez",Shipping!$AD$56,0))/Shipping!$AD$31*(EO105+ome_st_ab_losses)/1000000+IF(inland_transport_to_port="hv dc grid",$BM105/100*1000*ER105,IF(inland_transport_to_port="pipeline",$BN105,0)),((F105/24/Shipping!$T$44+F105/24/Shipping!$T$50+Shipping!$T$59+Shipping!$T$64)*(Shipping!$T$22+wacc_nl*Shipping!$T$19/365.25*1000000+Shipping!$T$35)+(F105/24/Shipping!$T$44*Shipping!$T$45+Shipping!$T$64*Shipping!$T$65)*IF(bunker_choice="HFO",$H105,IF(bunker_choice="hydrogen",$BD105*hfo_e_density_lhv/h2_e_density_lhv,(EK105+EM105)*1000000/EO105*hfo_e_density_lhv/Dme_e_density_lhv))+(F105/24/Shipping!$T$50*Shipping!$T$51+Shipping!$T$59*Shipping!$T$60)*IF(bunker_choice="HFO",bunker_price_ROT,IF(bunker_choice="hydrogen",$BD105*hfo_e_density_lhv/h2_e_density_lhv,(EK105+EM105)*1000000/EO105*hfo_e_density_lhv/ome_e_density_lhv))+Shipping!$T$73+IF(G105="Panama",Shipping!$T$55,0)+IF(G105="Suez",Shipping!$T$56,0))/Shipping!$T$31*(EO105+ome_st_ab_losses)/1000000+IF(inland_transport_to_port="hv dc grid",$BM105/100*1000*ER105,IF(inland_transport_to_port="pipeline",$BN105,0)))))</f>
        <v>No Port</v>
      </c>
      <c r="EQ105" s="28" t="str">
        <f t="shared" si="135"/>
        <v/>
      </c>
      <c r="ER105" s="29">
        <f>(ome_e_demand)*(EO105+ome_st_ab_losses)/1000000+ome_st_e_demand*EM105/1000000+$CV105*(Carriers!$Z$21/Carriers!$Z$23*EO105)/$CS105</f>
        <v>3352.0814582965086</v>
      </c>
      <c r="ES105" s="29">
        <f t="shared" si="163"/>
        <v>0.1924238095238095</v>
      </c>
      <c r="ET105" s="28" t="str">
        <f>IFERROR(EQ105*1000000/Storage!$S$12,"")</f>
        <v/>
      </c>
      <c r="EU105" s="28" t="str">
        <f>IF($E105="","No Port",((F105/24/Shipping!$T$44+F105/24/Shipping!$T$50+Shipping!$T$59+Shipping!$T$64)*Carriers!$Z$39*wacc_nl))</f>
        <v>No Port</v>
      </c>
      <c r="EV105" s="100">
        <f>H2_retrieval!$R$25*h2_demand_kt/1000+(co2_liq_e_demand+co2_st_e_demand*2)*Storage!$S$12*co2_density/ome_density/1000000</f>
        <v>254.51942895252085</v>
      </c>
      <c r="EW105" s="28" t="str">
        <f>IFERROR((((EK105+EM105+EP105)*(1+H2_retrieval!$R$34)+EU105)*1000000/H2_retrieval!$R$8)+h2_regen_ome,"")</f>
        <v/>
      </c>
      <c r="EX105" s="149">
        <f>(sng_invest*(M105+1/sng_lifetime)/sng_prod+lng_invest*(M105+1/lng_lifetime)/lng_prod+sng_opex+lng_opex+(sng_e_demand+lng_e_demand)*1000*$AU105/100+Carriers!$AB$18/Carriers!$AB$23*BD105+Carriers!$AB$20/Carriers!$AB$23*co2_liq_cost)*(FB105+lng_st_ab_losses)/1000000</f>
        <v>70009.711512014415</v>
      </c>
      <c r="EY105" s="86">
        <f>(sng_invest*(M105+1/sng_lifetime)/sng_prod+lng_invest*(M105+1/lng_lifetime)/lng_prod+sng_opex+lng_opex+(sng_e_demand+lng_e_demand)*1000*$AU105/100+Carriers!$AB$18/Carriers!$AB$23*BD105+Carriers!$AB$20/Carriers!$AB$23*BP105)*(FB105+lng_st_ab_losses)/1000000</f>
        <v>83376.317177474135</v>
      </c>
      <c r="EZ105" s="63">
        <f>lng_st_nl_cost*lng_st_nl_demand/1000000+(lng_st_invest*(M105+1/lng_st_lifetime+lng_st_opex)/(Storage!$U$63/1000000)+lng_st_e_demand*1000*$AU105/100)*(FB105+lng_st_ab_losses)/1000000+co2_st_nl_cost*Storage!$U$12*co2_density/lng_density/1000000+(co2_st_opex_lev+co2_st_invest_lev+co2_st_e_demand*1000*$AU105/100)*Storage!$U$12/1000000+co2_st_invest_lev*Storage!$U$12*co2_st_lifetime*M105/1000000+Carriers!$AB$18/Carriers!$AB$23*((FB105+lng_st_ab_losses)/365.25*short_st_duration_hrs/24)*(h2_short_st_invest*(1/gh2_short_st_lifetime+$M105+h2_short_st_opex)+h2_short_st_e_demand*1000*$AU105/100)/1000000+Carriers!$AB$20/Carriers!$AB$23*((FB105+lng_st_ab_losses)/365.25*short_st_duration_hrs/24)*(co2_short_st_invest*(1/co2_short_st_lifetime+$M105+co2_short_st_opex)+co2_short_st_e_demand*1000*$AU105/100)/1000000</f>
        <v>6750.3541582225271</v>
      </c>
      <c r="FA105" s="63">
        <f>lng_st_nl_cost*lng_st_nl_demand/1000000+(lng_st_invest*(M105+1/lng_st_lifetime+lng_st_opex)/(Storage!$U$63/1000000)+lng_st_e_demand*1000*$AU105/100)*(FB105+lng_st_ab_losses)/1000000+Carriers!$AB$18/Carriers!$AB$23*((FB105+lng_st_ab_losses)/365.25*short_st_duration_hrs/24)*(h2_short_st_invest*(1/gh2_short_st_lifetime+$M105+h2_short_st_opex)+h2_short_st_e_demand*1000*$AU105/100)/1000000+Carriers!$AB$20/Carriers!$AB$23*((FB105+lng_st_ab_losses)/365.25*short_st_duration_hrs/24)*(co2_short_st_invest*(1/co2_short_st_lifetime+$M105+co2_short_st_opex)+co2_short_st_e_demand*1000*$AU105/100)/1000000</f>
        <v>5115.6360741385779</v>
      </c>
      <c r="FB105" s="63">
        <f>Storage!$U$57/((1-Shipping!$V$37)^($F105/24/Shipping!$V$44+0.5*Shipping!$V$59))</f>
        <v>40707231.50721889</v>
      </c>
      <c r="FC105" s="28" t="str">
        <f>IF($E105="","No Port",IF(G105="Panama","Ship cannot pass through Panama",((F105/24/Shipping!$V$44+F105/24/Shipping!$V$50+Shipping!$V$59+Shipping!$V$64)*(Shipping!$V$22+wacc_nl*Shipping!$V$19/365.25*1000000+Shipping!$V$35)+(F105/24/Shipping!$V$44*Shipping!$V$45+Shipping!$V$64*Shipping!$V$65)*IF(bunker_choice="HFO",$H105,IF(bunker_choice="hydrogen",$BD105*hfo_e_density_lhv/h2_e_density_lhv,(EX105+EZ105)*1000000/FB105*hfo_e_density_lhv/lng_e_density_lhv))+(F105/24/Shipping!$V$50*Shipping!$V$51+Shipping!$V$59*Shipping!$V$60)*IF(bunker_choice="HFO",bunker_price_ROT,IF(bunker_choice="hydrogen",$BD105*hfo_e_density_lhv/h2_e_density_lhv,(EX105+EZ105)*1000000/FB105*hfo_e_density_lhv/lng_e_density_lhv))+Shipping!$V$73+IF(G105="Panama",Shipping!$V$55,0)+IF(G105="Suez",Shipping!$V$56,0))/Shipping!$V$31*(FB105+lng_st_ab_losses)/1000000)+IF(inland_transport_to_port="hv dc grid",$BM105/100*1000*FE105,IF(inland_transport_to_port="pipeline",$BN105,0)))</f>
        <v>No Port</v>
      </c>
      <c r="FD105" s="28" t="str">
        <f t="shared" si="136"/>
        <v/>
      </c>
      <c r="FE105" s="29">
        <f>((Carriers!$AB$18/Carriers!$AB$23*alk_el_e_demand)+sng_e_demand+lng_e_demand)*(FB105+lng_st_ab_losses)/1000000+lng_st_e_demand*EZ105/1000000</f>
        <v>1091.7518940357324</v>
      </c>
      <c r="FF105" s="29">
        <f t="shared" si="164"/>
        <v>0.8126185861001558</v>
      </c>
      <c r="FG105" s="28" t="str">
        <f>IFERROR(FD105*1000000/Storage!$U$12,"")</f>
        <v/>
      </c>
      <c r="FH105" s="28" t="str">
        <f>IF($E105="","No Port",((F105/24/Shipping!$V$44+F105/24/Shipping!$V$50+Shipping!$V$59+Shipping!$V$64)*Carriers!$AB$39*wacc_nl))</f>
        <v>No Port</v>
      </c>
      <c r="FI105" s="100">
        <f>H2_retrieval!$T$25*h2_demand_kt/1000+(co2_liq_e_demand+co2_st_e_demand*2)*Storage!$U$12*co2_density/lng_density/1000000</f>
        <v>236.51371749646054</v>
      </c>
      <c r="FJ105" s="28" t="str">
        <f>IFERROR((((EX105+EZ105+FC105)*(1+H2_retrieval!$T$34)+FH105)*1000000/H2_retrieval!$T$8)+h2_regen_lng,"")</f>
        <v/>
      </c>
      <c r="FK105" s="149">
        <f>(lh2_invest*(M105+1/lh2_lifetime)/lh2_prod+lh2_opex+lh2_e_demand*1000*$AU105/100+Carriers!$AD$18/Carriers!$AD$23*BD105)*(FM105+lh2_st_ab_losses)/1000000</f>
        <v>55110.711814825234</v>
      </c>
      <c r="FL105" s="28">
        <f>lh2_st_nl_cost*lh2_st_nl_demand/1000000+(lh2_st_invest*(M105+1/lh2_st_lifetime+lh2_st_opex)/(Storage!$Y$63/1000000)+lh2_st_e_demand*1000*$AU105/100)*(FM105+lh2_st_ab_losses)/1000000+((FM105+lh2_st_ab_losses)/365.25*short_st_duration_hrs/24)*(h2_short_st_invest*(1/gh2_short_st_lifetime+$M105+h2_short_st_opex)+h2_short_st_e_demand*1000*$AU105/100)/1000000</f>
        <v>58771.718935507197</v>
      </c>
      <c r="FM105" s="63">
        <f>Storage!$Y$57/((1-Shipping!$Z$37)^($F105/24/Shipping!$Z$44+0.5*Shipping!$Z$59))</f>
        <v>13659984.090217989</v>
      </c>
      <c r="FN105" s="28" t="str">
        <f>IF($E105="","No Port",IF(G105="Panama","Ship cannot pass through Panama",((F105/24/Shipping!$Z$44+F105/24/Shipping!$Z$50+Shipping!$Z$59+Shipping!$Z$64)*(Shipping!$Z$22+wacc_nl*Shipping!$Z$19/365.25*1000000+Shipping!$Z$35)+(F105/24/Shipping!$Z$44*Shipping!$Z$45+Shipping!$Z$64*Shipping!$Z$65)*IF(bunker_choice="HFO",$H105,IF(bunker_choice="hydrogen",$BD105*hfo_e_density_lhv/h2_e_density_lhv,(FK105+FL105)*1000000/FM105*hfo_e_density_lhv/lh2_e_density_lhv))+(F105/24/Shipping!$Z$50*Shipping!$Z$51+Shipping!$Z$59*Shipping!$Z$60)*IF(bunker_choice="HFO",bunker_price_ROT,IF(bunker_choice="hydrogen",$BD105*hfo_e_density_lhv/h2_e_density_lhv,(FK105+FL105)*1000000/FM105*hfo_e_density_lhv/lh2_e_density_lhv))+Shipping!$Z$73+IF(G105="Panama",Shipping!$Z$55,0)+IF(G105="Suez",Shipping!$Z$56,0))/Shipping!$Z$31*(FM105+lh2_st_ab_losses)/1000000)+IF(inland_transport_to_port="hv dc grid",$BM105/100*1000*FP105,IF(inland_transport_to_port="pipeline",$BN105,0)))</f>
        <v>No Port</v>
      </c>
      <c r="FO105" s="28" t="str">
        <f t="shared" si="128"/>
        <v/>
      </c>
      <c r="FP105" s="29">
        <f>((Carriers!$AD$18/Carriers!$AD$23*alk_el_e_demand)+lh2_e_demand)*(FM105+lh2_st_ab_losses)/1000000+lh2_st_e_demand*FM105/1000000</f>
        <v>791.60233245091877</v>
      </c>
      <c r="FQ105" s="100">
        <f t="shared" si="165"/>
        <v>1.361902463475859</v>
      </c>
      <c r="FR105" s="28" t="str">
        <f>IFERROR(FO105*1000000/Storage!$Y$12,"")</f>
        <v/>
      </c>
      <c r="FS105" s="100">
        <f>H2_retrieval!$V$25*h2_demand_kt/1000</f>
        <v>8.16</v>
      </c>
      <c r="FT105" s="28" t="str">
        <f>IFERROR(FR105*(1+H2_retrieval!$V$34)/Carrier_properties!$U$7+H2_retrieval!$V$38,"")</f>
        <v/>
      </c>
      <c r="FU105" s="12"/>
      <c r="FV105" s="24">
        <f t="shared" si="129"/>
        <v>2.6152040808318184</v>
      </c>
      <c r="FW105" s="24" t="str">
        <f t="shared" si="143"/>
        <v/>
      </c>
      <c r="FX105" s="24" t="str">
        <f t="shared" si="144"/>
        <v/>
      </c>
      <c r="FY105" s="24">
        <f t="shared" si="130"/>
        <v>2.6152040808318184</v>
      </c>
      <c r="FZ105" s="28">
        <f t="shared" si="145"/>
        <v>2951.4170395280817</v>
      </c>
      <c r="GA105" s="28">
        <f t="shared" si="137"/>
        <v>684.86457285836298</v>
      </c>
      <c r="GB105" s="28">
        <f t="shared" si="138"/>
        <v>448.4138788972698</v>
      </c>
      <c r="GC105" s="28">
        <f t="shared" si="139"/>
        <v>766.64978577005638</v>
      </c>
      <c r="GD105" s="28">
        <f t="shared" si="140"/>
        <v>1118.4508580855249</v>
      </c>
      <c r="GE105" s="28">
        <f t="shared" si="141"/>
        <v>1952.4274978395936</v>
      </c>
      <c r="GF105" s="28">
        <f t="shared" si="142"/>
        <v>2048.1942419171505</v>
      </c>
      <c r="GG105" s="12"/>
      <c r="GH105" s="12"/>
      <c r="GI105" s="12"/>
      <c r="GJ105" s="12"/>
      <c r="GK105" s="12"/>
      <c r="GL105" s="12"/>
      <c r="GM105" s="12"/>
      <c r="GN105" s="12"/>
      <c r="GO105" s="12"/>
      <c r="GP105" s="12"/>
      <c r="GQ105" s="12"/>
      <c r="GR105" s="12"/>
      <c r="GS105" s="12"/>
      <c r="GT105" s="12"/>
      <c r="GU105" s="12"/>
      <c r="GV105" s="12"/>
      <c r="GW105" s="12"/>
      <c r="GX105" s="12"/>
      <c r="GY105" s="12"/>
      <c r="GZ105" s="12"/>
      <c r="HA105" s="12"/>
      <c r="HB105" s="12"/>
      <c r="HC105" s="12"/>
      <c r="HD105" s="12"/>
      <c r="HE105" s="12"/>
      <c r="HF105" s="12"/>
    </row>
    <row r="106" spans="1:214" x14ac:dyDescent="0.2">
      <c r="A106" s="154" t="s">
        <v>109</v>
      </c>
      <c r="B106" s="12">
        <v>4797</v>
      </c>
      <c r="C106" s="12">
        <v>0.9</v>
      </c>
      <c r="D106" s="12">
        <f t="shared" si="111"/>
        <v>9.9999999999999978E-2</v>
      </c>
      <c r="E106" s="12" t="s">
        <v>763</v>
      </c>
      <c r="F106" s="12">
        <v>4171</v>
      </c>
      <c r="G106" s="12"/>
      <c r="H106" s="16">
        <f t="shared" si="166"/>
        <v>382.75862068965517</v>
      </c>
      <c r="I106" s="16">
        <v>910770</v>
      </c>
      <c r="J106" s="16">
        <f t="shared" si="113"/>
        <v>538.43021371354246</v>
      </c>
      <c r="K106" s="27">
        <f t="shared" si="114"/>
        <v>646.11625645625088</v>
      </c>
      <c r="L106" s="103">
        <v>0.14899999999999999</v>
      </c>
      <c r="M106" s="103">
        <f t="shared" si="167"/>
        <v>0.14679327026921371</v>
      </c>
      <c r="N106" s="122">
        <f t="shared" si="116"/>
        <v>0.85</v>
      </c>
      <c r="O106" s="46">
        <f t="shared" si="168"/>
        <v>40</v>
      </c>
      <c r="P106" s="70">
        <f t="array" ref="P106">SUMPRODUCT(IF(Solar_data!A$4:A$777=A106,Solar_data!C$4:C$777),IF(Solar_data!A$4:A$777=A106,Solar_data!I$4:I$777))/SUMIF(Solar_data!A$4:A$777,A106,Solar_data!I$4:I$777)</f>
        <v>2072.2214814902813</v>
      </c>
      <c r="Q106" s="16">
        <f t="array" ref="Q106">MAX(IF(Solar_data!$A$777:'Solar_data'!$A$4=Country_details!$A106,Solar_data!$C$4:'Solar_data'!$C$777))</f>
        <v>2281.25</v>
      </c>
      <c r="R106" s="16">
        <f t="array" ref="R106">MIN(IF(Solar_data!$A$777:'Solar_data'!$A$4=Country_details!A106,Solar_data!$C$4:'Solar_data'!$C$777))</f>
        <v>1551.25</v>
      </c>
      <c r="S106" s="24">
        <f t="shared" si="149"/>
        <v>2.6088027011918369</v>
      </c>
      <c r="T106" s="24">
        <f t="shared" si="150"/>
        <v>2.3697608760020148</v>
      </c>
      <c r="U106" s="24">
        <f t="shared" si="151"/>
        <v>3.4849424647088449</v>
      </c>
      <c r="V106" s="16">
        <f t="array" ref="V106">SUM(IF(Solar_data!$A$777:'Solar_data'!$A$4=Country_details!$A106,Solar_data!$I$4:'Solar_data'!$I$777))</f>
        <v>7098.4960752774205</v>
      </c>
      <c r="W106" s="148"/>
      <c r="X106" s="16" t="str">
        <f>IFERROR(INDEX(Onshore_wind_data!$J$5:'Onshore_wind_data'!$J$221,MATCH(A106,Onshore_wind_data!$B$5:'Onshore_wind_data'!$B$221,0)),"")</f>
        <v/>
      </c>
      <c r="Y106" s="16" t="str">
        <f>IFERROR(INDEX(Onshore_wind_data!$K$5:'Onshore_wind_data'!$K$221,MATCH(A106,Onshore_wind_data!$B$5:'Onshore_wind_data'!$B$221,0)),"")</f>
        <v/>
      </c>
      <c r="Z106" s="16" t="str">
        <f>IFERROR(INDEX(Onshore_wind_data!$L$5:'Onshore_wind_data'!$L$221,MATCH(A106,Onshore_wind_data!$B$5:'Onshore_wind_data'!$B$221,0)),"")</f>
        <v/>
      </c>
      <c r="AA106" s="24" t="str">
        <f t="shared" si="169"/>
        <v/>
      </c>
      <c r="AB106" s="24" t="str">
        <f t="shared" si="170"/>
        <v/>
      </c>
      <c r="AC106" s="24" t="str">
        <f t="shared" si="171"/>
        <v/>
      </c>
      <c r="AD106" s="16">
        <f>IFERROR(INDEX(Onshore_wind_data!$I$5:'Onshore_wind_data'!$I$221,MATCH(A106,Onshore_wind_data!$B$5:'Onshore_wind_data'!$B$221,0)),"")</f>
        <v>0</v>
      </c>
      <c r="AE106" s="148"/>
      <c r="AF106" s="16" t="str">
        <f>INDEX(Offshore_wind_data!$AA$7:$AA$192,MATCH(Country_details!A106,Offshore_wind_data!$A$7:$A$192,0))</f>
        <v/>
      </c>
      <c r="AG106" s="16" t="str">
        <f>INDEX(Offshore_wind_data!$Y$7:$Y$192,MATCH(Country_details!A106,Offshore_wind_data!$A$7:$A$192,0))</f>
        <v/>
      </c>
      <c r="AH106" s="16" t="str">
        <f>INDEX(Offshore_wind_data!$Z$7:$Z$192,MATCH(Country_details!A106,Offshore_wind_data!$A$7:$A$192,0))</f>
        <v/>
      </c>
      <c r="AI106" s="24" t="str">
        <f t="shared" si="152"/>
        <v/>
      </c>
      <c r="AJ106" s="24" t="str">
        <f t="shared" si="153"/>
        <v/>
      </c>
      <c r="AK106" s="24" t="str">
        <f t="shared" si="154"/>
        <v/>
      </c>
      <c r="AL106" s="16">
        <f>INDEX(Offshore_wind_data!$W$7:$W$191,MATCH(A106,Offshore_wind_data!$A$7:$A$191,0))</f>
        <v>0</v>
      </c>
      <c r="AM106" s="148"/>
      <c r="AN106" s="12">
        <v>190.9</v>
      </c>
      <c r="AO106" s="12">
        <v>410.6</v>
      </c>
      <c r="AP106" s="34">
        <f>0.773*11.63</f>
        <v>8.9899900000000006</v>
      </c>
      <c r="AQ106" s="15">
        <f t="shared" si="155"/>
        <v>50</v>
      </c>
      <c r="AR106" s="12">
        <f t="shared" si="131"/>
        <v>20530</v>
      </c>
      <c r="AS106" s="16">
        <f t="shared" si="121"/>
        <v>-13431.50392472258</v>
      </c>
      <c r="AT106" s="12"/>
      <c r="AU106" s="24">
        <f t="shared" si="147"/>
        <v>2.6088027011918369</v>
      </c>
      <c r="AV106" s="16">
        <f t="shared" si="148"/>
        <v>2072.2214814902813</v>
      </c>
      <c r="AW106" s="149">
        <f>HV_DC_Grid!$E$3/(1-AX106)*AU106/100*1000</f>
        <v>2909.688050249059</v>
      </c>
      <c r="AX106" s="31">
        <f>(1-(1-HV_DC_Grid!$E$25)^(B106*C106*HV_DC_Grid!$E$8/1000))+(1-(1-HV_DC_Grid!$E$26)^(B106*D106*HV_DC_Grid!$E$8/1000))+HV_DC_Grid!$E$35*HV_DC_Grid!$E$28</f>
        <v>0.10340811243716218</v>
      </c>
      <c r="AY106" s="28">
        <f>B106*nl_e_demand/IF(hv_dc_flh="electricity FLH",$AV106,hv_dc_custom)*1000*hv_dc_capacity_multiplier*hv_dc_length_multiplier*1000*(C106*hv_dc_overhead_invest*(hv_dc_overhead_opex+M106+1/hv_dc_lifetime)+D106*hv_dc_sea_invest*(hv_dc_sea_opex+M106+1/hv_dc_lifetime))/1000000+HV_DC_Grid!$E$10*1000*hv_dc_station_invest*hv_dc_station_number*(hv_dc_station_opex+M106+1/hv_dc_lifetime)/1000000</f>
        <v>6082.8195649497184</v>
      </c>
      <c r="AZ106" s="24">
        <f>(AW106+AY106)/(HV_DC_Grid!$E$3*1000)*100</f>
        <v>8.9925076151987771</v>
      </c>
      <c r="BA106" s="28">
        <f>MIN(((Carriers!$F$26+Carriers!$F$27)*(alk_el_opex+wacc_nl+1/alk_el_lifetime)+IF(hv_dc_flh="electricity FLH",$AV106,hv_dc_custom)*AZ106/100)/(IF(hv_dc_flh="electricity FLH",$AV106,hv_dc_custom)/alk_el_e_demand)*1000,((Carriers!$H$26+Carriers!$H$27)*(pem_el_opex+wacc_nl+1/pem_el_lifetime)+IF(hv_dc_flh="electricity FLH",$AV106,hv_dc_custom)*AZ106/100)/(IF(hv_dc_flh="electricity FLH",$AV106,hv_dc_custom)/pem_el_e_demand)*1000)</f>
        <v>4943.4975717947555</v>
      </c>
      <c r="BB106" s="12"/>
      <c r="BC106" s="12"/>
      <c r="BD106" s="149">
        <f>MIN(((Carriers!$F$26+Carriers!$F$27)*(alk_el_opex+M106+1/alk_el_lifetime)+$AV106*$AU106/100)/($AV106/alk_el_e_demand)*1000,((Carriers!$H$26+Carriers!$H$27)*(pem_el_opex+M106+1/pem_el_lifetime)+$AV106*$AU106/100)/($AV106/pem_el_e_demand)*1000)</f>
        <v>3163.2922735775314</v>
      </c>
      <c r="BE106" s="28">
        <f>Storage!$AC$50</f>
        <v>8.1664117557772418</v>
      </c>
      <c r="BF106" s="28">
        <f>((Pipeline!$D$22*Pipeline!$D$24*B106*(pipeline_opex+M106+1/pipeline_lifetime))*(Pipeline!$D$39/Pipeline!$D$3)+(Pipeline!$D$57*(pipeline_comp_opex+M106+1/pipeline_comp_lifetime)+Pipeline!$D$47*1000*Pipeline!$D$45*$AU106/100/1000000))*(Pipeline!$D$75/Pipeline!$D$45)</f>
        <v>12036.027292283386</v>
      </c>
      <c r="BG106" s="28">
        <f>BD106+(BE106+BF106)/Storage!$AC$12*1000000</f>
        <v>4048.8947518157051</v>
      </c>
      <c r="BH106" s="28"/>
      <c r="BI106" s="28"/>
      <c r="BJ106" s="28">
        <f>IF($E106="","No Port",BK106*HV_DC_Grid!$E$3*$AU106/100*1000)</f>
        <v>68.945112064117268</v>
      </c>
      <c r="BK106" s="31">
        <f>IFERROR((1-(1-HV_DC_Grid!$E$25)^(K106*HV_DC_Grid!$E$8/1000))+HV_DC_Grid!$E$35*HV_DC_Grid!$E$28,"")</f>
        <v>2.6427875144647603E-2</v>
      </c>
      <c r="BL106" s="28">
        <f>IFERROR(K106*nl_e_demand/IF(hv_dc_flh="electricity FLH",$AV106,hv_dc_custom)*1000*hv_dc_capacity_multiplier*hv_dc_length_multiplier*1000*(hv_dc_overhead_invest*(hv_dc_overhead_opex+M106+1/hv_dc_lifetime))/1000000+HV_DC_Grid!$E$10*1000*hv_dc_station_invest*hv_dc_station_number*(hv_dc_station_opex+M106+1/hv_dc_lifetime)/1000000,"")</f>
        <v>1100.1208541130227</v>
      </c>
      <c r="BM106" s="29">
        <f>IFERROR((BJ106+BL106)/(HV_DC_Grid!$E$3*1000)*100,"")</f>
        <v>1.1690659661771399</v>
      </c>
      <c r="BN106" s="28">
        <f>IFERROR(((Pipeline!$D$22*Pipeline!$D$24*K106*(pipeline_opex+M106+1/pipeline_lifetime))*(Pipeline!$D$39/Pipeline!$D$3)+(Pipeline!$D$57*(pipeline_comp_opex+M106+1/pipeline_comp_lifetime)+Pipeline!$D$47*1000*Pipeline!$D$45*S106/100/1000000))*(Pipeline!$D$75/Pipeline!$D$45),"")</f>
        <v>1696.5179426095444</v>
      </c>
      <c r="BO106" s="28"/>
      <c r="BP106" s="150">
        <f t="shared" si="172"/>
        <v>124.24504999116195</v>
      </c>
      <c r="BQ106" s="34">
        <f t="shared" si="173"/>
        <v>37.245787952901779</v>
      </c>
      <c r="BR106" s="151">
        <f>(nh3_invest*(M106+1/nh3_lifetime)/nh3_prod+nh3_opex+nh3_e_demand*1000*$AU106/100+Carriers!$N$18/Carriers!$N$23*BD106+Carriers!$N$19/Carriers!$N$23*BQ106)*(BT106+nh3_st_ab_losses)/1000000</f>
        <v>56771.444599967297</v>
      </c>
      <c r="BS106" s="63">
        <f>nh3_st_nl_cost*nh3_st_nl_demand/1000000+(nh3_st_invest*(M106+1/nh3_st_lifetime+nh3_st_opex)/(Storage!$G$63/1000000)+nh3_st_e_demand*1000*$AU106/100)*(BT106+nh3_st_ab_losses)/1000000+Carriers!$N$18/Carriers!$N$23*((BT106+nh3_st_ab_losses)/365.25*short_st_duration_hrs/24)*(h2_short_st_invest*(1/gh2_short_st_lifetime+$M106+h2_short_st_opex)+h2_short_st_e_demand*1000*$AU106/100)/1000000+Carriers!$N$19/Carriers!$N$23*((BT106+nh3_st_ab_losses)/365.25*short_st_duration_hrs/24)*(n2_short_st_invest*(1/n2_short_st_lifetime+$M106+n2_short_st_opex)+n2_short_st_e_demand*1000*$AU106/100)/1000000</f>
        <v>3690.7944165292211</v>
      </c>
      <c r="BT106" s="63">
        <f>Storage!$G$57/((1-Shipping!$H$37)^(F106/24/Shipping!$H$44+0.5*Shipping!$H$59))</f>
        <v>78909981.877706468</v>
      </c>
      <c r="BU106" s="63">
        <f>IF($E106="","No Port",((F106/24/Shipping!$H$44+F106/24/Shipping!$H$50+Shipping!$H$59+Shipping!$H$64)*(Shipping!$H$22+wacc_nl*Shipping!$H$19/365.25*1000000+Shipping!$H$35)+(F106/24/Shipping!$H$44*Shipping!$H$45+Shipping!$H$64*Shipping!$H$65)*IF(bunker_choice="HFO",H106,IF(bunker_choice="hydrogen",BD106*hfo_e_density_lhv/h2_e_density_lhv,(BR106+BS106)*1000000/BT106*hfo_e_density_lhv/nh3_e_density_lhv))+(F106/24/Shipping!$H$50*Shipping!$H$51+Shipping!$H$59*Shipping!$H$60)*IF(bunker_choice="HFO",bunker_price_ROT,IF(bunker_choice="hydrogen",BD106*hfo_e_density_lhv/h2_e_density_lhv,(BR106+BS106)*1000000/BT106*hfo_e_density_lhv/nh3_e_density_lhv))+Shipping!$H$73+IF(G106="Panama",Shipping!$H$55,0)+IF(G106="Suez",Shipping!$H$56,0))/Shipping!$H$31*BT106/1000000+IF(inland_transport_to_port="hv dc grid",$BM106/100*1000*BW106,IF(inland_transport_to_port="pipeline",$BN106,0)))</f>
        <v>4626.722013160982</v>
      </c>
      <c r="BV106" s="63">
        <f t="shared" si="174"/>
        <v>65088.961029657497</v>
      </c>
      <c r="BW106" s="33">
        <f>((Carriers!$N$18/Carriers!$N$23*alk_el_e_demand)+(Carriers!$N$19/Carriers!$N$23*n2_e_demand)+nh3_e_demand)*(BT106+nh3_st_ab_losses)/1000000+nh3_st_e_demand*BT106/1000000</f>
        <v>779.25701303361518</v>
      </c>
      <c r="BX106" s="33">
        <f t="shared" si="156"/>
        <v>0.76626754477640768</v>
      </c>
      <c r="BY106" s="63">
        <f>IFERROR(BV106*1000000/Storage!$G$12,"")</f>
        <v>850.1363911574847</v>
      </c>
      <c r="BZ106" s="63">
        <f>H2_retrieval!$F$25*h2_demand_kt/1000</f>
        <v>80</v>
      </c>
      <c r="CA106" s="63">
        <f>IFERROR(BY106*(1+H2_retrieval!$F$34)/Carrier_properties!$E$7+H2_retrieval!$F$38,"")</f>
        <v>5195.178996530316</v>
      </c>
      <c r="CB106" s="149">
        <f>(FA_invest*(M106+1/FA_lifetime)/FA_prod+FA_opex+FA_e_demand*1000*$AU106/100+Carriers!$P$18/Carriers!$P$23*BD106+Carriers!$P$20/Carriers!$P$23*co2_liq_cost)*(CF106+FA_st_ab_losses)/1000000</f>
        <v>111656.81386606363</v>
      </c>
      <c r="CC106" s="86">
        <f>(FA_invest*(M106+1/FA_lifetime)/FA_prod+FA_opex+FA_e_demand*1000*$AU106/100+Carriers!$P$18/Carriers!$P$23*BD106+Carriers!$P$20/Carriers!$P$23*BP106)*(CF106+FA_st_ab_losses)/1000000</f>
        <v>141803.25221196763</v>
      </c>
      <c r="CD106" s="63">
        <f>FA_st_nl_cost*FA_st_nl_demand/1000000+(FA_st_invest*(M106+1/FA_st_lifetime+FA_st_opex)/(Storage!$I$63/1000000)+FA_st_e_demand*1000*$AU106/100)*(CF106+FA_st_ab_losses)/1000000+co2_st_nl_cost*Storage!$I$12*co2_density/FA_density/1000000+(co2_st_opex_lev+co2_st_invest_lev+co2_st_e_demand*1000*$AU106/100)*Storage!$I$12/1000000+co2_st_invest_lev*Storage!$I$12*co2_st_lifetime*M106/1000000+Carriers!$P$18/Carriers!$P$23*((CF106+FA_st_ab_losses)/365.25*short_st_duration_hrs/24)*(h2_short_st_invest*(1/gh2_short_st_lifetime+$M106+h2_short_st_opex)+h2_short_st_e_demand*1000*$AU106/100)/1000000+Carriers!$P$20/Carriers!$P$23*((CF106+FA_st_ab_losses)/365.25*short_st_duration_hrs/24)*(co2_short_st_invest*(1/co2_short_st_lifetime+$M106+co2_short_st_opex)+co2_short_st_e_demand*1000*$AU106/100)/1000000</f>
        <v>12458.476172861738</v>
      </c>
      <c r="CE106" s="63">
        <f>FA_st_nl_cost*FA_st_nl_demand/1000000+(FA_st_invest*(M106+1/FA_st_lifetime+FA_st_opex)/(Storage!$I$63/1000000)+FA_st_e_demand*1000*$AU106/100)*(CF106+FA_st_ab_losses)/1000000+Carriers!$P$18/Carriers!$P$23*((CF106+FA_st_ab_losses)/365.25*short_st_duration_hrs/24)*(h2_short_st_invest*(1/gh2_short_st_lifetime+$M106+h2_short_st_opex)+h2_short_st_e_demand*1000*$AU106/100)/1000000+Carriers!$P$20/Carriers!$P$23*((CF106+FA_st_ab_losses)/365.25*short_st_duration_hrs/24)*(co2_short_st_invest*(1/co2_short_st_lifetime+$M106+co2_short_st_opex)+co2_short_st_e_demand*1000*$AU106/100)/1000000</f>
        <v>5477.9463086660908</v>
      </c>
      <c r="CF106" s="63">
        <f>Storage!$I$57/((1-Shipping!$J$37)^($F106/24/Shipping!$J$44+0.5*Shipping!$J$59))</f>
        <v>310425396.82539684</v>
      </c>
      <c r="CG106" s="28">
        <f>IF($E106="","No Port",((F106/24/Shipping!$J$44+F106/24/Shipping!$J$50+Shipping!$J$59+Shipping!$J$64)*(Shipping!$J$22+wacc_nl*Shipping!$J$19/365.25*1000000+Shipping!$J$35)+(F106/24/Shipping!$J$44*Shipping!$J$45+Shipping!$J$64*Shipping!$J$65)*IF(bunker_choice="HFO",$H106,IF(bunker_choice="hydrogen",$BD106*hfo_e_density_lhv/h2_e_density_lhv,(CB106+CD106)*1000000/CF106*hfo_e_density_lhv/FA_e_density_lhv))+(F106/24/Shipping!$J$50*Shipping!$J$51+Shipping!$J$59*Shipping!$J$60)*IF(bunker_choice="HFO",bunker_price_ROT,IF(bunker_choice="hydrogen",$BD106*hfo_e_density_lhv/h2_e_density_lhv,(CB106+CD106)*1000000/CF106*hfo_e_density_lhv/FA_e_density_lhv))+Shipping!$J$73+IF(G106="Panama",Shipping!$J$55,0)+IF(G106="Suez",Shipping!$J$56,0))/Shipping!$J$31*CF106/1000000+IF(inland_transport_to_port="hv dc grid",$BM106/100*1000*CI106,IF(inland_transport_to_port="pipeline",$BN106,0)))</f>
        <v>14601.931291272358</v>
      </c>
      <c r="CH106" s="28">
        <f t="shared" si="132"/>
        <v>161883.12981190608</v>
      </c>
      <c r="CI106" s="29">
        <f>((Carriers!$P$18/Carriers!$P$23*alk_el_e_demand)+FA_e_demand)*(CF106+FA_st_ab_losses)/1000000+FA_st_e_demand*CF106/1000000</f>
        <v>1897.8881241622576</v>
      </c>
      <c r="CJ106" s="29">
        <f t="shared" si="157"/>
        <v>0.46563809523809524</v>
      </c>
      <c r="CK106" s="28">
        <f>IFERROR(CH106*1000000/Storage!$I$12,"")</f>
        <v>521.48803373507337</v>
      </c>
      <c r="CL106" s="28">
        <f>IF($E106="","No Port",((F106/24/Shipping!$J$44+F106/24/Shipping!$J$50+Shipping!$J$59+Shipping!$J$64)*Carriers!$P$39*wacc_nl))</f>
        <v>217.61504154859995</v>
      </c>
      <c r="CM106" s="29">
        <f>H2_retrieval!$H$25*h2_demand_kt/1000+(co2_liq_e_demand+co2_st_e_demand*2)*Storage!$I$12*co2_density/FA_density/1000000</f>
        <v>94.204253879484654</v>
      </c>
      <c r="CN106" s="28">
        <f>IFERROR((((CB106+CD106+CG106)*(1+H2_retrieval!$H$34)+CL106)*1000000/H2_retrieval!$H$8)+h2_regen_fa,"")</f>
        <v>10305.484159807125</v>
      </c>
      <c r="CO106" s="149">
        <f>(meoh_invest*(M106+1/meoh_lifetime)/meoh_prod+meoh_opex+meoh_e_demand*1000*$AU106/100+Carriers!$R$18/Carriers!$R$23*BD106+Carriers!$R$20/Carriers!$R$23*co2_liq_cost)*(CS106+meoh_st_ab_losses)/1000000</f>
        <v>69151.898703224157</v>
      </c>
      <c r="CP106" s="86">
        <f>(meoh_invest*(M106+1/meoh_lifetime)/meoh_prod+meoh_opex+meoh_e_demand*1000*$AU106/100+Carriers!$R$18/Carriers!$R$23*BD106+Carriers!$R$20/Carriers!$R$23*BP106)*(CS106+meoh_st_ab_losses)/1000000</f>
        <v>86848.788688183384</v>
      </c>
      <c r="CQ106" s="63">
        <f>meoh_st_nl_cost*meoh_st_nl_demand/1000000+(meoh_st_invest*(M106+1/meoh_st_lifetime+meoh_st_opex)/(Storage!$K$63/1000000)+meoh_st_e_demand*1000*$AU106/100)*(CS106+meoh_st_ab_losses)/1000000+co2_st_nl_cost*Storage!$K$12*co2_density/meoh_density/1000000+(co2_st_opex_lev+co2_st_invest_lev+co2_st_e_demand*1000*IFERROR(MIN(S106,AA106,AI106),S106)/100)*Storage!$K$12/1000000+co2_st_invest_lev*Storage!$K$12*co2_st_lifetime*M106/1000000+Carriers!$R$18/Carriers!$R$23*((CS106+meoh_st_ab_losses)/365.25*short_st_duration_hrs/24)*(h2_short_st_invest*(1/gh2_short_st_lifetime+$M106+h2_short_st_opex)+h2_short_st_e_demand*1000*$AU106/100)/1000000+Carriers!$R$20/Carriers!$R$23*((CF106+meoh_st_ab_losses)/365.25*short_st_duration_hrs/24)*(co2_short_st_invest*(1/co2_short_st_lifetime+$M106+co2_short_st_opex)+co2_short_st_e_demand*1000*$AU106/100)/1000000</f>
        <v>5211.8623880652494</v>
      </c>
      <c r="CR106" s="63">
        <f>meoh_st_nl_cost*meoh_st_nl_demand/1000000+(meoh_st_invest*(M106+1/meoh_st_lifetime+meoh_st_opex)/(Storage!$K$63/1000000)+meoh_st_e_demand*1000*$AU106/100)*(CS106+meoh_st_ab_losses)/1000000+Carriers!$R$18/Carriers!$R$23*((CS106+meoh_st_ab_losses)/365.25*short_st_duration_hrs/24)*(h2_short_st_invest*(1/gh2_short_st_lifetime+$M106+h2_short_st_opex)+h2_short_st_e_demand*1000*$AU106/100)/1000000+Carriers!$R$20/Carriers!$R$23*((CF106+meoh_st_ab_losses)/365.25*short_st_duration_hrs/24)*(co2_short_st_invest*(1/co2_short_st_lifetime+$M106+co2_short_st_opex)+co2_short_st_e_demand*1000*$AU106/100)/1000000</f>
        <v>2183.2716280447794</v>
      </c>
      <c r="CS106" s="63">
        <f>Storage!$K$57/((1-Shipping!$L$37)^($F106/24/Shipping!$L$44+0.5*Shipping!$L$59))</f>
        <v>108044444.44444443</v>
      </c>
      <c r="CT106" s="28">
        <f>IF($E106="","No Port",IF(AND(ship_choice="VLCC",G106="Panama"),"Ship cannot pass through Panama",IF(ship_choice="VLCC",((F106/24/Shipping!$AD$44+F106/24/Shipping!$AD$50+Shipping!$AD$59+Shipping!$AD$64)*(Shipping!$AD$22+wacc_nl*Shipping!$AD$19/365.25*1000000+Shipping!$AD$35)+(F106/24/Shipping!$AD$44*Shipping!$AD$45+Shipping!$AD$64*Shipping!$AD$65)*IF(bunker_choice="HFO",$H106,IF(bunker_choice="hydrogen",$BD106*hfo_e_density_lhv/h2_e_density_lhv,(CO106+CQ106)*1000000/CS106*hfo_e_density_lhv/meoh_e_density_lhv))+(F106/24/Shipping!$AD$50*Shipping!$AD$51+Shipping!$AD$59*Shipping!$AD$60)*IF(bunker_choice="HFO",bunker_price_ROT,IF(bunker_choice="hydrogen",$BD106*hfo_e_density_lhv/h2_e_density_lhv,(CO106+CQ106)*1000000/CS106*hfo_e_density_lhv/meoh_e_density_lhv))+Shipping!$AD$73+IF(G106="Panama",Shipping!$AD$55,0)+IF(G106="Suez",Shipping!$AD$56,0))/Shipping!$AD$31*CS106/1000000+IF(inland_transport_to_port="hv dc grid",$BM106/100*1000*CV106,IF(inland_transport_to_port="pipeline",$BN106,0)),((F106/24/Shipping!$L$44+F106/24/Shipping!$L$50+Shipping!$L$59+Shipping!$L$64)*(Shipping!$L$22+wacc_nl*Shipping!$L$19/365.25*1000000+Shipping!$L$35)+(F106/24/Shipping!$L$44*Shipping!$L$45+Shipping!$L$64*Shipping!$L$65)*IF(bunker_choice="HFO",$H106,IF(bunker_choice="hydrogen",$BD106*hfo_e_density_lhv/h2_e_density_lhv,(CO106+CQ106)*1000000/CS106*hfo_e_density_lhv/meoh_e_density_lhv))+(F106/24/Shipping!$L$50*Shipping!$L$51+Shipping!$L$59*Shipping!$L$60)*IF(bunker_choice="HFO",bunker_price_ROT,IF(bunker_choice="hydrogen",$BD106*hfo_e_density_lhv/h2_e_density_lhv,(CO106+CQ106)*1000000/CS106*hfo_e_density_lhv/meoh_e_density_lhv))+Shipping!$L$73+IF(G106="Panama",Shipping!$L$55,0)+IF(G106="Suez",Shipping!$L$56,0))/Shipping!$L$31*CS106/1000000+IF(inland_transport_to_port="hv dc grid",$BM106/100*1000*CV106,IF(inland_transport_to_port="pipeline",$BN106,0)))))</f>
        <v>5926.5952062671277</v>
      </c>
      <c r="CU106" s="28">
        <f t="shared" si="133"/>
        <v>94958.65552249529</v>
      </c>
      <c r="CV106" s="29">
        <f>((Carriers!$R$18/Carriers!$R$23*alk_el_e_demand)+meoh_e_demand)*(CS106+meoh_st_ab_losses)/1000000+meoh_st_e_demand*CS106/1000000</f>
        <v>1119.9789871111109</v>
      </c>
      <c r="CW106" s="29">
        <f t="shared" si="158"/>
        <v>0.16206666666666666</v>
      </c>
      <c r="CX106" s="28">
        <f>IFERROR(CU106*1000000/Storage!$K$12,"")</f>
        <v>878.88512927031843</v>
      </c>
      <c r="CY106" s="28">
        <f>IF($E106="","No Port",((F106/24/Shipping!$L$44+F106/24/Shipping!$L$50+Shipping!$L$59+Shipping!$L$64)*Carriers!$R$39*wacc_nl))</f>
        <v>77.816135223813717</v>
      </c>
      <c r="CZ106" s="29">
        <f>H2_retrieval!$J$25*h2_demand_kt/1000+(co2_liq_e_demand+co2_st_e_demand*2)*Storage!$K$12*co2_density/meoh_density/1000000</f>
        <v>251.05079059698966</v>
      </c>
      <c r="DA106" s="28">
        <f>IFERROR((((CO106+CQ106+CT106)*(1+H2_retrieval!$J$34)+CY106)*1000000/H2_retrieval!$J$8)+h2_regen_meoh,"")</f>
        <v>7079.5529867829055</v>
      </c>
      <c r="DB106" s="149">
        <f>(DBT_invest*(M106+1/DBT_lifetime)/DBT_prod+DBT_opex+DBT_e_demand*1000*$AU106/100+Carriers!$T$18/Carriers!$T$23*BD106)*(DD106+DBT_st_ab_losses)/1000000</f>
        <v>46520.453959752042</v>
      </c>
      <c r="DC106" s="28">
        <f>2*(DBT_st_nl_cost*DBT_st_nl_demand/1000000+(DBT_st_invest*(M106+1/DBT_st_lifetime+DBT_st_opex)/(Storage!$M$63/1000000)+DBT_st_e_demand*1000*$AU106/100)*(DD106+DBT_st_ab_losses)/1000000)+Carriers!$T$18/Carriers!$T$23*((DD106+DBT_st_ab_losses)/365.25*short_st_duration_hrs/24)*(h2_short_st_invest*(1/gh2_short_st_lifetime+$M106+h2_short_st_opex)+h2_short_st_e_demand*1000*$AU106/100)/1000000</f>
        <v>4451.1559397250076</v>
      </c>
      <c r="DD106" s="63">
        <f>Storage!$M$57/((1-Shipping!$N$37)^($F106/24/Shipping!$N$44+0.5*Shipping!$N$59))</f>
        <v>219354838.70967743</v>
      </c>
      <c r="DE106" s="28">
        <f>IF($E106="","No Port",IF(AND(ship_choice="VLCC",G106="Panama"),"Ship cannot pass through Panama",IF(ship_choice="VLCC",((F106/24/Shipping!$AD$44+F106/24/Shipping!$AD$50+Shipping!$AD$59+Shipping!$AD$64)*(Shipping!$AD$22+wacc_nl*Shipping!$AD$19/365.25*1000000+Shipping!$AD$35)+(F106/24/Shipping!$AD$44*Shipping!$AD$45+Shipping!$AD$64*Shipping!$AD$65)*IF(bunker_choice="HFO",$H106,IF(bunker_choice="hydrogen",$BD106*hfo_e_density_lhv/h2_e_density_lhv,(DB106+DC106)*1000000/DD106*hfo_e_density_lhv/DBT_e_density_lhv))+(F106/24/Shipping!$AD$50*Shipping!$AD$51+Shipping!$AD$59*Shipping!$AD$60)*IF(bunker_choice="HFO",bunker_price_ROT,IF(bunker_choice="hydrogen",$BD106*hfo_e_density_lhv/h2_e_density_lhv,(DB106+DC106)*1000000/DD106*hfo_e_density_lhv/DBT_e_density_lhv))+Shipping!$AD$73+IF(G106="Panama",Shipping!$AD$55,0)+IF(G106="Suez",Shipping!$AD$56,0))/Shipping!$AD$31*DD106/1000000+IF(inland_transport_to_port="hv dc grid",$BM106/100*1000*DG106,IF(inland_transport_to_port="pipeline",$BN106,0)),((F106/24/Shipping!$N$44+F106/24/Shipping!$N$50+Shipping!$N$59+Shipping!$N$64)*(Shipping!$N$22+wacc_nl*Shipping!$N$19/365.25*1000000+Shipping!$N$35)+(F106/24/Shipping!$N$44*Shipping!$N$45+Shipping!$N$64*Shipping!$N$65)*IF(bunker_choice="HFO",$H106,IF(bunker_choice="hydrogen",$BD106*hfo_e_density_lhv/h2_e_density_lhv,(DB106+DC106)*1000000/DD106*hfo_e_density_lhv/DBT_e_density_lhv))+(F106/24/Shipping!$N$50*Shipping!$N$51+Shipping!$N$59*Shipping!$N$60)*IF(bunker_choice="HFO",bunker_price_ROT,IF(bunker_choice="hydrogen",$BD106*hfo_e_density_lhv/h2_e_density_lhv,(DB106+DC106)*1000000/DD106*hfo_e_density_lhv/DBT_e_density_lhv))+Shipping!$N$73+IF(G106="Panama",Shipping!$N$55,0)+IF(G106="Suez",Shipping!$N$56,0))/Shipping!$N$31*Shipping!$N$86/1000000+IF(inland_transport_to_port="hv dc grid",$BM106/100*1000*DG106,IF(inland_transport_to_port="pipeline",$BN106,0)))))</f>
        <v>9671.2178178317008</v>
      </c>
      <c r="DF106" s="28">
        <f t="shared" si="159"/>
        <v>60642.827717308755</v>
      </c>
      <c r="DG106" s="29">
        <f>((Carriers!$T$18/Carriers!$T$23*alk_el_e_demand)+DBT_e_demand)*(DD106+DBT_st_ab_losses)/1000000+DBT_st_e_demand*DD106/1000000</f>
        <v>703.88335483870969</v>
      </c>
      <c r="DH106" s="29">
        <f t="shared" si="160"/>
        <v>0.21935483870967742</v>
      </c>
      <c r="DI106" s="28">
        <f>IFERROR(DF106*1000000/Storage!$M$12,"")</f>
        <v>276.45994988773106</v>
      </c>
      <c r="DJ106" s="28">
        <f>IF($E106="","No Port",((F106/24/Shipping!$N$44+F106/24/Shipping!$N$50+Shipping!$N$59+Shipping!$N$64)*Carriers!$T$39*wacc_nl))</f>
        <v>5667.6048026618428</v>
      </c>
      <c r="DK106" s="100">
        <f>H2_retrieval!$L$25*h2_demand_kt/1000+(co2_liq_e_demand+co2_st_e_demand*2)*Storage!$M$12*co2_density/DBT_density/1000000</f>
        <v>206.61934861671787</v>
      </c>
      <c r="DL106" s="28">
        <f>IFERROR(((DF106*(1+H2_retrieval!$L$34)+DJ106)*1000000/H2_retrieval!$L$8)+h2_regen_lohc,"")</f>
        <v>5346.4168776954566</v>
      </c>
      <c r="DM106" s="149">
        <f t="shared" si="175"/>
        <v>52702.580924599417</v>
      </c>
      <c r="DN106" s="16">
        <f>2*(nabh4_st_nl_cost*nabh4_st_nl_demand/1000000+(nabh4_st_invest*(M106+1/nabh4_st_lifetime+nabh4_st_opex)/(Storage!$O$63/1000000)+nabh4_st_e_demand*1000*$AU106/100)*(DO106+nabh4_st_ab_losses)/1000000)+(h2_demand_kt*1000/365.25*short_st_duration_hrs/24)*(h2_short_st_invest*(1/gh2_short_st_lifetime+$M106+h2_short_st_opex)+h2_short_st_e_demand*1000*$AU106/100)/1000000</f>
        <v>1498.39472359003</v>
      </c>
      <c r="DO106" s="63">
        <f>Storage!$O$57/((1-Shipping!$P$37)^($F106/24/Shipping!$P$44+0.5*Shipping!$P$59))</f>
        <v>63920000</v>
      </c>
      <c r="DP106" s="16">
        <f>IF($E106="","No Port",((F106/24/Shipping!$P$44+F106/24/Shipping!$P$50+Shipping!$P$59+Shipping!$P$64)*(Shipping!$P$22+wacc_nl*Shipping!$P$19/365.25*1000000+Shipping!$P$35)+(F106/24/Shipping!$P$44*Shipping!$P$45+Shipping!$P$64*Shipping!$P$65)*IF(bunker_choice="HFO",$H106,IF(bunker_choice="hydrogen",$BD106*hfo_e_density_lhv/h2_e_density_lhv,(DM106+DN106)*1000000/DO106*hfo_e_density_lhv/nabh4_e_density_lhv))+(F106/24/Shipping!$P$50*Shipping!$P$51+Shipping!$P$59*Shipping!$P$60)*IF(bunker_choice="HFO",bunker_price_ROT,IF(bunker_choice="hydrogen",$BD106*hfo_e_density_lhv/h2_e_density_lhv,(DM106+DN106)*1000000/DO106*hfo_e_density_lhv/nabh4_e_density_lhv))+Shipping!$P$73+IF(G106="Panama",Shipping!$P$55,0)+IF(G106="Suez",Shipping!$P$56,0))/Shipping!$P$31*(DO106+nabh4_st_ab_losses)/1000000+IF(inland_transport_to_port="hv dc grid",$BM106/100*1000*DR106,IF(inland_transport_to_port="pipeline",$BN106,0)))</f>
        <v>3745.0987447049174</v>
      </c>
      <c r="DQ106" s="28">
        <f t="shared" si="146"/>
        <v>57946.074392894363</v>
      </c>
      <c r="DR106" s="29">
        <f>((Carriers!$V$18/Carriers!$V$23*alk_el_e_demand)+nabh4_e_demand)*(DO106+nabh4_st_ab_losses)/1000000+nabh4_st_e_demand*DO106/1000000</f>
        <v>980.02139682539689</v>
      </c>
      <c r="DS106" s="28">
        <f t="shared" si="161"/>
        <v>3.1960000000000002</v>
      </c>
      <c r="DT106" s="28">
        <f>IFERROR(DQ106*1000000/Storage!$O$12,"")</f>
        <v>906.54058812412961</v>
      </c>
      <c r="DU106" s="28">
        <f>IF($E106="","No Port",((F106/24/Shipping!$P$44+F106/24/Shipping!$P$50+Shipping!$P$59+Shipping!$P$64)*Carriers!$V$39*wacc_nl))</f>
        <v>529.7739323517161</v>
      </c>
      <c r="DV106" s="100">
        <f>H2_retrieval!$N$25*h2_demand_kt/1000+(co2_liq_e_demand+co2_st_e_demand*2)*Storage!$O$12*co2_density/nabh4_density/1000000</f>
        <v>18.783638728971958</v>
      </c>
      <c r="DW106" s="28">
        <f>IFERROR(((DQ106*(1+H2_retrieval!$N$34)+DU106)*1000000/H2_retrieval!$N$8)+h2_regen_nabh4,"")</f>
        <v>4391.7837555318129</v>
      </c>
      <c r="DX106" s="149">
        <f>(Dme_invest*(M106+1/Dme_lifetime)/Dme_prod+Dme_opex+Dme_e_demand*1000*$AU106/100+Carriers!$X$21/Carriers!$X$23*(CO106*1000000/CS106))*(EB106+Dme_st_ab_losses)/1000000</f>
        <v>97195.11297269963</v>
      </c>
      <c r="DY106" s="86">
        <f>(Dme_invest*(M106+1/Dme_lifetime)/Dme_prod+Dme_opex+Dme_e_demand*1000*$AU106/100+Carriers!$X$21/Carriers!$X$23*(CP106*1000000/CS106))*(EB106+Dme_st_ab_losses)/1000000</f>
        <v>121203.84673895885</v>
      </c>
      <c r="DZ106" s="63">
        <f>Dme_st_nl_cost*Dme_st_nl_demand/1000000+(Dme_st_invest*(M106+1/Dme_st_lifetime+Dme_st_opex)/(Storage!$Q$63/1000000)+Dme_st_e_demand*1000*$AU106/100)*(EB106+Dme_st_ab_losses)/1000000+co2_st_nl_cost*Storage!$Q$12*co2_density/Dme_density/1000000+(co2_st_opex_lev+co2_st_invest_lev+co2_st_e_demand*1000*$AU106/100)*Storage!$Q$12/1000000+co2_st_invest_lev*Storage!$Q$12*co2_st_lifetime*M106/1000000+(h2_demand_kt*1000/365.25*short_st_duration_hrs/24)*(h2_short_st_invest*(1/gh2_short_st_lifetime+$M106+h2_short_st_opex)+h2_short_st_e_demand*1000*$AU106/100)/1000000</f>
        <v>6271.6539831780592</v>
      </c>
      <c r="EA106" s="63">
        <f>Dme_st_nl_cost*Dme_st_nl_demand/1000000+(Dme_st_invest*(M106+1/Dme_st_lifetime+Dme_st_opex)/(Storage!$Q$63/1000000)+Dme_st_e_demand*1000*$AU106/100)*(EB106+Dme_st_ab_losses)/1000000+(h2_demand_kt*1000/365.25*short_st_duration_hrs/24)*(h2_short_st_invest*(1/gh2_short_st_lifetime+$M106+h2_short_st_opex)+h2_short_st_e_demand*1000*$AU106/100)/1000000</f>
        <v>3242.2277446351168</v>
      </c>
      <c r="EB106" s="63">
        <f>Storage!$Q$57/((1-Shipping!$R$37)^($F106/24/Shipping!$R$44+0.5*Shipping!$R$59))</f>
        <v>103547089.94708996</v>
      </c>
      <c r="EC106" s="153">
        <f>IF($E106="","No Port",IF(AND(ship_choice="VLCC",G106="Panama"),"Ship cannot pass through Panama",IF(ship_choice="VLCC",((F106/24/Shipping!$AD$44+F106/24/Shipping!$AD$50+Shipping!$AD$59+Shipping!$AD$64)*(Shipping!$AD$22+wacc_nl*Shipping!$AD$19/365.25*1000000+Shipping!$AD$35)+(F106/24/Shipping!$AD$44*Shipping!$AD$45+Shipping!$AD$64*Shipping!$AD$65)*IF(bunker_choice="HFO",$H106,IF(bunker_choice="hydrogen",$BD106*hfo_e_density_lhv/h2_e_density_lhv,(DX106+DZ106)*1000000/EB106*hfo_e_density_lhv/Dme_e_density_lhv))+(F106/24/Shipping!$AD$50*Shipping!$AD$51+Shipping!$AD$59*Shipping!$AD$60)*IF(bunker_choice="HFO",bunker_price_ROT,IF(bunker_choice="hydrogen",$BD106*hfo_e_density_lhv/h2_e_density_lhv,(DX106+DZ106)*1000000/EB106*hfo_e_density_lhv/Dme_e_density_lhv))+Shipping!$AD$73+IF(G106="Panama",Shipping!$AD$55,0)+IF(G106="Suez",Shipping!$AD$56,0))/Shipping!$AD$31*(EB106+Dme_st_ab_losses)/1000000+IF(inland_transport_to_port="hv dc grid",$BM106/100*1000*EE106,IF(inland_transport_to_port="pipeline",$BN106,0)),((F106/24/Shipping!$R$44+F106/24/Shipping!$R$50+Shipping!$R$59+Shipping!$R$64)*(Shipping!$R$22+wacc_nl*Shipping!$R$19/365.25*1000000+Shipping!$R$35)+(F106/24/Shipping!$R$44*Shipping!$R$45+Shipping!$R$64*Shipping!$R$65)*IF(bunker_choice="HFO",$H106,IF(bunker_choice="hydrogen",$BD106*hfo_e_density_lhv/h2_e_density_lhv,(DX106+DZ106)*1000000/EB106*hfo_e_density_lhv/Dme_e_density_lhv))+(F106/24/Shipping!$R$50*Shipping!$R$51+Shipping!$R$59*Shipping!$R$60)*IF(bunker_choice="HFO",bunker_price_ROT,IF(bunker_choice="hydrogen",$BD106*hfo_e_density_lhv/h2_e_density_lhv,(DX106+DZ106)*1000000/EB106*hfo_e_density_lhv/Dme_e_density_lhv))+Shipping!$R$73+IF(G106="Panama",Shipping!$R$55,0)+IF(G106="Suez",Shipping!$R$56,0))/Shipping!$R$31*(EB106+Dme_st_ab_losses)/1000000+IF(inland_transport_to_port="hv dc grid",$BM106/100*1000*EE106,IF(inland_transport_to_port="pipeline",$BN106,0)))))</f>
        <v>5940.4100443812731</v>
      </c>
      <c r="ED106" s="28">
        <f t="shared" si="134"/>
        <v>130386.48452797525</v>
      </c>
      <c r="EE106" s="29">
        <f>(Dme_e_demand)*(EB106+Dme_st_ab_losses)/1000000+Dme_st_e_demand*DZ106/1000000+$CV106*(Carriers!$X$21/Carriers!$X$23*EB106)/$CS106</f>
        <v>1550.2168228835956</v>
      </c>
      <c r="EF106" s="29">
        <f t="shared" si="162"/>
        <v>1.0354708994708997</v>
      </c>
      <c r="EG106" s="28">
        <f>IFERROR(ED106*1000000/Storage!$Q$12,"")</f>
        <v>1259.1998924798329</v>
      </c>
      <c r="EH106" s="28">
        <f>IF($E106="","No Port",((F106/24/Shipping!$R$44+F106/24/Shipping!$R$50+Shipping!$R$59+Shipping!$R$64)*Carriers!$X$39*wacc_nl))</f>
        <v>80.516145077698738</v>
      </c>
      <c r="EI106" s="100">
        <f>H2_retrieval!$P$25*h2_demand_kt/1000+(co2_liq_e_demand+co2_st_e_demand*2)*Storage!$Q$12*co2_density/Dme_density/1000000</f>
        <v>252.45335899349112</v>
      </c>
      <c r="EJ106" s="28">
        <f>IFERROR((((DX106+DZ106+EC106)*(1+H2_retrieval!$P$34)+EH106)*1000000/H2_retrieval!$P$8)+h2_regen_dme,"")</f>
        <v>9220.6942156473397</v>
      </c>
      <c r="EK106" s="149">
        <f>(ome_invest*(M106+1/ome_lifetime)/ome_prod+ome_opex+ome_e_demand*1000*$AU106/100+Carriers!$Z$21/Carriers!$Z$23*(CO106*1000000/CS106))*(EO106+ome_st_ab_losses)/1000000</f>
        <v>211271.34723586036</v>
      </c>
      <c r="EL106" s="86">
        <f>(ome_invest*(M106+1/ome_lifetime)/ome_prod+ome_opex+ome_e_demand*1000*$AU106/100+Carriers!$Z$21/Carriers!$Z$23*(CP106*1000000/CS106))*(EO106+ome_st_ab_losses)/1000000</f>
        <v>261670.35302418077</v>
      </c>
      <c r="EM106" s="63">
        <f>ome_st_nl_cost*ome_st_nl_demand/1000000+(ome_st_invest*(M106+1/ome_st_lifetime+ome_st_opex)/(Storage!$S$63/1000000)+ome_st_e_demand*1000*$AU106/100)*(EO106+ome_st_ab_losses)/1000000+co2_st_nl_cost*Storage!$S$12*co2_density/ome_density/1000000+(co2_st_opex_lev+co2_st_invest_lev+co2_st_e_demand*1000*$AU106/100)*Storage!$S$12/1000000+co2_st_invest_lev*Storage!$S$12*co2_st_lifetime*M106/1000000+(h2_demand_kt*1000/365.25*short_st_duration_hrs/24)*(h2_short_st_invest*(1/gh2_short_st_lifetime+$M106+h2_short_st_opex)+h2_short_st_e_demand*1000*$AU106/100)/1000000</f>
        <v>5372.6353731837135</v>
      </c>
      <c r="EN106" s="63">
        <f>ome_st_nl_cost*ome_st_nl_demand/1000000+(ome_st_invest*(M106+1/ome_st_lifetime+ome_st_opex)/(Storage!$S$63/1000000)+ome_st_e_demand*1000*$AU106/100)*(EO106+ome_st_ab_losses)/1000000+(h2_demand_kt*1000/365.25*short_st_duration_hrs/24)*(h2_short_st_invest*(1/gh2_short_st_lifetime+$M106+h2_short_st_opex)+h2_short_st_e_demand*1000*$AU106/100)/1000000</f>
        <v>1958.5040960985571</v>
      </c>
      <c r="EO106" s="63">
        <f>Storage!$S$57/((1-Shipping!$T$37)^($F106/24/Shipping!$T$44+0.5*Shipping!$T$59))</f>
        <v>128282539.68253967</v>
      </c>
      <c r="EP106" s="28">
        <f>IF($E106="","No Port",IF(AND(ship_choice="VLCC",G106="Panama"),"Ship cannot pass through Panama",IF(ship_choice="VLCC",((F106/24/Shipping!$AD$44+F106/24/Shipping!$AD$50+Shipping!$AD$59+Shipping!$AD$64)*(Shipping!$AD$22+wacc_nl*Shipping!$AD$19/365.25*1000000+Shipping!$AD$35)+(F106/24/Shipping!$AD$44*Shipping!$AD$45+Shipping!$AD$64*Shipping!$AD$65)*IF(bunker_choice="HFO",$H106,IF(bunker_choice="hydrogen",$BD106*hfo_e_density_lhv/h2_e_density_lhv,(EK106+EM106)*1000000/EO106*hfo_e_density_lhv/Dme_e_density_lhv))+(F106/24/Shipping!$AD$50*Shipping!$AD$51+Shipping!$AD$59*Shipping!$AD$60)*IF(bunker_choice="HFO",bunker_price_ROT,IF(bunker_choice="hydrogen",$BD106*hfo_e_density_lhv/h2_e_density_lhv,(EK106+EM106)*1000000/EO106*hfo_e_density_lhv/ome_e_density_lhv))+Shipping!$AD$73+IF(G106="Panama",Shipping!$AD$55,0)+IF(G106="Suez",Shipping!$AD$56,0))/Shipping!$AD$31*(EO106+ome_st_ab_losses)/1000000+IF(inland_transport_to_port="hv dc grid",$BM106/100*1000*ER106,IF(inland_transport_to_port="pipeline",$BN106,0)),((F106/24/Shipping!$T$44+F106/24/Shipping!$T$50+Shipping!$T$59+Shipping!$T$64)*(Shipping!$T$22+wacc_nl*Shipping!$T$19/365.25*1000000+Shipping!$T$35)+(F106/24/Shipping!$T$44*Shipping!$T$45+Shipping!$T$64*Shipping!$T$65)*IF(bunker_choice="HFO",$H106,IF(bunker_choice="hydrogen",$BD106*hfo_e_density_lhv/h2_e_density_lhv,(EK106+EM106)*1000000/EO106*hfo_e_density_lhv/Dme_e_density_lhv))+(F106/24/Shipping!$T$50*Shipping!$T$51+Shipping!$T$59*Shipping!$T$60)*IF(bunker_choice="HFO",bunker_price_ROT,IF(bunker_choice="hydrogen",$BD106*hfo_e_density_lhv/h2_e_density_lhv,(EK106+EM106)*1000000/EO106*hfo_e_density_lhv/ome_e_density_lhv))+Shipping!$T$73+IF(G106="Panama",Shipping!$T$55,0)+IF(G106="Suez",Shipping!$T$56,0))/Shipping!$T$31*(EO106+ome_st_ab_losses)/1000000+IF(inland_transport_to_port="hv dc grid",$BM106/100*1000*ER106,IF(inland_transport_to_port="pipeline",$BN106,0)))))</f>
        <v>6445.0385514098789</v>
      </c>
      <c r="EQ106" s="28">
        <f t="shared" si="135"/>
        <v>270073.89567168924</v>
      </c>
      <c r="ER106" s="29">
        <f>(ome_e_demand)*(EO106+ome_st_ab_losses)/1000000+ome_st_e_demand*EM106/1000000+$CV106*(Carriers!$Z$21/Carriers!$Z$23*EO106)/$CS106</f>
        <v>3352.0814581997365</v>
      </c>
      <c r="ES106" s="29">
        <f t="shared" si="163"/>
        <v>0.1924238095238095</v>
      </c>
      <c r="ET106" s="28">
        <f>IFERROR(EQ106*1000000/Storage!$S$12,"")</f>
        <v>2105.3051829192041</v>
      </c>
      <c r="EU106" s="28">
        <f>IF($E106="","No Port",((F106/24/Shipping!$T$44+F106/24/Shipping!$T$50+Shipping!$T$59+Shipping!$T$64)*Carriers!$Z$39*wacc_nl))</f>
        <v>92.392084628873718</v>
      </c>
      <c r="EV106" s="100">
        <f>H2_retrieval!$R$25*h2_demand_kt/1000+(co2_liq_e_demand+co2_st_e_demand*2)*Storage!$S$12*co2_density/ome_density/1000000</f>
        <v>254.51942895252085</v>
      </c>
      <c r="EW106" s="28">
        <f>IFERROR((((EK106+EM106+EP106)*(1+H2_retrieval!$R$34)+EU106)*1000000/H2_retrieval!$R$8)+h2_regen_ome,"")</f>
        <v>17580.526575922791</v>
      </c>
      <c r="EX106" s="149">
        <f>(sng_invest*(M106+1/sng_lifetime)/sng_prod+lng_invest*(M106+1/lng_lifetime)/lng_prod+sng_opex+lng_opex+(sng_e_demand+lng_e_demand)*1000*$AU106/100+Carriers!$AB$18/Carriers!$AB$23*BD106+Carriers!$AB$20/Carriers!$AB$23*co2_liq_cost)*(FB106+lng_st_ab_losses)/1000000</f>
        <v>75193.629529602578</v>
      </c>
      <c r="EY106" s="86">
        <f>(sng_invest*(M106+1/sng_lifetime)/sng_prod+lng_invest*(M106+1/lng_lifetime)/lng_prod+sng_opex+lng_opex+(sng_e_demand+lng_e_demand)*1000*$AU106/100+Carriers!$AB$18/Carriers!$AB$23*BD106+Carriers!$AB$20/Carriers!$AB$23*BP106)*(FB106+lng_st_ab_losses)/1000000</f>
        <v>88456.052302347118</v>
      </c>
      <c r="EZ106" s="63">
        <f>lng_st_nl_cost*lng_st_nl_demand/1000000+(lng_st_invest*(M106+1/lng_st_lifetime+lng_st_opex)/(Storage!$U$63/1000000)+lng_st_e_demand*1000*$AU106/100)*(FB106+lng_st_ab_losses)/1000000+co2_st_nl_cost*Storage!$U$12*co2_density/lng_density/1000000+(co2_st_opex_lev+co2_st_invest_lev+co2_st_e_demand*1000*$AU106/100)*Storage!$U$12/1000000+co2_st_invest_lev*Storage!$U$12*co2_st_lifetime*M106/1000000+Carriers!$AB$18/Carriers!$AB$23*((FB106+lng_st_ab_losses)/365.25*short_st_duration_hrs/24)*(h2_short_st_invest*(1/gh2_short_st_lifetime+$M106+h2_short_st_opex)+h2_short_st_e_demand*1000*$AU106/100)/1000000+Carriers!$AB$20/Carriers!$AB$23*((FB106+lng_st_ab_losses)/365.25*short_st_duration_hrs/24)*(co2_short_st_invest*(1/co2_short_st_lifetime+$M106+co2_short_st_opex)+co2_short_st_e_demand*1000*$AU106/100)/1000000</f>
        <v>6705.6322271416011</v>
      </c>
      <c r="FA106" s="63">
        <f>lng_st_nl_cost*lng_st_nl_demand/1000000+(lng_st_invest*(M106+1/lng_st_lifetime+lng_st_opex)/(Storage!$U$63/1000000)+lng_st_e_demand*1000*$AU106/100)*(FB106+lng_st_ab_losses)/1000000+Carriers!$AB$18/Carriers!$AB$23*((FB106+lng_st_ab_losses)/365.25*short_st_duration_hrs/24)*(h2_short_st_invest*(1/gh2_short_st_lifetime+$M106+h2_short_st_opex)+h2_short_st_e_demand*1000*$AU106/100)/1000000+Carriers!$AB$20/Carriers!$AB$23*((FB106+lng_st_ab_losses)/365.25*short_st_duration_hrs/24)*(co2_short_st_invest*(1/co2_short_st_lifetime+$M106+co2_short_st_opex)+co2_short_st_e_demand*1000*$AU106/100)/1000000</f>
        <v>5080.5940563070653</v>
      </c>
      <c r="FB106" s="63">
        <f>Storage!$U$57/((1-Shipping!$V$37)^($F106/24/Shipping!$V$44+0.5*Shipping!$V$59))</f>
        <v>41257131.964556284</v>
      </c>
      <c r="FC106" s="28">
        <f>IF($E106="","No Port",IF(G106="Panama","Ship cannot pass through Panama",((F106/24/Shipping!$V$44+F106/24/Shipping!$V$50+Shipping!$V$59+Shipping!$V$64)*(Shipping!$V$22+wacc_nl*Shipping!$V$19/365.25*1000000+Shipping!$V$35)+(F106/24/Shipping!$V$44*Shipping!$V$45+Shipping!$V$64*Shipping!$V$65)*IF(bunker_choice="HFO",$H106,IF(bunker_choice="hydrogen",$BD106*hfo_e_density_lhv/h2_e_density_lhv,(EX106+EZ106)*1000000/FB106*hfo_e_density_lhv/lng_e_density_lhv))+(F106/24/Shipping!$V$50*Shipping!$V$51+Shipping!$V$59*Shipping!$V$60)*IF(bunker_choice="HFO",bunker_price_ROT,IF(bunker_choice="hydrogen",$BD106*hfo_e_density_lhv/h2_e_density_lhv,(EX106+EZ106)*1000000/FB106*hfo_e_density_lhv/lng_e_density_lhv))+Shipping!$V$73+IF(G106="Panama",Shipping!$V$55,0)+IF(G106="Suez",Shipping!$V$56,0))/Shipping!$V$31*(FB106+lng_st_ab_losses)/1000000)+IF(inland_transport_to_port="hv dc grid",$BM106/100*1000*FE106,IF(inland_transport_to_port="pipeline",$BN106,0)))</f>
        <v>3279.6929760291523</v>
      </c>
      <c r="FD106" s="28">
        <f t="shared" si="136"/>
        <v>96816.339334683333</v>
      </c>
      <c r="FE106" s="29">
        <f>((Carriers!$AB$18/Carriers!$AB$23*alk_el_e_demand)+sng_e_demand+lng_e_demand)*(FB106+lng_st_ab_losses)/1000000+lng_st_e_demand*EZ106/1000000</f>
        <v>1106.4830678299406</v>
      </c>
      <c r="FF106" s="29">
        <f t="shared" si="164"/>
        <v>0.8126185861001558</v>
      </c>
      <c r="FG106" s="28">
        <f>IFERROR(FD106*1000000/Storage!$U$12,"")</f>
        <v>2385.5715652710614</v>
      </c>
      <c r="FH106" s="28">
        <f>IF($E106="","No Port",((F106/24/Shipping!$V$44+F106/24/Shipping!$V$50+Shipping!$V$59+Shipping!$V$64)*Carriers!$AB$39*wacc_nl))</f>
        <v>27.323981446178529</v>
      </c>
      <c r="FI106" s="100">
        <f>H2_retrieval!$T$25*h2_demand_kt/1000+(co2_liq_e_demand+co2_st_e_demand*2)*Storage!$U$12*co2_density/lng_density/1000000</f>
        <v>236.51371749646054</v>
      </c>
      <c r="FJ106" s="28">
        <f>IFERROR((((EX106+EZ106+FC106)*(1+H2_retrieval!$T$34)+FH106)*1000000/H2_retrieval!$T$8)+h2_regen_lng,"")</f>
        <v>7435.2960957122568</v>
      </c>
      <c r="FK106" s="149">
        <f>(lh2_invest*(M106+1/lh2_lifetime)/lh2_prod+lh2_opex+lh2_e_demand*1000*$AU106/100+Carriers!$AD$18/Carriers!$AD$23*BD106)*(FM106+lh2_st_ab_losses)/1000000</f>
        <v>58968.120192793271</v>
      </c>
      <c r="FL106" s="28">
        <f>lh2_st_nl_cost*lh2_st_nl_demand/1000000+(lh2_st_invest*(M106+1/lh2_st_lifetime+lh2_st_opex)/(Storage!$Y$63/1000000)+lh2_st_e_demand*1000*$AU106/100)*(FM106+lh2_st_ab_losses)/1000000+((FM106+lh2_st_ab_losses)/365.25*short_st_duration_hrs/24)*(h2_short_st_invest*(1/gh2_short_st_lifetime+$M106+h2_short_st_opex)+h2_short_st_e_demand*1000*$AU106/100)/1000000</f>
        <v>58686.453961259955</v>
      </c>
      <c r="FM106" s="63">
        <f>Storage!$Y$57/((1-Shipping!$Z$37)^($F106/24/Shipping!$Z$44+0.5*Shipping!$Z$59))</f>
        <v>13956536.086043198</v>
      </c>
      <c r="FN106" s="28">
        <f>IF($E106="","No Port",IF(G106="Panama","Ship cannot pass through Panama",((F106/24/Shipping!$Z$44+F106/24/Shipping!$Z$50+Shipping!$Z$59+Shipping!$Z$64)*(Shipping!$Z$22+wacc_nl*Shipping!$Z$19/365.25*1000000+Shipping!$Z$35)+(F106/24/Shipping!$Z$44*Shipping!$Z$45+Shipping!$Z$64*Shipping!$Z$65)*IF(bunker_choice="HFO",$H106,IF(bunker_choice="hydrogen",$BD106*hfo_e_density_lhv/h2_e_density_lhv,(FK106+FL106)*1000000/FM106*hfo_e_density_lhv/lh2_e_density_lhv))+(F106/24/Shipping!$Z$50*Shipping!$Z$51+Shipping!$Z$59*Shipping!$Z$60)*IF(bunker_choice="HFO",bunker_price_ROT,IF(bunker_choice="hydrogen",$BD106*hfo_e_density_lhv/h2_e_density_lhv,(FK106+FL106)*1000000/FM106*hfo_e_density_lhv/lh2_e_density_lhv))+Shipping!$Z$73+IF(G106="Panama",Shipping!$Z$55,0)+IF(G106="Suez",Shipping!$Z$56,0))/Shipping!$Z$31*(FM106+lh2_st_ab_losses)/1000000)+IF(inland_transport_to_port="hv dc grid",$BM106/100*1000*FP106,IF(inland_transport_to_port="pipeline",$BN106,0)))</f>
        <v>4514.6948130789497</v>
      </c>
      <c r="FO106" s="28">
        <f t="shared" si="128"/>
        <v>122169.26896713219</v>
      </c>
      <c r="FP106" s="29">
        <f>((Carriers!$AD$18/Carriers!$AD$23*alk_el_e_demand)+lh2_e_demand)*(FM106+lh2_st_ab_losses)/1000000+lh2_st_e_demand*FM106/1000000</f>
        <v>808.76379644932354</v>
      </c>
      <c r="FQ106" s="100">
        <f t="shared" si="165"/>
        <v>1.361902463475859</v>
      </c>
      <c r="FR106" s="28">
        <f>IFERROR(FO106*1000000/Storage!$Y$12,"")</f>
        <v>8983.0344828773668</v>
      </c>
      <c r="FS106" s="100">
        <f>H2_retrieval!$V$25*h2_demand_kt/1000</f>
        <v>8.16</v>
      </c>
      <c r="FT106" s="28">
        <f>IFERROR(FR106*(1+H2_retrieval!$V$34)/Carrier_properties!$U$7+H2_retrieval!$V$38,"")</f>
        <v>9015.0032087458349</v>
      </c>
      <c r="FU106" s="12"/>
      <c r="FV106" s="24">
        <f t="shared" si="129"/>
        <v>2.6088027011918369</v>
      </c>
      <c r="FW106" s="24" t="str">
        <f t="shared" si="143"/>
        <v/>
      </c>
      <c r="FX106" s="24" t="str">
        <f t="shared" si="144"/>
        <v/>
      </c>
      <c r="FY106" s="24">
        <f t="shared" si="130"/>
        <v>2.6088027011918369</v>
      </c>
      <c r="FZ106" s="28">
        <f t="shared" si="145"/>
        <v>3163.2922735775314</v>
      </c>
      <c r="GA106" s="28">
        <f t="shared" si="137"/>
        <v>719.44566769703295</v>
      </c>
      <c r="GB106" s="28">
        <f t="shared" si="138"/>
        <v>456.80299892385051</v>
      </c>
      <c r="GC106" s="28">
        <f t="shared" si="139"/>
        <v>803.82465877586435</v>
      </c>
      <c r="GD106" s="28">
        <f t="shared" si="140"/>
        <v>1170.5191019939919</v>
      </c>
      <c r="GE106" s="28">
        <f t="shared" si="141"/>
        <v>2039.7971046701714</v>
      </c>
      <c r="GF106" s="28">
        <f t="shared" si="142"/>
        <v>2144.0184542720785</v>
      </c>
      <c r="GG106" s="12"/>
      <c r="GH106" s="12"/>
      <c r="GI106" s="12"/>
      <c r="GJ106" s="12"/>
      <c r="GK106" s="12"/>
      <c r="GL106" s="12"/>
      <c r="GM106" s="12"/>
      <c r="GN106" s="12"/>
      <c r="GO106" s="12"/>
      <c r="GP106" s="12"/>
      <c r="GQ106" s="12"/>
      <c r="GR106" s="12"/>
      <c r="GS106" s="12"/>
      <c r="GT106" s="12"/>
      <c r="GU106" s="12"/>
      <c r="GV106" s="12"/>
      <c r="GW106" s="12"/>
      <c r="GX106" s="12"/>
      <c r="GY106" s="12"/>
      <c r="GZ106" s="12"/>
      <c r="HA106" s="12"/>
      <c r="HB106" s="12"/>
      <c r="HC106" s="12"/>
      <c r="HD106" s="12"/>
      <c r="HE106" s="12"/>
      <c r="HF106" s="12"/>
    </row>
    <row r="107" spans="1:214" x14ac:dyDescent="0.2">
      <c r="A107" s="154" t="s">
        <v>110</v>
      </c>
      <c r="B107" s="12">
        <v>948</v>
      </c>
      <c r="C107" s="12">
        <v>0.9</v>
      </c>
      <c r="D107" s="12">
        <f t="shared" si="111"/>
        <v>9.9999999999999978E-2</v>
      </c>
      <c r="E107" s="12" t="s">
        <v>764</v>
      </c>
      <c r="F107" s="12">
        <v>555</v>
      </c>
      <c r="G107" s="12"/>
      <c r="H107" s="16">
        <f t="shared" si="166"/>
        <v>382.75862068965517</v>
      </c>
      <c r="I107" s="16">
        <v>365245</v>
      </c>
      <c r="J107" s="16">
        <f t="shared" si="113"/>
        <v>340.97081162351515</v>
      </c>
      <c r="K107" s="27">
        <f t="shared" si="114"/>
        <v>409.16497394821818</v>
      </c>
      <c r="L107" s="103">
        <v>6.2E-2</v>
      </c>
      <c r="M107" s="103">
        <f t="shared" si="167"/>
        <v>8.5274980305984086E-2</v>
      </c>
      <c r="N107" s="122">
        <f t="shared" si="116"/>
        <v>0.9</v>
      </c>
      <c r="O107" s="46">
        <f t="shared" si="168"/>
        <v>40</v>
      </c>
      <c r="P107" s="70">
        <f t="array" ref="P107">SUMPRODUCT(IF(Solar_data!A$4:A$777=A107,Solar_data!C$4:C$777),IF(Solar_data!A$4:A$777=A107,Solar_data!I$4:I$777))/SUMIF(Solar_data!A$4:A$777,A107,Solar_data!I$4:I$777)</f>
        <v>996.29436969483913</v>
      </c>
      <c r="Q107" s="16">
        <f t="array" ref="Q107">MAX(IF(Solar_data!$A$777:'Solar_data'!$A$4=Country_details!$A107,Solar_data!$C$4:'Solar_data'!$C$777))</f>
        <v>1186.25</v>
      </c>
      <c r="R107" s="16">
        <f t="array" ref="R107">MIN(IF(Solar_data!$A$777:'Solar_data'!$A$4=Country_details!A107,Solar_data!$C$4:'Solar_data'!$C$777))</f>
        <v>821.25</v>
      </c>
      <c r="S107" s="24">
        <f t="shared" si="149"/>
        <v>3.4369187452891512</v>
      </c>
      <c r="T107" s="24">
        <f t="shared" si="150"/>
        <v>2.8865608388031463</v>
      </c>
      <c r="U107" s="24">
        <f t="shared" si="151"/>
        <v>4.1694767671600994</v>
      </c>
      <c r="V107" s="16">
        <f t="array" ref="V107">SUM(IF(Solar_data!$A$777:'Solar_data'!$A$4=Country_details!$A107,Solar_data!$I$4:'Solar_data'!$I$777))</f>
        <v>1244.7839905214601</v>
      </c>
      <c r="W107" s="148"/>
      <c r="X107" s="16">
        <f>IFERROR(INDEX(Onshore_wind_data!$J$5:'Onshore_wind_data'!$J$221,MATCH(A107,Onshore_wind_data!$B$5:'Onshore_wind_data'!$B$221,0)),"")</f>
        <v>3538.0811896075429</v>
      </c>
      <c r="Y107" s="16">
        <f>IFERROR(INDEX(Onshore_wind_data!$K$5:'Onshore_wind_data'!$K$221,MATCH(A107,Onshore_wind_data!$B$5:'Onshore_wind_data'!$B$221,0)),"")</f>
        <v>3971</v>
      </c>
      <c r="Z107" s="16">
        <f>IFERROR(INDEX(Onshore_wind_data!$L$5:'Onshore_wind_data'!$L$221,MATCH(A107,Onshore_wind_data!$B$5:'Onshore_wind_data'!$B$221,0)),"")</f>
        <v>2847.5</v>
      </c>
      <c r="AA107" s="24">
        <f t="shared" si="169"/>
        <v>3.1986040905668061</v>
      </c>
      <c r="AB107" s="24">
        <f t="shared" si="170"/>
        <v>2.8498919581556685</v>
      </c>
      <c r="AC107" s="24">
        <f t="shared" si="171"/>
        <v>3.9743357211013728</v>
      </c>
      <c r="AD107" s="16">
        <f>IFERROR(INDEX(Onshore_wind_data!$I$5:'Onshore_wind_data'!$I$221,MATCH(A107,Onshore_wind_data!$B$5:'Onshore_wind_data'!$B$221,0)),"")</f>
        <v>3745.9316069249999</v>
      </c>
      <c r="AE107" s="148"/>
      <c r="AF107" s="16">
        <f>INDEX(Offshore_wind_data!$AA$7:$AA$192,MATCH(Country_details!A107,Offshore_wind_data!$A$7:$A$192,0))</f>
        <v>4190.4437376883207</v>
      </c>
      <c r="AG107" s="16">
        <f>INDEX(Offshore_wind_data!$Y$7:$Y$192,MATCH(Country_details!A107,Offshore_wind_data!$A$7:$A$192,0))</f>
        <v>4204.8</v>
      </c>
      <c r="AH107" s="16">
        <f>INDEX(Offshore_wind_data!$Z$7:$Z$192,MATCH(Country_details!A107,Offshore_wind_data!$A$7:$A$192,0))</f>
        <v>3153.6</v>
      </c>
      <c r="AI107" s="24">
        <f t="shared" si="152"/>
        <v>5.1876361081583031</v>
      </c>
      <c r="AJ107" s="24">
        <f t="shared" si="153"/>
        <v>5.169924192075193</v>
      </c>
      <c r="AK107" s="24">
        <f t="shared" si="154"/>
        <v>6.8932322561002586</v>
      </c>
      <c r="AL107" s="16">
        <f>INDEX(Offshore_wind_data!$W$7:$W$191,MATCH(A107,Offshore_wind_data!$A$7:$A$191,0))</f>
        <v>15231.25728</v>
      </c>
      <c r="AM107" s="148"/>
      <c r="AN107" s="12">
        <v>5.3</v>
      </c>
      <c r="AO107" s="12">
        <v>6.8</v>
      </c>
      <c r="AP107" s="34">
        <f>6.438*11.63</f>
        <v>74.873940000000005</v>
      </c>
      <c r="AQ107" s="15">
        <f t="shared" si="155"/>
        <v>50</v>
      </c>
      <c r="AR107" s="12">
        <f t="shared" si="131"/>
        <v>340</v>
      </c>
      <c r="AS107" s="16">
        <f t="shared" si="121"/>
        <v>19881.97287744646</v>
      </c>
      <c r="AT107" s="12"/>
      <c r="AU107" s="24">
        <f t="shared" si="147"/>
        <v>3.2509666586007984</v>
      </c>
      <c r="AV107" s="16">
        <f t="shared" si="148"/>
        <v>4534.3755593023816</v>
      </c>
      <c r="AW107" s="149">
        <f>HV_DC_Grid!$E$3/(1-AX107)*AU107/100*1000</f>
        <v>3359.1705660532753</v>
      </c>
      <c r="AX107" s="31">
        <f>(1-(1-HV_DC_Grid!$E$25)^(B107*C107*HV_DC_Grid!$E$8/1000))+(1-(1-HV_DC_Grid!$E$26)^(B107*D107*HV_DC_Grid!$E$8/1000))+HV_DC_Grid!$E$35*HV_DC_Grid!$E$28</f>
        <v>3.2211495464371839E-2</v>
      </c>
      <c r="AY107" s="28">
        <f>B107*nl_e_demand/IF(hv_dc_flh="electricity FLH",$AV107,hv_dc_custom)*1000*hv_dc_capacity_multiplier*hv_dc_length_multiplier*1000*(C107*hv_dc_overhead_invest*(hv_dc_overhead_opex+M107+1/hv_dc_lifetime)+D107*hv_dc_sea_invest*(hv_dc_sea_opex+M107+1/hv_dc_lifetime))/1000000+HV_DC_Grid!$E$10*1000*hv_dc_station_invest*hv_dc_station_number*(hv_dc_station_opex+M107+1/hv_dc_lifetime)/1000000</f>
        <v>1045.0123048292328</v>
      </c>
      <c r="AZ107" s="24">
        <f>(AW107+AY107)/(HV_DC_Grid!$E$3*1000)*100</f>
        <v>4.4041828708825079</v>
      </c>
      <c r="BA107" s="28">
        <f>MIN(((Carriers!$F$26+Carriers!$F$27)*(alk_el_opex+wacc_nl+1/alk_el_lifetime)+IF(hv_dc_flh="electricity FLH",$AV107,hv_dc_custom)*AZ107/100)/(IF(hv_dc_flh="electricity FLH",$AV107,hv_dc_custom)/alk_el_e_demand)*1000,((Carriers!$H$26+Carriers!$H$27)*(pem_el_opex+wacc_nl+1/pem_el_lifetime)+IF(hv_dc_flh="electricity FLH",$AV107,hv_dc_custom)*AZ107/100)/(IF(hv_dc_flh="electricity FLH",$AV107,hv_dc_custom)/pem_el_e_demand)*1000)</f>
        <v>2586.4751506394882</v>
      </c>
      <c r="BB107" s="12"/>
      <c r="BC107" s="12"/>
      <c r="BD107" s="149">
        <f>MIN(((Carriers!$F$26+Carriers!$F$27)*(alk_el_opex+M107+1/alk_el_lifetime)+$AV107*$AU107/100)/($AV107/alk_el_e_demand)*1000,((Carriers!$H$26+Carriers!$H$27)*(pem_el_opex+M107+1/pem_el_lifetime)+$AV107*$AU107/100)/($AV107/pem_el_e_demand)*1000)</f>
        <v>2259.2765074384984</v>
      </c>
      <c r="BE107" s="28">
        <f>Storage!$AC$50</f>
        <v>8.1664117557772418</v>
      </c>
      <c r="BF107" s="28">
        <f>((Pipeline!$D$22*Pipeline!$D$24*B107*(pipeline_opex+M107+1/pipeline_lifetime))*(Pipeline!$D$39/Pipeline!$D$3)+(Pipeline!$D$57*(pipeline_comp_opex+M107+1/pipeline_comp_lifetime)+Pipeline!$D$47*1000*Pipeline!$D$45*$AU107/100/1000000))*(Pipeline!$D$75/Pipeline!$D$45)</f>
        <v>1776.232287596634</v>
      </c>
      <c r="BG107" s="28">
        <f>BD107+(BE107+BF107)/Storage!$AC$12*1000000</f>
        <v>2390.4822941555876</v>
      </c>
      <c r="BH107" s="28"/>
      <c r="BI107" s="28"/>
      <c r="BJ107" s="28">
        <f>IF($E107="","No Port",BK107*HV_DC_Grid!$E$3*$AU107/100*1000)</f>
        <v>71.157864311168751</v>
      </c>
      <c r="BK107" s="31">
        <f>IFERROR((1-(1-HV_DC_Grid!$E$25)^(K107*HV_DC_Grid!$E$8/1000))+HV_DC_Grid!$E$35*HV_DC_Grid!$E$28,"")</f>
        <v>2.1888217193157797E-2</v>
      </c>
      <c r="BL107" s="28">
        <f>IFERROR(K107*nl_e_demand/IF(hv_dc_flh="electricity FLH",$AV107,hv_dc_custom)*1000*hv_dc_capacity_multiplier*hv_dc_length_multiplier*1000*(hv_dc_overhead_invest*(hv_dc_overhead_opex+M107+1/hv_dc_lifetime))/1000000+HV_DC_Grid!$E$10*1000*hv_dc_station_invest*hv_dc_station_number*(hv_dc_station_opex+M107+1/hv_dc_lifetime)/1000000,"")</f>
        <v>577.3669404967859</v>
      </c>
      <c r="BM107" s="29">
        <f>IFERROR((BJ107+BL107)/(HV_DC_Grid!$E$3*1000)*100,"")</f>
        <v>0.6485248048079546</v>
      </c>
      <c r="BN107" s="28">
        <f>IFERROR(((Pipeline!$D$22*Pipeline!$D$24*K107*(pipeline_opex+M107+1/pipeline_lifetime))*(Pipeline!$D$39/Pipeline!$D$3)+(Pipeline!$D$57*(pipeline_comp_opex+M107+1/pipeline_comp_lifetime)+Pipeline!$D$47*1000*Pipeline!$D$45*S107/100/1000000))*(Pipeline!$D$75/Pipeline!$D$45),"")</f>
        <v>829.03178478015514</v>
      </c>
      <c r="BO107" s="28"/>
      <c r="BP107" s="150">
        <f t="shared" si="172"/>
        <v>97.017806775296421</v>
      </c>
      <c r="BQ107" s="34">
        <f t="shared" si="173"/>
        <v>28.283640262845001</v>
      </c>
      <c r="BR107" s="151">
        <f>(nh3_invest*(M107+1/nh3_lifetime)/nh3_prod+nh3_opex+nh3_e_demand*1000*$AU107/100+Carriers!$N$18/Carriers!$N$23*BD107+Carriers!$N$19/Carriers!$N$23*BQ107)*(BT107+nh3_st_ab_losses)/1000000</f>
        <v>40548.669963144035</v>
      </c>
      <c r="BS107" s="63">
        <f>nh3_st_nl_cost*nh3_st_nl_demand/1000000+(nh3_st_invest*(M107+1/nh3_st_lifetime+nh3_st_opex)/(Storage!$G$63/1000000)+nh3_st_e_demand*1000*$AU107/100)*(BT107+nh3_st_ab_losses)/1000000+Carriers!$N$18/Carriers!$N$23*((BT107+nh3_st_ab_losses)/365.25*short_st_duration_hrs/24)*(h2_short_st_invest*(1/gh2_short_st_lifetime+$M107+h2_short_st_opex)+h2_short_st_e_demand*1000*$AU107/100)/1000000+Carriers!$N$19/Carriers!$N$23*((BT107+nh3_st_ab_losses)/365.25*short_st_duration_hrs/24)*(n2_short_st_invest*(1/n2_short_st_lifetime+$M107+n2_short_st_opex)+n2_short_st_e_demand*1000*$AU107/100)/1000000</f>
        <v>2923.8546332053047</v>
      </c>
      <c r="BT107" s="63">
        <f>Storage!$G$57/((1-Shipping!$H$37)^(F107/24/Shipping!$H$44+0.5*Shipping!$H$59))</f>
        <v>77127245.0685471</v>
      </c>
      <c r="BU107" s="63">
        <f>IF($E107="","No Port",((F107/24/Shipping!$H$44+F107/24/Shipping!$H$50+Shipping!$H$59+Shipping!$H$64)*(Shipping!$H$22+wacc_nl*Shipping!$H$19/365.25*1000000+Shipping!$H$35)+(F107/24/Shipping!$H$44*Shipping!$H$45+Shipping!$H$64*Shipping!$H$65)*IF(bunker_choice="HFO",H107,IF(bunker_choice="hydrogen",BD107*hfo_e_density_lhv/h2_e_density_lhv,(BR107+BS107)*1000000/BT107*hfo_e_density_lhv/nh3_e_density_lhv))+(F107/24/Shipping!$H$50*Shipping!$H$51+Shipping!$H$59*Shipping!$H$60)*IF(bunker_choice="HFO",bunker_price_ROT,IF(bunker_choice="hydrogen",BD107*hfo_e_density_lhv/h2_e_density_lhv,(BR107+BS107)*1000000/BT107*hfo_e_density_lhv/nh3_e_density_lhv))+Shipping!$H$73+IF(G107="Panama",Shipping!$H$55,0)+IF(G107="Suez",Shipping!$H$56,0))/Shipping!$H$31*BT107/1000000+IF(inland_transport_to_port="hv dc grid",$BM107/100*1000*BW107,IF(inland_transport_to_port="pipeline",$BN107,0)))</f>
        <v>1549.619745450367</v>
      </c>
      <c r="BV107" s="63">
        <f t="shared" si="174"/>
        <v>45022.1443417997</v>
      </c>
      <c r="BW107" s="33">
        <f>((Carriers!$N$18/Carriers!$N$23*alk_el_e_demand)+(Carriers!$N$19/Carriers!$N$23*n2_e_demand)+nh3_e_demand)*(BT107+nh3_st_ab_losses)/1000000+nh3_st_e_demand*BT107/1000000</f>
        <v>761.66622005905299</v>
      </c>
      <c r="BX107" s="33">
        <f t="shared" si="156"/>
        <v>0.76626754477640768</v>
      </c>
      <c r="BY107" s="63">
        <f>IFERROR(BV107*1000000/Storage!$G$12,"")</f>
        <v>588.04077845810355</v>
      </c>
      <c r="BZ107" s="63">
        <f>H2_retrieval!$F$25*h2_demand_kt/1000</f>
        <v>80</v>
      </c>
      <c r="CA107" s="63">
        <f>IFERROR(BY107*(1+H2_retrieval!$F$34)/Carrier_properties!$E$7+H2_retrieval!$F$38,"")</f>
        <v>3719.6777694819484</v>
      </c>
      <c r="CB107" s="149">
        <f>(FA_invest*(M107+1/FA_lifetime)/FA_prod+FA_opex+FA_e_demand*1000*$AU107/100+Carriers!$P$18/Carriers!$P$23*BD107+Carriers!$P$20/Carriers!$P$23*co2_liq_cost)*(CF107+FA_st_ab_losses)/1000000</f>
        <v>93996.875116163152</v>
      </c>
      <c r="CC107" s="86">
        <f>(FA_invest*(M107+1/FA_lifetime)/FA_prod+FA_opex+FA_e_demand*1000*$AU107/100+Carriers!$P$18/Carriers!$P$23*BD107+Carriers!$P$20/Carriers!$P$23*BP107)*(CF107+FA_st_ab_losses)/1000000</f>
        <v>117127.5779847611</v>
      </c>
      <c r="CD107" s="63">
        <f>FA_st_nl_cost*FA_st_nl_demand/1000000+(FA_st_invest*(M107+1/FA_st_lifetime+FA_st_opex)/(Storage!$I$63/1000000)+FA_st_e_demand*1000*$AU107/100)*(CF107+FA_st_ab_losses)/1000000+co2_st_nl_cost*Storage!$I$12*co2_density/FA_density/1000000+(co2_st_opex_lev+co2_st_invest_lev+co2_st_e_demand*1000*$AU107/100)*Storage!$I$12/1000000+co2_st_invest_lev*Storage!$I$12*co2_st_lifetime*M107/1000000+Carriers!$P$18/Carriers!$P$23*((CF107+FA_st_ab_losses)/365.25*short_st_duration_hrs/24)*(h2_short_st_invest*(1/gh2_short_st_lifetime+$M107+h2_short_st_opex)+h2_short_st_e_demand*1000*$AU107/100)/1000000+Carriers!$P$20/Carriers!$P$23*((CF107+FA_st_ab_losses)/365.25*short_st_duration_hrs/24)*(co2_short_st_invest*(1/co2_short_st_lifetime+$M107+co2_short_st_opex)+co2_short_st_e_demand*1000*$AU107/100)/1000000</f>
        <v>10679.235000513052</v>
      </c>
      <c r="CE107" s="63">
        <f>FA_st_nl_cost*FA_st_nl_demand/1000000+(FA_st_invest*(M107+1/FA_st_lifetime+FA_st_opex)/(Storage!$I$63/1000000)+FA_st_e_demand*1000*$AU107/100)*(CF107+FA_st_ab_losses)/1000000+Carriers!$P$18/Carriers!$P$23*((CF107+FA_st_ab_losses)/365.25*short_st_duration_hrs/24)*(h2_short_st_invest*(1/gh2_short_st_lifetime+$M107+h2_short_st_opex)+h2_short_st_e_demand*1000*$AU107/100)/1000000+Carriers!$P$20/Carriers!$P$23*((CF107+FA_st_ab_losses)/365.25*short_st_duration_hrs/24)*(co2_short_st_invest*(1/co2_short_st_lifetime+$M107+co2_short_st_opex)+co2_short_st_e_demand*1000*$AU107/100)/1000000</f>
        <v>4394.8880257803676</v>
      </c>
      <c r="CF107" s="63">
        <f>Storage!$I$57/((1-Shipping!$J$37)^($F107/24/Shipping!$J$44+0.5*Shipping!$J$59))</f>
        <v>310425396.82539684</v>
      </c>
      <c r="CG107" s="28">
        <f>IF($E107="","No Port",((F107/24/Shipping!$J$44+F107/24/Shipping!$J$50+Shipping!$J$59+Shipping!$J$64)*(Shipping!$J$22+wacc_nl*Shipping!$J$19/365.25*1000000+Shipping!$J$35)+(F107/24/Shipping!$J$44*Shipping!$J$45+Shipping!$J$64*Shipping!$J$65)*IF(bunker_choice="HFO",$H107,IF(bunker_choice="hydrogen",$BD107*hfo_e_density_lhv/h2_e_density_lhv,(CB107+CD107)*1000000/CF107*hfo_e_density_lhv/FA_e_density_lhv))+(F107/24/Shipping!$J$50*Shipping!$J$51+Shipping!$J$59*Shipping!$J$60)*IF(bunker_choice="HFO",bunker_price_ROT,IF(bunker_choice="hydrogen",$BD107*hfo_e_density_lhv/h2_e_density_lhv,(CB107+CD107)*1000000/CF107*hfo_e_density_lhv/FA_e_density_lhv))+Shipping!$J$73+IF(G107="Panama",Shipping!$J$55,0)+IF(G107="Suez",Shipping!$J$56,0))/Shipping!$J$31*CF107/1000000+IF(inland_transport_to_port="hv dc grid",$BM107/100*1000*CI107,IF(inland_transport_to_port="pipeline",$BN107,0)))</f>
        <v>3747.4010321113142</v>
      </c>
      <c r="CH107" s="28">
        <f t="shared" si="132"/>
        <v>125269.86704265278</v>
      </c>
      <c r="CI107" s="29">
        <f>((Carriers!$P$18/Carriers!$P$23*alk_el_e_demand)+FA_e_demand)*(CF107+FA_st_ab_losses)/1000000+FA_st_e_demand*CF107/1000000</f>
        <v>1897.8881241622576</v>
      </c>
      <c r="CJ107" s="29">
        <f t="shared" si="157"/>
        <v>0.46563809523809524</v>
      </c>
      <c r="CK107" s="28">
        <f>IFERROR(CH107*1000000/Storage!$I$12,"")</f>
        <v>403.54258486496389</v>
      </c>
      <c r="CL107" s="28">
        <f>IF($E107="","No Port",((F107/24/Shipping!$J$44+F107/24/Shipping!$J$50+Shipping!$J$59+Shipping!$J$64)*Carriers!$P$39*wacc_nl))</f>
        <v>67.75863510416319</v>
      </c>
      <c r="CM107" s="29">
        <f>H2_retrieval!$H$25*h2_demand_kt/1000+(co2_liq_e_demand+co2_st_e_demand*2)*Storage!$I$12*co2_density/FA_density/1000000</f>
        <v>94.204253879484654</v>
      </c>
      <c r="CN107" s="28">
        <f>IFERROR((((CB107+CD107+CG107)*(1+H2_retrieval!$H$34)+CL107)*1000000/H2_retrieval!$H$8)+h2_regen_fa,"")</f>
        <v>8066.9866165825215</v>
      </c>
      <c r="CO107" s="149">
        <f>(meoh_invest*(M107+1/meoh_lifetime)/meoh_prod+meoh_opex+meoh_e_demand*1000*$AU107/100+Carriers!$R$18/Carriers!$R$23*BD107+Carriers!$R$20/Carriers!$R$23*co2_liq_cost)*(CS107+meoh_st_ab_losses)/1000000</f>
        <v>50379.235231792765</v>
      </c>
      <c r="CP107" s="86">
        <f>(meoh_invest*(M107+1/meoh_lifetime)/meoh_prod+meoh_opex+meoh_e_demand*1000*$AU107/100+Carriers!$R$18/Carriers!$R$23*BD107+Carriers!$R$20/Carriers!$R$23*BP107)*(CS107+meoh_st_ab_losses)/1000000</f>
        <v>63957.671902935239</v>
      </c>
      <c r="CQ107" s="63">
        <f>meoh_st_nl_cost*meoh_st_nl_demand/1000000+(meoh_st_invest*(M107+1/meoh_st_lifetime+meoh_st_opex)/(Storage!$K$63/1000000)+meoh_st_e_demand*1000*$AU107/100)*(CS107+meoh_st_ab_losses)/1000000+co2_st_nl_cost*Storage!$K$12*co2_density/meoh_density/1000000+(co2_st_opex_lev+co2_st_invest_lev+co2_st_e_demand*1000*IFERROR(MIN(S107,AA107,AI107),S107)/100)*Storage!$K$12/1000000+co2_st_invest_lev*Storage!$K$12*co2_st_lifetime*M107/1000000+Carriers!$R$18/Carriers!$R$23*((CS107+meoh_st_ab_losses)/365.25*short_st_duration_hrs/24)*(h2_short_st_invest*(1/gh2_short_st_lifetime+$M107+h2_short_st_opex)+h2_short_st_e_demand*1000*$AU107/100)/1000000+Carriers!$R$20/Carriers!$R$23*((CF107+meoh_st_ab_losses)/365.25*short_st_duration_hrs/24)*(co2_short_st_invest*(1/co2_short_st_lifetime+$M107+co2_short_st_opex)+co2_short_st_e_demand*1000*$AU107/100)/1000000</f>
        <v>4467.4579795725776</v>
      </c>
      <c r="CR107" s="63">
        <f>meoh_st_nl_cost*meoh_st_nl_demand/1000000+(meoh_st_invest*(M107+1/meoh_st_lifetime+meoh_st_opex)/(Storage!$K$63/1000000)+meoh_st_e_demand*1000*$AU107/100)*(CS107+meoh_st_ab_losses)/1000000+Carriers!$R$18/Carriers!$R$23*((CS107+meoh_st_ab_losses)/365.25*short_st_duration_hrs/24)*(h2_short_st_invest*(1/gh2_short_st_lifetime+$M107+h2_short_st_opex)+h2_short_st_e_demand*1000*$AU107/100)/1000000+Carriers!$R$20/Carriers!$R$23*((CF107+meoh_st_ab_losses)/365.25*short_st_duration_hrs/24)*(co2_short_st_invest*(1/co2_short_st_lifetime+$M107+co2_short_st_opex)+co2_short_st_e_demand*1000*$AU107/100)/1000000</f>
        <v>1686.833143746868</v>
      </c>
      <c r="CS107" s="63">
        <f>Storage!$K$57/((1-Shipping!$L$37)^($F107/24/Shipping!$L$44+0.5*Shipping!$L$59))</f>
        <v>108044444.44444443</v>
      </c>
      <c r="CT107" s="28">
        <f>IF($E107="","No Port",IF(AND(ship_choice="VLCC",G107="Panama"),"Ship cannot pass through Panama",IF(ship_choice="VLCC",((F107/24/Shipping!$AD$44+F107/24/Shipping!$AD$50+Shipping!$AD$59+Shipping!$AD$64)*(Shipping!$AD$22+wacc_nl*Shipping!$AD$19/365.25*1000000+Shipping!$AD$35)+(F107/24/Shipping!$AD$44*Shipping!$AD$45+Shipping!$AD$64*Shipping!$AD$65)*IF(bunker_choice="HFO",$H107,IF(bunker_choice="hydrogen",$BD107*hfo_e_density_lhv/h2_e_density_lhv,(CO107+CQ107)*1000000/CS107*hfo_e_density_lhv/meoh_e_density_lhv))+(F107/24/Shipping!$AD$50*Shipping!$AD$51+Shipping!$AD$59*Shipping!$AD$60)*IF(bunker_choice="HFO",bunker_price_ROT,IF(bunker_choice="hydrogen",$BD107*hfo_e_density_lhv/h2_e_density_lhv,(CO107+CQ107)*1000000/CS107*hfo_e_density_lhv/meoh_e_density_lhv))+Shipping!$AD$73+IF(G107="Panama",Shipping!$AD$55,0)+IF(G107="Suez",Shipping!$AD$56,0))/Shipping!$AD$31*CS107/1000000+IF(inland_transport_to_port="hv dc grid",$BM107/100*1000*CV107,IF(inland_transport_to_port="pipeline",$BN107,0)),((F107/24/Shipping!$L$44+F107/24/Shipping!$L$50+Shipping!$L$59+Shipping!$L$64)*(Shipping!$L$22+wacc_nl*Shipping!$L$19/365.25*1000000+Shipping!$L$35)+(F107/24/Shipping!$L$44*Shipping!$L$45+Shipping!$L$64*Shipping!$L$65)*IF(bunker_choice="HFO",$H107,IF(bunker_choice="hydrogen",$BD107*hfo_e_density_lhv/h2_e_density_lhv,(CO107+CQ107)*1000000/CS107*hfo_e_density_lhv/meoh_e_density_lhv))+(F107/24/Shipping!$L$50*Shipping!$L$51+Shipping!$L$59*Shipping!$L$60)*IF(bunker_choice="HFO",bunker_price_ROT,IF(bunker_choice="hydrogen",$BD107*hfo_e_density_lhv/h2_e_density_lhv,(CO107+CQ107)*1000000/CS107*hfo_e_density_lhv/meoh_e_density_lhv))+Shipping!$L$73+IF(G107="Panama",Shipping!$L$55,0)+IF(G107="Suez",Shipping!$L$56,0))/Shipping!$L$31*CS107/1000000+IF(inland_transport_to_port="hv dc grid",$BM107/100*1000*CV107,IF(inland_transport_to_port="pipeline",$BN107,0)))))</f>
        <v>1778.4735430554374</v>
      </c>
      <c r="CU107" s="28">
        <f t="shared" si="133"/>
        <v>67422.978589737555</v>
      </c>
      <c r="CV107" s="29">
        <f>((Carriers!$R$18/Carriers!$R$23*alk_el_e_demand)+meoh_e_demand)*(CS107+meoh_st_ab_losses)/1000000+meoh_st_e_demand*CS107/1000000</f>
        <v>1119.9789871111109</v>
      </c>
      <c r="CW107" s="29">
        <f t="shared" si="158"/>
        <v>0.16206666666666666</v>
      </c>
      <c r="CX107" s="28">
        <f>IFERROR(CU107*1000000/Storage!$K$12,"")</f>
        <v>624.03003630978822</v>
      </c>
      <c r="CY107" s="28">
        <f>IF($E107="","No Port",((F107/24/Shipping!$L$44+F107/24/Shipping!$L$50+Shipping!$L$59+Shipping!$L$64)*Carriers!$R$39*wacc_nl))</f>
        <v>23.859635709084976</v>
      </c>
      <c r="CZ107" s="29">
        <f>H2_retrieval!$J$25*h2_demand_kt/1000+(co2_liq_e_demand+co2_st_e_demand*2)*Storage!$K$12*co2_density/meoh_density/1000000</f>
        <v>251.05079059698966</v>
      </c>
      <c r="DA107" s="28">
        <f>IFERROR((((CO107+CQ107+CT107)*(1+H2_retrieval!$J$34)+CY107)*1000000/H2_retrieval!$J$8)+h2_regen_meoh,"")</f>
        <v>5335.4981307056651</v>
      </c>
      <c r="DB107" s="149">
        <f>(DBT_invest*(M107+1/DBT_lifetime)/DBT_prod+DBT_opex+DBT_e_demand*1000*$AU107/100+Carriers!$T$18/Carriers!$T$23*BD107)*(DD107+DBT_st_ab_losses)/1000000</f>
        <v>33582.466862674242</v>
      </c>
      <c r="DC107" s="28">
        <f>2*(DBT_st_nl_cost*DBT_st_nl_demand/1000000+(DBT_st_invest*(M107+1/DBT_st_lifetime+DBT_st_opex)/(Storage!$M$63/1000000)+DBT_st_e_demand*1000*$AU107/100)*(DD107+DBT_st_ab_losses)/1000000)+Carriers!$T$18/Carriers!$T$23*((DD107+DBT_st_ab_losses)/365.25*short_st_duration_hrs/24)*(h2_short_st_invest*(1/gh2_short_st_lifetime+$M107+h2_short_st_opex)+h2_short_st_e_demand*1000*$AU107/100)/1000000</f>
        <v>3578.5691849721438</v>
      </c>
      <c r="DD107" s="63">
        <f>Storage!$M$57/((1-Shipping!$N$37)^($F107/24/Shipping!$N$44+0.5*Shipping!$N$59))</f>
        <v>219354838.70967743</v>
      </c>
      <c r="DE107" s="28">
        <f>IF($E107="","No Port",IF(AND(ship_choice="VLCC",G107="Panama"),"Ship cannot pass through Panama",IF(ship_choice="VLCC",((F107/24/Shipping!$AD$44+F107/24/Shipping!$AD$50+Shipping!$AD$59+Shipping!$AD$64)*(Shipping!$AD$22+wacc_nl*Shipping!$AD$19/365.25*1000000+Shipping!$AD$35)+(F107/24/Shipping!$AD$44*Shipping!$AD$45+Shipping!$AD$64*Shipping!$AD$65)*IF(bunker_choice="HFO",$H107,IF(bunker_choice="hydrogen",$BD107*hfo_e_density_lhv/h2_e_density_lhv,(DB107+DC107)*1000000/DD107*hfo_e_density_lhv/DBT_e_density_lhv))+(F107/24/Shipping!$AD$50*Shipping!$AD$51+Shipping!$AD$59*Shipping!$AD$60)*IF(bunker_choice="HFO",bunker_price_ROT,IF(bunker_choice="hydrogen",$BD107*hfo_e_density_lhv/h2_e_density_lhv,(DB107+DC107)*1000000/DD107*hfo_e_density_lhv/DBT_e_density_lhv))+Shipping!$AD$73+IF(G107="Panama",Shipping!$AD$55,0)+IF(G107="Suez",Shipping!$AD$56,0))/Shipping!$AD$31*DD107/1000000+IF(inland_transport_to_port="hv dc grid",$BM107/100*1000*DG107,IF(inland_transport_to_port="pipeline",$BN107,0)),((F107/24/Shipping!$N$44+F107/24/Shipping!$N$50+Shipping!$N$59+Shipping!$N$64)*(Shipping!$N$22+wacc_nl*Shipping!$N$19/365.25*1000000+Shipping!$N$35)+(F107/24/Shipping!$N$44*Shipping!$N$45+Shipping!$N$64*Shipping!$N$65)*IF(bunker_choice="HFO",$H107,IF(bunker_choice="hydrogen",$BD107*hfo_e_density_lhv/h2_e_density_lhv,(DB107+DC107)*1000000/DD107*hfo_e_density_lhv/DBT_e_density_lhv))+(F107/24/Shipping!$N$50*Shipping!$N$51+Shipping!$N$59*Shipping!$N$60)*IF(bunker_choice="HFO",bunker_price_ROT,IF(bunker_choice="hydrogen",$BD107*hfo_e_density_lhv/h2_e_density_lhv,(DB107+DC107)*1000000/DD107*hfo_e_density_lhv/DBT_e_density_lhv))+Shipping!$N$73+IF(G107="Panama",Shipping!$N$55,0)+IF(G107="Suez",Shipping!$N$56,0))/Shipping!$N$31*Shipping!$N$86/1000000+IF(inland_transport_to_port="hv dc grid",$BM107/100*1000*DG107,IF(inland_transport_to_port="pipeline",$BN107,0)))))</f>
        <v>2587.0121771488416</v>
      </c>
      <c r="DF107" s="28">
        <f t="shared" si="159"/>
        <v>39748.048224795224</v>
      </c>
      <c r="DG107" s="29">
        <f>((Carriers!$T$18/Carriers!$T$23*alk_el_e_demand)+DBT_e_demand)*(DD107+DBT_st_ab_losses)/1000000+DBT_st_e_demand*DD107/1000000</f>
        <v>703.88335483870969</v>
      </c>
      <c r="DH107" s="29">
        <f t="shared" si="160"/>
        <v>0.21935483870967742</v>
      </c>
      <c r="DI107" s="28">
        <f>IFERROR(DF107*1000000/Storage!$M$12,"")</f>
        <v>181.20433749539001</v>
      </c>
      <c r="DJ107" s="28">
        <f>IF($E107="","No Port",((F107/24/Shipping!$N$44+F107/24/Shipping!$N$50+Shipping!$N$59+Shipping!$N$64)*Carriers!$T$39*wacc_nl))</f>
        <v>1737.7756624077251</v>
      </c>
      <c r="DK107" s="100">
        <f>H2_retrieval!$L$25*h2_demand_kt/1000+(co2_liq_e_demand+co2_st_e_demand*2)*Storage!$M$12*co2_density/DBT_density/1000000</f>
        <v>206.61934861671787</v>
      </c>
      <c r="DL107" s="28">
        <f>IFERROR(((DF107*(1+H2_retrieval!$L$34)+DJ107)*1000000/H2_retrieval!$L$8)+h2_regen_lohc,"")</f>
        <v>3521.0780076390115</v>
      </c>
      <c r="DM107" s="149">
        <f t="shared" si="175"/>
        <v>53863.47772704465</v>
      </c>
      <c r="DN107" s="16">
        <f>2*(nabh4_st_nl_cost*nabh4_st_nl_demand/1000000+(nabh4_st_invest*(M107+1/nabh4_st_lifetime+nabh4_st_opex)/(Storage!$O$63/1000000)+nabh4_st_e_demand*1000*$AU107/100)*(DO107+nabh4_st_ab_losses)/1000000)+(h2_demand_kt*1000/365.25*short_st_duration_hrs/24)*(h2_short_st_invest*(1/gh2_short_st_lifetime+$M107+h2_short_st_opex)+h2_short_st_e_demand*1000*$AU107/100)/1000000</f>
        <v>1280.9152271774271</v>
      </c>
      <c r="DO107" s="63">
        <f>Storage!$O$57/((1-Shipping!$P$37)^($F107/24/Shipping!$P$44+0.5*Shipping!$P$59))</f>
        <v>63920000</v>
      </c>
      <c r="DP107" s="16">
        <f>IF($E107="","No Port",((F107/24/Shipping!$P$44+F107/24/Shipping!$P$50+Shipping!$P$59+Shipping!$P$64)*(Shipping!$P$22+wacc_nl*Shipping!$P$19/365.25*1000000+Shipping!$P$35)+(F107/24/Shipping!$P$44*Shipping!$P$45+Shipping!$P$64*Shipping!$P$65)*IF(bunker_choice="HFO",$H107,IF(bunker_choice="hydrogen",$BD107*hfo_e_density_lhv/h2_e_density_lhv,(DM107+DN107)*1000000/DO107*hfo_e_density_lhv/nabh4_e_density_lhv))+(F107/24/Shipping!$P$50*Shipping!$P$51+Shipping!$P$59*Shipping!$P$60)*IF(bunker_choice="HFO",bunker_price_ROT,IF(bunker_choice="hydrogen",$BD107*hfo_e_density_lhv/h2_e_density_lhv,(DM107+DN107)*1000000/DO107*hfo_e_density_lhv/nabh4_e_density_lhv))+Shipping!$P$73+IF(G107="Panama",Shipping!$P$55,0)+IF(G107="Suez",Shipping!$P$56,0))/Shipping!$P$31*(DO107+nabh4_st_ab_losses)/1000000+IF(inland_transport_to_port="hv dc grid",$BM107/100*1000*DR107,IF(inland_transport_to_port="pipeline",$BN107,0)))</f>
        <v>1275.3492702027747</v>
      </c>
      <c r="DQ107" s="28">
        <f t="shared" si="146"/>
        <v>56419.742224424852</v>
      </c>
      <c r="DR107" s="29">
        <f>((Carriers!$V$18/Carriers!$V$23*alk_el_e_demand)+nabh4_e_demand)*(DO107+nabh4_st_ab_losses)/1000000+nabh4_st_e_demand*DO107/1000000</f>
        <v>980.02139682539689</v>
      </c>
      <c r="DS107" s="28">
        <f t="shared" si="161"/>
        <v>3.1960000000000002</v>
      </c>
      <c r="DT107" s="28">
        <f>IFERROR(DQ107*1000000/Storage!$O$12,"")</f>
        <v>882.66179950602077</v>
      </c>
      <c r="DU107" s="28">
        <f>IF($E107="","No Port",((F107/24/Shipping!$P$44+F107/24/Shipping!$P$50+Shipping!$P$59+Shipping!$P$64)*Carriers!$V$39*wacc_nl))</f>
        <v>177.97929111621357</v>
      </c>
      <c r="DV107" s="100">
        <f>H2_retrieval!$N$25*h2_demand_kt/1000+(co2_liq_e_demand+co2_st_e_demand*2)*Storage!$O$12*co2_density/nabh4_density/1000000</f>
        <v>18.783638728971958</v>
      </c>
      <c r="DW107" s="28">
        <f>IFERROR(((DQ107*(1+H2_retrieval!$N$34)+DU107)*1000000/H2_retrieval!$N$8)+h2_regen_nabh4,"")</f>
        <v>4251.4415898645775</v>
      </c>
      <c r="DX107" s="149">
        <f>(Dme_invest*(M107+1/Dme_lifetime)/Dme_prod+Dme_opex+Dme_e_demand*1000*$AU107/100+Carriers!$X$21/Carriers!$X$23*(CO107*1000000/CS107))*(EB107+Dme_st_ab_losses)/1000000</f>
        <v>71242.279518518088</v>
      </c>
      <c r="DY107" s="86">
        <f>(Dme_invest*(M107+1/Dme_lifetime)/Dme_prod+Dme_opex+Dme_e_demand*1000*$AU107/100+Carriers!$X$21/Carriers!$X$23*(CP107*1000000/CS107))*(EB107+Dme_st_ab_losses)/1000000</f>
        <v>89663.655888973139</v>
      </c>
      <c r="DZ107" s="63">
        <f>Dme_st_nl_cost*Dme_st_nl_demand/1000000+(Dme_st_invest*(M107+1/Dme_st_lifetime+Dme_st_opex)/(Storage!$Q$63/1000000)+Dme_st_e_demand*1000*$AU107/100)*(EB107+Dme_st_ab_losses)/1000000+co2_st_nl_cost*Storage!$Q$12*co2_density/Dme_density/1000000+(co2_st_opex_lev+co2_st_invest_lev+co2_st_e_demand*1000*$AU107/100)*Storage!$Q$12/1000000+co2_st_invest_lev*Storage!$Q$12*co2_st_lifetime*M107/1000000+(h2_demand_kt*1000/365.25*short_st_duration_hrs/24)*(h2_short_st_invest*(1/gh2_short_st_lifetime+$M107+h2_short_st_opex)+h2_short_st_e_demand*1000*$AU107/100)/1000000</f>
        <v>5400.3717195205882</v>
      </c>
      <c r="EA107" s="63">
        <f>Dme_st_nl_cost*Dme_st_nl_demand/1000000+(Dme_st_invest*(M107+1/Dme_st_lifetime+Dme_st_opex)/(Storage!$Q$63/1000000)+Dme_st_e_demand*1000*$AU107/100)*(EB107+Dme_st_ab_losses)/1000000+(h2_demand_kt*1000/365.25*short_st_duration_hrs/24)*(h2_short_st_invest*(1/gh2_short_st_lifetime+$M107+h2_short_st_opex)+h2_short_st_e_demand*1000*$AU107/100)/1000000</f>
        <v>2603.1678217141298</v>
      </c>
      <c r="EB107" s="63">
        <f>Storage!$Q$57/((1-Shipping!$R$37)^($F107/24/Shipping!$R$44+0.5*Shipping!$R$59))</f>
        <v>103547089.94708996</v>
      </c>
      <c r="EC107" s="153">
        <f>IF($E107="","No Port",IF(AND(ship_choice="VLCC",G107="Panama"),"Ship cannot pass through Panama",IF(ship_choice="VLCC",((F107/24/Shipping!$AD$44+F107/24/Shipping!$AD$50+Shipping!$AD$59+Shipping!$AD$64)*(Shipping!$AD$22+wacc_nl*Shipping!$AD$19/365.25*1000000+Shipping!$AD$35)+(F107/24/Shipping!$AD$44*Shipping!$AD$45+Shipping!$AD$64*Shipping!$AD$65)*IF(bunker_choice="HFO",$H107,IF(bunker_choice="hydrogen",$BD107*hfo_e_density_lhv/h2_e_density_lhv,(DX107+DZ107)*1000000/EB107*hfo_e_density_lhv/Dme_e_density_lhv))+(F107/24/Shipping!$AD$50*Shipping!$AD$51+Shipping!$AD$59*Shipping!$AD$60)*IF(bunker_choice="HFO",bunker_price_ROT,IF(bunker_choice="hydrogen",$BD107*hfo_e_density_lhv/h2_e_density_lhv,(DX107+DZ107)*1000000/EB107*hfo_e_density_lhv/Dme_e_density_lhv))+Shipping!$AD$73+IF(G107="Panama",Shipping!$AD$55,0)+IF(G107="Suez",Shipping!$AD$56,0))/Shipping!$AD$31*(EB107+Dme_st_ab_losses)/1000000+IF(inland_transport_to_port="hv dc grid",$BM107/100*1000*EE107,IF(inland_transport_to_port="pipeline",$BN107,0)),((F107/24/Shipping!$R$44+F107/24/Shipping!$R$50+Shipping!$R$59+Shipping!$R$64)*(Shipping!$R$22+wacc_nl*Shipping!$R$19/365.25*1000000+Shipping!$R$35)+(F107/24/Shipping!$R$44*Shipping!$R$45+Shipping!$R$64*Shipping!$R$65)*IF(bunker_choice="HFO",$H107,IF(bunker_choice="hydrogen",$BD107*hfo_e_density_lhv/h2_e_density_lhv,(DX107+DZ107)*1000000/EB107*hfo_e_density_lhv/Dme_e_density_lhv))+(F107/24/Shipping!$R$50*Shipping!$R$51+Shipping!$R$59*Shipping!$R$60)*IF(bunker_choice="HFO",bunker_price_ROT,IF(bunker_choice="hydrogen",$BD107*hfo_e_density_lhv/h2_e_density_lhv,(DX107+DZ107)*1000000/EB107*hfo_e_density_lhv/Dme_e_density_lhv))+Shipping!$R$73+IF(G107="Panama",Shipping!$R$55,0)+IF(G107="Suez",Shipping!$R$56,0))/Shipping!$R$31*(EB107+Dme_st_ab_losses)/1000000+IF(inland_transport_to_port="hv dc grid",$BM107/100*1000*EE107,IF(inland_transport_to_port="pipeline",$BN107,0)))))</f>
        <v>1840.3020058846782</v>
      </c>
      <c r="ED107" s="28">
        <f t="shared" si="134"/>
        <v>94107.125716571943</v>
      </c>
      <c r="EE107" s="29">
        <f>(Dme_e_demand)*(EB107+Dme_st_ab_losses)/1000000+Dme_st_e_demand*DZ107/1000000+$CV107*(Carriers!$X$21/Carriers!$X$23*EB107)/$CS107</f>
        <v>1550.216814170773</v>
      </c>
      <c r="EF107" s="29">
        <f t="shared" si="162"/>
        <v>1.0354708994708997</v>
      </c>
      <c r="EG107" s="28">
        <f>IFERROR(ED107*1000000/Storage!$Q$12,"")</f>
        <v>908.83409436864326</v>
      </c>
      <c r="EH107" s="28">
        <f>IF($E107="","No Port",((F107/24/Shipping!$R$44+F107/24/Shipping!$R$50+Shipping!$R$59+Shipping!$R$64)*Carriers!$X$39*wacc_nl))</f>
        <v>23.667162260313138</v>
      </c>
      <c r="EI107" s="100">
        <f>H2_retrieval!$P$25*h2_demand_kt/1000+(co2_liq_e_demand+co2_st_e_demand*2)*Storage!$Q$12*co2_density/Dme_density/1000000</f>
        <v>252.45335899349112</v>
      </c>
      <c r="EJ107" s="28">
        <f>IFERROR((((DX107+DZ107+EC107)*(1+H2_retrieval!$P$34)+EH107)*1000000/H2_retrieval!$P$8)+h2_regen_dme,"")</f>
        <v>6942.6741612978549</v>
      </c>
      <c r="EK107" s="149">
        <f>(ome_invest*(M107+1/ome_lifetime)/ome_prod+ome_opex+ome_e_demand*1000*$AU107/100+Carriers!$Z$21/Carriers!$Z$23*(CO107*1000000/CS107))*(EO107+ome_st_ab_losses)/1000000</f>
        <v>156113.95681176992</v>
      </c>
      <c r="EL107" s="86">
        <f>(ome_invest*(M107+1/ome_lifetime)/ome_prod+ome_opex+ome_e_demand*1000*$AU107/100+Carriers!$Z$21/Carriers!$Z$23*(CP107*1000000/CS107))*(EO107+ome_st_ab_losses)/1000000</f>
        <v>194784.01177435828</v>
      </c>
      <c r="EM107" s="63">
        <f>ome_st_nl_cost*ome_st_nl_demand/1000000+(ome_st_invest*(M107+1/ome_st_lifetime+ome_st_opex)/(Storage!$S$63/1000000)+ome_st_e_demand*1000*$AU107/100)*(EO107+ome_st_ab_losses)/1000000+co2_st_nl_cost*Storage!$S$12*co2_density/ome_density/1000000+(co2_st_opex_lev+co2_st_invest_lev+co2_st_e_demand*1000*$AU107/100)*Storage!$S$12/1000000+co2_st_invest_lev*Storage!$S$12*co2_st_lifetime*M107/1000000+(h2_demand_kt*1000/365.25*short_st_duration_hrs/24)*(h2_short_st_invest*(1/gh2_short_st_lifetime+$M107+h2_short_st_opex)+h2_short_st_e_demand*1000*$AU107/100)/1000000</f>
        <v>4664.7912830265859</v>
      </c>
      <c r="EN107" s="63">
        <f>ome_st_nl_cost*ome_st_nl_demand/1000000+(ome_st_invest*(M107+1/ome_st_lifetime+ome_st_opex)/(Storage!$S$63/1000000)+ome_st_e_demand*1000*$AU107/100)*(EO107+ome_st_ab_losses)/1000000+(h2_demand_kt*1000/365.25*short_st_duration_hrs/24)*(h2_short_st_invest*(1/gh2_short_st_lifetime+$M107+h2_short_st_opex)+h2_short_st_e_demand*1000*$AU107/100)/1000000</f>
        <v>1538.3558905473838</v>
      </c>
      <c r="EO107" s="63">
        <f>Storage!$S$57/((1-Shipping!$T$37)^($F107/24/Shipping!$T$44+0.5*Shipping!$T$59))</f>
        <v>128282539.68253967</v>
      </c>
      <c r="EP107" s="28">
        <f>IF($E107="","No Port",IF(AND(ship_choice="VLCC",G107="Panama"),"Ship cannot pass through Panama",IF(ship_choice="VLCC",((F107/24/Shipping!$AD$44+F107/24/Shipping!$AD$50+Shipping!$AD$59+Shipping!$AD$64)*(Shipping!$AD$22+wacc_nl*Shipping!$AD$19/365.25*1000000+Shipping!$AD$35)+(F107/24/Shipping!$AD$44*Shipping!$AD$45+Shipping!$AD$64*Shipping!$AD$65)*IF(bunker_choice="HFO",$H107,IF(bunker_choice="hydrogen",$BD107*hfo_e_density_lhv/h2_e_density_lhv,(EK107+EM107)*1000000/EO107*hfo_e_density_lhv/Dme_e_density_lhv))+(F107/24/Shipping!$AD$50*Shipping!$AD$51+Shipping!$AD$59*Shipping!$AD$60)*IF(bunker_choice="HFO",bunker_price_ROT,IF(bunker_choice="hydrogen",$BD107*hfo_e_density_lhv/h2_e_density_lhv,(EK107+EM107)*1000000/EO107*hfo_e_density_lhv/ome_e_density_lhv))+Shipping!$AD$73+IF(G107="Panama",Shipping!$AD$55,0)+IF(G107="Suez",Shipping!$AD$56,0))/Shipping!$AD$31*(EO107+ome_st_ab_losses)/1000000+IF(inland_transport_to_port="hv dc grid",$BM107/100*1000*ER107,IF(inland_transport_to_port="pipeline",$BN107,0)),((F107/24/Shipping!$T$44+F107/24/Shipping!$T$50+Shipping!$T$59+Shipping!$T$64)*(Shipping!$T$22+wacc_nl*Shipping!$T$19/365.25*1000000+Shipping!$T$35)+(F107/24/Shipping!$T$44*Shipping!$T$45+Shipping!$T$64*Shipping!$T$65)*IF(bunker_choice="HFO",$H107,IF(bunker_choice="hydrogen",$BD107*hfo_e_density_lhv/h2_e_density_lhv,(EK107+EM107)*1000000/EO107*hfo_e_density_lhv/Dme_e_density_lhv))+(F107/24/Shipping!$T$50*Shipping!$T$51+Shipping!$T$59*Shipping!$T$60)*IF(bunker_choice="HFO",bunker_price_ROT,IF(bunker_choice="hydrogen",$BD107*hfo_e_density_lhv/h2_e_density_lhv,(EK107+EM107)*1000000/EO107*hfo_e_density_lhv/ome_e_density_lhv))+Shipping!$T$73+IF(G107="Panama",Shipping!$T$55,0)+IF(G107="Suez",Shipping!$T$56,0))/Shipping!$T$31*(EO107+ome_st_ab_losses)/1000000+IF(inland_transport_to_port="hv dc grid",$BM107/100*1000*ER107,IF(inland_transport_to_port="pipeline",$BN107,0)))))</f>
        <v>1883.1233216058413</v>
      </c>
      <c r="EQ107" s="28">
        <f t="shared" si="135"/>
        <v>198205.49098651152</v>
      </c>
      <c r="ER107" s="29">
        <f>(ome_e_demand)*(EO107+ome_st_ab_losses)/1000000+ome_st_e_demand*EM107/1000000+$CV107*(Carriers!$Z$21/Carriers!$Z$23*EO107)/$CS107</f>
        <v>3352.0814571379706</v>
      </c>
      <c r="ES107" s="29">
        <f t="shared" si="163"/>
        <v>0.1924238095238095</v>
      </c>
      <c r="ET107" s="28">
        <f>IFERROR(EQ107*1000000/Storage!$S$12,"")</f>
        <v>1545.0699017731479</v>
      </c>
      <c r="EU107" s="28">
        <f>IF($E107="","No Port",((F107/24/Shipping!$T$44+F107/24/Shipping!$T$50+Shipping!$T$59+Shipping!$T$64)*Carriers!$Z$39*wacc_nl))</f>
        <v>28.328848192055435</v>
      </c>
      <c r="EV107" s="100">
        <f>H2_retrieval!$R$25*h2_demand_kt/1000+(co2_liq_e_demand+co2_st_e_demand*2)*Storage!$S$12*co2_density/ome_density/1000000</f>
        <v>254.51942895252085</v>
      </c>
      <c r="EW107" s="28">
        <f>IFERROR((((EK107+EM107+EP107)*(1+H2_retrieval!$R$34)+EU107)*1000000/H2_retrieval!$R$8)+h2_regen_ome,"")</f>
        <v>13132.64326853394</v>
      </c>
      <c r="EX107" s="149">
        <f>(sng_invest*(M107+1/sng_lifetime)/sng_prod+lng_invest*(M107+1/lng_lifetime)/lng_prod+sng_opex+lng_opex+(sng_e_demand+lng_e_demand)*1000*$AU107/100+Carriers!$AB$18/Carriers!$AB$23*BD107+Carriers!$AB$20/Carriers!$AB$23*co2_liq_cost)*(FB107+lng_st_ab_losses)/1000000</f>
        <v>54043.125627361085</v>
      </c>
      <c r="EY107" s="86">
        <f>(sng_invest*(M107+1/sng_lifetime)/sng_prod+lng_invest*(M107+1/lng_lifetime)/lng_prod+sng_opex+lng_opex+(sng_e_demand+lng_e_demand)*1000*$AU107/100+Carriers!$AB$18/Carriers!$AB$23*BD107+Carriers!$AB$20/Carriers!$AB$23*BP107)*(FB107+lng_st_ab_losses)/1000000</f>
        <v>64101.536942479455</v>
      </c>
      <c r="EZ107" s="63">
        <f>lng_st_nl_cost*lng_st_nl_demand/1000000+(lng_st_invest*(M107+1/lng_st_lifetime+lng_st_opex)/(Storage!$U$63/1000000)+lng_st_e_demand*1000*$AU107/100)*(FB107+lng_st_ab_losses)/1000000+co2_st_nl_cost*Storage!$U$12*co2_density/lng_density/1000000+(co2_st_opex_lev+co2_st_invest_lev+co2_st_e_demand*1000*$AU107/100)*Storage!$U$12/1000000+co2_st_invest_lev*Storage!$U$12*co2_st_lifetime*M107/1000000+Carriers!$AB$18/Carriers!$AB$23*((FB107+lng_st_ab_losses)/365.25*short_st_duration_hrs/24)*(h2_short_st_invest*(1/gh2_short_st_lifetime+$M107+h2_short_st_opex)+h2_short_st_e_demand*1000*$AU107/100)/1000000+Carriers!$AB$20/Carriers!$AB$23*((FB107+lng_st_ab_losses)/365.25*short_st_duration_hrs/24)*(co2_short_st_invest*(1/co2_short_st_lifetime+$M107+co2_short_st_opex)+co2_short_st_e_demand*1000*$AU107/100)/1000000</f>
        <v>5572.6735485221561</v>
      </c>
      <c r="FA107" s="63">
        <f>lng_st_nl_cost*lng_st_nl_demand/1000000+(lng_st_invest*(M107+1/lng_st_lifetime+lng_st_opex)/(Storage!$U$63/1000000)+lng_st_e_demand*1000*$AU107/100)*(FB107+lng_st_ab_losses)/1000000+Carriers!$AB$18/Carriers!$AB$23*((FB107+lng_st_ab_losses)/365.25*short_st_duration_hrs/24)*(h2_short_st_invest*(1/gh2_short_st_lifetime+$M107+h2_short_st_opex)+h2_short_st_e_demand*1000*$AU107/100)/1000000+Carriers!$AB$20/Carriers!$AB$23*((FB107+lng_st_ab_losses)/365.25*short_st_duration_hrs/24)*(co2_short_st_invest*(1/co2_short_st_lifetime+$M107+co2_short_st_opex)+co2_short_st_e_demand*1000*$AU107/100)/1000000</f>
        <v>4038.6523340290905</v>
      </c>
      <c r="FB107" s="63">
        <f>Storage!$U$57/((1-Shipping!$V$37)^($F107/24/Shipping!$V$44+0.5*Shipping!$V$59))</f>
        <v>40779977.26065401</v>
      </c>
      <c r="FC107" s="28">
        <f>IF($E107="","No Port",IF(G107="Panama","Ship cannot pass through Panama",((F107/24/Shipping!$V$44+F107/24/Shipping!$V$50+Shipping!$V$59+Shipping!$V$64)*(Shipping!$V$22+wacc_nl*Shipping!$V$19/365.25*1000000+Shipping!$V$35)+(F107/24/Shipping!$V$44*Shipping!$V$45+Shipping!$V$64*Shipping!$V$65)*IF(bunker_choice="HFO",$H107,IF(bunker_choice="hydrogen",$BD107*hfo_e_density_lhv/h2_e_density_lhv,(EX107+EZ107)*1000000/FB107*hfo_e_density_lhv/lng_e_density_lhv))+(F107/24/Shipping!$V$50*Shipping!$V$51+Shipping!$V$59*Shipping!$V$60)*IF(bunker_choice="HFO",bunker_price_ROT,IF(bunker_choice="hydrogen",$BD107*hfo_e_density_lhv/h2_e_density_lhv,(EX107+EZ107)*1000000/FB107*hfo_e_density_lhv/lng_e_density_lhv))+Shipping!$V$73+IF(G107="Panama",Shipping!$V$55,0)+IF(G107="Suez",Shipping!$V$56,0))/Shipping!$V$31*(FB107+lng_st_ab_losses)/1000000)+IF(inland_transport_to_port="hv dc grid",$BM107/100*1000*FE107,IF(inland_transport_to_port="pipeline",$BN107,0)))</f>
        <v>1211.0182131637832</v>
      </c>
      <c r="FD107" s="28">
        <f t="shared" si="136"/>
        <v>69351.207489672335</v>
      </c>
      <c r="FE107" s="29">
        <f>((Carriers!$AB$18/Carriers!$AB$23*alk_el_e_demand)+sng_e_demand+lng_e_demand)*(FB107+lng_st_ab_losses)/1000000+lng_st_e_demand*EZ107/1000000</f>
        <v>1093.7006420959842</v>
      </c>
      <c r="FF107" s="29">
        <f t="shared" si="164"/>
        <v>0.8126185861001558</v>
      </c>
      <c r="FG107" s="28">
        <f>IFERROR(FD107*1000000/Storage!$U$12,"")</f>
        <v>1708.8259041964004</v>
      </c>
      <c r="FH107" s="28">
        <f>IF($E107="","No Port",((F107/24/Shipping!$V$44+F107/24/Shipping!$V$50+Shipping!$V$59+Shipping!$V$64)*Carriers!$AB$39*wacc_nl))</f>
        <v>8.8124370782500314</v>
      </c>
      <c r="FI107" s="100">
        <f>H2_retrieval!$T$25*h2_demand_kt/1000+(co2_liq_e_demand+co2_st_e_demand*2)*Storage!$U$12*co2_density/lng_density/1000000</f>
        <v>236.51371749646054</v>
      </c>
      <c r="FJ107" s="28">
        <f>IFERROR((((EX107+EZ107+FC107)*(1+H2_retrieval!$T$34)+FH107)*1000000/H2_retrieval!$T$8)+h2_regen_lng,"")</f>
        <v>5643.3366186465046</v>
      </c>
      <c r="FK107" s="149">
        <f>(lh2_invest*(M107+1/lh2_lifetime)/lh2_prod+lh2_opex+lh2_e_demand*1000*$AU107/100+Carriers!$AD$18/Carriers!$AD$23*BD107)*(FM107+lh2_st_ab_losses)/1000000</f>
        <v>42473.324811329825</v>
      </c>
      <c r="FL107" s="28">
        <f>lh2_st_nl_cost*lh2_st_nl_demand/1000000+(lh2_st_invest*(M107+1/lh2_st_lifetime+lh2_st_opex)/(Storage!$Y$63/1000000)+lh2_st_e_demand*1000*$AU107/100)*(FM107+lh2_st_ab_losses)/1000000+((FM107+lh2_st_ab_losses)/365.25*short_st_duration_hrs/24)*(h2_short_st_invest*(1/gh2_short_st_lifetime+$M107+h2_short_st_opex)+h2_short_st_e_demand*1000*$AU107/100)/1000000</f>
        <v>47432.386650297187</v>
      </c>
      <c r="FM107" s="63">
        <f>Storage!$Y$57/((1-Shipping!$Z$37)^($F107/24/Shipping!$Z$44+0.5*Shipping!$Z$59))</f>
        <v>13699077.385819662</v>
      </c>
      <c r="FN107" s="28">
        <f>IF($E107="","No Port",IF(G107="Panama","Ship cannot pass through Panama",((F107/24/Shipping!$Z$44+F107/24/Shipping!$Z$50+Shipping!$Z$59+Shipping!$Z$64)*(Shipping!$Z$22+wacc_nl*Shipping!$Z$19/365.25*1000000+Shipping!$Z$35)+(F107/24/Shipping!$Z$44*Shipping!$Z$45+Shipping!$Z$64*Shipping!$Z$65)*IF(bunker_choice="HFO",$H107,IF(bunker_choice="hydrogen",$BD107*hfo_e_density_lhv/h2_e_density_lhv,(FK107+FL107)*1000000/FM107*hfo_e_density_lhv/lh2_e_density_lhv))+(F107/24/Shipping!$Z$50*Shipping!$Z$51+Shipping!$Z$59*Shipping!$Z$60)*IF(bunker_choice="HFO",bunker_price_ROT,IF(bunker_choice="hydrogen",$BD107*hfo_e_density_lhv/h2_e_density_lhv,(FK107+FL107)*1000000/FM107*hfo_e_density_lhv/lh2_e_density_lhv))+Shipping!$Z$73+IF(G107="Panama",Shipping!$Z$55,0)+IF(G107="Suez",Shipping!$Z$56,0))/Shipping!$Z$31*(FM107+lh2_st_ab_losses)/1000000)+IF(inland_transport_to_port="hv dc grid",$BM107/100*1000*FP107,IF(inland_transport_to_port="pipeline",$BN107,0)))</f>
        <v>1572.8547164525264</v>
      </c>
      <c r="FO107" s="28">
        <f t="shared" si="128"/>
        <v>91478.566178079534</v>
      </c>
      <c r="FP107" s="29">
        <f>((Carriers!$AD$18/Carriers!$AD$23*alk_el_e_demand)+lh2_e_demand)*(FM107+lh2_st_ab_losses)/1000000+lh2_st_e_demand*FM107/1000000</f>
        <v>793.86466146738758</v>
      </c>
      <c r="FQ107" s="100">
        <f t="shared" si="165"/>
        <v>1.361902463475859</v>
      </c>
      <c r="FR107" s="28">
        <f>IFERROR(FO107*1000000/Storage!$Y$12,"")</f>
        <v>6726.3651601529064</v>
      </c>
      <c r="FS107" s="100">
        <f>H2_retrieval!$V$25*h2_demand_kt/1000</f>
        <v>8.16</v>
      </c>
      <c r="FT107" s="28">
        <f>IFERROR(FR107*(1+H2_retrieval!$V$34)/Carrier_properties!$U$7+H2_retrieval!$V$38,"")</f>
        <v>6758.3338860213735</v>
      </c>
      <c r="FU107" s="12"/>
      <c r="FV107" s="24">
        <f t="shared" si="129"/>
        <v>3.4369187452891512</v>
      </c>
      <c r="FW107" s="24">
        <f t="shared" si="143"/>
        <v>3.1986040905668061</v>
      </c>
      <c r="FX107" s="24">
        <f t="shared" si="144"/>
        <v>5.1876361081583031</v>
      </c>
      <c r="FY107" s="24">
        <f t="shared" si="130"/>
        <v>3.1986040905668061</v>
      </c>
      <c r="FZ107" s="28">
        <f t="shared" si="145"/>
        <v>2259.2765074384984</v>
      </c>
      <c r="GA107" s="28">
        <f t="shared" si="137"/>
        <v>525.73730498355371</v>
      </c>
      <c r="GB107" s="28">
        <f t="shared" si="138"/>
        <v>377.31312960402255</v>
      </c>
      <c r="GC107" s="28">
        <f t="shared" si="139"/>
        <v>591.95706203868497</v>
      </c>
      <c r="GD107" s="28">
        <f t="shared" si="140"/>
        <v>865.92154289211885</v>
      </c>
      <c r="GE107" s="28">
        <f t="shared" si="141"/>
        <v>1518.3984683838466</v>
      </c>
      <c r="GF107" s="28">
        <f t="shared" si="142"/>
        <v>1571.887510695768</v>
      </c>
      <c r="GG107" s="12"/>
      <c r="GH107" s="12"/>
      <c r="GI107" s="12"/>
      <c r="GJ107" s="12"/>
      <c r="GK107" s="12"/>
      <c r="GL107" s="12"/>
      <c r="GM107" s="12"/>
      <c r="GN107" s="12"/>
      <c r="GO107" s="12"/>
      <c r="GP107" s="12"/>
      <c r="GQ107" s="12"/>
      <c r="GR107" s="12"/>
      <c r="GS107" s="12"/>
      <c r="GT107" s="12"/>
      <c r="GU107" s="12"/>
      <c r="GV107" s="12"/>
      <c r="GW107" s="12"/>
      <c r="GX107" s="12"/>
      <c r="GY107" s="12"/>
      <c r="GZ107" s="12"/>
      <c r="HA107" s="12"/>
      <c r="HB107" s="12"/>
      <c r="HC107" s="12"/>
      <c r="HD107" s="12"/>
      <c r="HE107" s="12"/>
      <c r="HF107" s="12"/>
    </row>
    <row r="108" spans="1:214" x14ac:dyDescent="0.2">
      <c r="A108" s="154" t="s">
        <v>111</v>
      </c>
      <c r="B108" s="12">
        <v>5485</v>
      </c>
      <c r="C108" s="12">
        <v>1</v>
      </c>
      <c r="D108" s="12">
        <f t="shared" si="111"/>
        <v>0</v>
      </c>
      <c r="E108" s="12" t="s">
        <v>765</v>
      </c>
      <c r="F108" s="12">
        <v>5866</v>
      </c>
      <c r="G108" s="12" t="s">
        <v>692</v>
      </c>
      <c r="H108" s="16">
        <f t="shared" si="166"/>
        <v>382.75862068965517</v>
      </c>
      <c r="I108" s="16">
        <v>309500</v>
      </c>
      <c r="J108" s="16">
        <f t="shared" si="113"/>
        <v>313.87403488323662</v>
      </c>
      <c r="K108" s="27">
        <f t="shared" si="114"/>
        <v>376.64884185988393</v>
      </c>
      <c r="L108" s="103">
        <v>8.7999999999999995E-2</v>
      </c>
      <c r="M108" s="103">
        <f t="shared" si="167"/>
        <v>0.10365975661683433</v>
      </c>
      <c r="N108" s="122">
        <f t="shared" si="116"/>
        <v>0.8</v>
      </c>
      <c r="O108" s="46">
        <f t="shared" si="168"/>
        <v>40</v>
      </c>
      <c r="P108" s="70">
        <f t="array" ref="P108">SUMPRODUCT(IF(Solar_data!A$4:A$777=A108,Solar_data!C$4:C$777),IF(Solar_data!A$4:A$777=A108,Solar_data!I$4:I$777))/SUMIF(Solar_data!A$4:A$777,A108,Solar_data!I$4:I$777)</f>
        <v>2351.8377562835803</v>
      </c>
      <c r="Q108" s="16">
        <f t="array" ref="Q108">MAX(IF(Solar_data!$A$777:'Solar_data'!$A$4=Country_details!$A108,Solar_data!$C$4:'Solar_data'!$C$777))</f>
        <v>2463.75</v>
      </c>
      <c r="R108" s="16">
        <f t="array" ref="R108">MIN(IF(Solar_data!$A$777:'Solar_data'!$A$4=Country_details!A108,Solar_data!$C$4:'Solar_data'!$C$777))</f>
        <v>2098.75</v>
      </c>
      <c r="S108" s="24">
        <f t="shared" si="149"/>
        <v>1.8783342958777625</v>
      </c>
      <c r="T108" s="24">
        <f t="shared" si="150"/>
        <v>1.7930137051111743</v>
      </c>
      <c r="U108" s="24">
        <f t="shared" si="151"/>
        <v>2.1048421755652917</v>
      </c>
      <c r="V108" s="16">
        <f t="array" ref="V108">SUM(IF(Solar_data!$A$777:'Solar_data'!$A$4=Country_details!$A108,Solar_data!$I$4:'Solar_data'!$I$777))</f>
        <v>2598.2119058586291</v>
      </c>
      <c r="W108" s="148"/>
      <c r="X108" s="16" t="str">
        <f>IFERROR(INDEX(Onshore_wind_data!$J$5:'Onshore_wind_data'!$J$221,MATCH(A108,Onshore_wind_data!$B$5:'Onshore_wind_data'!$B$221,0)),"")</f>
        <v/>
      </c>
      <c r="Y108" s="16" t="str">
        <f>IFERROR(INDEX(Onshore_wind_data!$K$5:'Onshore_wind_data'!$K$221,MATCH(A108,Onshore_wind_data!$B$5:'Onshore_wind_data'!$B$221,0)),"")</f>
        <v/>
      </c>
      <c r="Z108" s="16" t="str">
        <f>IFERROR(INDEX(Onshore_wind_data!$L$5:'Onshore_wind_data'!$L$221,MATCH(A108,Onshore_wind_data!$B$5:'Onshore_wind_data'!$B$221,0)),"")</f>
        <v/>
      </c>
      <c r="AA108" s="24" t="str">
        <f t="shared" si="169"/>
        <v/>
      </c>
      <c r="AB108" s="24" t="str">
        <f t="shared" si="170"/>
        <v/>
      </c>
      <c r="AC108" s="24" t="str">
        <f t="shared" si="171"/>
        <v/>
      </c>
      <c r="AD108" s="16">
        <f>IFERROR(INDEX(Onshore_wind_data!$I$5:'Onshore_wind_data'!$I$221,MATCH(A108,Onshore_wind_data!$B$5:'Onshore_wind_data'!$B$221,0)),"")</f>
        <v>0</v>
      </c>
      <c r="AE108" s="148"/>
      <c r="AF108" s="16">
        <f>INDEX(Offshore_wind_data!$AA$7:$AA$192,MATCH(Country_details!A108,Offshore_wind_data!$A$7:$A$192,0))</f>
        <v>3417.9155709342558</v>
      </c>
      <c r="AG108" s="16">
        <f>INDEX(Offshore_wind_data!$Y$7:$Y$192,MATCH(Country_details!A108,Offshore_wind_data!$A$7:$A$192,0))</f>
        <v>3854.4</v>
      </c>
      <c r="AH108" s="16">
        <f>INDEX(Offshore_wind_data!$Z$7:$Z$192,MATCH(Country_details!A108,Offshore_wind_data!$A$7:$A$192,0))</f>
        <v>3153.6</v>
      </c>
      <c r="AI108" s="24">
        <f t="shared" si="152"/>
        <v>7.1132143032167541</v>
      </c>
      <c r="AJ108" s="24">
        <f t="shared" si="153"/>
        <v>6.3076914503831487</v>
      </c>
      <c r="AK108" s="24">
        <f t="shared" si="154"/>
        <v>7.7094006615794033</v>
      </c>
      <c r="AL108" s="16">
        <f>INDEX(Offshore_wind_data!$W$7:$W$191,MATCH(A108,Offshore_wind_data!$A$7:$A$191,0))</f>
        <v>39.511103999999989</v>
      </c>
      <c r="AM108" s="148"/>
      <c r="AN108" s="12">
        <v>4.5999999999999996</v>
      </c>
      <c r="AO108" s="12">
        <v>6.8</v>
      </c>
      <c r="AP108" s="34">
        <f>6.232*11.63</f>
        <v>72.478160000000003</v>
      </c>
      <c r="AQ108" s="15">
        <f t="shared" si="155"/>
        <v>50</v>
      </c>
      <c r="AR108" s="12">
        <f t="shared" si="131"/>
        <v>340</v>
      </c>
      <c r="AS108" s="16">
        <f t="shared" si="121"/>
        <v>2297.7230098586292</v>
      </c>
      <c r="AT108" s="12"/>
      <c r="AU108" s="24">
        <f t="shared" si="147"/>
        <v>1.8783342958777625</v>
      </c>
      <c r="AV108" s="16">
        <f t="shared" si="148"/>
        <v>2351.8377562835803</v>
      </c>
      <c r="AW108" s="149">
        <f>HV_DC_Grid!$E$3/(1-AX108)*AU108/100*1000</f>
        <v>2121.74628874985</v>
      </c>
      <c r="AX108" s="31">
        <f>(1-(1-HV_DC_Grid!$E$25)^(B108*C108*HV_DC_Grid!$E$8/1000))+(1-(1-HV_DC_Grid!$E$26)^(B108*D108*HV_DC_Grid!$E$8/1000))+HV_DC_Grid!$E$35*HV_DC_Grid!$E$28</f>
        <v>0.11472247844274906</v>
      </c>
      <c r="AY108" s="28">
        <f>B108*nl_e_demand/IF(hv_dc_flh="electricity FLH",$AV108,hv_dc_custom)*1000*hv_dc_capacity_multiplier*hv_dc_length_multiplier*1000*(C108*hv_dc_overhead_invest*(hv_dc_overhead_opex+M108+1/hv_dc_lifetime)+D108*hv_dc_sea_invest*(hv_dc_sea_opex+M108+1/hv_dc_lifetime))/1000000+HV_DC_Grid!$E$10*1000*hv_dc_station_invest*hv_dc_station_number*(hv_dc_station_opex+M108+1/hv_dc_lifetime)/1000000</f>
        <v>4381.7592368972591</v>
      </c>
      <c r="AZ108" s="24">
        <f>(AW108+AY108)/(HV_DC_Grid!$E$3*1000)*100</f>
        <v>6.5035055256471104</v>
      </c>
      <c r="BA108" s="28">
        <f>MIN(((Carriers!$F$26+Carriers!$F$27)*(alk_el_opex+wacc_nl+1/alk_el_lifetime)+IF(hv_dc_flh="electricity FLH",$AV108,hv_dc_custom)*AZ108/100)/(IF(hv_dc_flh="electricity FLH",$AV108,hv_dc_custom)/alk_el_e_demand)*1000,((Carriers!$H$26+Carriers!$H$27)*(pem_el_opex+wacc_nl+1/pem_el_lifetime)+IF(hv_dc_flh="electricity FLH",$AV108,hv_dc_custom)*AZ108/100)/(IF(hv_dc_flh="electricity FLH",$AV108,hv_dc_custom)/pem_el_e_demand)*1000)</f>
        <v>3664.8971983920642</v>
      </c>
      <c r="BB108" s="12"/>
      <c r="BC108" s="12"/>
      <c r="BD108" s="149">
        <f>MIN(((Carriers!$F$26+Carriers!$F$27)*(alk_el_opex+M108+1/alk_el_lifetime)+$AV108*$AU108/100)/($AV108/alk_el_e_demand)*1000,((Carriers!$H$26+Carriers!$H$27)*(pem_el_opex+M108+1/pem_el_lifetime)+$AV108*$AU108/100)/($AV108/pem_el_e_demand)*1000)</f>
        <v>2241.5412239329521</v>
      </c>
      <c r="BE108" s="28">
        <f>Storage!$AC$50</f>
        <v>8.1664117557772418</v>
      </c>
      <c r="BF108" s="28">
        <f>((Pipeline!$D$22*Pipeline!$D$24*B108*(pipeline_opex+M108+1/pipeline_lifetime))*(Pipeline!$D$39/Pipeline!$D$3)+(Pipeline!$D$57*(pipeline_comp_opex+M108+1/pipeline_comp_lifetime)+Pipeline!$D$47*1000*Pipeline!$D$45*$AU108/100/1000000))*(Pipeline!$D$75/Pipeline!$D$45)</f>
        <v>10944.222119033455</v>
      </c>
      <c r="BG108" s="28">
        <f>BD108+(BE108+BF108)/Storage!$AC$12*1000000</f>
        <v>3046.8639100203955</v>
      </c>
      <c r="BH108" s="28"/>
      <c r="BI108" s="28"/>
      <c r="BJ108" s="28">
        <f>IF($E108="","No Port",BK108*HV_DC_Grid!$E$3*$AU108/100*1000)</f>
        <v>39.940199935247058</v>
      </c>
      <c r="BK108" s="31">
        <f>IFERROR((1-(1-HV_DC_Grid!$E$25)^(K108*HV_DC_Grid!$E$8/1000))+HV_DC_Grid!$E$35*HV_DC_Grid!$E$28,"")</f>
        <v>2.1263627045995367E-2</v>
      </c>
      <c r="BL108" s="28">
        <f>IFERROR(K108*nl_e_demand/IF(hv_dc_flh="electricity FLH",$AV108,hv_dc_custom)*1000*hv_dc_capacity_multiplier*hv_dc_length_multiplier*1000*(hv_dc_overhead_invest*(hv_dc_overhead_opex+M108+1/hv_dc_lifetime))/1000000+HV_DC_Grid!$E$10*1000*hv_dc_station_invest*hv_dc_station_number*(hv_dc_station_opex+M108+1/hv_dc_lifetime)/1000000,"")</f>
        <v>641.81523146780785</v>
      </c>
      <c r="BM108" s="29">
        <f>IFERROR((BJ108+BL108)/(HV_DC_Grid!$E$3*1000)*100,"")</f>
        <v>0.68175543140305495</v>
      </c>
      <c r="BN108" s="28">
        <f>IFERROR(((Pipeline!$D$22*Pipeline!$D$24*K108*(pipeline_opex+M108+1/pipeline_lifetime))*(Pipeline!$D$39/Pipeline!$D$3)+(Pipeline!$D$57*(pipeline_comp_opex+M108+1/pipeline_comp_lifetime)+Pipeline!$D$47*1000*Pipeline!$D$45*S108/100/1000000))*(Pipeline!$D$75/Pipeline!$D$45),"")</f>
        <v>811.19004877585701</v>
      </c>
      <c r="BO108" s="28"/>
      <c r="BP108" s="150">
        <f t="shared" si="172"/>
        <v>98.660716935744858</v>
      </c>
      <c r="BQ108" s="34">
        <f t="shared" si="173"/>
        <v>29.684679240919795</v>
      </c>
      <c r="BR108" s="151">
        <f>(nh3_invest*(M108+1/nh3_lifetime)/nh3_prod+nh3_opex+nh3_e_demand*1000*$AU108/100+Carriers!$N$18/Carriers!$N$23*BD108+Carriers!$N$19/Carriers!$N$23*BQ108)*(BT108+nh3_st_ab_losses)/1000000</f>
        <v>41777.461994951926</v>
      </c>
      <c r="BS108" s="63">
        <f>nh3_st_nl_cost*nh3_st_nl_demand/1000000+(nh3_st_invest*(M108+1/nh3_st_lifetime+nh3_st_opex)/(Storage!$G$63/1000000)+nh3_st_e_demand*1000*$AU108/100)*(BT108+nh3_st_ab_losses)/1000000+Carriers!$N$18/Carriers!$N$23*((BT108+nh3_st_ab_losses)/365.25*short_st_duration_hrs/24)*(h2_short_st_invest*(1/gh2_short_st_lifetime+$M108+h2_short_st_opex)+h2_short_st_e_demand*1000*$AU108/100)/1000000+Carriers!$N$19/Carriers!$N$23*((BT108+nh3_st_ab_losses)/365.25*short_st_duration_hrs/24)*(n2_short_st_invest*(1/n2_short_st_lifetime+$M108+n2_short_st_opex)+n2_short_st_e_demand*1000*$AU108/100)/1000000</f>
        <v>3192.554539148754</v>
      </c>
      <c r="BT108" s="63">
        <f>Storage!$G$57/((1-Shipping!$H$37)^(F108/24/Shipping!$H$44+0.5*Shipping!$H$59))</f>
        <v>79759767.08869943</v>
      </c>
      <c r="BU108" s="63">
        <f>IF($E108="","No Port",((F108/24/Shipping!$H$44+F108/24/Shipping!$H$50+Shipping!$H$59+Shipping!$H$64)*(Shipping!$H$22+wacc_nl*Shipping!$H$19/365.25*1000000+Shipping!$H$35)+(F108/24/Shipping!$H$44*Shipping!$H$45+Shipping!$H$64*Shipping!$H$65)*IF(bunker_choice="HFO",H108,IF(bunker_choice="hydrogen",BD108*hfo_e_density_lhv/h2_e_density_lhv,(BR108+BS108)*1000000/BT108*hfo_e_density_lhv/nh3_e_density_lhv))+(F108/24/Shipping!$H$50*Shipping!$H$51+Shipping!$H$59*Shipping!$H$60)*IF(bunker_choice="HFO",bunker_price_ROT,IF(bunker_choice="hydrogen",BD108*hfo_e_density_lhv/h2_e_density_lhv,(BR108+BS108)*1000000/BT108*hfo_e_density_lhv/nh3_e_density_lhv))+Shipping!$H$73+IF(G108="Panama",Shipping!$H$55,0)+IF(G108="Suez",Shipping!$H$56,0))/Shipping!$H$31*BT108/1000000+IF(inland_transport_to_port="hv dc grid",$BM108/100*1000*BW108,IF(inland_transport_to_port="pipeline",$BN108,0)))</f>
        <v>4843.894667480864</v>
      </c>
      <c r="BV108" s="63">
        <f t="shared" si="174"/>
        <v>49813.911201581541</v>
      </c>
      <c r="BW108" s="33">
        <f>((Carriers!$N$18/Carriers!$N$23*alk_el_e_demand)+(Carriers!$N$19/Carriers!$N$23*n2_e_demand)+nh3_e_demand)*(BT108+nh3_st_ab_losses)/1000000+nh3_st_e_demand*BT108/1000000</f>
        <v>787.64209581342857</v>
      </c>
      <c r="BX108" s="33">
        <f t="shared" si="156"/>
        <v>0.76626754477640768</v>
      </c>
      <c r="BY108" s="63">
        <f>IFERROR(BV108*1000000/Storage!$G$12,"")</f>
        <v>650.62674266771558</v>
      </c>
      <c r="BZ108" s="63">
        <f>H2_retrieval!$F$25*h2_demand_kt/1000</f>
        <v>80</v>
      </c>
      <c r="CA108" s="63">
        <f>IFERROR(BY108*(1+H2_retrieval!$F$34)/Carrier_properties!$E$7+H2_retrieval!$F$38,"")</f>
        <v>4072.0135679953196</v>
      </c>
      <c r="CB108" s="149">
        <f>(FA_invest*(M108+1/FA_lifetime)/FA_prod+FA_opex+FA_e_demand*1000*$AU108/100+Carriers!$P$18/Carriers!$P$23*BD108+Carriers!$P$20/Carriers!$P$23*co2_liq_cost)*(CF108+FA_st_ab_losses)/1000000</f>
        <v>82721.998461282856</v>
      </c>
      <c r="CC108" s="86">
        <f>(FA_invest*(M108+1/FA_lifetime)/FA_prod+FA_opex+FA_e_demand*1000*$AU108/100+Carriers!$P$18/Carriers!$P$23*BD108+Carriers!$P$20/Carriers!$P$23*BP108)*(CF108+FA_st_ab_losses)/1000000</f>
        <v>106276.03552524174</v>
      </c>
      <c r="CD108" s="63">
        <f>FA_st_nl_cost*FA_st_nl_demand/1000000+(FA_st_invest*(M108+1/FA_st_lifetime+FA_st_opex)/(Storage!$I$63/1000000)+FA_st_e_demand*1000*$AU108/100)*(CF108+FA_st_ab_losses)/1000000+co2_st_nl_cost*Storage!$I$12*co2_density/FA_density/1000000+(co2_st_opex_lev+co2_st_invest_lev+co2_st_e_demand*1000*$AU108/100)*Storage!$I$12/1000000+co2_st_invest_lev*Storage!$I$12*co2_st_lifetime*M108/1000000+Carriers!$P$18/Carriers!$P$23*((CF108+FA_st_ab_losses)/365.25*short_st_duration_hrs/24)*(h2_short_st_invest*(1/gh2_short_st_lifetime+$M108+h2_short_st_opex)+h2_short_st_e_demand*1000*$AU108/100)/1000000+Carriers!$P$20/Carriers!$P$23*((CF108+FA_st_ab_losses)/365.25*short_st_duration_hrs/24)*(co2_short_st_invest*(1/co2_short_st_lifetime+$M108+co2_short_st_opex)+co2_short_st_e_demand*1000*$AU108/100)/1000000</f>
        <v>10838.641042116293</v>
      </c>
      <c r="CE108" s="63">
        <f>FA_st_nl_cost*FA_st_nl_demand/1000000+(FA_st_invest*(M108+1/FA_st_lifetime+FA_st_opex)/(Storage!$I$63/1000000)+FA_st_e_demand*1000*$AU108/100)*(CF108+FA_st_ab_losses)/1000000+Carriers!$P$18/Carriers!$P$23*((CF108+FA_st_ab_losses)/365.25*short_st_duration_hrs/24)*(h2_short_st_invest*(1/gh2_short_st_lifetime+$M108+h2_short_st_opex)+h2_short_st_e_demand*1000*$AU108/100)/1000000+Carriers!$P$20/Carriers!$P$23*((CF108+FA_st_ab_losses)/365.25*short_st_duration_hrs/24)*(co2_short_st_invest*(1/co2_short_st_lifetime+$M108+co2_short_st_opex)+co2_short_st_e_demand*1000*$AU108/100)/1000000</f>
        <v>4712.7652873004618</v>
      </c>
      <c r="CF108" s="63">
        <f>Storage!$I$57/((1-Shipping!$J$37)^($F108/24/Shipping!$J$44+0.5*Shipping!$J$59))</f>
        <v>310425396.82539684</v>
      </c>
      <c r="CG108" s="28">
        <f>IF($E108="","No Port",((F108/24/Shipping!$J$44+F108/24/Shipping!$J$50+Shipping!$J$59+Shipping!$J$64)*(Shipping!$J$22+wacc_nl*Shipping!$J$19/365.25*1000000+Shipping!$J$35)+(F108/24/Shipping!$J$44*Shipping!$J$45+Shipping!$J$64*Shipping!$J$65)*IF(bunker_choice="HFO",$H108,IF(bunker_choice="hydrogen",$BD108*hfo_e_density_lhv/h2_e_density_lhv,(CB108+CD108)*1000000/CF108*hfo_e_density_lhv/FA_e_density_lhv))+(F108/24/Shipping!$J$50*Shipping!$J$51+Shipping!$J$59*Shipping!$J$60)*IF(bunker_choice="HFO",bunker_price_ROT,IF(bunker_choice="hydrogen",$BD108*hfo_e_density_lhv/h2_e_density_lhv,(CB108+CD108)*1000000/CF108*hfo_e_density_lhv/FA_e_density_lhv))+Shipping!$J$73+IF(G108="Panama",Shipping!$J$55,0)+IF(G108="Suez",Shipping!$J$56,0))/Shipping!$J$31*CF108/1000000+IF(inland_transport_to_port="hv dc grid",$BM108/100*1000*CI108,IF(inland_transport_to_port="pipeline",$BN108,0)))</f>
        <v>17814.896244441734</v>
      </c>
      <c r="CH108" s="28">
        <f t="shared" si="132"/>
        <v>128803.69705698392</v>
      </c>
      <c r="CI108" s="29">
        <f>((Carriers!$P$18/Carriers!$P$23*alk_el_e_demand)+FA_e_demand)*(CF108+FA_st_ab_losses)/1000000+FA_st_e_demand*CF108/1000000</f>
        <v>1897.8881241622576</v>
      </c>
      <c r="CJ108" s="29">
        <f t="shared" si="157"/>
        <v>0.46563809523809524</v>
      </c>
      <c r="CK108" s="28">
        <f>IFERROR(CH108*1000000/Storage!$I$12,"")</f>
        <v>414.92641508784601</v>
      </c>
      <c r="CL108" s="28">
        <f>IF($E108="","No Port",((F108/24/Shipping!$J$44+F108/24/Shipping!$J$50+Shipping!$J$59+Shipping!$J$64)*Carriers!$P$39*wacc_nl))</f>
        <v>287.86023206942968</v>
      </c>
      <c r="CM108" s="29">
        <f>H2_retrieval!$H$25*h2_demand_kt/1000+(co2_liq_e_demand+co2_st_e_demand*2)*Storage!$I$12*co2_density/FA_density/1000000</f>
        <v>94.204253879484654</v>
      </c>
      <c r="CN108" s="28">
        <f>IFERROR((((CB108+CD108+CG108)*(1+H2_retrieval!$H$34)+CL108)*1000000/H2_retrieval!$H$8)+h2_regen_fa,"")</f>
        <v>8300.2311898191856</v>
      </c>
      <c r="CO108" s="149">
        <f>(meoh_invest*(M108+1/meoh_lifetime)/meoh_prod+meoh_opex+meoh_e_demand*1000*$AU108/100+Carriers!$R$18/Carriers!$R$23*BD108+Carriers!$R$20/Carriers!$R$23*co2_liq_cost)*(CS108+meoh_st_ab_losses)/1000000</f>
        <v>49411.913588051473</v>
      </c>
      <c r="CP108" s="86">
        <f>(meoh_invest*(M108+1/meoh_lifetime)/meoh_prod+meoh_opex+meoh_e_demand*1000*$AU108/100+Carriers!$R$18/Carriers!$R$23*BD108+Carriers!$R$20/Carriers!$R$23*BP108)*(CS108+meoh_st_ab_losses)/1000000</f>
        <v>63238.860500974857</v>
      </c>
      <c r="CQ108" s="63">
        <f>meoh_st_nl_cost*meoh_st_nl_demand/1000000+(meoh_st_invest*(M108+1/meoh_st_lifetime+meoh_st_opex)/(Storage!$K$63/1000000)+meoh_st_e_demand*1000*$AU108/100)*(CS108+meoh_st_ab_losses)/1000000+co2_st_nl_cost*Storage!$K$12*co2_density/meoh_density/1000000+(co2_st_opex_lev+co2_st_invest_lev+co2_st_e_demand*1000*IFERROR(MIN(S108,AA108,AI108),S108)/100)*Storage!$K$12/1000000+co2_st_invest_lev*Storage!$K$12*co2_st_lifetime*M108/1000000+Carriers!$R$18/Carriers!$R$23*((CS108+meoh_st_ab_losses)/365.25*short_st_duration_hrs/24)*(h2_short_st_invest*(1/gh2_short_st_lifetime+$M108+h2_short_st_opex)+h2_short_st_e_demand*1000*$AU108/100)/1000000+Carriers!$R$20/Carriers!$R$23*((CF108+meoh_st_ab_losses)/365.25*short_st_duration_hrs/24)*(co2_short_st_invest*(1/co2_short_st_lifetime+$M108+co2_short_st_opex)+co2_short_st_e_demand*1000*$AU108/100)/1000000</f>
        <v>4563.9157084949684</v>
      </c>
      <c r="CR108" s="63">
        <f>meoh_st_nl_cost*meoh_st_nl_demand/1000000+(meoh_st_invest*(M108+1/meoh_st_lifetime+meoh_st_opex)/(Storage!$K$63/1000000)+meoh_st_e_demand*1000*$AU108/100)*(CS108+meoh_st_ab_losses)/1000000+Carriers!$R$18/Carriers!$R$23*((CS108+meoh_st_ab_losses)/365.25*short_st_duration_hrs/24)*(h2_short_st_invest*(1/gh2_short_st_lifetime+$M108+h2_short_st_opex)+h2_short_st_e_demand*1000*$AU108/100)/1000000+Carriers!$R$20/Carriers!$R$23*((CF108+meoh_st_ab_losses)/365.25*short_st_duration_hrs/24)*(co2_short_st_invest*(1/co2_short_st_lifetime+$M108+co2_short_st_opex)+co2_short_st_e_demand*1000*$AU108/100)/1000000</f>
        <v>1832.7897480187239</v>
      </c>
      <c r="CS108" s="63">
        <f>Storage!$K$57/((1-Shipping!$L$37)^($F108/24/Shipping!$L$44+0.5*Shipping!$L$59))</f>
        <v>108044444.44444443</v>
      </c>
      <c r="CT108" s="28">
        <f>IF($E108="","No Port",IF(AND(ship_choice="VLCC",G108="Panama"),"Ship cannot pass through Panama",IF(ship_choice="VLCC",((F108/24/Shipping!$AD$44+F108/24/Shipping!$AD$50+Shipping!$AD$59+Shipping!$AD$64)*(Shipping!$AD$22+wacc_nl*Shipping!$AD$19/365.25*1000000+Shipping!$AD$35)+(F108/24/Shipping!$AD$44*Shipping!$AD$45+Shipping!$AD$64*Shipping!$AD$65)*IF(bunker_choice="HFO",$H108,IF(bunker_choice="hydrogen",$BD108*hfo_e_density_lhv/h2_e_density_lhv,(CO108+CQ108)*1000000/CS108*hfo_e_density_lhv/meoh_e_density_lhv))+(F108/24/Shipping!$AD$50*Shipping!$AD$51+Shipping!$AD$59*Shipping!$AD$60)*IF(bunker_choice="HFO",bunker_price_ROT,IF(bunker_choice="hydrogen",$BD108*hfo_e_density_lhv/h2_e_density_lhv,(CO108+CQ108)*1000000/CS108*hfo_e_density_lhv/meoh_e_density_lhv))+Shipping!$AD$73+IF(G108="Panama",Shipping!$AD$55,0)+IF(G108="Suez",Shipping!$AD$56,0))/Shipping!$AD$31*CS108/1000000+IF(inland_transport_to_port="hv dc grid",$BM108/100*1000*CV108,IF(inland_transport_to_port="pipeline",$BN108,0)),((F108/24/Shipping!$L$44+F108/24/Shipping!$L$50+Shipping!$L$59+Shipping!$L$64)*(Shipping!$L$22+wacc_nl*Shipping!$L$19/365.25*1000000+Shipping!$L$35)+(F108/24/Shipping!$L$44*Shipping!$L$45+Shipping!$L$64*Shipping!$L$65)*IF(bunker_choice="HFO",$H108,IF(bunker_choice="hydrogen",$BD108*hfo_e_density_lhv/h2_e_density_lhv,(CO108+CQ108)*1000000/CS108*hfo_e_density_lhv/meoh_e_density_lhv))+(F108/24/Shipping!$L$50*Shipping!$L$51+Shipping!$L$59*Shipping!$L$60)*IF(bunker_choice="HFO",bunker_price_ROT,IF(bunker_choice="hydrogen",$BD108*hfo_e_density_lhv/h2_e_density_lhv,(CO108+CQ108)*1000000/CS108*hfo_e_density_lhv/meoh_e_density_lhv))+Shipping!$L$73+IF(G108="Panama",Shipping!$L$55,0)+IF(G108="Suez",Shipping!$L$56,0))/Shipping!$L$31*CS108/1000000+IF(inland_transport_to_port="hv dc grid",$BM108/100*1000*CV108,IF(inland_transport_to_port="pipeline",$BN108,0)))))</f>
        <v>6465.1576236798082</v>
      </c>
      <c r="CU108" s="28">
        <f t="shared" si="133"/>
        <v>71536.807872673395</v>
      </c>
      <c r="CV108" s="29">
        <f>((Carriers!$R$18/Carriers!$R$23*alk_el_e_demand)+meoh_e_demand)*(CS108+meoh_st_ab_losses)/1000000+meoh_st_e_demand*CS108/1000000</f>
        <v>1119.9789871111109</v>
      </c>
      <c r="CW108" s="29">
        <f t="shared" si="158"/>
        <v>0.16206666666666666</v>
      </c>
      <c r="CX108" s="28">
        <f>IFERROR(CU108*1000000/Storage!$K$12,"")</f>
        <v>662.10537932338616</v>
      </c>
      <c r="CY108" s="28">
        <f>IF($E108="","No Port",((F108/24/Shipping!$L$44+F108/24/Shipping!$L$50+Shipping!$L$59+Shipping!$L$64)*Carriers!$R$39*wacc_nl))</f>
        <v>103.10824437134281</v>
      </c>
      <c r="CZ108" s="29">
        <f>H2_retrieval!$J$25*h2_demand_kt/1000+(co2_liq_e_demand+co2_st_e_demand*2)*Storage!$K$12*co2_density/meoh_density/1000000</f>
        <v>251.05079059698966</v>
      </c>
      <c r="DA108" s="28">
        <f>IFERROR((((CO108+CQ108+CT108)*(1+H2_retrieval!$J$34)+CY108)*1000000/H2_retrieval!$J$8)+h2_regen_meoh,"")</f>
        <v>5621.9002464753512</v>
      </c>
      <c r="DB108" s="149">
        <f>(DBT_invest*(M108+1/DBT_lifetime)/DBT_prod+DBT_opex+DBT_e_demand*1000*$AU108/100+Carriers!$T$18/Carriers!$T$23*BD108)*(DD108+DBT_st_ab_losses)/1000000</f>
        <v>33474.125405886116</v>
      </c>
      <c r="DC108" s="28">
        <f>2*(DBT_st_nl_cost*DBT_st_nl_demand/1000000+(DBT_st_invest*(M108+1/DBT_st_lifetime+DBT_st_opex)/(Storage!$M$63/1000000)+DBT_st_e_demand*1000*$AU108/100)*(DD108+DBT_st_ab_losses)/1000000)+Carriers!$T$18/Carriers!$T$23*((DD108+DBT_st_ab_losses)/365.25*short_st_duration_hrs/24)*(h2_short_st_invest*(1/gh2_short_st_lifetime+$M108+h2_short_st_opex)+h2_short_st_e_demand*1000*$AU108/100)/1000000</f>
        <v>3834.1476449033034</v>
      </c>
      <c r="DD108" s="63">
        <f>Storage!$M$57/((1-Shipping!$N$37)^($F108/24/Shipping!$N$44+0.5*Shipping!$N$59))</f>
        <v>219354838.70967743</v>
      </c>
      <c r="DE108" s="28">
        <f>IF($E108="","No Port",IF(AND(ship_choice="VLCC",G108="Panama"),"Ship cannot pass through Panama",IF(ship_choice="VLCC",((F108/24/Shipping!$AD$44+F108/24/Shipping!$AD$50+Shipping!$AD$59+Shipping!$AD$64)*(Shipping!$AD$22+wacc_nl*Shipping!$AD$19/365.25*1000000+Shipping!$AD$35)+(F108/24/Shipping!$AD$44*Shipping!$AD$45+Shipping!$AD$64*Shipping!$AD$65)*IF(bunker_choice="HFO",$H108,IF(bunker_choice="hydrogen",$BD108*hfo_e_density_lhv/h2_e_density_lhv,(DB108+DC108)*1000000/DD108*hfo_e_density_lhv/DBT_e_density_lhv))+(F108/24/Shipping!$AD$50*Shipping!$AD$51+Shipping!$AD$59*Shipping!$AD$60)*IF(bunker_choice="HFO",bunker_price_ROT,IF(bunker_choice="hydrogen",$BD108*hfo_e_density_lhv/h2_e_density_lhv,(DB108+DC108)*1000000/DD108*hfo_e_density_lhv/DBT_e_density_lhv))+Shipping!$AD$73+IF(G108="Panama",Shipping!$AD$55,0)+IF(G108="Suez",Shipping!$AD$56,0))/Shipping!$AD$31*DD108/1000000+IF(inland_transport_to_port="hv dc grid",$BM108/100*1000*DG108,IF(inland_transport_to_port="pipeline",$BN108,0)),((F108/24/Shipping!$N$44+F108/24/Shipping!$N$50+Shipping!$N$59+Shipping!$N$64)*(Shipping!$N$22+wacc_nl*Shipping!$N$19/365.25*1000000+Shipping!$N$35)+(F108/24/Shipping!$N$44*Shipping!$N$45+Shipping!$N$64*Shipping!$N$65)*IF(bunker_choice="HFO",$H108,IF(bunker_choice="hydrogen",$BD108*hfo_e_density_lhv/h2_e_density_lhv,(DB108+DC108)*1000000/DD108*hfo_e_density_lhv/DBT_e_density_lhv))+(F108/24/Shipping!$N$50*Shipping!$N$51+Shipping!$N$59*Shipping!$N$60)*IF(bunker_choice="HFO",bunker_price_ROT,IF(bunker_choice="hydrogen",$BD108*hfo_e_density_lhv/h2_e_density_lhv,(DB108+DC108)*1000000/DD108*hfo_e_density_lhv/DBT_e_density_lhv))+Shipping!$N$73+IF(G108="Panama",Shipping!$N$55,0)+IF(G108="Suez",Shipping!$N$56,0))/Shipping!$N$31*Shipping!$N$86/1000000+IF(inland_transport_to_port="hv dc grid",$BM108/100*1000*DG108,IF(inland_transport_to_port="pipeline",$BN108,0)))))</f>
        <v>11411.11252509163</v>
      </c>
      <c r="DF108" s="28">
        <f t="shared" si="159"/>
        <v>48719.385575881046</v>
      </c>
      <c r="DG108" s="29">
        <f>((Carriers!$T$18/Carriers!$T$23*alk_el_e_demand)+DBT_e_demand)*(DD108+DBT_st_ab_losses)/1000000+DBT_st_e_demand*DD108/1000000</f>
        <v>703.88335483870969</v>
      </c>
      <c r="DH108" s="29">
        <f t="shared" si="160"/>
        <v>0.21935483870967742</v>
      </c>
      <c r="DI108" s="28">
        <f>IFERROR(DF108*1000000/Storage!$M$12,"")</f>
        <v>222.10308130181062</v>
      </c>
      <c r="DJ108" s="28">
        <f>IF($E108="","No Port",((F108/24/Shipping!$N$44+F108/24/Shipping!$N$50+Shipping!$N$59+Shipping!$N$64)*Carriers!$T$39*wacc_nl))</f>
        <v>7509.7122121559596</v>
      </c>
      <c r="DK108" s="100">
        <f>H2_retrieval!$L$25*h2_demand_kt/1000+(co2_liq_e_demand+co2_st_e_demand*2)*Storage!$M$12*co2_density/DBT_density/1000000</f>
        <v>206.61934861671787</v>
      </c>
      <c r="DL108" s="28">
        <f>IFERROR(((DF108*(1+H2_retrieval!$L$34)+DJ108)*1000000/H2_retrieval!$L$8)+h2_regen_lohc,"")</f>
        <v>4605.1422650532804</v>
      </c>
      <c r="DM108" s="149">
        <f t="shared" si="175"/>
        <v>41982.95757524795</v>
      </c>
      <c r="DN108" s="16">
        <f>2*(nabh4_st_nl_cost*nabh4_st_nl_demand/1000000+(nabh4_st_invest*(M108+1/nabh4_st_lifetime+nabh4_st_opex)/(Storage!$O$63/1000000)+nabh4_st_e_demand*1000*$AU108/100)*(DO108+nabh4_st_ab_losses)/1000000)+(h2_demand_kt*1000/365.25*short_st_duration_hrs/24)*(h2_short_st_invest*(1/gh2_short_st_lifetime+$M108+h2_short_st_opex)+h2_short_st_e_demand*1000*$AU108/100)/1000000</f>
        <v>1270.4227398637904</v>
      </c>
      <c r="DO108" s="63">
        <f>Storage!$O$57/((1-Shipping!$P$37)^($F108/24/Shipping!$P$44+0.5*Shipping!$P$59))</f>
        <v>63920000</v>
      </c>
      <c r="DP108" s="16">
        <f>IF($E108="","No Port",((F108/24/Shipping!$P$44+F108/24/Shipping!$P$50+Shipping!$P$59+Shipping!$P$64)*(Shipping!$P$22+wacc_nl*Shipping!$P$19/365.25*1000000+Shipping!$P$35)+(F108/24/Shipping!$P$44*Shipping!$P$45+Shipping!$P$64*Shipping!$P$65)*IF(bunker_choice="HFO",$H108,IF(bunker_choice="hydrogen",$BD108*hfo_e_density_lhv/h2_e_density_lhv,(DM108+DN108)*1000000/DO108*hfo_e_density_lhv/nabh4_e_density_lhv))+(F108/24/Shipping!$P$50*Shipping!$P$51+Shipping!$P$59*Shipping!$P$60)*IF(bunker_choice="HFO",bunker_price_ROT,IF(bunker_choice="hydrogen",$BD108*hfo_e_density_lhv/h2_e_density_lhv,(DM108+DN108)*1000000/DO108*hfo_e_density_lhv/nabh4_e_density_lhv))+Shipping!$P$73+IF(G108="Panama",Shipping!$P$55,0)+IF(G108="Suez",Shipping!$P$56,0))/Shipping!$P$31*(DO108+nabh4_st_ab_losses)/1000000+IF(inland_transport_to_port="hv dc grid",$BM108/100*1000*DR108,IF(inland_transport_to_port="pipeline",$BN108,0)))</f>
        <v>3304.3854223526819</v>
      </c>
      <c r="DQ108" s="28">
        <f t="shared" si="146"/>
        <v>46557.765737464419</v>
      </c>
      <c r="DR108" s="29">
        <f>((Carriers!$V$18/Carriers!$V$23*alk_el_e_demand)+nabh4_e_demand)*(DO108+nabh4_st_ab_losses)/1000000+nabh4_st_e_demand*DO108/1000000</f>
        <v>980.02139682539689</v>
      </c>
      <c r="DS108" s="28">
        <f t="shared" si="161"/>
        <v>3.1960000000000002</v>
      </c>
      <c r="DT108" s="28">
        <f>IFERROR(DQ108*1000000/Storage!$O$12,"")</f>
        <v>728.37555909675245</v>
      </c>
      <c r="DU108" s="28">
        <f>IF($E108="","No Port",((F108/24/Shipping!$P$44+F108/24/Shipping!$P$50+Shipping!$P$59+Shipping!$P$64)*Carriers!$V$39*wacc_nl))</f>
        <v>694.67767043085792</v>
      </c>
      <c r="DV108" s="100">
        <f>H2_retrieval!$N$25*h2_demand_kt/1000+(co2_liq_e_demand+co2_st_e_demand*2)*Storage!$O$12*co2_density/nabh4_density/1000000</f>
        <v>18.783638728971958</v>
      </c>
      <c r="DW108" s="28">
        <f>IFERROR(((DQ108*(1+H2_retrieval!$N$34)+DU108)*1000000/H2_retrieval!$N$8)+h2_regen_nabh4,"")</f>
        <v>3549.7858812333275</v>
      </c>
      <c r="DX108" s="149">
        <f>(Dme_invest*(M108+1/Dme_lifetime)/Dme_prod+Dme_opex+Dme_e_demand*1000*$AU108/100+Carriers!$X$21/Carriers!$X$23*(CO108*1000000/CS108))*(EB108+Dme_st_ab_losses)/1000000</f>
        <v>69696.910637529261</v>
      </c>
      <c r="DY108" s="86">
        <f>(Dme_invest*(M108+1/Dme_lifetime)/Dme_prod+Dme_opex+Dme_e_demand*1000*$AU108/100+Carriers!$X$21/Carriers!$X$23*(CP108*1000000/CS108))*(EB108+Dme_st_ab_losses)/1000000</f>
        <v>88455.431909612671</v>
      </c>
      <c r="DZ108" s="63">
        <f>Dme_st_nl_cost*Dme_st_nl_demand/1000000+(Dme_st_invest*(M108+1/Dme_st_lifetime+Dme_st_opex)/(Storage!$Q$63/1000000)+Dme_st_e_demand*1000*$AU108/100)*(EB108+Dme_st_ab_losses)/1000000+co2_st_nl_cost*Storage!$Q$12*co2_density/Dme_density/1000000+(co2_st_opex_lev+co2_st_invest_lev+co2_st_e_demand*1000*$AU108/100)*Storage!$Q$12/1000000+co2_st_invest_lev*Storage!$Q$12*co2_st_lifetime*M108/1000000+(h2_demand_kt*1000/365.25*short_st_duration_hrs/24)*(h2_short_st_invest*(1/gh2_short_st_lifetime+$M108+h2_short_st_opex)+h2_short_st_e_demand*1000*$AU108/100)/1000000</f>
        <v>5526.2441504003909</v>
      </c>
      <c r="EA108" s="63">
        <f>Dme_st_nl_cost*Dme_st_nl_demand/1000000+(Dme_st_invest*(M108+1/Dme_st_lifetime+Dme_st_opex)/(Storage!$Q$63/1000000)+Dme_st_e_demand*1000*$AU108/100)*(EB108+Dme_st_ab_losses)/1000000+(h2_demand_kt*1000/365.25*short_st_duration_hrs/24)*(h2_short_st_invest*(1/gh2_short_st_lifetime+$M108+h2_short_st_opex)+h2_short_st_e_demand*1000*$AU108/100)/1000000</f>
        <v>2781.9007267386605</v>
      </c>
      <c r="EB108" s="63">
        <f>Storage!$Q$57/((1-Shipping!$R$37)^($F108/24/Shipping!$R$44+0.5*Shipping!$R$59))</f>
        <v>103547089.94708996</v>
      </c>
      <c r="EC108" s="153">
        <f>IF($E108="","No Port",IF(AND(ship_choice="VLCC",G108="Panama"),"Ship cannot pass through Panama",IF(ship_choice="VLCC",((F108/24/Shipping!$AD$44+F108/24/Shipping!$AD$50+Shipping!$AD$59+Shipping!$AD$64)*(Shipping!$AD$22+wacc_nl*Shipping!$AD$19/365.25*1000000+Shipping!$AD$35)+(F108/24/Shipping!$AD$44*Shipping!$AD$45+Shipping!$AD$64*Shipping!$AD$65)*IF(bunker_choice="HFO",$H108,IF(bunker_choice="hydrogen",$BD108*hfo_e_density_lhv/h2_e_density_lhv,(DX108+DZ108)*1000000/EB108*hfo_e_density_lhv/Dme_e_density_lhv))+(F108/24/Shipping!$AD$50*Shipping!$AD$51+Shipping!$AD$59*Shipping!$AD$60)*IF(bunker_choice="HFO",bunker_price_ROT,IF(bunker_choice="hydrogen",$BD108*hfo_e_density_lhv/h2_e_density_lhv,(DX108+DZ108)*1000000/EB108*hfo_e_density_lhv/Dme_e_density_lhv))+Shipping!$AD$73+IF(G108="Panama",Shipping!$AD$55,0)+IF(G108="Suez",Shipping!$AD$56,0))/Shipping!$AD$31*(EB108+Dme_st_ab_losses)/1000000+IF(inland_transport_to_port="hv dc grid",$BM108/100*1000*EE108,IF(inland_transport_to_port="pipeline",$BN108,0)),((F108/24/Shipping!$R$44+F108/24/Shipping!$R$50+Shipping!$R$59+Shipping!$R$64)*(Shipping!$R$22+wacc_nl*Shipping!$R$19/365.25*1000000+Shipping!$R$35)+(F108/24/Shipping!$R$44*Shipping!$R$45+Shipping!$R$64*Shipping!$R$65)*IF(bunker_choice="HFO",$H108,IF(bunker_choice="hydrogen",$BD108*hfo_e_density_lhv/h2_e_density_lhv,(DX108+DZ108)*1000000/EB108*hfo_e_density_lhv/Dme_e_density_lhv))+(F108/24/Shipping!$R$50*Shipping!$R$51+Shipping!$R$59*Shipping!$R$60)*IF(bunker_choice="HFO",bunker_price_ROT,IF(bunker_choice="hydrogen",$BD108*hfo_e_density_lhv/h2_e_density_lhv,(DX108+DZ108)*1000000/EB108*hfo_e_density_lhv/Dme_e_density_lhv))+Shipping!$R$73+IF(G108="Panama",Shipping!$R$55,0)+IF(G108="Suez",Shipping!$R$56,0))/Shipping!$R$31*(EB108+Dme_st_ab_losses)/1000000+IF(inland_transport_to_port="hv dc grid",$BM108/100*1000*EE108,IF(inland_transport_to_port="pipeline",$BN108,0)))))</f>
        <v>6521.021737357044</v>
      </c>
      <c r="ED108" s="28">
        <f t="shared" si="134"/>
        <v>97758.354373708382</v>
      </c>
      <c r="EE108" s="29">
        <f>(Dme_e_demand)*(EB108+Dme_st_ab_losses)/1000000+Dme_st_e_demand*DZ108/1000000+$CV108*(Carriers!$X$21/Carriers!$X$23*EB108)/$CS108</f>
        <v>1550.2168154294973</v>
      </c>
      <c r="EF108" s="29">
        <f t="shared" si="162"/>
        <v>1.0354708994708997</v>
      </c>
      <c r="EG108" s="28">
        <f>IFERROR(ED108*1000000/Storage!$Q$12,"")</f>
        <v>944.09562280949206</v>
      </c>
      <c r="EH108" s="28">
        <f>IF($E108="","No Port",((F108/24/Shipping!$R$44+F108/24/Shipping!$R$50+Shipping!$R$59+Shipping!$R$64)*Carriers!$X$39*wacc_nl))</f>
        <v>107.16410577334825</v>
      </c>
      <c r="EI108" s="100">
        <f>H2_retrieval!$P$25*h2_demand_kt/1000+(co2_liq_e_demand+co2_st_e_demand*2)*Storage!$Q$12*co2_density/Dme_density/1000000</f>
        <v>252.45335899349112</v>
      </c>
      <c r="EJ108" s="28">
        <f>IFERROR((((DX108+DZ108+EC108)*(1+H2_retrieval!$P$34)+EH108)*1000000/H2_retrieval!$P$8)+h2_regen_dme,"")</f>
        <v>7188.6094719505318</v>
      </c>
      <c r="EK108" s="149">
        <f>(ome_invest*(M108+1/ome_lifetime)/ome_prod+ome_opex+ome_e_demand*1000*$AU108/100+Carriers!$Z$21/Carriers!$Z$23*(CO108*1000000/CS108))*(EO108+ome_st_ab_losses)/1000000</f>
        <v>151947.0095913446</v>
      </c>
      <c r="EL108" s="86">
        <f>(ome_invest*(M108+1/ome_lifetime)/ome_prod+ome_opex+ome_e_demand*1000*$AU108/100+Carriers!$Z$21/Carriers!$Z$23*(CP108*1000000/CS108))*(EO108+ome_st_ab_losses)/1000000</f>
        <v>191324.79733210005</v>
      </c>
      <c r="EM108" s="63">
        <f>ome_st_nl_cost*ome_st_nl_demand/1000000+(ome_st_invest*(M108+1/ome_st_lifetime+ome_st_opex)/(Storage!$S$63/1000000)+ome_st_e_demand*1000*$AU108/100)*(EO108+ome_st_ab_losses)/1000000+co2_st_nl_cost*Storage!$S$12*co2_density/ome_density/1000000+(co2_st_opex_lev+co2_st_invest_lev+co2_st_e_demand*1000*$AU108/100)*Storage!$S$12/1000000+co2_st_invest_lev*Storage!$S$12*co2_st_lifetime*M108/1000000+(h2_demand_kt*1000/365.25*short_st_duration_hrs/24)*(h2_short_st_invest*(1/gh2_short_st_lifetime+$M108+h2_short_st_opex)+h2_short_st_e_demand*1000*$AU108/100)/1000000</f>
        <v>4722.5783262736322</v>
      </c>
      <c r="EN108" s="63">
        <f>ome_st_nl_cost*ome_st_nl_demand/1000000+(ome_st_invest*(M108+1/ome_st_lifetime+ome_st_opex)/(Storage!$S$63/1000000)+ome_st_e_demand*1000*$AU108/100)*(EO108+ome_st_ab_losses)/1000000+(h2_demand_kt*1000/365.25*short_st_duration_hrs/24)*(h2_short_st_invest*(1/gh2_short_st_lifetime+$M108+h2_short_st_opex)+h2_short_st_e_demand*1000*$AU108/100)/1000000</f>
        <v>1661.6307797162608</v>
      </c>
      <c r="EO108" s="63">
        <f>Storage!$S$57/((1-Shipping!$T$37)^($F108/24/Shipping!$T$44+0.5*Shipping!$T$59))</f>
        <v>128282539.68253967</v>
      </c>
      <c r="EP108" s="28">
        <f>IF($E108="","No Port",IF(AND(ship_choice="VLCC",G108="Panama"),"Ship cannot pass through Panama",IF(ship_choice="VLCC",((F108/24/Shipping!$AD$44+F108/24/Shipping!$AD$50+Shipping!$AD$59+Shipping!$AD$64)*(Shipping!$AD$22+wacc_nl*Shipping!$AD$19/365.25*1000000+Shipping!$AD$35)+(F108/24/Shipping!$AD$44*Shipping!$AD$45+Shipping!$AD$64*Shipping!$AD$65)*IF(bunker_choice="HFO",$H108,IF(bunker_choice="hydrogen",$BD108*hfo_e_density_lhv/h2_e_density_lhv,(EK108+EM108)*1000000/EO108*hfo_e_density_lhv/Dme_e_density_lhv))+(F108/24/Shipping!$AD$50*Shipping!$AD$51+Shipping!$AD$59*Shipping!$AD$60)*IF(bunker_choice="HFO",bunker_price_ROT,IF(bunker_choice="hydrogen",$BD108*hfo_e_density_lhv/h2_e_density_lhv,(EK108+EM108)*1000000/EO108*hfo_e_density_lhv/ome_e_density_lhv))+Shipping!$AD$73+IF(G108="Panama",Shipping!$AD$55,0)+IF(G108="Suez",Shipping!$AD$56,0))/Shipping!$AD$31*(EO108+ome_st_ab_losses)/1000000+IF(inland_transport_to_port="hv dc grid",$BM108/100*1000*ER108,IF(inland_transport_to_port="pipeline",$BN108,0)),((F108/24/Shipping!$T$44+F108/24/Shipping!$T$50+Shipping!$T$59+Shipping!$T$64)*(Shipping!$T$22+wacc_nl*Shipping!$T$19/365.25*1000000+Shipping!$T$35)+(F108/24/Shipping!$T$44*Shipping!$T$45+Shipping!$T$64*Shipping!$T$65)*IF(bunker_choice="HFO",$H108,IF(bunker_choice="hydrogen",$BD108*hfo_e_density_lhv/h2_e_density_lhv,(EK108+EM108)*1000000/EO108*hfo_e_density_lhv/Dme_e_density_lhv))+(F108/24/Shipping!$T$50*Shipping!$T$51+Shipping!$T$59*Shipping!$T$60)*IF(bunker_choice="HFO",bunker_price_ROT,IF(bunker_choice="hydrogen",$BD108*hfo_e_density_lhv/h2_e_density_lhv,(EK108+EM108)*1000000/EO108*hfo_e_density_lhv/ome_e_density_lhv))+Shipping!$T$73+IF(G108="Panama",Shipping!$T$55,0)+IF(G108="Suez",Shipping!$T$56,0))/Shipping!$T$31*(EO108+ome_st_ab_losses)/1000000+IF(inland_transport_to_port="hv dc grid",$BM108/100*1000*ER108,IF(inland_transport_to_port="pipeline",$BN108,0)))))</f>
        <v>7122.5411902780388</v>
      </c>
      <c r="EQ108" s="28">
        <f t="shared" si="135"/>
        <v>200108.96930209437</v>
      </c>
      <c r="ER108" s="29">
        <f>(ome_e_demand)*(EO108+ome_st_ab_losses)/1000000+ome_st_e_demand*EM108/1000000+$CV108*(Carriers!$Z$21/Carriers!$Z$23*EO108)/$CS108</f>
        <v>3352.0814572246509</v>
      </c>
      <c r="ES108" s="29">
        <f t="shared" si="163"/>
        <v>0.1924238095238095</v>
      </c>
      <c r="ET108" s="28">
        <f>IFERROR(EQ108*1000000/Storage!$S$12,"")</f>
        <v>1559.9080732054674</v>
      </c>
      <c r="EU108" s="28">
        <f>IF($E108="","No Port",((F108/24/Shipping!$T$44+F108/24/Shipping!$T$50+Shipping!$T$59+Shipping!$T$64)*Carriers!$Z$39*wacc_nl))</f>
        <v>122.42172670863228</v>
      </c>
      <c r="EV108" s="100">
        <f>H2_retrieval!$R$25*h2_demand_kt/1000+(co2_liq_e_demand+co2_st_e_demand*2)*Storage!$S$12*co2_density/ome_density/1000000</f>
        <v>254.51942895252085</v>
      </c>
      <c r="EW108" s="28">
        <f>IFERROR((((EK108+EM108+EP108)*(1+H2_retrieval!$R$34)+EU108)*1000000/H2_retrieval!$R$8)+h2_regen_ome,"")</f>
        <v>13222.669045740593</v>
      </c>
      <c r="EX108" s="149">
        <f>(sng_invest*(M108+1/sng_lifetime)/sng_prod+lng_invest*(M108+1/lng_lifetime)/lng_prod+sng_opex+lng_opex+(sng_e_demand+lng_e_demand)*1000*$AU108/100+Carriers!$AB$18/Carriers!$AB$23*BD108+Carriers!$AB$20/Carriers!$AB$23*co2_liq_cost)*(FB108+lng_st_ab_losses)/1000000</f>
        <v>54659.103841413591</v>
      </c>
      <c r="EY108" s="86">
        <f>(sng_invest*(M108+1/sng_lifetime)/sng_prod+lng_invest*(M108+1/lng_lifetime)/lng_prod+sng_opex+lng_opex+(sng_e_demand+lng_e_demand)*1000*$AU108/100+Carriers!$AB$18/Carriers!$AB$23*BD108+Carriers!$AB$20/Carriers!$AB$23*BP108)*(FB108+lng_st_ab_losses)/1000000</f>
        <v>65077.903497738502</v>
      </c>
      <c r="EZ108" s="63">
        <f>lng_st_nl_cost*lng_st_nl_demand/1000000+(lng_st_invest*(M108+1/lng_st_lifetime+lng_st_opex)/(Storage!$U$63/1000000)+lng_st_e_demand*1000*$AU108/100)*(FB108+lng_st_ab_losses)/1000000+co2_st_nl_cost*Storage!$U$12*co2_density/lng_density/1000000+(co2_st_opex_lev+co2_st_invest_lev+co2_st_e_demand*1000*$AU108/100)*Storage!$U$12/1000000+co2_st_invest_lev*Storage!$U$12*co2_st_lifetime*M108/1000000+Carriers!$AB$18/Carriers!$AB$23*((FB108+lng_st_ab_losses)/365.25*short_st_duration_hrs/24)*(h2_short_st_invest*(1/gh2_short_st_lifetime+$M108+h2_short_st_opex)+h2_short_st_e_demand*1000*$AU108/100)/1000000+Carriers!$AB$20/Carriers!$AB$23*((FB108+lng_st_ab_losses)/365.25*short_st_duration_hrs/24)*(co2_short_st_invest*(1/co2_short_st_lifetime+$M108+co2_short_st_opex)+co2_short_st_e_demand*1000*$AU108/100)/1000000</f>
        <v>5888.0722223452167</v>
      </c>
      <c r="FA108" s="63">
        <f>lng_st_nl_cost*lng_st_nl_demand/1000000+(lng_st_invest*(M108+1/lng_st_lifetime+lng_st_opex)/(Storage!$U$63/1000000)+lng_st_e_demand*1000*$AU108/100)*(FB108+lng_st_ab_losses)/1000000+Carriers!$AB$18/Carriers!$AB$23*((FB108+lng_st_ab_losses)/365.25*short_st_duration_hrs/24)*(h2_short_st_invest*(1/gh2_short_st_lifetime+$M108+h2_short_st_opex)+h2_short_st_e_demand*1000*$AU108/100)/1000000+Carriers!$AB$20/Carriers!$AB$23*((FB108+lng_st_ab_losses)/365.25*short_st_duration_hrs/24)*(co2_short_st_invest*(1/co2_short_st_lifetime+$M108+co2_short_st_opex)+co2_short_st_e_demand*1000*$AU108/100)/1000000</f>
        <v>4374.7690811097109</v>
      </c>
      <c r="FB108" s="63">
        <f>Storage!$U$57/((1-Shipping!$V$37)^($F108/24/Shipping!$V$44+0.5*Shipping!$V$59))</f>
        <v>41482716.166759253</v>
      </c>
      <c r="FC108" s="28">
        <f>IF($E108="","No Port",IF(G108="Panama","Ship cannot pass through Panama",((F108/24/Shipping!$V$44+F108/24/Shipping!$V$50+Shipping!$V$59+Shipping!$V$64)*(Shipping!$V$22+wacc_nl*Shipping!$V$19/365.25*1000000+Shipping!$V$35)+(F108/24/Shipping!$V$44*Shipping!$V$45+Shipping!$V$64*Shipping!$V$65)*IF(bunker_choice="HFO",$H108,IF(bunker_choice="hydrogen",$BD108*hfo_e_density_lhv/h2_e_density_lhv,(EX108+EZ108)*1000000/FB108*hfo_e_density_lhv/lng_e_density_lhv))+(F108/24/Shipping!$V$50*Shipping!$V$51+Shipping!$V$59*Shipping!$V$60)*IF(bunker_choice="HFO",bunker_price_ROT,IF(bunker_choice="hydrogen",$BD108*hfo_e_density_lhv/h2_e_density_lhv,(EX108+EZ108)*1000000/FB108*hfo_e_density_lhv/lng_e_density_lhv))+Shipping!$V$73+IF(G108="Panama",Shipping!$V$55,0)+IF(G108="Suez",Shipping!$V$56,0))/Shipping!$V$31*(FB108+lng_st_ab_losses)/1000000)+IF(inland_transport_to_port="hv dc grid",$BM108/100*1000*FE108,IF(inland_transport_to_port="pipeline",$BN108,0)))</f>
        <v>2866.397599220069</v>
      </c>
      <c r="FD108" s="28">
        <f t="shared" si="136"/>
        <v>72319.070178068287</v>
      </c>
      <c r="FE108" s="29">
        <f>((Carriers!$AB$18/Carriers!$AB$23*alk_el_e_demand)+sng_e_demand+lng_e_demand)*(FB108+lng_st_ab_losses)/1000000+lng_st_e_demand*EZ108/1000000</f>
        <v>1112.5261820950368</v>
      </c>
      <c r="FF108" s="29">
        <f t="shared" si="164"/>
        <v>0.8126185861001558</v>
      </c>
      <c r="FG108" s="28">
        <f>IFERROR(FD108*1000000/Storage!$U$12,"")</f>
        <v>1781.9545608644796</v>
      </c>
      <c r="FH108" s="28">
        <f>IF($E108="","No Port",((F108/24/Shipping!$V$44+F108/24/Shipping!$V$50+Shipping!$V$59+Shipping!$V$64)*Carriers!$AB$39*wacc_nl))</f>
        <v>36.001267868645009</v>
      </c>
      <c r="FI108" s="100">
        <f>H2_retrieval!$T$25*h2_demand_kt/1000+(co2_liq_e_demand+co2_st_e_demand*2)*Storage!$U$12*co2_density/lng_density/1000000</f>
        <v>236.51371749646054</v>
      </c>
      <c r="FJ108" s="28">
        <f>IFERROR((((EX108+EZ108+FC108)*(1+H2_retrieval!$T$34)+FH108)*1000000/H2_retrieval!$T$8)+h2_regen_lng,"")</f>
        <v>5835.5384645819631</v>
      </c>
      <c r="FK108" s="149">
        <f>(lh2_invest*(M108+1/lh2_lifetime)/lh2_prod+lh2_opex+lh2_e_demand*1000*$AU108/100+Carriers!$AD$18/Carriers!$AD$23*BD108)*(FM108+lh2_st_ab_losses)/1000000</f>
        <v>43257.450947225363</v>
      </c>
      <c r="FL108" s="28">
        <f>lh2_st_nl_cost*lh2_st_nl_demand/1000000+(lh2_st_invest*(M108+1/lh2_st_lifetime+lh2_st_opex)/(Storage!$Y$63/1000000)+lh2_st_e_demand*1000*$AU108/100)*(FM108+lh2_st_ab_losses)/1000000+((FM108+lh2_st_ab_losses)/365.25*short_st_duration_hrs/24)*(h2_short_st_invest*(1/gh2_short_st_lifetime+$M108+h2_short_st_opex)+h2_short_st_e_demand*1000*$AU108/100)/1000000</f>
        <v>51354.870816813556</v>
      </c>
      <c r="FM108" s="63">
        <f>Storage!$Y$57/((1-Shipping!$Z$37)^($F108/24/Shipping!$Z$44+0.5*Shipping!$Z$59))</f>
        <v>14078879.994961018</v>
      </c>
      <c r="FN108" s="28">
        <f>IF($E108="","No Port",IF(G108="Panama","Ship cannot pass through Panama",((F108/24/Shipping!$Z$44+F108/24/Shipping!$Z$50+Shipping!$Z$59+Shipping!$Z$64)*(Shipping!$Z$22+wacc_nl*Shipping!$Z$19/365.25*1000000+Shipping!$Z$35)+(F108/24/Shipping!$Z$44*Shipping!$Z$45+Shipping!$Z$64*Shipping!$Z$65)*IF(bunker_choice="HFO",$H108,IF(bunker_choice="hydrogen",$BD108*hfo_e_density_lhv/h2_e_density_lhv,(FK108+FL108)*1000000/FM108*hfo_e_density_lhv/lh2_e_density_lhv))+(F108/24/Shipping!$Z$50*Shipping!$Z$51+Shipping!$Z$59*Shipping!$Z$60)*IF(bunker_choice="HFO",bunker_price_ROT,IF(bunker_choice="hydrogen",$BD108*hfo_e_density_lhv/h2_e_density_lhv,(FK108+FL108)*1000000/FM108*hfo_e_density_lhv/lh2_e_density_lhv))+Shipping!$Z$73+IF(G108="Panama",Shipping!$Z$55,0)+IF(G108="Suez",Shipping!$Z$56,0))/Shipping!$Z$31*(FM108+lh2_st_ab_losses)/1000000)+IF(inland_transport_to_port="hv dc grid",$BM108/100*1000*FP108,IF(inland_transport_to_port="pipeline",$BN108,0)))</f>
        <v>4739.1094939191316</v>
      </c>
      <c r="FO108" s="28">
        <f t="shared" si="128"/>
        <v>99351.431257958058</v>
      </c>
      <c r="FP108" s="29">
        <f>((Carriers!$AD$18/Carriers!$AD$23*alk_el_e_demand)+lh2_e_demand)*(FM108+lh2_st_ab_losses)/1000000+lh2_st_e_demand*FM108/1000000</f>
        <v>815.84383845839773</v>
      </c>
      <c r="FQ108" s="100">
        <f t="shared" si="165"/>
        <v>1.361902463475859</v>
      </c>
      <c r="FR108" s="28">
        <f>IFERROR(FO108*1000000/Storage!$Y$12,"")</f>
        <v>7305.2522983792687</v>
      </c>
      <c r="FS108" s="100">
        <f>H2_retrieval!$V$25*h2_demand_kt/1000</f>
        <v>8.16</v>
      </c>
      <c r="FT108" s="28">
        <f>IFERROR(FR108*(1+H2_retrieval!$V$34)/Carrier_properties!$U$7+H2_retrieval!$V$38,"")</f>
        <v>7337.2210242477358</v>
      </c>
      <c r="FU108" s="12"/>
      <c r="FV108" s="24">
        <f t="shared" si="129"/>
        <v>1.8783342958777625</v>
      </c>
      <c r="FW108" s="24" t="str">
        <f t="shared" si="143"/>
        <v/>
      </c>
      <c r="FX108" s="24">
        <f t="shared" si="144"/>
        <v>7.1132143032167541</v>
      </c>
      <c r="FY108" s="24">
        <f t="shared" si="130"/>
        <v>1.8783342958777625</v>
      </c>
      <c r="FZ108" s="28">
        <f t="shared" si="145"/>
        <v>2241.5412239329521</v>
      </c>
      <c r="GA108" s="28">
        <f t="shared" si="137"/>
        <v>523.79117341819654</v>
      </c>
      <c r="GB108" s="28">
        <f t="shared" si="138"/>
        <v>342.35612360356646</v>
      </c>
      <c r="GC108" s="28">
        <f t="shared" si="139"/>
        <v>585.30413873794089</v>
      </c>
      <c r="GD108" s="28">
        <f t="shared" si="140"/>
        <v>854.25319006851134</v>
      </c>
      <c r="GE108" s="28">
        <f t="shared" si="141"/>
        <v>1491.4328778146332</v>
      </c>
      <c r="GF108" s="28">
        <f t="shared" si="142"/>
        <v>1568.7956216783712</v>
      </c>
      <c r="GG108" s="12"/>
      <c r="GH108" s="12"/>
      <c r="GI108" s="12"/>
      <c r="GJ108" s="12"/>
      <c r="GK108" s="12"/>
      <c r="GL108" s="12"/>
      <c r="GM108" s="12"/>
      <c r="GN108" s="12"/>
      <c r="GO108" s="12"/>
      <c r="GP108" s="12"/>
      <c r="GQ108" s="12"/>
      <c r="GR108" s="12"/>
      <c r="GS108" s="12"/>
      <c r="GT108" s="12"/>
      <c r="GU108" s="12"/>
      <c r="GV108" s="12"/>
      <c r="GW108" s="12"/>
      <c r="GX108" s="12"/>
      <c r="GY108" s="12"/>
      <c r="GZ108" s="12"/>
      <c r="HA108" s="12"/>
      <c r="HB108" s="12"/>
      <c r="HC108" s="12"/>
      <c r="HD108" s="12"/>
      <c r="HE108" s="12"/>
      <c r="HF108" s="12"/>
    </row>
    <row r="109" spans="1:214" x14ac:dyDescent="0.2">
      <c r="A109" s="154" t="s">
        <v>112</v>
      </c>
      <c r="B109" s="12">
        <v>5658</v>
      </c>
      <c r="C109" s="12">
        <v>1</v>
      </c>
      <c r="D109" s="12">
        <f t="shared" si="111"/>
        <v>0</v>
      </c>
      <c r="E109" s="12" t="s">
        <v>766</v>
      </c>
      <c r="F109" s="12">
        <v>6133</v>
      </c>
      <c r="G109" s="12" t="s">
        <v>692</v>
      </c>
      <c r="H109" s="16">
        <f t="shared" si="166"/>
        <v>382.75862068965517</v>
      </c>
      <c r="I109" s="16">
        <v>770880</v>
      </c>
      <c r="J109" s="16">
        <f t="shared" si="113"/>
        <v>495.35716918336868</v>
      </c>
      <c r="K109" s="27">
        <f t="shared" si="114"/>
        <v>594.42860302004237</v>
      </c>
      <c r="L109" s="103">
        <v>0.13800000000000001</v>
      </c>
      <c r="M109" s="103">
        <f t="shared" si="167"/>
        <v>0.13901509567616172</v>
      </c>
      <c r="N109" s="122">
        <f t="shared" si="116"/>
        <v>0.8</v>
      </c>
      <c r="O109" s="46">
        <f t="shared" si="168"/>
        <v>40</v>
      </c>
      <c r="P109" s="70">
        <f t="array" ref="P109">SUMPRODUCT(IF(Solar_data!A$4:A$777=A109,Solar_data!C$4:C$777),IF(Solar_data!A$4:A$777=A109,Solar_data!I$4:I$777))/SUMIF(Solar_data!A$4:A$777,A109,Solar_data!I$4:I$777)</f>
        <v>2284.7954000176264</v>
      </c>
      <c r="Q109" s="16">
        <f t="array" ref="Q109">MAX(IF(Solar_data!$A$777:'Solar_data'!$A$4=Country_details!$A109,Solar_data!$C$4:'Solar_data'!$C$777))</f>
        <v>2463.75</v>
      </c>
      <c r="R109" s="16">
        <f t="array" ref="R109">MIN(IF(Solar_data!$A$777:'Solar_data'!$A$4=Country_details!A109,Solar_data!$C$4:'Solar_data'!$C$777))</f>
        <v>1733.75</v>
      </c>
      <c r="S109" s="24">
        <f t="shared" si="149"/>
        <v>2.4092810200858708</v>
      </c>
      <c r="T109" s="24">
        <f t="shared" si="150"/>
        <v>2.2342827770845144</v>
      </c>
      <c r="U109" s="24">
        <f t="shared" si="151"/>
        <v>3.1750334200674675</v>
      </c>
      <c r="V109" s="16">
        <f t="array" ref="V109">SUM(IF(Solar_data!$A$777:'Solar_data'!$A$4=Country_details!$A109,Solar_data!$I$4:'Solar_data'!$I$777))</f>
        <v>7225.6590005611833</v>
      </c>
      <c r="W109" s="148"/>
      <c r="X109" s="16">
        <f>IFERROR(INDEX(Onshore_wind_data!$J$5:'Onshore_wind_data'!$J$221,MATCH(A109,Onshore_wind_data!$B$5:'Onshore_wind_data'!$B$221,0)),"")</f>
        <v>3077.3956168775812</v>
      </c>
      <c r="Y109" s="16">
        <f>IFERROR(INDEX(Onshore_wind_data!$K$5:'Onshore_wind_data'!$K$221,MATCH(A109,Onshore_wind_data!$B$5:'Onshore_wind_data'!$B$221,0)),"")</f>
        <v>3971</v>
      </c>
      <c r="Z109" s="16">
        <f>IFERROR(INDEX(Onshore_wind_data!$L$5:'Onshore_wind_data'!$L$221,MATCH(A109,Onshore_wind_data!$B$5:'Onshore_wind_data'!$B$221,0)),"")</f>
        <v>2847.5</v>
      </c>
      <c r="AA109" s="24">
        <f t="shared" si="169"/>
        <v>5.0377910035834432</v>
      </c>
      <c r="AB109" s="24">
        <f t="shared" si="170"/>
        <v>3.9041238864701588</v>
      </c>
      <c r="AC109" s="24">
        <f t="shared" si="171"/>
        <v>5.4445218448368742</v>
      </c>
      <c r="AD109" s="16">
        <f>IFERROR(INDEX(Onshore_wind_data!$I$5:'Onshore_wind_data'!$I$221,MATCH(A109,Onshore_wind_data!$B$5:'Onshore_wind_data'!$B$221,0)),"")</f>
        <v>1065.1843227842417</v>
      </c>
      <c r="AE109" s="148"/>
      <c r="AF109" s="16" t="str">
        <f>INDEX(Offshore_wind_data!$AA$7:$AA$192,MATCH(Country_details!A109,Offshore_wind_data!$A$7:$A$192,0))</f>
        <v/>
      </c>
      <c r="AG109" s="16" t="str">
        <f>INDEX(Offshore_wind_data!$Y$7:$Y$192,MATCH(Country_details!A109,Offshore_wind_data!$A$7:$A$192,0))</f>
        <v/>
      </c>
      <c r="AH109" s="16" t="str">
        <f>INDEX(Offshore_wind_data!$Z$7:$Z$192,MATCH(Country_details!A109,Offshore_wind_data!$A$7:$A$192,0))</f>
        <v/>
      </c>
      <c r="AI109" s="24" t="str">
        <f t="shared" si="152"/>
        <v/>
      </c>
      <c r="AJ109" s="24" t="str">
        <f t="shared" si="153"/>
        <v/>
      </c>
      <c r="AK109" s="24" t="str">
        <f t="shared" si="154"/>
        <v/>
      </c>
      <c r="AL109" s="16">
        <f>INDEX(Offshore_wind_data!$W$7:$W$191,MATCH(A109,Offshore_wind_data!$A$7:$A$191,0))</f>
        <v>0</v>
      </c>
      <c r="AM109" s="148"/>
      <c r="AN109" s="12">
        <v>197</v>
      </c>
      <c r="AO109" s="12">
        <v>307</v>
      </c>
      <c r="AP109" s="34">
        <f>0.474*11.63</f>
        <v>5.5126200000000001</v>
      </c>
      <c r="AQ109" s="15">
        <f t="shared" si="155"/>
        <v>50</v>
      </c>
      <c r="AR109" s="12">
        <f t="shared" si="131"/>
        <v>15350</v>
      </c>
      <c r="AS109" s="16">
        <f t="shared" si="121"/>
        <v>-7059.1566766545748</v>
      </c>
      <c r="AT109" s="12"/>
      <c r="AU109" s="24">
        <f t="shared" si="147"/>
        <v>3.9177996604415872</v>
      </c>
      <c r="AV109" s="16">
        <f t="shared" si="148"/>
        <v>5362.1910168952072</v>
      </c>
      <c r="AW109" s="149">
        <f>HV_DC_Grid!$E$3/(1-AX109)*AU109/100*1000</f>
        <v>4440.5835046535776</v>
      </c>
      <c r="AX109" s="31">
        <f>(1-(1-HV_DC_Grid!$E$25)^(B109*C109*HV_DC_Grid!$E$8/1000))+(1-(1-HV_DC_Grid!$E$26)^(B109*D109*HV_DC_Grid!$E$8/1000))+HV_DC_Grid!$E$35*HV_DC_Grid!$E$28</f>
        <v>0.11772863716314118</v>
      </c>
      <c r="AY109" s="28">
        <f>B109*nl_e_demand/IF(hv_dc_flh="electricity FLH",$AV109,hv_dc_custom)*1000*hv_dc_capacity_multiplier*hv_dc_length_multiplier*1000*(C109*hv_dc_overhead_invest*(hv_dc_overhead_opex+M109+1/hv_dc_lifetime)+D109*hv_dc_sea_invest*(hv_dc_sea_opex+M109+1/hv_dc_lifetime))/1000000+HV_DC_Grid!$E$10*1000*hv_dc_station_invest*hv_dc_station_number*(hv_dc_station_opex+M109+1/hv_dc_lifetime)/1000000</f>
        <v>5657.9685844376836</v>
      </c>
      <c r="AZ109" s="24">
        <f>(AW109+AY109)/(HV_DC_Grid!$E$3*1000)*100</f>
        <v>10.098552089091262</v>
      </c>
      <c r="BA109" s="28">
        <f>MIN(((Carriers!$F$26+Carriers!$F$27)*(alk_el_opex+wacc_nl+1/alk_el_lifetime)+IF(hv_dc_flh="electricity FLH",$AV109,hv_dc_custom)*AZ109/100)/(IF(hv_dc_flh="electricity FLH",$AV109,hv_dc_custom)/alk_el_e_demand)*1000,((Carriers!$H$26+Carriers!$H$27)*(pem_el_opex+wacc_nl+1/pem_el_lifetime)+IF(hv_dc_flh="electricity FLH",$AV109,hv_dc_custom)*AZ109/100)/(IF(hv_dc_flh="electricity FLH",$AV109,hv_dc_custom)/pem_el_e_demand)*1000)</f>
        <v>5511.6726180333253</v>
      </c>
      <c r="BB109" s="12"/>
      <c r="BC109" s="12"/>
      <c r="BD109" s="149">
        <f>MIN(((Carriers!$F$26+Carriers!$F$27)*(alk_el_opex+M109+1/alk_el_lifetime)+$AV109*$AU109/100)/($AV109/alk_el_e_demand)*1000,((Carriers!$H$26+Carriers!$H$27)*(pem_el_opex+M109+1/pem_el_lifetime)+$AV109*$AU109/100)/($AV109/pem_el_e_demand)*1000)</f>
        <v>2691.0507424124366</v>
      </c>
      <c r="BE109" s="28">
        <f>Storage!$AC$50</f>
        <v>8.1664117557772418</v>
      </c>
      <c r="BF109" s="28">
        <f>((Pipeline!$D$22*Pipeline!$D$24*B109*(pipeline_opex+M109+1/pipeline_lifetime))*(Pipeline!$D$39/Pipeline!$D$3)+(Pipeline!$D$57*(pipeline_comp_opex+M109+1/pipeline_comp_lifetime)+Pipeline!$D$47*1000*Pipeline!$D$45*$AU109/100/1000000))*(Pipeline!$D$75/Pipeline!$D$45)</f>
        <v>13698.74167856908</v>
      </c>
      <c r="BG109" s="28">
        <f>BD109+(BE109+BF109)/Storage!$AC$12*1000000</f>
        <v>3698.9116314069115</v>
      </c>
      <c r="BH109" s="28"/>
      <c r="BI109" s="28"/>
      <c r="BJ109" s="28">
        <f>IF($E109="","No Port",BK109*HV_DC_Grid!$E$3*$AU109/100*1000)</f>
        <v>99.666418145735648</v>
      </c>
      <c r="BK109" s="31">
        <f>IFERROR((1-(1-HV_DC_Grid!$E$25)^(K109*HV_DC_Grid!$E$8/1000))+HV_DC_Grid!$E$35*HV_DC_Grid!$E$28,"")</f>
        <v>2.5439386079915569E-2</v>
      </c>
      <c r="BL109" s="28">
        <f>IFERROR(K109*nl_e_demand/IF(hv_dc_flh="electricity FLH",$AV109,hv_dc_custom)*1000*hv_dc_capacity_multiplier*hv_dc_length_multiplier*1000*(hv_dc_overhead_invest*(hv_dc_overhead_opex+M109+1/hv_dc_lifetime))/1000000+HV_DC_Grid!$E$10*1000*hv_dc_station_invest*hv_dc_station_number*(hv_dc_station_opex+M109+1/hv_dc_lifetime)/1000000,"")</f>
        <v>1005.5606777845765</v>
      </c>
      <c r="BM109" s="29">
        <f>IFERROR((BJ109+BL109)/(HV_DC_Grid!$E$3*1000)*100,"")</f>
        <v>1.1052270959303121</v>
      </c>
      <c r="BN109" s="28">
        <f>IFERROR(((Pipeline!$D$22*Pipeline!$D$24*K109*(pipeline_opex+M109+1/pipeline_lifetime))*(Pipeline!$D$39/Pipeline!$D$3)+(Pipeline!$D$57*(pipeline_comp_opex+M109+1/pipeline_comp_lifetime)+Pipeline!$D$47*1000*Pipeline!$D$45*S109/100/1000000))*(Pipeline!$D$75/Pipeline!$D$45),"")</f>
        <v>1507.3644094854671</v>
      </c>
      <c r="BO109" s="28"/>
      <c r="BP109" s="150">
        <f t="shared" si="172"/>
        <v>127.5554459705096</v>
      </c>
      <c r="BQ109" s="34">
        <f t="shared" si="173"/>
        <v>37.440880711343759</v>
      </c>
      <c r="BR109" s="151">
        <f>(nh3_invest*(M109+1/nh3_lifetime)/nh3_prod+nh3_opex+nh3_e_demand*1000*$AU109/100+Carriers!$N$18/Carriers!$N$23*BD109+Carriers!$N$19/Carriers!$N$23*BQ109)*(BT109+nh3_st_ab_losses)/1000000</f>
        <v>51154.64417729128</v>
      </c>
      <c r="BS109" s="63">
        <f>nh3_st_nl_cost*nh3_st_nl_demand/1000000+(nh3_st_invest*(M109+1/nh3_st_lifetime+nh3_st_opex)/(Storage!$G$63/1000000)+nh3_st_e_demand*1000*$AU109/100)*(BT109+nh3_st_ab_losses)/1000000+Carriers!$N$18/Carriers!$N$23*((BT109+nh3_st_ab_losses)/365.25*short_st_duration_hrs/24)*(h2_short_st_invest*(1/gh2_short_st_lifetime+$M109+h2_short_st_opex)+h2_short_st_e_demand*1000*$AU109/100)/1000000+Carriers!$N$19/Carriers!$N$23*((BT109+nh3_st_ab_losses)/365.25*short_st_duration_hrs/24)*(n2_short_st_invest*(1/n2_short_st_lifetime+$M109+n2_short_st_opex)+n2_short_st_e_demand*1000*$AU109/100)/1000000</f>
        <v>3638.5444558906138</v>
      </c>
      <c r="BT109" s="63">
        <f>Storage!$G$57/((1-Shipping!$H$37)^(F109/24/Shipping!$H$44+0.5*Shipping!$H$59))</f>
        <v>79894458.858917981</v>
      </c>
      <c r="BU109" s="63">
        <f>IF($E109="","No Port",((F109/24/Shipping!$H$44+F109/24/Shipping!$H$50+Shipping!$H$59+Shipping!$H$64)*(Shipping!$H$22+wacc_nl*Shipping!$H$19/365.25*1000000+Shipping!$H$35)+(F109/24/Shipping!$H$44*Shipping!$H$45+Shipping!$H$64*Shipping!$H$65)*IF(bunker_choice="HFO",H109,IF(bunker_choice="hydrogen",BD109*hfo_e_density_lhv/h2_e_density_lhv,(BR109+BS109)*1000000/BT109*hfo_e_density_lhv/nh3_e_density_lhv))+(F109/24/Shipping!$H$50*Shipping!$H$51+Shipping!$H$59*Shipping!$H$60)*IF(bunker_choice="HFO",bunker_price_ROT,IF(bunker_choice="hydrogen",BD109*hfo_e_density_lhv/h2_e_density_lhv,(BR109+BS109)*1000000/BT109*hfo_e_density_lhv/nh3_e_density_lhv))+Shipping!$H$73+IF(G109="Panama",Shipping!$H$55,0)+IF(G109="Suez",Shipping!$H$56,0))/Shipping!$H$31*BT109/1000000+IF(inland_transport_to_port="hv dc grid",$BM109/100*1000*BW109,IF(inland_transport_to_port="pipeline",$BN109,0)))</f>
        <v>5928.4725432990035</v>
      </c>
      <c r="BV109" s="63">
        <f t="shared" si="174"/>
        <v>60721.661176480899</v>
      </c>
      <c r="BW109" s="33">
        <f>((Carriers!$N$18/Carriers!$N$23*alk_el_e_demand)+(Carriers!$N$19/Carriers!$N$23*n2_e_demand)+nh3_e_demand)*(BT109+nh3_st_ab_losses)/1000000+nh3_st_e_demand*BT109/1000000</f>
        <v>788.97113946873355</v>
      </c>
      <c r="BX109" s="33">
        <f t="shared" si="156"/>
        <v>0.76626754477640768</v>
      </c>
      <c r="BY109" s="63">
        <f>IFERROR(BV109*1000000/Storage!$G$12,"")</f>
        <v>793.0944522856928</v>
      </c>
      <c r="BZ109" s="63">
        <f>H2_retrieval!$F$25*h2_demand_kt/1000</f>
        <v>80</v>
      </c>
      <c r="CA109" s="63">
        <f>IFERROR(BY109*(1+H2_retrieval!$F$34)/Carrier_properties!$E$7+H2_retrieval!$F$38,"")</f>
        <v>4874.0540073261545</v>
      </c>
      <c r="CB109" s="149">
        <f>(FA_invest*(M109+1/FA_lifetime)/FA_prod+FA_opex+FA_e_demand*1000*$AU109/100+Carriers!$P$18/Carriers!$P$23*BD109+Carriers!$P$20/Carriers!$P$23*co2_liq_cost)*(CF109+FA_st_ab_losses)/1000000</f>
        <v>114566.96805774829</v>
      </c>
      <c r="CC109" s="86">
        <f>(FA_invest*(M109+1/FA_lifetime)/FA_prod+FA_opex+FA_e_demand*1000*$AU109/100+Carriers!$P$18/Carriers!$P$23*BD109+Carriers!$P$20/Carriers!$P$23*BP109)*(CF109+FA_st_ab_losses)/1000000</f>
        <v>145566.40728707289</v>
      </c>
      <c r="CD109" s="63">
        <f>FA_st_nl_cost*FA_st_nl_demand/1000000+(FA_st_invest*(M109+1/FA_st_lifetime+FA_st_opex)/(Storage!$I$63/1000000)+FA_st_e_demand*1000*$AU109/100)*(CF109+FA_st_ab_losses)/1000000+co2_st_nl_cost*Storage!$I$12*co2_density/FA_density/1000000+(co2_st_opex_lev+co2_st_invest_lev+co2_st_e_demand*1000*$AU109/100)*Storage!$I$12/1000000+co2_st_invest_lev*Storage!$I$12*co2_st_lifetime*M109/1000000+Carriers!$P$18/Carriers!$P$23*((CF109+FA_st_ab_losses)/365.25*short_st_duration_hrs/24)*(h2_short_st_invest*(1/gh2_short_st_lifetime+$M109+h2_short_st_opex)+h2_short_st_e_demand*1000*$AU109/100)/1000000+Carriers!$P$20/Carriers!$P$23*((CF109+FA_st_ab_losses)/365.25*short_st_duration_hrs/24)*(co2_short_st_invest*(1/co2_short_st_lifetime+$M109+co2_short_st_opex)+co2_short_st_e_demand*1000*$AU109/100)/1000000</f>
        <v>12620.682555563239</v>
      </c>
      <c r="CE109" s="63">
        <f>FA_st_nl_cost*FA_st_nl_demand/1000000+(FA_st_invest*(M109+1/FA_st_lifetime+FA_st_opex)/(Storage!$I$63/1000000)+FA_st_e_demand*1000*$AU109/100)*(CF109+FA_st_ab_losses)/1000000+Carriers!$P$18/Carriers!$P$23*((CF109+FA_st_ab_losses)/365.25*short_st_duration_hrs/24)*(h2_short_st_invest*(1/gh2_short_st_lifetime+$M109+h2_short_st_opex)+h2_short_st_e_demand*1000*$AU109/100)/1000000+Carriers!$P$20/Carriers!$P$23*((CF109+FA_st_ab_losses)/365.25*short_st_duration_hrs/24)*(co2_short_st_invest*(1/co2_short_st_lifetime+$M109+co2_short_st_opex)+co2_short_st_e_demand*1000*$AU109/100)/1000000</f>
        <v>5347.0343287625228</v>
      </c>
      <c r="CF109" s="63">
        <f>Storage!$I$57/((1-Shipping!$J$37)^($F109/24/Shipping!$J$44+0.5*Shipping!$J$59))</f>
        <v>310425396.82539684</v>
      </c>
      <c r="CG109" s="28">
        <f>IF($E109="","No Port",((F109/24/Shipping!$J$44+F109/24/Shipping!$J$50+Shipping!$J$59+Shipping!$J$64)*(Shipping!$J$22+wacc_nl*Shipping!$J$19/365.25*1000000+Shipping!$J$35)+(F109/24/Shipping!$J$44*Shipping!$J$45+Shipping!$J$64*Shipping!$J$65)*IF(bunker_choice="HFO",$H109,IF(bunker_choice="hydrogen",$BD109*hfo_e_density_lhv/h2_e_density_lhv,(CB109+CD109)*1000000/CF109*hfo_e_density_lhv/FA_e_density_lhv))+(F109/24/Shipping!$J$50*Shipping!$J$51+Shipping!$J$59*Shipping!$J$60)*IF(bunker_choice="HFO",bunker_price_ROT,IF(bunker_choice="hydrogen",$BD109*hfo_e_density_lhv/h2_e_density_lhv,(CB109+CD109)*1000000/CF109*hfo_e_density_lhv/FA_e_density_lhv))+Shipping!$J$73+IF(G109="Panama",Shipping!$J$55,0)+IF(G109="Suez",Shipping!$J$56,0))/Shipping!$J$31*CF109/1000000+IF(inland_transport_to_port="hv dc grid",$BM109/100*1000*CI109,IF(inland_transport_to_port="pipeline",$BN109,0)))</f>
        <v>20534.034712623536</v>
      </c>
      <c r="CH109" s="28">
        <f t="shared" si="132"/>
        <v>171447.47632845896</v>
      </c>
      <c r="CI109" s="29">
        <f>((Carriers!$P$18/Carriers!$P$23*alk_el_e_demand)+FA_e_demand)*(CF109+FA_st_ab_losses)/1000000+FA_st_e_demand*CF109/1000000</f>
        <v>1897.8881241622576</v>
      </c>
      <c r="CJ109" s="29">
        <f t="shared" si="157"/>
        <v>0.46563809523809524</v>
      </c>
      <c r="CK109" s="28">
        <f>IFERROR(CH109*1000000/Storage!$I$12,"")</f>
        <v>552.29848485912385</v>
      </c>
      <c r="CL109" s="28">
        <f>IF($E109="","No Port",((F109/24/Shipping!$J$44+F109/24/Shipping!$J$50+Shipping!$J$59+Shipping!$J$64)*Carriers!$P$39*wacc_nl))</f>
        <v>298.92540367359578</v>
      </c>
      <c r="CM109" s="29">
        <f>H2_retrieval!$H$25*h2_demand_kt/1000+(co2_liq_e_demand+co2_st_e_demand*2)*Storage!$I$12*co2_density/FA_density/1000000</f>
        <v>94.204253879484654</v>
      </c>
      <c r="CN109" s="28">
        <f>IFERROR((((CB109+CD109+CG109)*(1+H2_retrieval!$H$34)+CL109)*1000000/H2_retrieval!$H$8)+h2_regen_fa,"")</f>
        <v>10973.555803767593</v>
      </c>
      <c r="CO109" s="149">
        <f>(meoh_invest*(M109+1/meoh_lifetime)/meoh_prod+meoh_opex+meoh_e_demand*1000*$AU109/100+Carriers!$R$18/Carriers!$R$23*BD109+Carriers!$R$20/Carriers!$R$23*co2_liq_cost)*(CS109+meoh_st_ab_losses)/1000000</f>
        <v>59911.315747564586</v>
      </c>
      <c r="CP109" s="86">
        <f>(meoh_invest*(M109+1/meoh_lifetime)/meoh_prod+meoh_opex+meoh_e_demand*1000*$AU109/100+Carriers!$R$18/Carriers!$R$23*BD109+Carriers!$R$20/Carriers!$R$23*BP109)*(CS109+meoh_st_ab_losses)/1000000</f>
        <v>78108.943584795445</v>
      </c>
      <c r="CQ109" s="63">
        <f>meoh_st_nl_cost*meoh_st_nl_demand/1000000+(meoh_st_invest*(M109+1/meoh_st_lifetime+meoh_st_opex)/(Storage!$K$63/1000000)+meoh_st_e_demand*1000*$AU109/100)*(CS109+meoh_st_ab_losses)/1000000+co2_st_nl_cost*Storage!$K$12*co2_density/meoh_density/1000000+(co2_st_opex_lev+co2_st_invest_lev+co2_st_e_demand*1000*IFERROR(MIN(S109,AA109,AI109),S109)/100)*Storage!$K$12/1000000+co2_st_invest_lev*Storage!$K$12*co2_st_lifetime*M109/1000000+Carriers!$R$18/Carriers!$R$23*((CS109+meoh_st_ab_losses)/365.25*short_st_duration_hrs/24)*(h2_short_st_invest*(1/gh2_short_st_lifetime+$M109+h2_short_st_opex)+h2_short_st_e_demand*1000*$AU109/100)/1000000+Carriers!$R$20/Carriers!$R$23*((CF109+meoh_st_ab_losses)/365.25*short_st_duration_hrs/24)*(co2_short_st_invest*(1/co2_short_st_lifetime+$M109+co2_short_st_opex)+co2_short_st_e_demand*1000*$AU109/100)/1000000</f>
        <v>5090.628124226364</v>
      </c>
      <c r="CR109" s="63">
        <f>meoh_st_nl_cost*meoh_st_nl_demand/1000000+(meoh_st_invest*(M109+1/meoh_st_lifetime+meoh_st_opex)/(Storage!$K$63/1000000)+meoh_st_e_demand*1000*$AU109/100)*(CS109+meoh_st_ab_losses)/1000000+Carriers!$R$18/Carriers!$R$23*((CS109+meoh_st_ab_losses)/365.25*short_st_duration_hrs/24)*(h2_short_st_invest*(1/gh2_short_st_lifetime+$M109+h2_short_st_opex)+h2_short_st_e_demand*1000*$AU109/100)/1000000+Carriers!$R$20/Carriers!$R$23*((CF109+meoh_st_ab_losses)/365.25*short_st_duration_hrs/24)*(co2_short_st_invest*(1/co2_short_st_lifetime+$M109+co2_short_st_opex)+co2_short_st_e_demand*1000*$AU109/100)/1000000</f>
        <v>2123.0037407986638</v>
      </c>
      <c r="CS109" s="63">
        <f>Storage!$K$57/((1-Shipping!$L$37)^($F109/24/Shipping!$L$44+0.5*Shipping!$L$59))</f>
        <v>108044444.44444443</v>
      </c>
      <c r="CT109" s="28">
        <f>IF($E109="","No Port",IF(AND(ship_choice="VLCC",G109="Panama"),"Ship cannot pass through Panama",IF(ship_choice="VLCC",((F109/24/Shipping!$AD$44+F109/24/Shipping!$AD$50+Shipping!$AD$59+Shipping!$AD$64)*(Shipping!$AD$22+wacc_nl*Shipping!$AD$19/365.25*1000000+Shipping!$AD$35)+(F109/24/Shipping!$AD$44*Shipping!$AD$45+Shipping!$AD$64*Shipping!$AD$65)*IF(bunker_choice="HFO",$H109,IF(bunker_choice="hydrogen",$BD109*hfo_e_density_lhv/h2_e_density_lhv,(CO109+CQ109)*1000000/CS109*hfo_e_density_lhv/meoh_e_density_lhv))+(F109/24/Shipping!$AD$50*Shipping!$AD$51+Shipping!$AD$59*Shipping!$AD$60)*IF(bunker_choice="HFO",bunker_price_ROT,IF(bunker_choice="hydrogen",$BD109*hfo_e_density_lhv/h2_e_density_lhv,(CO109+CQ109)*1000000/CS109*hfo_e_density_lhv/meoh_e_density_lhv))+Shipping!$AD$73+IF(G109="Panama",Shipping!$AD$55,0)+IF(G109="Suez",Shipping!$AD$56,0))/Shipping!$AD$31*CS109/1000000+IF(inland_transport_to_port="hv dc grid",$BM109/100*1000*CV109,IF(inland_transport_to_port="pipeline",$BN109,0)),((F109/24/Shipping!$L$44+F109/24/Shipping!$L$50+Shipping!$L$59+Shipping!$L$64)*(Shipping!$L$22+wacc_nl*Shipping!$L$19/365.25*1000000+Shipping!$L$35)+(F109/24/Shipping!$L$44*Shipping!$L$45+Shipping!$L$64*Shipping!$L$65)*IF(bunker_choice="HFO",$H109,IF(bunker_choice="hydrogen",$BD109*hfo_e_density_lhv/h2_e_density_lhv,(CO109+CQ109)*1000000/CS109*hfo_e_density_lhv/meoh_e_density_lhv))+(F109/24/Shipping!$L$50*Shipping!$L$51+Shipping!$L$59*Shipping!$L$60)*IF(bunker_choice="HFO",bunker_price_ROT,IF(bunker_choice="hydrogen",$BD109*hfo_e_density_lhv/h2_e_density_lhv,(CO109+CQ109)*1000000/CS109*hfo_e_density_lhv/meoh_e_density_lhv))+Shipping!$L$73+IF(G109="Panama",Shipping!$L$55,0)+IF(G109="Suez",Shipping!$L$56,0))/Shipping!$L$31*CS109/1000000+IF(inland_transport_to_port="hv dc grid",$BM109/100*1000*CV109,IF(inland_transport_to_port="pipeline",$BN109,0)))))</f>
        <v>7833.7654187092712</v>
      </c>
      <c r="CU109" s="28">
        <f t="shared" si="133"/>
        <v>88065.712744303382</v>
      </c>
      <c r="CV109" s="29">
        <f>((Carriers!$R$18/Carriers!$R$23*alk_el_e_demand)+meoh_e_demand)*(CS109+meoh_st_ab_losses)/1000000+meoh_st_e_demand*CS109/1000000</f>
        <v>1119.9789871111109</v>
      </c>
      <c r="CW109" s="29">
        <f t="shared" si="158"/>
        <v>0.16206666666666666</v>
      </c>
      <c r="CX109" s="28">
        <f>IFERROR(CU109*1000000/Storage!$K$12,"")</f>
        <v>815.0878390566952</v>
      </c>
      <c r="CY109" s="28">
        <f>IF($E109="","No Port",((F109/24/Shipping!$L$44+F109/24/Shipping!$L$50+Shipping!$L$59+Shipping!$L$64)*Carriers!$R$39*wacc_nl))</f>
        <v>107.09231112201553</v>
      </c>
      <c r="CZ109" s="29">
        <f>H2_retrieval!$J$25*h2_demand_kt/1000+(co2_liq_e_demand+co2_st_e_demand*2)*Storage!$K$12*co2_density/meoh_density/1000000</f>
        <v>251.05079059698966</v>
      </c>
      <c r="DA109" s="28">
        <f>IFERROR((((CO109+CQ109+CT109)*(1+H2_retrieval!$J$34)+CY109)*1000000/H2_retrieval!$J$8)+h2_regen_meoh,"")</f>
        <v>6533.569837433045</v>
      </c>
      <c r="DB109" s="149">
        <f>(DBT_invest*(M109+1/DBT_lifetime)/DBT_prod+DBT_opex+DBT_e_demand*1000*$AU109/100+Carriers!$T$18/Carriers!$T$23*BD109)*(DD109+DBT_st_ab_losses)/1000000</f>
        <v>40078.406253158711</v>
      </c>
      <c r="DC109" s="28">
        <f>2*(DBT_st_nl_cost*DBT_st_nl_demand/1000000+(DBT_st_invest*(M109+1/DBT_st_lifetime+DBT_st_opex)/(Storage!$M$63/1000000)+DBT_st_e_demand*1000*$AU109/100)*(DD109+DBT_st_ab_losses)/1000000)+Carriers!$T$18/Carriers!$T$23*((DD109+DBT_st_ab_losses)/365.25*short_st_duration_hrs/24)*(h2_short_st_invest*(1/gh2_short_st_lifetime+$M109+h2_short_st_opex)+h2_short_st_e_demand*1000*$AU109/100)/1000000</f>
        <v>4346.2306119341347</v>
      </c>
      <c r="DD109" s="63">
        <f>Storage!$M$57/((1-Shipping!$N$37)^($F109/24/Shipping!$N$44+0.5*Shipping!$N$59))</f>
        <v>219354838.70967743</v>
      </c>
      <c r="DE109" s="28">
        <f>IF($E109="","No Port",IF(AND(ship_choice="VLCC",G109="Panama"),"Ship cannot pass through Panama",IF(ship_choice="VLCC",((F109/24/Shipping!$AD$44+F109/24/Shipping!$AD$50+Shipping!$AD$59+Shipping!$AD$64)*(Shipping!$AD$22+wacc_nl*Shipping!$AD$19/365.25*1000000+Shipping!$AD$35)+(F109/24/Shipping!$AD$44*Shipping!$AD$45+Shipping!$AD$64*Shipping!$AD$65)*IF(bunker_choice="HFO",$H109,IF(bunker_choice="hydrogen",$BD109*hfo_e_density_lhv/h2_e_density_lhv,(DB109+DC109)*1000000/DD109*hfo_e_density_lhv/DBT_e_density_lhv))+(F109/24/Shipping!$AD$50*Shipping!$AD$51+Shipping!$AD$59*Shipping!$AD$60)*IF(bunker_choice="HFO",bunker_price_ROT,IF(bunker_choice="hydrogen",$BD109*hfo_e_density_lhv/h2_e_density_lhv,(DB109+DC109)*1000000/DD109*hfo_e_density_lhv/DBT_e_density_lhv))+Shipping!$AD$73+IF(G109="Panama",Shipping!$AD$55,0)+IF(G109="Suez",Shipping!$AD$56,0))/Shipping!$AD$31*DD109/1000000+IF(inland_transport_to_port="hv dc grid",$BM109/100*1000*DG109,IF(inland_transport_to_port="pipeline",$BN109,0)),((F109/24/Shipping!$N$44+F109/24/Shipping!$N$50+Shipping!$N$59+Shipping!$N$64)*(Shipping!$N$22+wacc_nl*Shipping!$N$19/365.25*1000000+Shipping!$N$35)+(F109/24/Shipping!$N$44*Shipping!$N$45+Shipping!$N$64*Shipping!$N$65)*IF(bunker_choice="HFO",$H109,IF(bunker_choice="hydrogen",$BD109*hfo_e_density_lhv/h2_e_density_lhv,(DB109+DC109)*1000000/DD109*hfo_e_density_lhv/DBT_e_density_lhv))+(F109/24/Shipping!$N$50*Shipping!$N$51+Shipping!$N$59*Shipping!$N$60)*IF(bunker_choice="HFO",bunker_price_ROT,IF(bunker_choice="hydrogen",$BD109*hfo_e_density_lhv/h2_e_density_lhv,(DB109+DC109)*1000000/DD109*hfo_e_density_lhv/DBT_e_density_lhv))+Shipping!$N$73+IF(G109="Panama",Shipping!$N$55,0)+IF(G109="Suez",Shipping!$N$56,0))/Shipping!$N$31*Shipping!$N$86/1000000+IF(inland_transport_to_port="hv dc grid",$BM109/100*1000*DG109,IF(inland_transport_to_port="pipeline",$BN109,0)))))</f>
        <v>13406.835202255526</v>
      </c>
      <c r="DF109" s="28">
        <f t="shared" si="159"/>
        <v>57831.472067348375</v>
      </c>
      <c r="DG109" s="29">
        <f>((Carriers!$T$18/Carriers!$T$23*alk_el_e_demand)+DBT_e_demand)*(DD109+DBT_st_ab_losses)/1000000+DBT_st_e_demand*DD109/1000000</f>
        <v>703.88335483870969</v>
      </c>
      <c r="DH109" s="29">
        <f t="shared" si="160"/>
        <v>0.21935483870967742</v>
      </c>
      <c r="DI109" s="28">
        <f>IFERROR(DF109*1000000/Storage!$M$12,"")</f>
        <v>263.64347560114697</v>
      </c>
      <c r="DJ109" s="28">
        <f>IF($E109="","No Port",((F109/24/Shipping!$N$44+F109/24/Shipping!$N$50+Shipping!$N$59+Shipping!$N$64)*Carriers!$T$39*wacc_nl))</f>
        <v>7799.8848837399892</v>
      </c>
      <c r="DK109" s="100">
        <f>H2_retrieval!$L$25*h2_demand_kt/1000+(co2_liq_e_demand+co2_st_e_demand*2)*Storage!$M$12*co2_density/DBT_density/1000000</f>
        <v>206.61934861671787</v>
      </c>
      <c r="DL109" s="28">
        <f>IFERROR(((DF109*(1+H2_retrieval!$L$34)+DJ109)*1000000/H2_retrieval!$L$8)+h2_regen_lohc,"")</f>
        <v>5296.4848505717637</v>
      </c>
      <c r="DM109" s="149">
        <f t="shared" si="175"/>
        <v>64842.86047023892</v>
      </c>
      <c r="DN109" s="16">
        <f>2*(nabh4_st_nl_cost*nabh4_st_nl_demand/1000000+(nabh4_st_invest*(M109+1/nabh4_st_lifetime+nabh4_st_opex)/(Storage!$O$63/1000000)+nabh4_st_e_demand*1000*$AU109/100)*(DO109+nabh4_st_ab_losses)/1000000)+(h2_demand_kt*1000/365.25*short_st_duration_hrs/24)*(h2_short_st_invest*(1/gh2_short_st_lifetime+$M109+h2_short_st_opex)+h2_short_st_e_demand*1000*$AU109/100)/1000000</f>
        <v>1549.393774863669</v>
      </c>
      <c r="DO109" s="63">
        <f>Storage!$O$57/((1-Shipping!$P$37)^($F109/24/Shipping!$P$44+0.5*Shipping!$P$59))</f>
        <v>63920000</v>
      </c>
      <c r="DP109" s="16">
        <f>IF($E109="","No Port",((F109/24/Shipping!$P$44+F109/24/Shipping!$P$50+Shipping!$P$59+Shipping!$P$64)*(Shipping!$P$22+wacc_nl*Shipping!$P$19/365.25*1000000+Shipping!$P$35)+(F109/24/Shipping!$P$44*Shipping!$P$45+Shipping!$P$64*Shipping!$P$65)*IF(bunker_choice="HFO",$H109,IF(bunker_choice="hydrogen",$BD109*hfo_e_density_lhv/h2_e_density_lhv,(DM109+DN109)*1000000/DO109*hfo_e_density_lhv/nabh4_e_density_lhv))+(F109/24/Shipping!$P$50*Shipping!$P$51+Shipping!$P$59*Shipping!$P$60)*IF(bunker_choice="HFO",bunker_price_ROT,IF(bunker_choice="hydrogen",$BD109*hfo_e_density_lhv/h2_e_density_lhv,(DM109+DN109)*1000000/DO109*hfo_e_density_lhv/nabh4_e_density_lhv))+Shipping!$P$73+IF(G109="Panama",Shipping!$P$55,0)+IF(G109="Suez",Shipping!$P$56,0))/Shipping!$P$31*(DO109+nabh4_st_ab_losses)/1000000+IF(inland_transport_to_port="hv dc grid",$BM109/100*1000*DR109,IF(inland_transport_to_port="pipeline",$BN109,0)))</f>
        <v>4373.8612327439278</v>
      </c>
      <c r="DQ109" s="28">
        <f t="shared" si="146"/>
        <v>70766.115477846528</v>
      </c>
      <c r="DR109" s="29">
        <f>((Carriers!$V$18/Carriers!$V$23*alk_el_e_demand)+nabh4_e_demand)*(DO109+nabh4_st_ab_losses)/1000000+nabh4_st_e_demand*DO109/1000000</f>
        <v>980.02139682539689</v>
      </c>
      <c r="DS109" s="28">
        <f t="shared" si="161"/>
        <v>3.1960000000000002</v>
      </c>
      <c r="DT109" s="28">
        <f>IFERROR(DQ109*1000000/Storage!$O$12,"")</f>
        <v>1107.1044348849582</v>
      </c>
      <c r="DU109" s="28">
        <f>IF($E109="","No Port",((F109/24/Shipping!$P$44+F109/24/Shipping!$P$50+Shipping!$P$59+Shipping!$P$64)*Carriers!$V$39*wacc_nl))</f>
        <v>720.65365749111209</v>
      </c>
      <c r="DV109" s="100">
        <f>H2_retrieval!$N$25*h2_demand_kt/1000+(co2_liq_e_demand+co2_st_e_demand*2)*Storage!$O$12*co2_density/nabh4_density/1000000</f>
        <v>18.783638728971958</v>
      </c>
      <c r="DW109" s="28">
        <f>IFERROR(((DQ109*(1+H2_retrieval!$N$34)+DU109)*1000000/H2_retrieval!$N$8)+h2_regen_nabh4,"")</f>
        <v>5367.3221108105345</v>
      </c>
      <c r="DX109" s="149">
        <f>(Dme_invest*(M109+1/Dme_lifetime)/Dme_prod+Dme_opex+Dme_e_demand*1000*$AU109/100+Carriers!$X$21/Carriers!$X$23*(CO109*1000000/CS109))*(EB109+Dme_st_ab_losses)/1000000</f>
        <v>84990.411127286949</v>
      </c>
      <c r="DY109" s="86">
        <f>(Dme_invest*(M109+1/Dme_lifetime)/Dme_prod+Dme_opex+Dme_e_demand*1000*$AU109/100+Carriers!$X$21/Carriers!$X$23*(CP109*1000000/CS109))*(EB109+Dme_st_ab_losses)/1000000</f>
        <v>109678.47791715064</v>
      </c>
      <c r="DZ109" s="63">
        <f>Dme_st_nl_cost*Dme_st_nl_demand/1000000+(Dme_st_invest*(M109+1/Dme_st_lifetime+Dme_st_opex)/(Storage!$Q$63/1000000)+Dme_st_e_demand*1000*$AU109/100)*(EB109+Dme_st_ab_losses)/1000000+co2_st_nl_cost*Storage!$Q$12*co2_density/Dme_density/1000000+(co2_st_opex_lev+co2_st_invest_lev+co2_st_e_demand*1000*$AU109/100)*Storage!$Q$12/1000000+co2_st_invest_lev*Storage!$Q$12*co2_st_lifetime*M109/1000000+(h2_demand_kt*1000/365.25*short_st_duration_hrs/24)*(h2_short_st_invest*(1/gh2_short_st_lifetime+$M109+h2_short_st_opex)+h2_short_st_e_demand*1000*$AU109/100)/1000000</f>
        <v>6301.3663927471034</v>
      </c>
      <c r="EA109" s="63">
        <f>Dme_st_nl_cost*Dme_st_nl_demand/1000000+(Dme_st_invest*(M109+1/Dme_st_lifetime+Dme_st_opex)/(Storage!$Q$63/1000000)+Dme_st_e_demand*1000*$AU109/100)*(EB109+Dme_st_ab_losses)/1000000+(h2_demand_kt*1000/365.25*short_st_duration_hrs/24)*(h2_short_st_invest*(1/gh2_short_st_lifetime+$M109+h2_short_st_opex)+h2_short_st_e_demand*1000*$AU109/100)/1000000</f>
        <v>3174.1660874937534</v>
      </c>
      <c r="EB109" s="63">
        <f>Storage!$Q$57/((1-Shipping!$R$37)^($F109/24/Shipping!$R$44+0.5*Shipping!$R$59))</f>
        <v>103547089.94708996</v>
      </c>
      <c r="EC109" s="153">
        <f>IF($E109="","No Port",IF(AND(ship_choice="VLCC",G109="Panama"),"Ship cannot pass through Panama",IF(ship_choice="VLCC",((F109/24/Shipping!$AD$44+F109/24/Shipping!$AD$50+Shipping!$AD$59+Shipping!$AD$64)*(Shipping!$AD$22+wacc_nl*Shipping!$AD$19/365.25*1000000+Shipping!$AD$35)+(F109/24/Shipping!$AD$44*Shipping!$AD$45+Shipping!$AD$64*Shipping!$AD$65)*IF(bunker_choice="HFO",$H109,IF(bunker_choice="hydrogen",$BD109*hfo_e_density_lhv/h2_e_density_lhv,(DX109+DZ109)*1000000/EB109*hfo_e_density_lhv/Dme_e_density_lhv))+(F109/24/Shipping!$AD$50*Shipping!$AD$51+Shipping!$AD$59*Shipping!$AD$60)*IF(bunker_choice="HFO",bunker_price_ROT,IF(bunker_choice="hydrogen",$BD109*hfo_e_density_lhv/h2_e_density_lhv,(DX109+DZ109)*1000000/EB109*hfo_e_density_lhv/Dme_e_density_lhv))+Shipping!$AD$73+IF(G109="Panama",Shipping!$AD$55,0)+IF(G109="Suez",Shipping!$AD$56,0))/Shipping!$AD$31*(EB109+Dme_st_ab_losses)/1000000+IF(inland_transport_to_port="hv dc grid",$BM109/100*1000*EE109,IF(inland_transport_to_port="pipeline",$BN109,0)),((F109/24/Shipping!$R$44+F109/24/Shipping!$R$50+Shipping!$R$59+Shipping!$R$64)*(Shipping!$R$22+wacc_nl*Shipping!$R$19/365.25*1000000+Shipping!$R$35)+(F109/24/Shipping!$R$44*Shipping!$R$45+Shipping!$R$64*Shipping!$R$65)*IF(bunker_choice="HFO",$H109,IF(bunker_choice="hydrogen",$BD109*hfo_e_density_lhv/h2_e_density_lhv,(DX109+DZ109)*1000000/EB109*hfo_e_density_lhv/Dme_e_density_lhv))+(F109/24/Shipping!$R$50*Shipping!$R$51+Shipping!$R$59*Shipping!$R$60)*IF(bunker_choice="HFO",bunker_price_ROT,IF(bunker_choice="hydrogen",$BD109*hfo_e_density_lhv/h2_e_density_lhv,(DX109+DZ109)*1000000/EB109*hfo_e_density_lhv/Dme_e_density_lhv))+Shipping!$R$73+IF(G109="Panama",Shipping!$R$55,0)+IF(G109="Suez",Shipping!$R$56,0))/Shipping!$R$31*(EB109+Dme_st_ab_losses)/1000000+IF(inland_transport_to_port="hv dc grid",$BM109/100*1000*EE109,IF(inland_transport_to_port="pipeline",$BN109,0)))))</f>
        <v>7811.8052017258415</v>
      </c>
      <c r="ED109" s="28">
        <f t="shared" si="134"/>
        <v>120664.44920637023</v>
      </c>
      <c r="EE109" s="29">
        <f>(Dme_e_demand)*(EB109+Dme_st_ab_losses)/1000000+Dme_st_e_demand*DZ109/1000000+$CV109*(Carriers!$X$21/Carriers!$X$23*EB109)/$CS109</f>
        <v>1550.2168231807198</v>
      </c>
      <c r="EF109" s="29">
        <f t="shared" si="162"/>
        <v>1.0354708994708997</v>
      </c>
      <c r="EG109" s="28">
        <f>IFERROR(ED109*1000000/Storage!$Q$12,"")</f>
        <v>1165.3099016884669</v>
      </c>
      <c r="EH109" s="28">
        <f>IF($E109="","No Port",((F109/24/Shipping!$R$44+F109/24/Shipping!$R$50+Shipping!$R$59+Shipping!$R$64)*Carriers!$X$39*wacc_nl))</f>
        <v>111.36174913956562</v>
      </c>
      <c r="EI109" s="100">
        <f>H2_retrieval!$P$25*h2_demand_kt/1000+(co2_liq_e_demand+co2_st_e_demand*2)*Storage!$Q$12*co2_density/Dme_density/1000000</f>
        <v>252.45335899349112</v>
      </c>
      <c r="EJ109" s="28">
        <f>IFERROR((((DX109+DZ109+EC109)*(1+H2_retrieval!$P$34)+EH109)*1000000/H2_retrieval!$P$8)+h2_regen_dme,"")</f>
        <v>8465.3450484093119</v>
      </c>
      <c r="EK109" s="149">
        <f>(ome_invest*(M109+1/ome_lifetime)/ome_prod+ome_opex+ome_e_demand*1000*$AU109/100+Carriers!$Z$21/Carriers!$Z$23*(CO109*1000000/CS109))*(EO109+ome_st_ab_losses)/1000000</f>
        <v>186735.87645860791</v>
      </c>
      <c r="EL109" s="86">
        <f>(ome_invest*(M109+1/ome_lifetime)/ome_prod+ome_opex+ome_e_demand*1000*$AU109/100+Carriers!$Z$21/Carriers!$Z$23*(CP109*1000000/CS109))*(EO109+ome_st_ab_losses)/1000000</f>
        <v>238560.93450450117</v>
      </c>
      <c r="EM109" s="63">
        <f>ome_st_nl_cost*ome_st_nl_demand/1000000+(ome_st_invest*(M109+1/ome_st_lifetime+ome_st_opex)/(Storage!$S$63/1000000)+ome_st_e_demand*1000*$AU109/100)*(EO109+ome_st_ab_losses)/1000000+co2_st_nl_cost*Storage!$S$12*co2_density/ome_density/1000000+(co2_st_opex_lev+co2_st_invest_lev+co2_st_e_demand*1000*$AU109/100)*Storage!$S$12/1000000+co2_st_invest_lev*Storage!$S$12*co2_st_lifetime*M109/1000000+(h2_demand_kt*1000/365.25*short_st_duration_hrs/24)*(h2_short_st_invest*(1/gh2_short_st_lifetime+$M109+h2_short_st_opex)+h2_short_st_e_demand*1000*$AU109/100)/1000000</f>
        <v>5443.0214620626966</v>
      </c>
      <c r="EN109" s="63">
        <f>ome_st_nl_cost*ome_st_nl_demand/1000000+(ome_st_invest*(M109+1/ome_st_lifetime+ome_st_opex)/(Storage!$S$63/1000000)+ome_st_e_demand*1000*$AU109/100)*(EO109+ome_st_ab_losses)/1000000+(h2_demand_kt*1000/365.25*short_st_duration_hrs/24)*(h2_short_st_invest*(1/gh2_short_st_lifetime+$M109+h2_short_st_opex)+h2_short_st_e_demand*1000*$AU109/100)/1000000</f>
        <v>1907.7597350623364</v>
      </c>
      <c r="EO109" s="63">
        <f>Storage!$S$57/((1-Shipping!$T$37)^($F109/24/Shipping!$T$44+0.5*Shipping!$T$59))</f>
        <v>128282539.68253967</v>
      </c>
      <c r="EP109" s="28">
        <f>IF($E109="","No Port",IF(AND(ship_choice="VLCC",G109="Panama"),"Ship cannot pass through Panama",IF(ship_choice="VLCC",((F109/24/Shipping!$AD$44+F109/24/Shipping!$AD$50+Shipping!$AD$59+Shipping!$AD$64)*(Shipping!$AD$22+wacc_nl*Shipping!$AD$19/365.25*1000000+Shipping!$AD$35)+(F109/24/Shipping!$AD$44*Shipping!$AD$45+Shipping!$AD$64*Shipping!$AD$65)*IF(bunker_choice="HFO",$H109,IF(bunker_choice="hydrogen",$BD109*hfo_e_density_lhv/h2_e_density_lhv,(EK109+EM109)*1000000/EO109*hfo_e_density_lhv/Dme_e_density_lhv))+(F109/24/Shipping!$AD$50*Shipping!$AD$51+Shipping!$AD$59*Shipping!$AD$60)*IF(bunker_choice="HFO",bunker_price_ROT,IF(bunker_choice="hydrogen",$BD109*hfo_e_density_lhv/h2_e_density_lhv,(EK109+EM109)*1000000/EO109*hfo_e_density_lhv/ome_e_density_lhv))+Shipping!$AD$73+IF(G109="Panama",Shipping!$AD$55,0)+IF(G109="Suez",Shipping!$AD$56,0))/Shipping!$AD$31*(EO109+ome_st_ab_losses)/1000000+IF(inland_transport_to_port="hv dc grid",$BM109/100*1000*ER109,IF(inland_transport_to_port="pipeline",$BN109,0)),((F109/24/Shipping!$T$44+F109/24/Shipping!$T$50+Shipping!$T$59+Shipping!$T$64)*(Shipping!$T$22+wacc_nl*Shipping!$T$19/365.25*1000000+Shipping!$T$35)+(F109/24/Shipping!$T$44*Shipping!$T$45+Shipping!$T$64*Shipping!$T$65)*IF(bunker_choice="HFO",$H109,IF(bunker_choice="hydrogen",$BD109*hfo_e_density_lhv/h2_e_density_lhv,(EK109+EM109)*1000000/EO109*hfo_e_density_lhv/Dme_e_density_lhv))+(F109/24/Shipping!$T$50*Shipping!$T$51+Shipping!$T$59*Shipping!$T$60)*IF(bunker_choice="HFO",bunker_price_ROT,IF(bunker_choice="hydrogen",$BD109*hfo_e_density_lhv/h2_e_density_lhv,(EK109+EM109)*1000000/EO109*hfo_e_density_lhv/ome_e_density_lhv))+Shipping!$T$73+IF(G109="Panama",Shipping!$T$55,0)+IF(G109="Suez",Shipping!$T$56,0))/Shipping!$T$31*(EO109+ome_st_ab_losses)/1000000+IF(inland_transport_to_port="hv dc grid",$BM109/100*1000*ER109,IF(inland_transport_to_port="pipeline",$BN109,0)))))</f>
        <v>8583.0545432315739</v>
      </c>
      <c r="EQ109" s="28">
        <f t="shared" si="135"/>
        <v>249051.7487827951</v>
      </c>
      <c r="ER109" s="29">
        <f>(ome_e_demand)*(EO109+ome_st_ab_losses)/1000000+ome_st_e_demand*EM109/1000000+$CV109*(Carriers!$Z$21/Carriers!$Z$23*EO109)/$CS109</f>
        <v>3352.0814583053157</v>
      </c>
      <c r="ES109" s="29">
        <f t="shared" si="163"/>
        <v>0.1924238095238095</v>
      </c>
      <c r="ET109" s="28">
        <f>IFERROR(EQ109*1000000/Storage!$S$12,"")</f>
        <v>1941.4313857452662</v>
      </c>
      <c r="EU109" s="28">
        <f>IF($E109="","No Port",((F109/24/Shipping!$T$44+F109/24/Shipping!$T$50+Shipping!$T$59+Shipping!$T$64)*Carriers!$Z$39*wacc_nl))</f>
        <v>127.15205970880665</v>
      </c>
      <c r="EV109" s="100">
        <f>H2_retrieval!$R$25*h2_demand_kt/1000+(co2_liq_e_demand+co2_st_e_demand*2)*Storage!$S$12*co2_density/ome_density/1000000</f>
        <v>254.51942895252085</v>
      </c>
      <c r="EW109" s="28">
        <f>IFERROR((((EK109+EM109+EP109)*(1+H2_retrieval!$R$34)+EU109)*1000000/H2_retrieval!$R$8)+h2_regen_ome,"")</f>
        <v>15941.386228755748</v>
      </c>
      <c r="EX109" s="149">
        <f>(sng_invest*(M109+1/sng_lifetime)/sng_prod+lng_invest*(M109+1/lng_lifetime)/lng_prod+sng_opex+lng_opex+(sng_e_demand+lng_e_demand)*1000*$AU109/100+Carriers!$AB$18/Carriers!$AB$23*BD109+Carriers!$AB$20/Carriers!$AB$23*co2_liq_cost)*(FB109+lng_st_ab_losses)/1000000</f>
        <v>66059.794646614289</v>
      </c>
      <c r="EY109" s="86">
        <f>(sng_invest*(M109+1/sng_lifetime)/sng_prod+lng_invest*(M109+1/lng_lifetime)/lng_prod+sng_opex+lng_opex+(sng_e_demand+lng_e_demand)*1000*$AU109/100+Carriers!$AB$18/Carriers!$AB$23*BD109+Carriers!$AB$20/Carriers!$AB$23*BP109)*(FB109+lng_st_ab_losses)/1000000</f>
        <v>79783.733882030036</v>
      </c>
      <c r="EZ109" s="63">
        <f>lng_st_nl_cost*lng_st_nl_demand/1000000+(lng_st_invest*(M109+1/lng_st_lifetime+lng_st_opex)/(Storage!$U$63/1000000)+lng_st_e_demand*1000*$AU109/100)*(FB109+lng_st_ab_losses)/1000000+co2_st_nl_cost*Storage!$U$12*co2_density/lng_density/1000000+(co2_st_opex_lev+co2_st_invest_lev+co2_st_e_demand*1000*$AU109/100)*Storage!$U$12/1000000+co2_st_invest_lev*Storage!$U$12*co2_st_lifetime*M109/1000000+Carriers!$AB$18/Carriers!$AB$23*((FB109+lng_st_ab_losses)/365.25*short_st_duration_hrs/24)*(h2_short_st_invest*(1/gh2_short_st_lifetime+$M109+h2_short_st_opex)+h2_short_st_e_demand*1000*$AU109/100)/1000000+Carriers!$AB$20/Carriers!$AB$23*((FB109+lng_st_ab_losses)/365.25*short_st_duration_hrs/24)*(co2_short_st_invest*(1/co2_short_st_lifetime+$M109+co2_short_st_opex)+co2_short_st_e_demand*1000*$AU109/100)/1000000</f>
        <v>6647.1344100877895</v>
      </c>
      <c r="FA109" s="63">
        <f>lng_st_nl_cost*lng_st_nl_demand/1000000+(lng_st_invest*(M109+1/lng_st_lifetime+lng_st_opex)/(Storage!$U$63/1000000)+lng_st_e_demand*1000*$AU109/100)*(FB109+lng_st_ab_losses)/1000000+Carriers!$AB$18/Carriers!$AB$23*((FB109+lng_st_ab_losses)/365.25*short_st_duration_hrs/24)*(h2_short_st_invest*(1/gh2_short_st_lifetime+$M109+h2_short_st_opex)+h2_short_st_e_demand*1000*$AU109/100)/1000000+Carriers!$AB$20/Carriers!$AB$23*((FB109+lng_st_ab_losses)/365.25*short_st_duration_hrs/24)*(co2_short_st_invest*(1/co2_short_st_lifetime+$M109+co2_short_st_opex)+co2_short_st_e_demand*1000*$AU109/100)/1000000</f>
        <v>4983.7747843368752</v>
      </c>
      <c r="FB109" s="63">
        <f>Storage!$U$57/((1-Shipping!$V$37)^($F109/24/Shipping!$V$44+0.5*Shipping!$V$59))</f>
        <v>41518362.947106257</v>
      </c>
      <c r="FC109" s="28">
        <f>IF($E109="","No Port",IF(G109="Panama","Ship cannot pass through Panama",((F109/24/Shipping!$V$44+F109/24/Shipping!$V$50+Shipping!$V$59+Shipping!$V$64)*(Shipping!$V$22+wacc_nl*Shipping!$V$19/365.25*1000000+Shipping!$V$35)+(F109/24/Shipping!$V$44*Shipping!$V$45+Shipping!$V$64*Shipping!$V$65)*IF(bunker_choice="HFO",$H109,IF(bunker_choice="hydrogen",$BD109*hfo_e_density_lhv/h2_e_density_lhv,(EX109+EZ109)*1000000/FB109*hfo_e_density_lhv/lng_e_density_lhv))+(F109/24/Shipping!$V$50*Shipping!$V$51+Shipping!$V$59*Shipping!$V$60)*IF(bunker_choice="HFO",bunker_price_ROT,IF(bunker_choice="hydrogen",$BD109*hfo_e_density_lhv/h2_e_density_lhv,(EX109+EZ109)*1000000/FB109*hfo_e_density_lhv/lng_e_density_lhv))+Shipping!$V$73+IF(G109="Panama",Shipping!$V$55,0)+IF(G109="Suez",Shipping!$V$56,0))/Shipping!$V$31*(FB109+lng_st_ab_losses)/1000000)+IF(inland_transport_to_port="hv dc grid",$BM109/100*1000*FE109,IF(inland_transport_to_port="pipeline",$BN109,0)))</f>
        <v>3810.6639249766104</v>
      </c>
      <c r="FD109" s="28">
        <f t="shared" si="136"/>
        <v>88578.172591343522</v>
      </c>
      <c r="FE109" s="29">
        <f>((Carriers!$AB$18/Carriers!$AB$23*alk_el_e_demand)+sng_e_demand+lng_e_demand)*(FB109+lng_st_ab_losses)/1000000+lng_st_e_demand*EZ109/1000000</f>
        <v>1113.4811318310219</v>
      </c>
      <c r="FF109" s="29">
        <f t="shared" si="164"/>
        <v>0.8126185861001558</v>
      </c>
      <c r="FG109" s="28">
        <f>IFERROR(FD109*1000000/Storage!$U$12,"")</f>
        <v>2182.5816932316338</v>
      </c>
      <c r="FH109" s="28">
        <f>IF($E109="","No Port",((F109/24/Shipping!$V$44+F109/24/Shipping!$V$50+Shipping!$V$59+Shipping!$V$64)*Carriers!$AB$39*wacc_nl))</f>
        <v>37.368132455546814</v>
      </c>
      <c r="FI109" s="100">
        <f>H2_retrieval!$T$25*h2_demand_kt/1000+(co2_liq_e_demand+co2_st_e_demand*2)*Storage!$U$12*co2_density/lng_density/1000000</f>
        <v>236.51371749646054</v>
      </c>
      <c r="FJ109" s="28">
        <f>IFERROR((((EX109+EZ109+FC109)*(1+H2_retrieval!$T$34)+FH109)*1000000/H2_retrieval!$T$8)+h2_regen_lng,"")</f>
        <v>6799.1698015883403</v>
      </c>
      <c r="FK109" s="149">
        <f>(lh2_invest*(M109+1/lh2_lifetime)/lh2_prod+lh2_opex+lh2_e_demand*1000*$AU109/100+Carriers!$AD$18/Carriers!$AD$23*BD109)*(FM109+lh2_st_ab_losses)/1000000</f>
        <v>53617.3546926044</v>
      </c>
      <c r="FL109" s="28">
        <f>lh2_st_nl_cost*lh2_st_nl_demand/1000000+(lh2_st_invest*(M109+1/lh2_st_lifetime+lh2_st_opex)/(Storage!$Y$63/1000000)+lh2_st_e_demand*1000*$AU109/100)*(FM109+lh2_st_ab_losses)/1000000+((FM109+lh2_st_ab_losses)/365.25*short_st_duration_hrs/24)*(h2_short_st_invest*(1/gh2_short_st_lifetime+$M109+h2_short_st_opex)+h2_short_st_e_demand*1000*$AU109/100)/1000000</f>
        <v>57691.548342919436</v>
      </c>
      <c r="FM109" s="63">
        <f>Storage!$Y$57/((1-Shipping!$Z$37)^($F109/24/Shipping!$Z$44+0.5*Shipping!$Z$59))</f>
        <v>14098249.402632385</v>
      </c>
      <c r="FN109" s="28">
        <f>IF($E109="","No Port",IF(G109="Panama","Ship cannot pass through Panama",((F109/24/Shipping!$Z$44+F109/24/Shipping!$Z$50+Shipping!$Z$59+Shipping!$Z$64)*(Shipping!$Z$22+wacc_nl*Shipping!$Z$19/365.25*1000000+Shipping!$Z$35)+(F109/24/Shipping!$Z$44*Shipping!$Z$45+Shipping!$Z$64*Shipping!$Z$65)*IF(bunker_choice="HFO",$H109,IF(bunker_choice="hydrogen",$BD109*hfo_e_density_lhv/h2_e_density_lhv,(FK109+FL109)*1000000/FM109*hfo_e_density_lhv/lh2_e_density_lhv))+(F109/24/Shipping!$Z$50*Shipping!$Z$51+Shipping!$Z$59*Shipping!$Z$60)*IF(bunker_choice="HFO",bunker_price_ROT,IF(bunker_choice="hydrogen",$BD109*hfo_e_density_lhv/h2_e_density_lhv,(FK109+FL109)*1000000/FM109*hfo_e_density_lhv/lh2_e_density_lhv))+Shipping!$Z$73+IF(G109="Panama",Shipping!$Z$55,0)+IF(G109="Suez",Shipping!$Z$56,0))/Shipping!$Z$31*(FM109+lh2_st_ab_losses)/1000000)+IF(inland_transport_to_port="hv dc grid",$BM109/100*1000*FP109,IF(inland_transport_to_port="pipeline",$BN109,0)))</f>
        <v>5783.3407892444184</v>
      </c>
      <c r="FO109" s="28">
        <f t="shared" si="128"/>
        <v>117092.24382476826</v>
      </c>
      <c r="FP109" s="29">
        <f>((Carriers!$AD$18/Carriers!$AD$23*alk_el_e_demand)+lh2_e_demand)*(FM109+lh2_st_ab_losses)/1000000+lh2_st_e_demand*FM109/1000000</f>
        <v>816.96474608033986</v>
      </c>
      <c r="FQ109" s="100">
        <f t="shared" si="165"/>
        <v>1.361902463475859</v>
      </c>
      <c r="FR109" s="28">
        <f>IFERROR(FO109*1000000/Storage!$Y$12,"")</f>
        <v>8609.7238106447257</v>
      </c>
      <c r="FS109" s="100">
        <f>H2_retrieval!$V$25*h2_demand_kt/1000</f>
        <v>8.16</v>
      </c>
      <c r="FT109" s="28">
        <f>IFERROR(FR109*(1+H2_retrieval!$V$34)/Carrier_properties!$U$7+H2_retrieval!$V$38,"")</f>
        <v>8641.6925365131938</v>
      </c>
      <c r="FU109" s="12"/>
      <c r="FV109" s="24">
        <f t="shared" si="129"/>
        <v>2.4092810200858708</v>
      </c>
      <c r="FW109" s="24">
        <f t="shared" si="143"/>
        <v>5.0377910035834432</v>
      </c>
      <c r="FX109" s="24" t="str">
        <f t="shared" si="144"/>
        <v/>
      </c>
      <c r="FY109" s="24">
        <f t="shared" si="130"/>
        <v>2.4092810200858708</v>
      </c>
      <c r="FZ109" s="28">
        <f t="shared" si="145"/>
        <v>2691.0507424124366</v>
      </c>
      <c r="GA109" s="28">
        <f t="shared" si="137"/>
        <v>640.27774776750107</v>
      </c>
      <c r="GB109" s="28">
        <f t="shared" si="138"/>
        <v>468.92557366673435</v>
      </c>
      <c r="GC109" s="28">
        <f t="shared" si="139"/>
        <v>722.93345563878961</v>
      </c>
      <c r="GD109" s="28">
        <f t="shared" si="140"/>
        <v>1059.2135227865281</v>
      </c>
      <c r="GE109" s="28">
        <f t="shared" si="141"/>
        <v>1859.6524132969851</v>
      </c>
      <c r="GF109" s="28">
        <f t="shared" si="142"/>
        <v>1921.649318969374</v>
      </c>
      <c r="GG109" s="12"/>
      <c r="GH109" s="12"/>
      <c r="GI109" s="12"/>
      <c r="GJ109" s="12"/>
      <c r="GK109" s="12"/>
      <c r="GL109" s="12"/>
      <c r="GM109" s="12"/>
      <c r="GN109" s="12"/>
      <c r="GO109" s="12"/>
      <c r="GP109" s="12"/>
      <c r="GQ109" s="12"/>
      <c r="GR109" s="12"/>
      <c r="GS109" s="12"/>
      <c r="GT109" s="12"/>
      <c r="GU109" s="12"/>
      <c r="GV109" s="12"/>
      <c r="GW109" s="12"/>
      <c r="GX109" s="12"/>
      <c r="GY109" s="12"/>
      <c r="GZ109" s="12"/>
      <c r="HA109" s="12"/>
      <c r="HB109" s="12"/>
      <c r="HC109" s="12"/>
      <c r="HD109" s="12"/>
      <c r="HE109" s="12"/>
      <c r="HF109" s="12"/>
    </row>
    <row r="110" spans="1:214" x14ac:dyDescent="0.2">
      <c r="A110" s="154" t="s">
        <v>113</v>
      </c>
      <c r="B110" s="12">
        <v>8992</v>
      </c>
      <c r="C110" s="12">
        <v>0</v>
      </c>
      <c r="D110" s="12">
        <f t="shared" si="111"/>
        <v>1</v>
      </c>
      <c r="E110" s="12" t="s">
        <v>767</v>
      </c>
      <c r="F110" s="12">
        <v>4801</v>
      </c>
      <c r="G110" s="12"/>
      <c r="H110" s="16">
        <f t="shared" si="166"/>
        <v>382.75862068965517</v>
      </c>
      <c r="I110" s="16">
        <v>74340</v>
      </c>
      <c r="J110" s="16">
        <f t="shared" si="113"/>
        <v>153.8283359427092</v>
      </c>
      <c r="K110" s="27">
        <f t="shared" si="114"/>
        <v>184.59400313125104</v>
      </c>
      <c r="L110" s="103">
        <v>0.1</v>
      </c>
      <c r="M110" s="103">
        <f t="shared" si="167"/>
        <v>0.11214503799107289</v>
      </c>
      <c r="N110" s="122">
        <f t="shared" si="116"/>
        <v>0.9</v>
      </c>
      <c r="O110" s="46">
        <f t="shared" si="168"/>
        <v>40</v>
      </c>
      <c r="P110" s="70">
        <f t="array" ref="P110">SUMPRODUCT(IF(Solar_data!A$4:A$777=A110,Solar_data!C$4:C$777),IF(Solar_data!A$4:A$777=A110,Solar_data!I$4:I$777))/SUMIF(Solar_data!A$4:A$777,A110,Solar_data!I$4:I$777)</f>
        <v>1661.3442546557546</v>
      </c>
      <c r="Q110" s="16">
        <f t="array" ref="Q110">MAX(IF(Solar_data!$A$777:'Solar_data'!$A$4=Country_details!$A110,Solar_data!$C$4:'Solar_data'!$C$777))</f>
        <v>1916.25</v>
      </c>
      <c r="R110" s="16">
        <f t="array" ref="R110">MIN(IF(Solar_data!$A$777:'Solar_data'!$A$4=Country_details!A110,Solar_data!$C$4:'Solar_data'!$C$777))</f>
        <v>1551.25</v>
      </c>
      <c r="S110" s="24">
        <f t="shared" si="149"/>
        <v>2.5031723718720564</v>
      </c>
      <c r="T110" s="24">
        <f t="shared" si="150"/>
        <v>2.170192322725458</v>
      </c>
      <c r="U110" s="24">
        <f t="shared" si="151"/>
        <v>2.6808258104255658</v>
      </c>
      <c r="V110" s="16">
        <f t="array" ref="V110">SUM(IF(Solar_data!$A$777:'Solar_data'!$A$4=Country_details!$A110,Solar_data!$I$4:'Solar_data'!$I$777))</f>
        <v>500.11730179838332</v>
      </c>
      <c r="W110" s="148"/>
      <c r="X110" s="16" t="str">
        <f>IFERROR(INDEX(Onshore_wind_data!$J$5:'Onshore_wind_data'!$J$221,MATCH(A110,Onshore_wind_data!$B$5:'Onshore_wind_data'!$B$221,0)),"")</f>
        <v/>
      </c>
      <c r="Y110" s="16" t="str">
        <f>IFERROR(INDEX(Onshore_wind_data!$K$5:'Onshore_wind_data'!$K$221,MATCH(A110,Onshore_wind_data!$B$5:'Onshore_wind_data'!$B$221,0)),"")</f>
        <v/>
      </c>
      <c r="Z110" s="16" t="str">
        <f>IFERROR(INDEX(Onshore_wind_data!$L$5:'Onshore_wind_data'!$L$221,MATCH(A110,Onshore_wind_data!$B$5:'Onshore_wind_data'!$B$221,0)),"")</f>
        <v/>
      </c>
      <c r="AA110" s="24" t="str">
        <f t="shared" si="169"/>
        <v/>
      </c>
      <c r="AB110" s="24" t="str">
        <f t="shared" si="170"/>
        <v/>
      </c>
      <c r="AC110" s="24" t="str">
        <f t="shared" si="171"/>
        <v/>
      </c>
      <c r="AD110" s="16">
        <f>IFERROR(INDEX(Onshore_wind_data!$I$5:'Onshore_wind_data'!$I$221,MATCH(A110,Onshore_wind_data!$B$5:'Onshore_wind_data'!$B$221,0)),"")</f>
        <v>0</v>
      </c>
      <c r="AE110" s="148"/>
      <c r="AF110" s="16">
        <f>INDEX(Offshore_wind_data!$AA$7:$AA$192,MATCH(Country_details!A110,Offshore_wind_data!$A$7:$A$192,0))</f>
        <v>3314.9139966273187</v>
      </c>
      <c r="AG110" s="16">
        <f>INDEX(Offshore_wind_data!$Y$7:$Y$192,MATCH(Country_details!A110,Offshore_wind_data!$A$7:$A$192,0))</f>
        <v>3504</v>
      </c>
      <c r="AH110" s="16">
        <f>INDEX(Offshore_wind_data!$Z$7:$Z$192,MATCH(Country_details!A110,Offshore_wind_data!$A$7:$A$192,0))</f>
        <v>3153.6</v>
      </c>
      <c r="AI110" s="24">
        <f t="shared" si="152"/>
        <v>7.6925993690016972</v>
      </c>
      <c r="AJ110" s="24">
        <f t="shared" si="153"/>
        <v>7.2774843946204921</v>
      </c>
      <c r="AK110" s="24">
        <f t="shared" si="154"/>
        <v>8.0860937718005488</v>
      </c>
      <c r="AL110" s="16">
        <f>INDEX(Offshore_wind_data!$W$7:$W$191,MATCH(A110,Offshore_wind_data!$A$7:$A$191,0))</f>
        <v>39.314879999999995</v>
      </c>
      <c r="AM110" s="148"/>
      <c r="AN110" s="12">
        <v>4.0999999999999996</v>
      </c>
      <c r="AO110" s="12">
        <v>5.8</v>
      </c>
      <c r="AP110" s="34">
        <f>1.057*11.63</f>
        <v>12.292910000000001</v>
      </c>
      <c r="AQ110" s="15">
        <f t="shared" si="155"/>
        <v>50</v>
      </c>
      <c r="AR110" s="12">
        <f t="shared" si="131"/>
        <v>290</v>
      </c>
      <c r="AS110" s="16">
        <f t="shared" si="121"/>
        <v>249.43218179838334</v>
      </c>
      <c r="AT110" s="12"/>
      <c r="AU110" s="24">
        <f t="shared" si="147"/>
        <v>2.5031723718720564</v>
      </c>
      <c r="AV110" s="16">
        <f t="shared" si="148"/>
        <v>1661.3442546557546</v>
      </c>
      <c r="AW110" s="149">
        <f>HV_DC_Grid!$E$3/(1-AX110)*AU110/100*1000</f>
        <v>3029.5170232477549</v>
      </c>
      <c r="AX110" s="31">
        <f>(1-(1-HV_DC_Grid!$E$25)^(B110*C110*HV_DC_Grid!$E$8/1000))+(1-(1-HV_DC_Grid!$E$26)^(B110*D110*HV_DC_Grid!$E$8/1000))+HV_DC_Grid!$E$35*HV_DC_Grid!$E$28</f>
        <v>0.17373879972835982</v>
      </c>
      <c r="AY110" s="28">
        <f>B110*nl_e_demand/IF(hv_dc_flh="electricity FLH",$AV110,hv_dc_custom)*1000*hv_dc_capacity_multiplier*hv_dc_length_multiplier*1000*(C110*hv_dc_overhead_invest*(hv_dc_overhead_opex+M110+1/hv_dc_lifetime)+D110*hv_dc_sea_invest*(hv_dc_sea_opex+M110+1/hv_dc_lifetime))/1000000+HV_DC_Grid!$E$10*1000*hv_dc_station_invest*hv_dc_station_number*(hv_dc_station_opex+M110+1/hv_dc_lifetime)/1000000</f>
        <v>22251.186096733232</v>
      </c>
      <c r="AZ110" s="24">
        <f>(AW110+AY110)/(HV_DC_Grid!$E$3*1000)*100</f>
        <v>25.280703119980984</v>
      </c>
      <c r="BA110" s="28">
        <f>MIN(((Carriers!$F$26+Carriers!$F$27)*(alk_el_opex+wacc_nl+1/alk_el_lifetime)+IF(hv_dc_flh="electricity FLH",$AV110,hv_dc_custom)*AZ110/100)/(IF(hv_dc_flh="electricity FLH",$AV110,hv_dc_custom)/alk_el_e_demand)*1000,((Carriers!$H$26+Carriers!$H$27)*(pem_el_opex+wacc_nl+1/pem_el_lifetime)+IF(hv_dc_flh="electricity FLH",$AV110,hv_dc_custom)*AZ110/100)/(IF(hv_dc_flh="electricity FLH",$AV110,hv_dc_custom)/pem_el_e_demand)*1000)</f>
        <v>13138.865356140217</v>
      </c>
      <c r="BB110" s="12"/>
      <c r="BC110" s="12"/>
      <c r="BD110" s="149">
        <f>MIN(((Carriers!$F$26+Carriers!$F$27)*(alk_el_opex+M110+1/alk_el_lifetime)+$AV110*$AU110/100)/($AV110/alk_el_e_demand)*1000,((Carriers!$H$26+Carriers!$H$27)*(pem_el_opex+M110+1/pem_el_lifetime)+$AV110*$AU110/100)/($AV110/pem_el_e_demand)*1000)</f>
        <v>3184.9522619026884</v>
      </c>
      <c r="BE110" s="28">
        <f>Storage!$AC$50</f>
        <v>8.1664117557772418</v>
      </c>
      <c r="BF110" s="28">
        <f>((Pipeline!$D$22*Pipeline!$D$24*B110*(pipeline_opex+M110+1/pipeline_lifetime))*(Pipeline!$D$39/Pipeline!$D$3)+(Pipeline!$D$57*(pipeline_comp_opex+M110+1/pipeline_comp_lifetime)+Pipeline!$D$47*1000*Pipeline!$D$45*$AU110/100/1000000))*(Pipeline!$D$75/Pipeline!$D$45)</f>
        <v>18815.96310113592</v>
      </c>
      <c r="BG110" s="28">
        <f>BD110+(BE110+BF110)/Storage!$AC$12*1000000</f>
        <v>4569.0794319682545</v>
      </c>
      <c r="BH110" s="28"/>
      <c r="BI110" s="28"/>
      <c r="BJ110" s="28">
        <f>IF($E110="","No Port",BK110*HV_DC_Grid!$E$3*$AU110/100*1000)</f>
        <v>43.971951257490574</v>
      </c>
      <c r="BK110" s="31">
        <f>IFERROR((1-(1-HV_DC_Grid!$E$25)^(K110*HV_DC_Grid!$E$8/1000))+HV_DC_Grid!$E$35*HV_DC_Grid!$E$28,"")</f>
        <v>1.7566489528088355E-2</v>
      </c>
      <c r="BL110" s="28">
        <f>IFERROR(K110*nl_e_demand/IF(hv_dc_flh="electricity FLH",$AV110,hv_dc_custom)*1000*hv_dc_capacity_multiplier*hv_dc_length_multiplier*1000*(hv_dc_overhead_invest*(hv_dc_overhead_opex+M110+1/hv_dc_lifetime))/1000000+HV_DC_Grid!$E$10*1000*hv_dc_station_invest*hv_dc_station_number*(hv_dc_station_opex+M110+1/hv_dc_lifetime)/1000000,"")</f>
        <v>531.87874396382142</v>
      </c>
      <c r="BM110" s="29">
        <f>IFERROR((BJ110+BL110)/(HV_DC_Grid!$E$3*1000)*100,"")</f>
        <v>0.57585069522131205</v>
      </c>
      <c r="BN110" s="28">
        <f>IFERROR(((Pipeline!$D$22*Pipeline!$D$24*K110*(pipeline_opex+M110+1/pipeline_lifetime))*(Pipeline!$D$39/Pipeline!$D$3)+(Pipeline!$D$57*(pipeline_comp_opex+M110+1/pipeline_comp_lifetime)+Pipeline!$D$47*1000*Pipeline!$D$45*S110/100/1000000))*(Pipeline!$D$75/Pipeline!$D$45),"")</f>
        <v>466.46404769331997</v>
      </c>
      <c r="BO110" s="28"/>
      <c r="BP110" s="150">
        <f t="shared" si="172"/>
        <v>106.33996704083276</v>
      </c>
      <c r="BQ110" s="34">
        <f t="shared" si="173"/>
        <v>31.692606919977223</v>
      </c>
      <c r="BR110" s="151">
        <f>(nh3_invest*(M110+1/nh3_lifetime)/nh3_prod+nh3_opex+nh3_e_demand*1000*$AU110/100+Carriers!$N$18/Carriers!$N$23*BD110+Carriers!$N$19/Carriers!$N$23*BQ110)*(BT110+nh3_st_ab_losses)/1000000</f>
        <v>55560.8058597903</v>
      </c>
      <c r="BS110" s="63">
        <f>nh3_st_nl_cost*nh3_st_nl_demand/1000000+(nh3_st_invest*(M110+1/nh3_st_lifetime+nh3_st_opex)/(Storage!$G$63/1000000)+nh3_st_e_demand*1000*$AU110/100)*(BT110+nh3_st_ab_losses)/1000000+Carriers!$N$18/Carriers!$N$23*((BT110+nh3_st_ab_losses)/365.25*short_st_duration_hrs/24)*(h2_short_st_invest*(1/gh2_short_st_lifetime+$M110+h2_short_st_opex)+h2_short_st_e_demand*1000*$AU110/100)/1000000+Carriers!$N$19/Carriers!$N$23*((BT110+nh3_st_ab_losses)/365.25*short_st_duration_hrs/24)*(n2_short_st_invest*(1/n2_short_st_lifetime+$M110+n2_short_st_opex)+n2_short_st_e_demand*1000*$AU110/100)/1000000</f>
        <v>3285.6815696158719</v>
      </c>
      <c r="BT110" s="63">
        <f>Storage!$G$57/((1-Shipping!$H$37)^(F110/24/Shipping!$H$44+0.5*Shipping!$H$59))</f>
        <v>79224768.87004897</v>
      </c>
      <c r="BU110" s="63">
        <f>IF($E110="","No Port",((F110/24/Shipping!$H$44+F110/24/Shipping!$H$50+Shipping!$H$59+Shipping!$H$64)*(Shipping!$H$22+wacc_nl*Shipping!$H$19/365.25*1000000+Shipping!$H$35)+(F110/24/Shipping!$H$44*Shipping!$H$45+Shipping!$H$64*Shipping!$H$65)*IF(bunker_choice="HFO",H110,IF(bunker_choice="hydrogen",BD110*hfo_e_density_lhv/h2_e_density_lhv,(BR110+BS110)*1000000/BT110*hfo_e_density_lhv/nh3_e_density_lhv))+(F110/24/Shipping!$H$50*Shipping!$H$51+Shipping!$H$59*Shipping!$H$60)*IF(bunker_choice="HFO",bunker_price_ROT,IF(bunker_choice="hydrogen",BD110*hfo_e_density_lhv/h2_e_density_lhv,(BR110+BS110)*1000000/BT110*hfo_e_density_lhv/nh3_e_density_lhv))+Shipping!$H$73+IF(G110="Panama",Shipping!$H$55,0)+IF(G110="Suez",Shipping!$H$56,0))/Shipping!$H$31*BT110/1000000+IF(inland_transport_to_port="hv dc grid",$BM110/100*1000*BW110,IF(inland_transport_to_port="pipeline",$BN110,0)))</f>
        <v>3792.2665079559783</v>
      </c>
      <c r="BV110" s="63">
        <f t="shared" si="174"/>
        <v>62638.753937362155</v>
      </c>
      <c r="BW110" s="33">
        <f>((Carriers!$N$18/Carriers!$N$23*alk_el_e_demand)+(Carriers!$N$19/Carriers!$N$23*n2_e_demand)+nh3_e_demand)*(BT110+nh3_st_ab_losses)/1000000+nh3_st_e_demand*BT110/1000000</f>
        <v>782.36310967386635</v>
      </c>
      <c r="BX110" s="33">
        <f t="shared" si="156"/>
        <v>0.76626754477640768</v>
      </c>
      <c r="BY110" s="63">
        <f>IFERROR(BV110*1000000/Storage!$G$12,"")</f>
        <v>818.13387979333299</v>
      </c>
      <c r="BZ110" s="63">
        <f>H2_retrieval!$F$25*h2_demand_kt/1000</f>
        <v>80</v>
      </c>
      <c r="CA110" s="63">
        <f>IFERROR(BY110*(1+H2_retrieval!$F$34)/Carrier_properties!$E$7+H2_retrieval!$F$38,"")</f>
        <v>5015.0167103321292</v>
      </c>
      <c r="CB110" s="149">
        <f>(FA_invest*(M110+1/FA_lifetime)/FA_prod+FA_opex+FA_e_demand*1000*$AU110/100+Carriers!$P$18/Carriers!$P$23*BD110+Carriers!$P$20/Carriers!$P$23*co2_liq_cost)*(CF110+FA_st_ab_losses)/1000000</f>
        <v>106998.20990264956</v>
      </c>
      <c r="CC110" s="86">
        <f>(FA_invest*(M110+1/FA_lifetime)/FA_prod+FA_opex+FA_e_demand*1000*$AU110/100+Carriers!$P$18/Carriers!$P$23*BD110+Carriers!$P$20/Carriers!$P$23*BP110)*(CF110+FA_st_ab_losses)/1000000</f>
        <v>132530.98520955979</v>
      </c>
      <c r="CD110" s="63">
        <f>FA_st_nl_cost*FA_st_nl_demand/1000000+(FA_st_invest*(M110+1/FA_st_lifetime+FA_st_opex)/(Storage!$I$63/1000000)+FA_st_e_demand*1000*$AU110/100)*(CF110+FA_st_ab_losses)/1000000+co2_st_nl_cost*Storage!$I$12*co2_density/FA_density/1000000+(co2_st_opex_lev+co2_st_invest_lev+co2_st_e_demand*1000*$AU110/100)*Storage!$I$12/1000000+co2_st_invest_lev*Storage!$I$12*co2_st_lifetime*M110/1000000+Carriers!$P$18/Carriers!$P$23*((CF110+FA_st_ab_losses)/365.25*short_st_duration_hrs/24)*(h2_short_st_invest*(1/gh2_short_st_lifetime+$M110+h2_short_st_opex)+h2_short_st_e_demand*1000*$AU110/100)/1000000+Carriers!$P$20/Carriers!$P$23*((CF110+FA_st_ab_losses)/365.25*short_st_duration_hrs/24)*(co2_short_st_invest*(1/co2_short_st_lifetime+$M110+co2_short_st_opex)+co2_short_st_e_demand*1000*$AU110/100)/1000000</f>
        <v>11309.016588416878</v>
      </c>
      <c r="CE110" s="63">
        <f>FA_st_nl_cost*FA_st_nl_demand/1000000+(FA_st_invest*(M110+1/FA_st_lifetime+FA_st_opex)/(Storage!$I$63/1000000)+FA_st_e_demand*1000*$AU110/100)*(CF110+FA_st_ab_losses)/1000000+Carriers!$P$18/Carriers!$P$23*((CF110+FA_st_ab_losses)/365.25*short_st_duration_hrs/24)*(h2_short_st_invest*(1/gh2_short_st_lifetime+$M110+h2_short_st_opex)+h2_short_st_e_demand*1000*$AU110/100)/1000000+Carriers!$P$20/Carriers!$P$23*((CF110+FA_st_ab_losses)/365.25*short_st_duration_hrs/24)*(co2_short_st_invest*(1/co2_short_st_lifetime+$M110+co2_short_st_opex)+co2_short_st_e_demand*1000*$AU110/100)/1000000</f>
        <v>4865.6542754580596</v>
      </c>
      <c r="CF110" s="63">
        <f>Storage!$I$57/((1-Shipping!$J$37)^($F110/24/Shipping!$J$44+0.5*Shipping!$J$59))</f>
        <v>310425396.82539684</v>
      </c>
      <c r="CG110" s="28">
        <f>IF($E110="","No Port",((F110/24/Shipping!$J$44+F110/24/Shipping!$J$50+Shipping!$J$59+Shipping!$J$64)*(Shipping!$J$22+wacc_nl*Shipping!$J$19/365.25*1000000+Shipping!$J$35)+(F110/24/Shipping!$J$44*Shipping!$J$45+Shipping!$J$64*Shipping!$J$65)*IF(bunker_choice="HFO",$H110,IF(bunker_choice="hydrogen",$BD110*hfo_e_density_lhv/h2_e_density_lhv,(CB110+CD110)*1000000/CF110*hfo_e_density_lhv/FA_e_density_lhv))+(F110/24/Shipping!$J$50*Shipping!$J$51+Shipping!$J$59*Shipping!$J$60)*IF(bunker_choice="HFO",bunker_price_ROT,IF(bunker_choice="hydrogen",$BD110*hfo_e_density_lhv/h2_e_density_lhv,(CB110+CD110)*1000000/CF110*hfo_e_density_lhv/FA_e_density_lhv))+Shipping!$J$73+IF(G110="Panama",Shipping!$J$55,0)+IF(G110="Suez",Shipping!$J$56,0))/Shipping!$J$31*CF110/1000000+IF(inland_transport_to_port="hv dc grid",$BM110/100*1000*CI110,IF(inland_transport_to_port="pipeline",$BN110,0)))</f>
        <v>15112.850285397499</v>
      </c>
      <c r="CH110" s="28">
        <f t="shared" si="132"/>
        <v>152509.48977041536</v>
      </c>
      <c r="CI110" s="29">
        <f>((Carriers!$P$18/Carriers!$P$23*alk_el_e_demand)+FA_e_demand)*(CF110+FA_st_ab_losses)/1000000+FA_st_e_demand*CF110/1000000</f>
        <v>1897.8881241622576</v>
      </c>
      <c r="CJ110" s="29">
        <f t="shared" si="157"/>
        <v>0.46563809523809524</v>
      </c>
      <c r="CK110" s="28">
        <f>IFERROR(CH110*1000000/Storage!$I$12,"")</f>
        <v>491.29192176307811</v>
      </c>
      <c r="CL110" s="28">
        <f>IF($E110="","No Port",((F110/24/Shipping!$J$44+F110/24/Shipping!$J$50+Shipping!$J$59+Shipping!$J$64)*Carriers!$P$39*wacc_nl))</f>
        <v>243.72387342359858</v>
      </c>
      <c r="CM110" s="29">
        <f>H2_retrieval!$H$25*h2_demand_kt/1000+(co2_liq_e_demand+co2_st_e_demand*2)*Storage!$I$12*co2_density/FA_density/1000000</f>
        <v>94.204253879484654</v>
      </c>
      <c r="CN110" s="28">
        <f>IFERROR((((CB110+CD110+CG110)*(1+H2_retrieval!$H$34)+CL110)*1000000/H2_retrieval!$H$8)+h2_regen_fa,"")</f>
        <v>9917.9080037880976</v>
      </c>
      <c r="CO110" s="149">
        <f>(meoh_invest*(M110+1/meoh_lifetime)/meoh_prod+meoh_opex+meoh_e_demand*1000*$AU110/100+Carriers!$R$18/Carriers!$R$23*BD110+Carriers!$R$20/Carriers!$R$23*co2_liq_cost)*(CS110+meoh_st_ab_losses)/1000000</f>
        <v>69420.513563074041</v>
      </c>
      <c r="CP110" s="86">
        <f>(meoh_invest*(M110+1/meoh_lifetime)/meoh_prod+meoh_opex+meoh_e_demand*1000*$AU110/100+Carriers!$R$18/Carriers!$R$23*BD110+Carriers!$R$20/Carriers!$R$23*BP110)*(CS110+meoh_st_ab_losses)/1000000</f>
        <v>84409.040911893229</v>
      </c>
      <c r="CQ110" s="63">
        <f>meoh_st_nl_cost*meoh_st_nl_demand/1000000+(meoh_st_invest*(M110+1/meoh_st_lifetime+meoh_st_opex)/(Storage!$K$63/1000000)+meoh_st_e_demand*1000*$AU110/100)*(CS110+meoh_st_ab_losses)/1000000+co2_st_nl_cost*Storage!$K$12*co2_density/meoh_density/1000000+(co2_st_opex_lev+co2_st_invest_lev+co2_st_e_demand*1000*IFERROR(MIN(S110,AA110,AI110),S110)/100)*Storage!$K$12/1000000+co2_st_invest_lev*Storage!$K$12*co2_st_lifetime*M110/1000000+Carriers!$R$18/Carriers!$R$23*((CS110+meoh_st_ab_losses)/365.25*short_st_duration_hrs/24)*(h2_short_st_invest*(1/gh2_short_st_lifetime+$M110+h2_short_st_opex)+h2_short_st_e_demand*1000*$AU110/100)/1000000+Carriers!$R$20/Carriers!$R$23*((CF110+meoh_st_ab_losses)/365.25*short_st_duration_hrs/24)*(co2_short_st_invest*(1/co2_short_st_lifetime+$M110+co2_short_st_opex)+co2_short_st_e_demand*1000*$AU110/100)/1000000</f>
        <v>4744.3448173250972</v>
      </c>
      <c r="CR110" s="63">
        <f>meoh_st_nl_cost*meoh_st_nl_demand/1000000+(meoh_st_invest*(M110+1/meoh_st_lifetime+meoh_st_opex)/(Storage!$K$63/1000000)+meoh_st_e_demand*1000*$AU110/100)*(CS110+meoh_st_ab_losses)/1000000+Carriers!$R$18/Carriers!$R$23*((CS110+meoh_st_ab_losses)/365.25*short_st_duration_hrs/24)*(h2_short_st_invest*(1/gh2_short_st_lifetime+$M110+h2_short_st_opex)+h2_short_st_e_demand*1000*$AU110/100)/1000000+Carriers!$R$20/Carriers!$R$23*((CF110+meoh_st_ab_losses)/365.25*short_st_duration_hrs/24)*(co2_short_st_invest*(1/co2_short_st_lifetime+$M110+co2_short_st_opex)+co2_short_st_e_demand*1000*$AU110/100)/1000000</f>
        <v>1902.7167550751633</v>
      </c>
      <c r="CS110" s="63">
        <f>Storage!$K$57/((1-Shipping!$L$37)^($F110/24/Shipping!$L$44+0.5*Shipping!$L$59))</f>
        <v>108044444.44444443</v>
      </c>
      <c r="CT110" s="28">
        <f>IF($E110="","No Port",IF(AND(ship_choice="VLCC",G110="Panama"),"Ship cannot pass through Panama",IF(ship_choice="VLCC",((F110/24/Shipping!$AD$44+F110/24/Shipping!$AD$50+Shipping!$AD$59+Shipping!$AD$64)*(Shipping!$AD$22+wacc_nl*Shipping!$AD$19/365.25*1000000+Shipping!$AD$35)+(F110/24/Shipping!$AD$44*Shipping!$AD$45+Shipping!$AD$64*Shipping!$AD$65)*IF(bunker_choice="HFO",$H110,IF(bunker_choice="hydrogen",$BD110*hfo_e_density_lhv/h2_e_density_lhv,(CO110+CQ110)*1000000/CS110*hfo_e_density_lhv/meoh_e_density_lhv))+(F110/24/Shipping!$AD$50*Shipping!$AD$51+Shipping!$AD$59*Shipping!$AD$60)*IF(bunker_choice="HFO",bunker_price_ROT,IF(bunker_choice="hydrogen",$BD110*hfo_e_density_lhv/h2_e_density_lhv,(CO110+CQ110)*1000000/CS110*hfo_e_density_lhv/meoh_e_density_lhv))+Shipping!$AD$73+IF(G110="Panama",Shipping!$AD$55,0)+IF(G110="Suez",Shipping!$AD$56,0))/Shipping!$AD$31*CS110/1000000+IF(inland_transport_to_port="hv dc grid",$BM110/100*1000*CV110,IF(inland_transport_to_port="pipeline",$BN110,0)),((F110/24/Shipping!$L$44+F110/24/Shipping!$L$50+Shipping!$L$59+Shipping!$L$64)*(Shipping!$L$22+wacc_nl*Shipping!$L$19/365.25*1000000+Shipping!$L$35)+(F110/24/Shipping!$L$44*Shipping!$L$45+Shipping!$L$64*Shipping!$L$65)*IF(bunker_choice="HFO",$H110,IF(bunker_choice="hydrogen",$BD110*hfo_e_density_lhv/h2_e_density_lhv,(CO110+CQ110)*1000000/CS110*hfo_e_density_lhv/meoh_e_density_lhv))+(F110/24/Shipping!$L$50*Shipping!$L$51+Shipping!$L$59*Shipping!$L$60)*IF(bunker_choice="HFO",bunker_price_ROT,IF(bunker_choice="hydrogen",$BD110*hfo_e_density_lhv/h2_e_density_lhv,(CO110+CQ110)*1000000/CS110*hfo_e_density_lhv/meoh_e_density_lhv))+Shipping!$L$73+IF(G110="Panama",Shipping!$L$55,0)+IF(G110="Suez",Shipping!$L$56,0))/Shipping!$L$31*CS110/1000000+IF(inland_transport_to_port="hv dc grid",$BM110/100*1000*CV110,IF(inland_transport_to_port="pipeline",$BN110,0)))))</f>
        <v>5268.5218597305848</v>
      </c>
      <c r="CU110" s="28">
        <f t="shared" si="133"/>
        <v>91580.279526698971</v>
      </c>
      <c r="CV110" s="29">
        <f>((Carriers!$R$18/Carriers!$R$23*alk_el_e_demand)+meoh_e_demand)*(CS110+meoh_st_ab_losses)/1000000+meoh_st_e_demand*CS110/1000000</f>
        <v>1119.9789871111109</v>
      </c>
      <c r="CW110" s="29">
        <f t="shared" si="158"/>
        <v>0.16206666666666666</v>
      </c>
      <c r="CX110" s="28">
        <f>IFERROR(CU110*1000000/Storage!$K$12,"")</f>
        <v>847.61673770083382</v>
      </c>
      <c r="CY110" s="28">
        <f>IF($E110="","No Port",((F110/24/Shipping!$L$44+F110/24/Shipping!$L$50+Shipping!$L$59+Shipping!$L$64)*Carriers!$R$39*wacc_nl))</f>
        <v>87.216742163603286</v>
      </c>
      <c r="CZ110" s="29">
        <f>H2_retrieval!$J$25*h2_demand_kt/1000+(co2_liq_e_demand+co2_st_e_demand*2)*Storage!$K$12*co2_density/meoh_density/1000000</f>
        <v>251.05079059698966</v>
      </c>
      <c r="DA110" s="28">
        <f>IFERROR((((CO110+CQ110+CT110)*(1+H2_retrieval!$J$34)+CY110)*1000000/H2_retrieval!$J$8)+h2_regen_meoh,"")</f>
        <v>7017.231262482388</v>
      </c>
      <c r="DB110" s="149">
        <f>(DBT_invest*(M110+1/DBT_lifetime)/DBT_prod+DBT_opex+DBT_e_demand*1000*$AU110/100+Carriers!$T$18/Carriers!$T$23*BD110)*(DD110+DBT_st_ab_losses)/1000000</f>
        <v>46429.155493972183</v>
      </c>
      <c r="DC110" s="28">
        <f>2*(DBT_st_nl_cost*DBT_st_nl_demand/1000000+(DBT_st_invest*(M110+1/DBT_st_lifetime+DBT_st_opex)/(Storage!$M$63/1000000)+DBT_st_e_demand*1000*$AU110/100)*(DD110+DBT_st_ab_losses)/1000000)+Carriers!$T$18/Carriers!$T$23*((DD110+DBT_st_ab_losses)/365.25*short_st_duration_hrs/24)*(h2_short_st_invest*(1/gh2_short_st_lifetime+$M110+h2_short_st_opex)+h2_short_st_e_demand*1000*$AU110/100)/1000000</f>
        <v>3957.6431025491665</v>
      </c>
      <c r="DD110" s="63">
        <f>Storage!$M$57/((1-Shipping!$N$37)^($F110/24/Shipping!$N$44+0.5*Shipping!$N$59))</f>
        <v>219354838.70967743</v>
      </c>
      <c r="DE110" s="28">
        <f>IF($E110="","No Port",IF(AND(ship_choice="VLCC",G110="Panama"),"Ship cannot pass through Panama",IF(ship_choice="VLCC",((F110/24/Shipping!$AD$44+F110/24/Shipping!$AD$50+Shipping!$AD$59+Shipping!$AD$64)*(Shipping!$AD$22+wacc_nl*Shipping!$AD$19/365.25*1000000+Shipping!$AD$35)+(F110/24/Shipping!$AD$44*Shipping!$AD$45+Shipping!$AD$64*Shipping!$AD$65)*IF(bunker_choice="HFO",$H110,IF(bunker_choice="hydrogen",$BD110*hfo_e_density_lhv/h2_e_density_lhv,(DB110+DC110)*1000000/DD110*hfo_e_density_lhv/DBT_e_density_lhv))+(F110/24/Shipping!$AD$50*Shipping!$AD$51+Shipping!$AD$59*Shipping!$AD$60)*IF(bunker_choice="HFO",bunker_price_ROT,IF(bunker_choice="hydrogen",$BD110*hfo_e_density_lhv/h2_e_density_lhv,(DB110+DC110)*1000000/DD110*hfo_e_density_lhv/DBT_e_density_lhv))+Shipping!$AD$73+IF(G110="Panama",Shipping!$AD$55,0)+IF(G110="Suez",Shipping!$AD$56,0))/Shipping!$AD$31*DD110/1000000+IF(inland_transport_to_port="hv dc grid",$BM110/100*1000*DG110,IF(inland_transport_to_port="pipeline",$BN110,0)),((F110/24/Shipping!$N$44+F110/24/Shipping!$N$50+Shipping!$N$59+Shipping!$N$64)*(Shipping!$N$22+wacc_nl*Shipping!$N$19/365.25*1000000+Shipping!$N$35)+(F110/24/Shipping!$N$44*Shipping!$N$45+Shipping!$N$64*Shipping!$N$65)*IF(bunker_choice="HFO",$H110,IF(bunker_choice="hydrogen",$BD110*hfo_e_density_lhv/h2_e_density_lhv,(DB110+DC110)*1000000/DD110*hfo_e_density_lhv/DBT_e_density_lhv))+(F110/24/Shipping!$N$50*Shipping!$N$51+Shipping!$N$59*Shipping!$N$60)*IF(bunker_choice="HFO",bunker_price_ROT,IF(bunker_choice="hydrogen",$BD110*hfo_e_density_lhv/h2_e_density_lhv,(DB110+DC110)*1000000/DD110*hfo_e_density_lhv/DBT_e_density_lhv))+Shipping!$N$73+IF(G110="Panama",Shipping!$N$55,0)+IF(G110="Suez",Shipping!$N$56,0))/Shipping!$N$31*Shipping!$N$86/1000000+IF(inland_transport_to_port="hv dc grid",$BM110/100*1000*DG110,IF(inland_transport_to_port="pipeline",$BN110,0)))))</f>
        <v>9525.0763729994887</v>
      </c>
      <c r="DF110" s="28">
        <f t="shared" si="159"/>
        <v>59911.874969520839</v>
      </c>
      <c r="DG110" s="29">
        <f>((Carriers!$T$18/Carriers!$T$23*alk_el_e_demand)+DBT_e_demand)*(DD110+DBT_st_ab_losses)/1000000+DBT_st_e_demand*DD110/1000000</f>
        <v>703.88335483870969</v>
      </c>
      <c r="DH110" s="29">
        <f t="shared" si="160"/>
        <v>0.21935483870967742</v>
      </c>
      <c r="DI110" s="28">
        <f>IFERROR(DF110*1000000/Storage!$M$12,"")</f>
        <v>273.12766530222734</v>
      </c>
      <c r="DJ110" s="28">
        <f>IF($E110="","No Port",((F110/24/Shipping!$N$44+F110/24/Shipping!$N$50+Shipping!$N$59+Shipping!$N$64)*Carriers!$T$39*wacc_nl))</f>
        <v>6352.2818929162931</v>
      </c>
      <c r="DK110" s="100">
        <f>H2_retrieval!$L$25*h2_demand_kt/1000+(co2_liq_e_demand+co2_st_e_demand*2)*Storage!$M$12*co2_density/DBT_density/1000000</f>
        <v>206.61934861671787</v>
      </c>
      <c r="DL110" s="28">
        <f>IFERROR(((DF110*(1+H2_retrieval!$L$34)+DJ110)*1000000/H2_retrieval!$L$8)+h2_regen_lohc,"")</f>
        <v>5343.0142558179959</v>
      </c>
      <c r="DM110" s="149">
        <f t="shared" si="175"/>
        <v>48791.62753166911</v>
      </c>
      <c r="DN110" s="16">
        <f>2*(nabh4_st_nl_cost*nabh4_st_nl_demand/1000000+(nabh4_st_invest*(M110+1/nabh4_st_lifetime+nabh4_st_opex)/(Storage!$O$63/1000000)+nabh4_st_e_demand*1000*$AU110/100)*(DO110+nabh4_st_ab_losses)/1000000)+(h2_demand_kt*1000/365.25*short_st_duration_hrs/24)*(h2_short_st_invest*(1/gh2_short_st_lifetime+$M110+h2_short_st_opex)+h2_short_st_e_demand*1000*$AU110/100)/1000000</f>
        <v>1346.0300879287615</v>
      </c>
      <c r="DO110" s="63">
        <f>Storage!$O$57/((1-Shipping!$P$37)^($F110/24/Shipping!$P$44+0.5*Shipping!$P$59))</f>
        <v>63920000</v>
      </c>
      <c r="DP110" s="16">
        <f>IF($E110="","No Port",((F110/24/Shipping!$P$44+F110/24/Shipping!$P$50+Shipping!$P$59+Shipping!$P$64)*(Shipping!$P$22+wacc_nl*Shipping!$P$19/365.25*1000000+Shipping!$P$35)+(F110/24/Shipping!$P$44*Shipping!$P$45+Shipping!$P$64*Shipping!$P$65)*IF(bunker_choice="HFO",$H110,IF(bunker_choice="hydrogen",$BD110*hfo_e_density_lhv/h2_e_density_lhv,(DM110+DN110)*1000000/DO110*hfo_e_density_lhv/nabh4_e_density_lhv))+(F110/24/Shipping!$P$50*Shipping!$P$51+Shipping!$P$59*Shipping!$P$60)*IF(bunker_choice="HFO",bunker_price_ROT,IF(bunker_choice="hydrogen",$BD110*hfo_e_density_lhv/h2_e_density_lhv,(DM110+DN110)*1000000/DO110*hfo_e_density_lhv/nabh4_e_density_lhv))+Shipping!$P$73+IF(G110="Panama",Shipping!$P$55,0)+IF(G110="Suez",Shipping!$P$56,0))/Shipping!$P$31*(DO110+nabh4_st_ab_losses)/1000000+IF(inland_transport_to_port="hv dc grid",$BM110/100*1000*DR110,IF(inland_transport_to_port="pipeline",$BN110,0)))</f>
        <v>2794.1258159156741</v>
      </c>
      <c r="DQ110" s="28">
        <f t="shared" si="146"/>
        <v>52931.783435513542</v>
      </c>
      <c r="DR110" s="29">
        <f>((Carriers!$V$18/Carriers!$V$23*alk_el_e_demand)+nabh4_e_demand)*(DO110+nabh4_st_ab_losses)/1000000+nabh4_st_e_demand*DO110/1000000</f>
        <v>980.02139682539689</v>
      </c>
      <c r="DS110" s="28">
        <f t="shared" si="161"/>
        <v>3.1960000000000002</v>
      </c>
      <c r="DT110" s="28">
        <f>IFERROR(DQ110*1000000/Storage!$O$12,"")</f>
        <v>828.09423397236458</v>
      </c>
      <c r="DU110" s="28">
        <f>IF($E110="","No Port",((F110/24/Shipping!$P$44+F110/24/Shipping!$P$50+Shipping!$P$59+Shipping!$P$64)*Carriers!$V$39*wacc_nl))</f>
        <v>591.06558721299007</v>
      </c>
      <c r="DV110" s="100">
        <f>H2_retrieval!$N$25*h2_demand_kt/1000+(co2_liq_e_demand+co2_st_e_demand*2)*Storage!$O$12*co2_density/nabh4_density/1000000</f>
        <v>18.783638728971958</v>
      </c>
      <c r="DW110" s="28">
        <f>IFERROR(((DQ110*(1+H2_retrieval!$N$34)+DU110)*1000000/H2_retrieval!$N$8)+h2_regen_nabh4,"")</f>
        <v>4020.2186730562871</v>
      </c>
      <c r="DX110" s="149">
        <f>(Dme_invest*(M110+1/Dme_lifetime)/Dme_prod+Dme_opex+Dme_e_demand*1000*$AU110/100+Carriers!$X$21/Carriers!$X$23*(CO110*1000000/CS110))*(EB110+Dme_st_ab_losses)/1000000</f>
        <v>97137.02162005537</v>
      </c>
      <c r="DY110" s="86">
        <f>(Dme_invest*(M110+1/Dme_lifetime)/Dme_prod+Dme_opex+Dme_e_demand*1000*$AU110/100+Carriers!$X$21/Carriers!$X$23*(CP110*1000000/CS110))*(EB110+Dme_st_ab_losses)/1000000</f>
        <v>117471.41726651872</v>
      </c>
      <c r="DZ110" s="63">
        <f>Dme_st_nl_cost*Dme_st_nl_demand/1000000+(Dme_st_invest*(M110+1/Dme_st_lifetime+Dme_st_opex)/(Storage!$Q$63/1000000)+Dme_st_e_demand*1000*$AU110/100)*(EB110+Dme_st_ab_losses)/1000000+co2_st_nl_cost*Storage!$Q$12*co2_density/Dme_density/1000000+(co2_st_opex_lev+co2_st_invest_lev+co2_st_e_demand*1000*$AU110/100)*Storage!$Q$12/1000000+co2_st_invest_lev*Storage!$Q$12*co2_st_lifetime*M110/1000000+(h2_demand_kt*1000/365.25*short_st_duration_hrs/24)*(h2_short_st_invest*(1/gh2_short_st_lifetime+$M110+h2_short_st_opex)+h2_short_st_e_demand*1000*$AU110/100)/1000000</f>
        <v>5727.6947719903965</v>
      </c>
      <c r="EA110" s="63">
        <f>Dme_st_nl_cost*Dme_st_nl_demand/1000000+(Dme_st_invest*(M110+1/Dme_st_lifetime+Dme_st_opex)/(Storage!$Q$63/1000000)+Dme_st_e_demand*1000*$AU110/100)*(EB110+Dme_st_ab_losses)/1000000+(h2_demand_kt*1000/365.25*short_st_duration_hrs/24)*(h2_short_st_invest*(1/gh2_short_st_lifetime+$M110+h2_short_st_opex)+h2_short_st_e_demand*1000*$AU110/100)/1000000</f>
        <v>2877.448901140961</v>
      </c>
      <c r="EB110" s="63">
        <f>Storage!$Q$57/((1-Shipping!$R$37)^($F110/24/Shipping!$R$44+0.5*Shipping!$R$59))</f>
        <v>103547089.94708996</v>
      </c>
      <c r="EC110" s="153">
        <f>IF($E110="","No Port",IF(AND(ship_choice="VLCC",G110="Panama"),"Ship cannot pass through Panama",IF(ship_choice="VLCC",((F110/24/Shipping!$AD$44+F110/24/Shipping!$AD$50+Shipping!$AD$59+Shipping!$AD$64)*(Shipping!$AD$22+wacc_nl*Shipping!$AD$19/365.25*1000000+Shipping!$AD$35)+(F110/24/Shipping!$AD$44*Shipping!$AD$45+Shipping!$AD$64*Shipping!$AD$65)*IF(bunker_choice="HFO",$H110,IF(bunker_choice="hydrogen",$BD110*hfo_e_density_lhv/h2_e_density_lhv,(DX110+DZ110)*1000000/EB110*hfo_e_density_lhv/Dme_e_density_lhv))+(F110/24/Shipping!$AD$50*Shipping!$AD$51+Shipping!$AD$59*Shipping!$AD$60)*IF(bunker_choice="HFO",bunker_price_ROT,IF(bunker_choice="hydrogen",$BD110*hfo_e_density_lhv/h2_e_density_lhv,(DX110+DZ110)*1000000/EB110*hfo_e_density_lhv/Dme_e_density_lhv))+Shipping!$AD$73+IF(G110="Panama",Shipping!$AD$55,0)+IF(G110="Suez",Shipping!$AD$56,0))/Shipping!$AD$31*(EB110+Dme_st_ab_losses)/1000000+IF(inland_transport_to_port="hv dc grid",$BM110/100*1000*EE110,IF(inland_transport_to_port="pipeline",$BN110,0)),((F110/24/Shipping!$R$44+F110/24/Shipping!$R$50+Shipping!$R$59+Shipping!$R$64)*(Shipping!$R$22+wacc_nl*Shipping!$R$19/365.25*1000000+Shipping!$R$35)+(F110/24/Shipping!$R$44*Shipping!$R$45+Shipping!$R$64*Shipping!$R$65)*IF(bunker_choice="HFO",$H110,IF(bunker_choice="hydrogen",$BD110*hfo_e_density_lhv/h2_e_density_lhv,(DX110+DZ110)*1000000/EB110*hfo_e_density_lhv/Dme_e_density_lhv))+(F110/24/Shipping!$R$50*Shipping!$R$51+Shipping!$R$59*Shipping!$R$60)*IF(bunker_choice="HFO",bunker_price_ROT,IF(bunker_choice="hydrogen",$BD110*hfo_e_density_lhv/h2_e_density_lhv,(DX110+DZ110)*1000000/EB110*hfo_e_density_lhv/Dme_e_density_lhv))+Shipping!$R$73+IF(G110="Panama",Shipping!$R$55,0)+IF(G110="Suez",Shipping!$R$56,0))/Shipping!$R$31*(EB110+Dme_st_ab_losses)/1000000+IF(inland_transport_to_port="hv dc grid",$BM110/100*1000*EE110,IF(inland_transport_to_port="pipeline",$BN110,0)))))</f>
        <v>5274.0815363999855</v>
      </c>
      <c r="ED110" s="28">
        <f t="shared" si="134"/>
        <v>125622.94770405967</v>
      </c>
      <c r="EE110" s="29">
        <f>(Dme_e_demand)*(EB110+Dme_st_ab_losses)/1000000+Dme_st_e_demand*DZ110/1000000+$CV110*(Carriers!$X$21/Carriers!$X$23*EB110)/$CS110</f>
        <v>1550.2168174440035</v>
      </c>
      <c r="EF110" s="29">
        <f t="shared" si="162"/>
        <v>1.0354708994708997</v>
      </c>
      <c r="EG110" s="28">
        <f>IFERROR(ED110*1000000/Storage!$Q$12,"")</f>
        <v>1213.196312597968</v>
      </c>
      <c r="EH110" s="28">
        <f>IF($E110="","No Port",((F110/24/Shipping!$R$44+F110/24/Shipping!$R$50+Shipping!$R$59+Shipping!$R$64)*Carriers!$X$39*wacc_nl))</f>
        <v>90.420696840683519</v>
      </c>
      <c r="EI110" s="100">
        <f>H2_retrieval!$P$25*h2_demand_kt/1000+(co2_liq_e_demand+co2_st_e_demand*2)*Storage!$Q$12*co2_density/Dme_density/1000000</f>
        <v>252.45335899349112</v>
      </c>
      <c r="EJ110" s="28">
        <f>IFERROR((((DX110+DZ110+EC110)*(1+H2_retrieval!$P$34)+EH110)*1000000/H2_retrieval!$P$8)+h2_regen_dme,"")</f>
        <v>9128.1593244671767</v>
      </c>
      <c r="EK110" s="149">
        <f>(ome_invest*(M110+1/ome_lifetime)/ome_prod+ome_opex+ome_e_demand*1000*$AU110/100+Carriers!$Z$21/Carriers!$Z$23*(CO110*1000000/CS110))*(EO110+ome_st_ab_losses)/1000000</f>
        <v>210322.52103629135</v>
      </c>
      <c r="EL110" s="86">
        <f>(ome_invest*(M110+1/ome_lifetime)/ome_prod+ome_opex+ome_e_demand*1000*$AU110/100+Carriers!$Z$21/Carriers!$Z$23*(CP110*1000000/CS110))*(EO110+ome_st_ab_losses)/1000000</f>
        <v>253008.37585335618</v>
      </c>
      <c r="EM110" s="63">
        <f>ome_st_nl_cost*ome_st_nl_demand/1000000+(ome_st_invest*(M110+1/ome_st_lifetime+ome_st_opex)/(Storage!$S$63/1000000)+ome_st_e_demand*1000*$AU110/100)*(EO110+ome_st_ab_losses)/1000000+co2_st_nl_cost*Storage!$S$12*co2_density/ome_density/1000000+(co2_st_opex_lev+co2_st_invest_lev+co2_st_e_demand*1000*$AU110/100)*Storage!$S$12/1000000+co2_st_invest_lev*Storage!$S$12*co2_st_lifetime*M110/1000000+(h2_demand_kt*1000/365.25*short_st_duration_hrs/24)*(h2_short_st_invest*(1/gh2_short_st_lifetime+$M110+h2_short_st_opex)+h2_short_st_e_demand*1000*$AU110/100)/1000000</f>
        <v>4913.1119802410203</v>
      </c>
      <c r="EN110" s="63">
        <f>ome_st_nl_cost*ome_st_nl_demand/1000000+(ome_st_invest*(M110+1/ome_st_lifetime+ome_st_opex)/(Storage!$S$63/1000000)+ome_st_e_demand*1000*$AU110/100)*(EO110+ome_st_ab_losses)/1000000+(h2_demand_kt*1000/365.25*short_st_duration_hrs/24)*(h2_short_st_invest*(1/gh2_short_st_lifetime+$M110+h2_short_st_opex)+h2_short_st_e_demand*1000*$AU110/100)/1000000</f>
        <v>1720.9638862730292</v>
      </c>
      <c r="EO110" s="63">
        <f>Storage!$S$57/((1-Shipping!$T$37)^($F110/24/Shipping!$T$44+0.5*Shipping!$T$59))</f>
        <v>128282539.68253967</v>
      </c>
      <c r="EP110" s="28">
        <f>IF($E110="","No Port",IF(AND(ship_choice="VLCC",G110="Panama"),"Ship cannot pass through Panama",IF(ship_choice="VLCC",((F110/24/Shipping!$AD$44+F110/24/Shipping!$AD$50+Shipping!$AD$59+Shipping!$AD$64)*(Shipping!$AD$22+wacc_nl*Shipping!$AD$19/365.25*1000000+Shipping!$AD$35)+(F110/24/Shipping!$AD$44*Shipping!$AD$45+Shipping!$AD$64*Shipping!$AD$65)*IF(bunker_choice="HFO",$H110,IF(bunker_choice="hydrogen",$BD110*hfo_e_density_lhv/h2_e_density_lhv,(EK110+EM110)*1000000/EO110*hfo_e_density_lhv/Dme_e_density_lhv))+(F110/24/Shipping!$AD$50*Shipping!$AD$51+Shipping!$AD$59*Shipping!$AD$60)*IF(bunker_choice="HFO",bunker_price_ROT,IF(bunker_choice="hydrogen",$BD110*hfo_e_density_lhv/h2_e_density_lhv,(EK110+EM110)*1000000/EO110*hfo_e_density_lhv/ome_e_density_lhv))+Shipping!$AD$73+IF(G110="Panama",Shipping!$AD$55,0)+IF(G110="Suez",Shipping!$AD$56,0))/Shipping!$AD$31*(EO110+ome_st_ab_losses)/1000000+IF(inland_transport_to_port="hv dc grid",$BM110/100*1000*ER110,IF(inland_transport_to_port="pipeline",$BN110,0)),((F110/24/Shipping!$T$44+F110/24/Shipping!$T$50+Shipping!$T$59+Shipping!$T$64)*(Shipping!$T$22+wacc_nl*Shipping!$T$19/365.25*1000000+Shipping!$T$35)+(F110/24/Shipping!$T$44*Shipping!$T$45+Shipping!$T$64*Shipping!$T$65)*IF(bunker_choice="HFO",$H110,IF(bunker_choice="hydrogen",$BD110*hfo_e_density_lhv/h2_e_density_lhv,(EK110+EM110)*1000000/EO110*hfo_e_density_lhv/Dme_e_density_lhv))+(F110/24/Shipping!$T$50*Shipping!$T$51+Shipping!$T$59*Shipping!$T$60)*IF(bunker_choice="HFO",bunker_price_ROT,IF(bunker_choice="hydrogen",$BD110*hfo_e_density_lhv/h2_e_density_lhv,(EK110+EM110)*1000000/EO110*hfo_e_density_lhv/ome_e_density_lhv))+Shipping!$T$73+IF(G110="Panama",Shipping!$T$55,0)+IF(G110="Suez",Shipping!$T$56,0))/Shipping!$T$31*(EO110+ome_st_ab_losses)/1000000+IF(inland_transport_to_port="hv dc grid",$BM110/100*1000*ER110,IF(inland_transport_to_port="pipeline",$BN110,0)))))</f>
        <v>5859.1170851584029</v>
      </c>
      <c r="EQ110" s="28">
        <f t="shared" si="135"/>
        <v>260588.4568247876</v>
      </c>
      <c r="ER110" s="29">
        <f>(ome_e_demand)*(EO110+ome_st_ab_losses)/1000000+ome_st_e_demand*EM110/1000000+$CV110*(Carriers!$Z$21/Carriers!$Z$23*EO110)/$CS110</f>
        <v>3352.0814575104514</v>
      </c>
      <c r="ES110" s="29">
        <f t="shared" si="163"/>
        <v>0.1924238095238095</v>
      </c>
      <c r="ET110" s="28">
        <f>IFERROR(EQ110*1000000/Storage!$S$12,"")</f>
        <v>2031.3634066620828</v>
      </c>
      <c r="EU110" s="28">
        <f>IF($E110="","No Port",((F110/24/Shipping!$T$44+F110/24/Shipping!$T$50+Shipping!$T$59+Shipping!$T$64)*Carriers!$Z$39*wacc_nl))</f>
        <v>103.55354451692557</v>
      </c>
      <c r="EV110" s="100">
        <f>H2_retrieval!$R$25*h2_demand_kt/1000+(co2_liq_e_demand+co2_st_e_demand*2)*Storage!$S$12*co2_density/ome_density/1000000</f>
        <v>254.51942895252085</v>
      </c>
      <c r="EW110" s="28">
        <f>IFERROR((((EK110+EM110+EP110)*(1+H2_retrieval!$R$34)+EU110)*1000000/H2_retrieval!$R$8)+h2_regen_ome,"")</f>
        <v>17434.709693652563</v>
      </c>
      <c r="EX110" s="149">
        <f>(sng_invest*(M110+1/sng_lifetime)/sng_prod+lng_invest*(M110+1/lng_lifetime)/lng_prod+sng_opex+lng_opex+(sng_e_demand+lng_e_demand)*1000*$AU110/100+Carriers!$AB$18/Carriers!$AB$23*BD110+Carriers!$AB$20/Carriers!$AB$23*co2_liq_cost)*(FB110+lng_st_ab_losses)/1000000</f>
        <v>74632.671096181293</v>
      </c>
      <c r="EY110" s="86">
        <f>(sng_invest*(M110+1/sng_lifetime)/sng_prod+lng_invest*(M110+1/lng_lifetime)/lng_prod+sng_opex+lng_opex+(sng_e_demand+lng_e_demand)*1000*$AU110/100+Carriers!$AB$18/Carriers!$AB$23*BD110+Carriers!$AB$20/Carriers!$AB$23*BP110)*(FB110+lng_st_ab_losses)/1000000</f>
        <v>85888.152711138391</v>
      </c>
      <c r="EZ110" s="63">
        <f>lng_st_nl_cost*lng_st_nl_demand/1000000+(lng_st_invest*(M110+1/lng_st_lifetime+lng_st_opex)/(Storage!$U$63/1000000)+lng_st_e_demand*1000*$AU110/100)*(FB110+lng_st_ab_losses)/1000000+co2_st_nl_cost*Storage!$U$12*co2_density/lng_density/1000000+(co2_st_opex_lev+co2_st_invest_lev+co2_st_e_demand*1000*$AU110/100)*Storage!$U$12/1000000+co2_st_invest_lev*Storage!$U$12*co2_st_lifetime*M110/1000000+Carriers!$AB$18/Carriers!$AB$23*((FB110+lng_st_ab_losses)/365.25*short_st_duration_hrs/24)*(h2_short_st_invest*(1/gh2_short_st_lifetime+$M110+h2_short_st_opex)+h2_short_st_e_demand*1000*$AU110/100)/1000000+Carriers!$AB$20/Carriers!$AB$23*((FB110+lng_st_ab_losses)/365.25*short_st_duration_hrs/24)*(co2_short_st_invest*(1/co2_short_st_lifetime+$M110+co2_short_st_opex)+co2_short_st_e_demand*1000*$AU110/100)/1000000</f>
        <v>6066.3179264246282</v>
      </c>
      <c r="FA110" s="63">
        <f>lng_st_nl_cost*lng_st_nl_demand/1000000+(lng_st_invest*(M110+1/lng_st_lifetime+lng_st_opex)/(Storage!$U$63/1000000)+lng_st_e_demand*1000*$AU110/100)*(FB110+lng_st_ab_losses)/1000000+Carriers!$AB$18/Carriers!$AB$23*((FB110+lng_st_ab_losses)/365.25*short_st_duration_hrs/24)*(h2_short_st_invest*(1/gh2_short_st_lifetime+$M110+h2_short_st_opex)+h2_short_st_e_demand*1000*$AU110/100)/1000000+Carriers!$AB$20/Carriers!$AB$23*((FB110+lng_st_ab_losses)/365.25*short_st_duration_hrs/24)*(co2_short_st_invest*(1/co2_short_st_lifetime+$M110+co2_short_st_opex)+co2_short_st_e_demand*1000*$AU110/100)/1000000</f>
        <v>4511.5075022051988</v>
      </c>
      <c r="FB110" s="63">
        <f>Storage!$U$57/((1-Shipping!$V$37)^($F110/24/Shipping!$V$44+0.5*Shipping!$V$59))</f>
        <v>41340833.820745528</v>
      </c>
      <c r="FC110" s="28">
        <f>IF($E110="","No Port",IF(G110="Panama","Ship cannot pass through Panama",((F110/24/Shipping!$V$44+F110/24/Shipping!$V$50+Shipping!$V$59+Shipping!$V$64)*(Shipping!$V$22+wacc_nl*Shipping!$V$19/365.25*1000000+Shipping!$V$35)+(F110/24/Shipping!$V$44*Shipping!$V$45+Shipping!$V$64*Shipping!$V$65)*IF(bunker_choice="HFO",$H110,IF(bunker_choice="hydrogen",$BD110*hfo_e_density_lhv/h2_e_density_lhv,(EX110+EZ110)*1000000/FB110*hfo_e_density_lhv/lng_e_density_lhv))+(F110/24/Shipping!$V$50*Shipping!$V$51+Shipping!$V$59*Shipping!$V$60)*IF(bunker_choice="HFO",bunker_price_ROT,IF(bunker_choice="hydrogen",$BD110*hfo_e_density_lhv/h2_e_density_lhv,(EX110+EZ110)*1000000/FB110*hfo_e_density_lhv/lng_e_density_lhv))+Shipping!$V$73+IF(G110="Panama",Shipping!$V$55,0)+IF(G110="Suez",Shipping!$V$56,0))/Shipping!$V$31*(FB110+lng_st_ab_losses)/1000000)+IF(inland_transport_to_port="hv dc grid",$BM110/100*1000*FE110,IF(inland_transport_to_port="pipeline",$BN110,0)))</f>
        <v>2261.8154444559409</v>
      </c>
      <c r="FD110" s="28">
        <f t="shared" si="136"/>
        <v>92661.475657799543</v>
      </c>
      <c r="FE110" s="29">
        <f>((Carriers!$AB$18/Carriers!$AB$23*alk_el_e_demand)+sng_e_demand+lng_e_demand)*(FB110+lng_st_ab_losses)/1000000+lng_st_e_demand*EZ110/1000000</f>
        <v>1108.7253275292205</v>
      </c>
      <c r="FF110" s="29">
        <f t="shared" si="164"/>
        <v>0.8126185861001558</v>
      </c>
      <c r="FG110" s="28">
        <f>IFERROR(FD110*1000000/Storage!$U$12,"")</f>
        <v>2283.1949962614876</v>
      </c>
      <c r="FH110" s="28">
        <f>IF($E110="","No Port",((F110/24/Shipping!$V$44+F110/24/Shipping!$V$50+Shipping!$V$59+Shipping!$V$64)*Carriers!$AB$39*wacc_nl))</f>
        <v>30.549167550104123</v>
      </c>
      <c r="FI110" s="100">
        <f>H2_retrieval!$T$25*h2_demand_kt/1000+(co2_liq_e_demand+co2_st_e_demand*2)*Storage!$U$12*co2_density/lng_density/1000000</f>
        <v>236.51371749646054</v>
      </c>
      <c r="FJ110" s="28">
        <f>IFERROR((((EX110+EZ110+FC110)*(1+H2_retrieval!$T$34)+FH110)*1000000/H2_retrieval!$T$8)+h2_regen_lng,"")</f>
        <v>7272.4339575058211</v>
      </c>
      <c r="FK110" s="149">
        <f>(lh2_invest*(M110+1/lh2_lifetime)/lh2_prod+lh2_opex+lh2_e_demand*1000*$AU110/100+Carriers!$AD$18/Carriers!$AD$23*BD110)*(FM110+lh2_st_ab_losses)/1000000</f>
        <v>57312.781233516864</v>
      </c>
      <c r="FL110" s="28">
        <f>lh2_st_nl_cost*lh2_st_nl_demand/1000000+(lh2_st_invest*(M110+1/lh2_st_lifetime+lh2_st_opex)/(Storage!$Y$63/1000000)+lh2_st_e_demand*1000*$AU110/100)*(FM110+lh2_st_ab_losses)/1000000+((FM110+lh2_st_ab_losses)/365.25*short_st_duration_hrs/24)*(h2_short_st_invest*(1/gh2_short_st_lifetime+$M110+h2_short_st_opex)+h2_short_st_e_demand*1000*$AU110/100)/1000000</f>
        <v>52700.88804368025</v>
      </c>
      <c r="FM110" s="63">
        <f>Storage!$Y$57/((1-Shipping!$Z$37)^($F110/24/Shipping!$Z$44+0.5*Shipping!$Z$59))</f>
        <v>14001884.4059333</v>
      </c>
      <c r="FN110" s="28">
        <f>IF($E110="","No Port",IF(G110="Panama","Ship cannot pass through Panama",((F110/24/Shipping!$Z$44+F110/24/Shipping!$Z$50+Shipping!$Z$59+Shipping!$Z$64)*(Shipping!$Z$22+wacc_nl*Shipping!$Z$19/365.25*1000000+Shipping!$Z$35)+(F110/24/Shipping!$Z$44*Shipping!$Z$45+Shipping!$Z$64*Shipping!$Z$65)*IF(bunker_choice="HFO",$H110,IF(bunker_choice="hydrogen",$BD110*hfo_e_density_lhv/h2_e_density_lhv,(FK110+FL110)*1000000/FM110*hfo_e_density_lhv/lh2_e_density_lhv))+(F110/24/Shipping!$Z$50*Shipping!$Z$51+Shipping!$Z$59*Shipping!$Z$60)*IF(bunker_choice="HFO",bunker_price_ROT,IF(bunker_choice="hydrogen",$BD110*hfo_e_density_lhv/h2_e_density_lhv,(FK110+FL110)*1000000/FM110*hfo_e_density_lhv/lh2_e_density_lhv))+Shipping!$Z$73+IF(G110="Panama",Shipping!$Z$55,0)+IF(G110="Suez",Shipping!$Z$56,0))/Shipping!$Z$31*(FM110+lh2_st_ab_losses)/1000000)+IF(inland_transport_to_port="hv dc grid",$BM110/100*1000*FP110,IF(inland_transport_to_port="pipeline",$BN110,0)))</f>
        <v>3653.9782182313556</v>
      </c>
      <c r="FO110" s="28">
        <f t="shared" si="128"/>
        <v>113667.64749542846</v>
      </c>
      <c r="FP110" s="29">
        <f>((Carriers!$AD$18/Carriers!$AD$23*alk_el_e_demand)+lh2_e_demand)*(FM110+lh2_st_ab_losses)/1000000+lh2_st_e_demand*FM110/1000000</f>
        <v>811.38810372136368</v>
      </c>
      <c r="FQ110" s="100">
        <f t="shared" si="165"/>
        <v>1.361902463475859</v>
      </c>
      <c r="FR110" s="28">
        <f>IFERROR(FO110*1000000/Storage!$Y$12,"")</f>
        <v>8357.9152570167989</v>
      </c>
      <c r="FS110" s="100">
        <f>H2_retrieval!$V$25*h2_demand_kt/1000</f>
        <v>8.16</v>
      </c>
      <c r="FT110" s="28">
        <f>IFERROR(FR110*(1+H2_retrieval!$V$34)/Carrier_properties!$U$7+H2_retrieval!$V$38,"")</f>
        <v>8389.883982885267</v>
      </c>
      <c r="FU110" s="12"/>
      <c r="FV110" s="24">
        <f t="shared" si="129"/>
        <v>2.5031723718720564</v>
      </c>
      <c r="FW110" s="24" t="str">
        <f t="shared" si="143"/>
        <v/>
      </c>
      <c r="FX110" s="24">
        <f t="shared" si="144"/>
        <v>7.6925993690016972</v>
      </c>
      <c r="FY110" s="24">
        <f t="shared" si="130"/>
        <v>2.5031723718720564</v>
      </c>
      <c r="FZ110" s="28">
        <f t="shared" si="145"/>
        <v>3184.9522619026884</v>
      </c>
      <c r="GA110" s="28">
        <f t="shared" si="137"/>
        <v>701.30600129519769</v>
      </c>
      <c r="GB110" s="28">
        <f t="shared" si="138"/>
        <v>426.93344863179385</v>
      </c>
      <c r="GC110" s="28">
        <f t="shared" si="139"/>
        <v>781.24369416602133</v>
      </c>
      <c r="GD110" s="28">
        <f t="shared" si="140"/>
        <v>1134.4733814010974</v>
      </c>
      <c r="GE110" s="28">
        <f t="shared" si="141"/>
        <v>1972.2744535575541</v>
      </c>
      <c r="GF110" s="28">
        <f t="shared" si="142"/>
        <v>2077.5621769882705</v>
      </c>
      <c r="GG110" s="12"/>
      <c r="GH110" s="12"/>
      <c r="GI110" s="12"/>
      <c r="GJ110" s="12"/>
      <c r="GK110" s="12"/>
      <c r="GL110" s="12"/>
      <c r="GM110" s="12"/>
      <c r="GN110" s="12"/>
      <c r="GO110" s="12"/>
      <c r="GP110" s="12"/>
      <c r="GQ110" s="12"/>
      <c r="GR110" s="12"/>
      <c r="GS110" s="12"/>
      <c r="GT110" s="12"/>
      <c r="GU110" s="12"/>
      <c r="GV110" s="12"/>
      <c r="GW110" s="12"/>
      <c r="GX110" s="12"/>
      <c r="GY110" s="12"/>
      <c r="GZ110" s="12"/>
      <c r="HA110" s="12"/>
      <c r="HB110" s="12"/>
      <c r="HC110" s="12"/>
      <c r="HD110" s="12"/>
      <c r="HE110" s="12"/>
      <c r="HF110" s="12"/>
    </row>
    <row r="111" spans="1:214" x14ac:dyDescent="0.2">
      <c r="A111" s="154" t="s">
        <v>114</v>
      </c>
      <c r="B111" s="12">
        <v>10421</v>
      </c>
      <c r="C111" s="12">
        <v>0.2</v>
      </c>
      <c r="D111" s="12">
        <f t="shared" si="111"/>
        <v>0.8</v>
      </c>
      <c r="E111" s="12"/>
      <c r="F111" s="12"/>
      <c r="G111" s="14"/>
      <c r="H111" s="16">
        <f t="shared" si="166"/>
        <v>382.75862068965517</v>
      </c>
      <c r="I111" s="16">
        <v>397300</v>
      </c>
      <c r="J111" s="16">
        <f t="shared" si="113"/>
        <v>355.61850033542976</v>
      </c>
      <c r="K111" s="16" t="str">
        <f t="shared" si="114"/>
        <v/>
      </c>
      <c r="L111" s="103">
        <v>0.20899999999999999</v>
      </c>
      <c r="M111" s="103">
        <f t="shared" si="167"/>
        <v>0.18921967714040658</v>
      </c>
      <c r="N111" s="122">
        <f t="shared" si="116"/>
        <v>0.9</v>
      </c>
      <c r="O111" s="46">
        <f t="shared" si="168"/>
        <v>40</v>
      </c>
      <c r="P111" s="70">
        <f t="array" ref="P111">SUMPRODUCT(IF(Solar_data!A$4:A$777=A111,Solar_data!C$4:C$777),IF(Solar_data!A$4:A$777=A111,Solar_data!I$4:I$777))/SUMIF(Solar_data!A$4:A$777,A111,Solar_data!I$4:I$777)</f>
        <v>1894.9339493785976</v>
      </c>
      <c r="Q111" s="16">
        <f t="array" ref="Q111">MAX(IF(Solar_data!$A$777:'Solar_data'!$A$4=Country_details!$A111,Solar_data!$C$4:'Solar_data'!$C$777))</f>
        <v>2098.75</v>
      </c>
      <c r="R111" s="16">
        <f t="array" ref="R111">MIN(IF(Solar_data!$A$777:'Solar_data'!$A$4=Country_details!A111,Solar_data!$C$4:'Solar_data'!$C$777))</f>
        <v>1733.75</v>
      </c>
      <c r="S111" s="24">
        <f t="shared" si="149"/>
        <v>3.306362126179839</v>
      </c>
      <c r="T111" s="24">
        <f t="shared" si="150"/>
        <v>2.9852711575165118</v>
      </c>
      <c r="U111" s="24">
        <f t="shared" si="151"/>
        <v>3.6137492959410404</v>
      </c>
      <c r="V111" s="16">
        <f t="array" ref="V111">SUM(IF(Solar_data!$A$777:'Solar_data'!$A$4=Country_details!$A111,Solar_data!$I$4:'Solar_data'!$I$777))</f>
        <v>3002.996765896542</v>
      </c>
      <c r="W111" s="148"/>
      <c r="X111" s="16" t="str">
        <f>IFERROR(INDEX(Onshore_wind_data!$J$5:'Onshore_wind_data'!$J$221,MATCH(A111,Onshore_wind_data!$B$5:'Onshore_wind_data'!$B$221,0)),"")</f>
        <v/>
      </c>
      <c r="Y111" s="16" t="str">
        <f>IFERROR(INDEX(Onshore_wind_data!$K$5:'Onshore_wind_data'!$K$221,MATCH(A111,Onshore_wind_data!$B$5:'Onshore_wind_data'!$B$221,0)),"")</f>
        <v/>
      </c>
      <c r="Z111" s="16" t="str">
        <f>IFERROR(INDEX(Onshore_wind_data!$L$5:'Onshore_wind_data'!$L$221,MATCH(A111,Onshore_wind_data!$B$5:'Onshore_wind_data'!$B$221,0)),"")</f>
        <v/>
      </c>
      <c r="AA111" s="24" t="str">
        <f t="shared" si="169"/>
        <v/>
      </c>
      <c r="AB111" s="24" t="str">
        <f t="shared" si="170"/>
        <v/>
      </c>
      <c r="AC111" s="24" t="str">
        <f t="shared" si="171"/>
        <v/>
      </c>
      <c r="AD111" s="16">
        <f>IFERROR(INDEX(Onshore_wind_data!$I$5:'Onshore_wind_data'!$I$221,MATCH(A111,Onshore_wind_data!$B$5:'Onshore_wind_data'!$B$221,0)),"")</f>
        <v>0</v>
      </c>
      <c r="AE111" s="148"/>
      <c r="AF111" s="16" t="str">
        <f>INDEX(Offshore_wind_data!$AA$7:$AA$192,MATCH(Country_details!A111,Offshore_wind_data!$A$7:$A$192,0))</f>
        <v/>
      </c>
      <c r="AG111" s="16" t="str">
        <f>INDEX(Offshore_wind_data!$Y$7:$Y$192,MATCH(Country_details!A111,Offshore_wind_data!$A$7:$A$192,0))</f>
        <v/>
      </c>
      <c r="AH111" s="16" t="str">
        <f>INDEX(Offshore_wind_data!$Z$7:$Z$192,MATCH(Country_details!A111,Offshore_wind_data!$A$7:$A$192,0))</f>
        <v/>
      </c>
      <c r="AI111" s="24" t="str">
        <f t="shared" si="152"/>
        <v/>
      </c>
      <c r="AJ111" s="24" t="str">
        <f t="shared" si="153"/>
        <v/>
      </c>
      <c r="AK111" s="24" t="str">
        <f t="shared" si="154"/>
        <v/>
      </c>
      <c r="AL111" s="16">
        <f>INDEX(Offshore_wind_data!$W$7:$W$191,MATCH(A111,Offshore_wind_data!$A$7:$A$191,0))</f>
        <v>0</v>
      </c>
      <c r="AM111" s="148"/>
      <c r="AN111" s="12">
        <v>6.8</v>
      </c>
      <c r="AO111" s="12">
        <v>8.9</v>
      </c>
      <c r="AP111" s="34">
        <f>0.76*11.63</f>
        <v>8.8388000000000009</v>
      </c>
      <c r="AQ111" s="15">
        <f t="shared" si="155"/>
        <v>50</v>
      </c>
      <c r="AR111" s="12">
        <f t="shared" si="131"/>
        <v>445</v>
      </c>
      <c r="AS111" s="16">
        <f t="shared" si="121"/>
        <v>2557.996765896542</v>
      </c>
      <c r="AT111" s="12"/>
      <c r="AU111" s="24">
        <f t="shared" si="147"/>
        <v>3.306362126179839</v>
      </c>
      <c r="AV111" s="16">
        <f t="shared" si="148"/>
        <v>1894.9339493785976</v>
      </c>
      <c r="AW111" s="149">
        <f>HV_DC_Grid!$E$3/(1-AX111)*AU111/100*1000</f>
        <v>4146.1816396584954</v>
      </c>
      <c r="AX111" s="31">
        <f>(1-(1-HV_DC_Grid!$E$25)^(B111*C111*HV_DC_Grid!$E$8/1000))+(1-(1-HV_DC_Grid!$E$26)^(B111*D111*HV_DC_Grid!$E$8/1000))+HV_DC_Grid!$E$35*HV_DC_Grid!$E$28</f>
        <v>0.20255251372629901</v>
      </c>
      <c r="AY111" s="28">
        <f>B111*nl_e_demand/IF(hv_dc_flh="electricity FLH",$AV111,hv_dc_custom)*1000*hv_dc_capacity_multiplier*hv_dc_length_multiplier*1000*(C111*hv_dc_overhead_invest*(hv_dc_overhead_opex+M111+1/hv_dc_lifetime)+D111*hv_dc_sea_invest*(hv_dc_sea_opex+M111+1/hv_dc_lifetime))/1000000+HV_DC_Grid!$E$10*1000*hv_dc_station_invest*hv_dc_station_number*(hv_dc_station_opex+M111+1/hv_dc_lifetime)/1000000</f>
        <v>34638.066342598628</v>
      </c>
      <c r="AZ111" s="24">
        <f>(AW111+AY111)/(HV_DC_Grid!$E$3*1000)*100</f>
        <v>38.784247982257128</v>
      </c>
      <c r="BA111" s="28">
        <f>MIN(((Carriers!$F$26+Carriers!$F$27)*(alk_el_opex+wacc_nl+1/alk_el_lifetime)+IF(hv_dc_flh="electricity FLH",$AV111,hv_dc_custom)*AZ111/100)/(IF(hv_dc_flh="electricity FLH",$AV111,hv_dc_custom)/alk_el_e_demand)*1000,((Carriers!$H$26+Carriers!$H$27)*(pem_el_opex+wacc_nl+1/pem_el_lifetime)+IF(hv_dc_flh="electricity FLH",$AV111,hv_dc_custom)*AZ111/100)/(IF(hv_dc_flh="electricity FLH",$AV111,hv_dc_custom)/pem_el_e_demand)*1000)</f>
        <v>19869.032115498649</v>
      </c>
      <c r="BB111" s="12"/>
      <c r="BC111" s="12"/>
      <c r="BD111" s="149">
        <f>MIN(((Carriers!$F$26+Carriers!$F$27)*(alk_el_opex+M111+1/alk_el_lifetime)+$AV111*$AU111/100)/($AV111/alk_el_e_demand)*1000,((Carriers!$H$26+Carriers!$H$27)*(pem_el_opex+M111+1/pem_el_lifetime)+$AV111*$AU111/100)/($AV111/pem_el_e_demand)*1000)</f>
        <v>4094.750059076815</v>
      </c>
      <c r="BE111" s="28">
        <f>Storage!$AC$50</f>
        <v>8.1664117557772418</v>
      </c>
      <c r="BF111" s="28">
        <f>((Pipeline!$D$22*Pipeline!$D$24*B111*(pipeline_opex+M111+1/pipeline_lifetime))*(Pipeline!$D$39/Pipeline!$D$3)+(Pipeline!$D$57*(pipeline_comp_opex+M111+1/pipeline_comp_lifetime)+Pipeline!$D$47*1000*Pipeline!$D$45*$AU111/100/1000000))*(Pipeline!$D$75/Pipeline!$D$45)</f>
        <v>31266.900655801041</v>
      </c>
      <c r="BG111" s="28">
        <f>BD111+(BE111+BF111)/Storage!$AC$12*1000000</f>
        <v>6394.3873434559928</v>
      </c>
      <c r="BH111" s="28"/>
      <c r="BI111" s="28"/>
      <c r="BJ111" s="28" t="str">
        <f>IF($E111="","No Port",BK111*HV_DC_Grid!$E$3*$AU111/100*1000)</f>
        <v>No Port</v>
      </c>
      <c r="BK111" s="31" t="str">
        <f>IFERROR((1-(1-HV_DC_Grid!$E$25)^(K111*HV_DC_Grid!$E$8/1000))+HV_DC_Grid!$E$35*HV_DC_Grid!$E$28,"")</f>
        <v/>
      </c>
      <c r="BL111" s="28" t="str">
        <f>IFERROR(K111*nl_e_demand/IF(hv_dc_flh="electricity FLH",$AV111,hv_dc_custom)*1000*hv_dc_capacity_multiplier*hv_dc_length_multiplier*1000*(hv_dc_overhead_invest*(hv_dc_overhead_opex+M111+1/hv_dc_lifetime))/1000000+HV_DC_Grid!$E$10*1000*hv_dc_station_invest*hv_dc_station_number*(hv_dc_station_opex+M111+1/hv_dc_lifetime)/1000000,"")</f>
        <v/>
      </c>
      <c r="BM111" s="29" t="str">
        <f>IFERROR((BJ111+BL111)/(HV_DC_Grid!$E$3*1000)*100,"")</f>
        <v/>
      </c>
      <c r="BN111" s="28" t="str">
        <f>IFERROR(((Pipeline!$D$22*Pipeline!$D$24*K111*(pipeline_opex+M111+1/pipeline_lifetime))*(Pipeline!$D$39/Pipeline!$D$3)+(Pipeline!$D$57*(pipeline_comp_opex+M111+1/pipeline_comp_lifetime)+Pipeline!$D$47*1000*Pipeline!$D$45*S111/100/1000000))*(Pipeline!$D$75/Pipeline!$D$45),"")</f>
        <v/>
      </c>
      <c r="BO111" s="28"/>
      <c r="BP111" s="150">
        <f t="shared" si="172"/>
        <v>149.2948302641924</v>
      </c>
      <c r="BQ111" s="34">
        <f t="shared" si="173"/>
        <v>44.660297571269659</v>
      </c>
      <c r="BR111" s="151">
        <f>(nh3_invest*(M111+1/nh3_lifetime)/nh3_prod+nh3_opex+nh3_e_demand*1000*$AU111/100+Carriers!$N$18/Carriers!$N$23*BD111+Carriers!$N$19/Carriers!$N$23*BQ111)*(BT111+nh3_st_ab_losses)/1000000</f>
        <v>70414.09968915701</v>
      </c>
      <c r="BS111" s="63">
        <f>nh3_st_nl_cost*nh3_st_nl_demand/1000000+(nh3_st_invest*(M111+1/nh3_st_lifetime+nh3_st_opex)/(Storage!$G$63/1000000)+nh3_st_e_demand*1000*$AU111/100)*(BT111+nh3_st_ab_losses)/1000000+Carriers!$N$18/Carriers!$N$23*((BT111+nh3_st_ab_losses)/365.25*short_st_duration_hrs/24)*(h2_short_st_invest*(1/gh2_short_st_lifetime+$M111+h2_short_st_opex)+h2_short_st_e_demand*1000*$AU111/100)/1000000+Carriers!$N$19/Carriers!$N$23*((BT111+nh3_st_ab_losses)/365.25*short_st_duration_hrs/24)*(n2_short_st_invest*(1/n2_short_st_lifetime+$M111+n2_short_st_opex)+n2_short_st_e_demand*1000*$AU111/100)/1000000</f>
        <v>4123.6724255899908</v>
      </c>
      <c r="BT111" s="63">
        <f>Storage!$G$57/((1-Shipping!$H$37)^(F111/24/Shipping!$H$44+0.5*Shipping!$H$59))</f>
        <v>76857210.785724297</v>
      </c>
      <c r="BU111" s="63" t="str">
        <f>IF($E111="","No Port",((F111/24/Shipping!$H$44+F111/24/Shipping!$H$50+Shipping!$H$59+Shipping!$H$64)*(Shipping!$H$22+wacc_nl*Shipping!$H$19/365.25*1000000+Shipping!$H$35)+(F111/24/Shipping!$H$44*Shipping!$H$45+Shipping!$H$64*Shipping!$H$65)*IF(bunker_choice="HFO",H111,IF(bunker_choice="hydrogen",BD111*hfo_e_density_lhv/h2_e_density_lhv,(BR111+BS111)*1000000/BT111*hfo_e_density_lhv/nh3_e_density_lhv))+(F111/24/Shipping!$H$50*Shipping!$H$51+Shipping!$H$59*Shipping!$H$60)*IF(bunker_choice="HFO",bunker_price_ROT,IF(bunker_choice="hydrogen",BD111*hfo_e_density_lhv/h2_e_density_lhv,(BR111+BS111)*1000000/BT111*hfo_e_density_lhv/nh3_e_density_lhv))+Shipping!$H$73+IF(G111="Panama",Shipping!$H$55,0)+IF(G111="Suez",Shipping!$H$56,0))/Shipping!$H$31*BT111/1000000+IF(inland_transport_to_port="hv dc grid",$BM111/100*1000*BW111,IF(inland_transport_to_port="pipeline",$BN111,0)))</f>
        <v>No Port</v>
      </c>
      <c r="BV111" s="63" t="str">
        <f t="shared" si="174"/>
        <v/>
      </c>
      <c r="BW111" s="33">
        <f>((Carriers!$N$18/Carriers!$N$23*alk_el_e_demand)+(Carriers!$N$19/Carriers!$N$23*n2_e_demand)+nh3_e_demand)*(BT111+nh3_st_ab_losses)/1000000+nh3_st_e_demand*BT111/1000000</f>
        <v>759.00171168026975</v>
      </c>
      <c r="BX111" s="33">
        <f t="shared" si="156"/>
        <v>0.76626754477640768</v>
      </c>
      <c r="BY111" s="63" t="str">
        <f>IFERROR(BV111*1000000/Storage!$G$12,"")</f>
        <v/>
      </c>
      <c r="BZ111" s="63">
        <f>H2_retrieval!$F$25*h2_demand_kt/1000</f>
        <v>80</v>
      </c>
      <c r="CA111" s="63" t="str">
        <f>IFERROR(BY111*(1+H2_retrieval!$F$34)/Carrier_properties!$E$7+H2_retrieval!$F$38,"")</f>
        <v/>
      </c>
      <c r="CB111" s="149">
        <f>(FA_invest*(M111+1/FA_lifetime)/FA_prod+FA_opex+FA_e_demand*1000*$AU111/100+Carriers!$P$18/Carriers!$P$23*BD111+Carriers!$P$20/Carriers!$P$23*co2_liq_cost)*(CF111+FA_st_ab_losses)/1000000</f>
        <v>140373.23081989383</v>
      </c>
      <c r="CC111" s="86">
        <f>(FA_invest*(M111+1/FA_lifetime)/FA_prod+FA_opex+FA_e_demand*1000*$AU111/100+Carriers!$P$18/Carriers!$P$23*BD111+Carriers!$P$20/Carriers!$P$23*BP111)*(CF111+FA_st_ab_losses)/1000000</f>
        <v>176974.33043160726</v>
      </c>
      <c r="CD111" s="63">
        <f>FA_st_nl_cost*FA_st_nl_demand/1000000+(FA_st_invest*(M111+1/FA_st_lifetime+FA_st_opex)/(Storage!$I$63/1000000)+FA_st_e_demand*1000*$AU111/100)*(CF111+FA_st_ab_losses)/1000000+co2_st_nl_cost*Storage!$I$12*co2_density/FA_density/1000000+(co2_st_opex_lev+co2_st_invest_lev+co2_st_e_demand*1000*$AU111/100)*Storage!$I$12/1000000+co2_st_invest_lev*Storage!$I$12*co2_st_lifetime*M111/1000000+Carriers!$P$18/Carriers!$P$23*((CF111+FA_st_ab_losses)/365.25*short_st_duration_hrs/24)*(h2_short_st_invest*(1/gh2_short_st_lifetime+$M111+h2_short_st_opex)+h2_short_st_e_demand*1000*$AU111/100)/1000000+Carriers!$P$20/Carriers!$P$23*((CF111+FA_st_ab_losses)/365.25*short_st_duration_hrs/24)*(co2_short_st_invest*(1/co2_short_st_lifetime+$M111+co2_short_st_opex)+co2_short_st_e_demand*1000*$AU111/100)/1000000</f>
        <v>14045.155405935238</v>
      </c>
      <c r="CE111" s="63">
        <f>FA_st_nl_cost*FA_st_nl_demand/1000000+(FA_st_invest*(M111+1/FA_st_lifetime+FA_st_opex)/(Storage!$I$63/1000000)+FA_st_e_demand*1000*$AU111/100)*(CF111+FA_st_ab_losses)/1000000+Carriers!$P$18/Carriers!$P$23*((CF111+FA_st_ab_losses)/365.25*short_st_duration_hrs/24)*(h2_short_st_invest*(1/gh2_short_st_lifetime+$M111+h2_short_st_opex)+h2_short_st_e_demand*1000*$AU111/100)/1000000+Carriers!$P$20/Carriers!$P$23*((CF111+FA_st_ab_losses)/365.25*short_st_duration_hrs/24)*(co2_short_st_invest*(1/co2_short_st_lifetime+$M111+co2_short_st_opex)+co2_short_st_e_demand*1000*$AU111/100)/1000000</f>
        <v>6230.4806281741849</v>
      </c>
      <c r="CF111" s="63">
        <f>Storage!$I$57/((1-Shipping!$J$37)^($F111/24/Shipping!$J$44+0.5*Shipping!$J$59))</f>
        <v>310425396.82539684</v>
      </c>
      <c r="CG111" s="28" t="str">
        <f>IF($E111="","No Port",((F111/24/Shipping!$J$44+F111/24/Shipping!$J$50+Shipping!$J$59+Shipping!$J$64)*(Shipping!$J$22+wacc_nl*Shipping!$J$19/365.25*1000000+Shipping!$J$35)+(F111/24/Shipping!$J$44*Shipping!$J$45+Shipping!$J$64*Shipping!$J$65)*IF(bunker_choice="HFO",$H111,IF(bunker_choice="hydrogen",$BD111*hfo_e_density_lhv/h2_e_density_lhv,(CB111+CD111)*1000000/CF111*hfo_e_density_lhv/FA_e_density_lhv))+(F111/24/Shipping!$J$50*Shipping!$J$51+Shipping!$J$59*Shipping!$J$60)*IF(bunker_choice="HFO",bunker_price_ROT,IF(bunker_choice="hydrogen",$BD111*hfo_e_density_lhv/h2_e_density_lhv,(CB111+CD111)*1000000/CF111*hfo_e_density_lhv/FA_e_density_lhv))+Shipping!$J$73+IF(G111="Panama",Shipping!$J$55,0)+IF(G111="Suez",Shipping!$J$56,0))/Shipping!$J$31*CF111/1000000+IF(inland_transport_to_port="hv dc grid",$BM111/100*1000*CI111,IF(inland_transport_to_port="pipeline",$BN111,0)))</f>
        <v>No Port</v>
      </c>
      <c r="CH111" s="28" t="str">
        <f t="shared" si="132"/>
        <v/>
      </c>
      <c r="CI111" s="29">
        <f>((Carriers!$P$18/Carriers!$P$23*alk_el_e_demand)+FA_e_demand)*(CF111+FA_st_ab_losses)/1000000+FA_st_e_demand*CF111/1000000</f>
        <v>1897.8881241622576</v>
      </c>
      <c r="CJ111" s="29">
        <f t="shared" si="157"/>
        <v>0.46563809523809524</v>
      </c>
      <c r="CK111" s="28" t="str">
        <f>IFERROR(CH111*1000000/Storage!$I$12,"")</f>
        <v/>
      </c>
      <c r="CL111" s="28" t="str">
        <f>IF($E111="","No Port",((F111/24/Shipping!$J$44+F111/24/Shipping!$J$50+Shipping!$J$59+Shipping!$J$64)*Carriers!$P$39*wacc_nl))</f>
        <v>No Port</v>
      </c>
      <c r="CM111" s="29">
        <f>H2_retrieval!$H$25*h2_demand_kt/1000+(co2_liq_e_demand+co2_st_e_demand*2)*Storage!$I$12*co2_density/FA_density/1000000</f>
        <v>94.204253879484654</v>
      </c>
      <c r="CN111" s="28" t="str">
        <f>IFERROR((((CB111+CD111+CG111)*(1+H2_retrieval!$H$34)+CL111)*1000000/H2_retrieval!$H$8)+h2_regen_fa,"")</f>
        <v/>
      </c>
      <c r="CO111" s="149">
        <f>(meoh_invest*(M111+1/meoh_lifetime)/meoh_prod+meoh_opex+meoh_e_demand*1000*$AU111/100+Carriers!$R$18/Carriers!$R$23*BD111+Carriers!$R$20/Carriers!$R$23*co2_liq_cost)*(CS111+meoh_st_ab_losses)/1000000</f>
        <v>89075.606298474537</v>
      </c>
      <c r="CP111" s="86">
        <f>(meoh_invest*(M111+1/meoh_lifetime)/meoh_prod+meoh_opex+meoh_e_demand*1000*$AU111/100+Carriers!$R$18/Carriers!$R$23*BD111+Carriers!$R$20/Carriers!$R$23*BP111)*(CS111+meoh_st_ab_losses)/1000000</f>
        <v>110561.58171371071</v>
      </c>
      <c r="CQ111" s="63">
        <f>meoh_st_nl_cost*meoh_st_nl_demand/1000000+(meoh_st_invest*(M111+1/meoh_st_lifetime+meoh_st_opex)/(Storage!$K$63/1000000)+meoh_st_e_demand*1000*$AU111/100)*(CS111+meoh_st_ab_losses)/1000000+co2_st_nl_cost*Storage!$K$12*co2_density/meoh_density/1000000+(co2_st_opex_lev+co2_st_invest_lev+co2_st_e_demand*1000*IFERROR(MIN(S111,AA111,AI111),S111)/100)*Storage!$K$12/1000000+co2_st_invest_lev*Storage!$K$12*co2_st_lifetime*M111/1000000+Carriers!$R$18/Carriers!$R$23*((CS111+meoh_st_ab_losses)/365.25*short_st_duration_hrs/24)*(h2_short_st_invest*(1/gh2_short_st_lifetime+$M111+h2_short_st_opex)+h2_short_st_e_demand*1000*$AU111/100)/1000000+Carriers!$R$20/Carriers!$R$23*((CF111+meoh_st_ab_losses)/365.25*short_st_duration_hrs/24)*(co2_short_st_invest*(1/co2_short_st_lifetime+$M111+co2_short_st_opex)+co2_short_st_e_demand*1000*$AU111/100)/1000000</f>
        <v>5846.8825505398654</v>
      </c>
      <c r="CR111" s="63">
        <f>meoh_st_nl_cost*meoh_st_nl_demand/1000000+(meoh_st_invest*(M111+1/meoh_st_lifetime+meoh_st_opex)/(Storage!$K$63/1000000)+meoh_st_e_demand*1000*$AU111/100)*(CS111+meoh_st_ab_losses)/1000000+Carriers!$R$18/Carriers!$R$23*((CS111+meoh_st_ab_losses)/365.25*short_st_duration_hrs/24)*(h2_short_st_invest*(1/gh2_short_st_lifetime+$M111+h2_short_st_opex)+h2_short_st_e_demand*1000*$AU111/100)/1000000+Carriers!$R$20/Carriers!$R$23*((CF111+meoh_st_ab_losses)/365.25*short_st_duration_hrs/24)*(co2_short_st_invest*(1/co2_short_st_lifetime+$M111+co2_short_st_opex)+co2_short_st_e_demand*1000*$AU111/100)/1000000</f>
        <v>2527.965275053828</v>
      </c>
      <c r="CS111" s="63">
        <f>Storage!$K$57/((1-Shipping!$L$37)^($F111/24/Shipping!$L$44+0.5*Shipping!$L$59))</f>
        <v>108044444.44444443</v>
      </c>
      <c r="CT111" s="28" t="str">
        <f>IF($E111="","No Port",IF(AND(ship_choice="VLCC",G111="Panama"),"Ship cannot pass through Panama",IF(ship_choice="VLCC",((F111/24/Shipping!$AD$44+F111/24/Shipping!$AD$50+Shipping!$AD$59+Shipping!$AD$64)*(Shipping!$AD$22+wacc_nl*Shipping!$AD$19/365.25*1000000+Shipping!$AD$35)+(F111/24/Shipping!$AD$44*Shipping!$AD$45+Shipping!$AD$64*Shipping!$AD$65)*IF(bunker_choice="HFO",$H111,IF(bunker_choice="hydrogen",$BD111*hfo_e_density_lhv/h2_e_density_lhv,(CO111+CQ111)*1000000/CS111*hfo_e_density_lhv/meoh_e_density_lhv))+(F111/24/Shipping!$AD$50*Shipping!$AD$51+Shipping!$AD$59*Shipping!$AD$60)*IF(bunker_choice="HFO",bunker_price_ROT,IF(bunker_choice="hydrogen",$BD111*hfo_e_density_lhv/h2_e_density_lhv,(CO111+CQ111)*1000000/CS111*hfo_e_density_lhv/meoh_e_density_lhv))+Shipping!$AD$73+IF(G111="Panama",Shipping!$AD$55,0)+IF(G111="Suez",Shipping!$AD$56,0))/Shipping!$AD$31*CS111/1000000+IF(inland_transport_to_port="hv dc grid",$BM111/100*1000*CV111,IF(inland_transport_to_port="pipeline",$BN111,0)),((F111/24/Shipping!$L$44+F111/24/Shipping!$L$50+Shipping!$L$59+Shipping!$L$64)*(Shipping!$L$22+wacc_nl*Shipping!$L$19/365.25*1000000+Shipping!$L$35)+(F111/24/Shipping!$L$44*Shipping!$L$45+Shipping!$L$64*Shipping!$L$65)*IF(bunker_choice="HFO",$H111,IF(bunker_choice="hydrogen",$BD111*hfo_e_density_lhv/h2_e_density_lhv,(CO111+CQ111)*1000000/CS111*hfo_e_density_lhv/meoh_e_density_lhv))+(F111/24/Shipping!$L$50*Shipping!$L$51+Shipping!$L$59*Shipping!$L$60)*IF(bunker_choice="HFO",bunker_price_ROT,IF(bunker_choice="hydrogen",$BD111*hfo_e_density_lhv/h2_e_density_lhv,(CO111+CQ111)*1000000/CS111*hfo_e_density_lhv/meoh_e_density_lhv))+Shipping!$L$73+IF(G111="Panama",Shipping!$L$55,0)+IF(G111="Suez",Shipping!$L$56,0))/Shipping!$L$31*CS111/1000000+IF(inland_transport_to_port="hv dc grid",$BM111/100*1000*CV111,IF(inland_transport_to_port="pipeline",$BN111,0)))))</f>
        <v>No Port</v>
      </c>
      <c r="CU111" s="28" t="str">
        <f t="shared" si="133"/>
        <v/>
      </c>
      <c r="CV111" s="29">
        <f>((Carriers!$R$18/Carriers!$R$23*alk_el_e_demand)+meoh_e_demand)*(CS111+meoh_st_ab_losses)/1000000+meoh_st_e_demand*CS111/1000000</f>
        <v>1119.9789871111109</v>
      </c>
      <c r="CW111" s="29">
        <f t="shared" si="158"/>
        <v>0.16206666666666666</v>
      </c>
      <c r="CX111" s="28" t="str">
        <f>IFERROR(CU111*1000000/Storage!$K$12,"")</f>
        <v/>
      </c>
      <c r="CY111" s="28" t="str">
        <f>IF($E111="","No Port",((F111/24/Shipping!$L$44+F111/24/Shipping!$L$50+Shipping!$L$59+Shipping!$L$64)*Carriers!$R$39*wacc_nl))</f>
        <v>No Port</v>
      </c>
      <c r="CZ111" s="29">
        <f>H2_retrieval!$J$25*h2_demand_kt/1000+(co2_liq_e_demand+co2_st_e_demand*2)*Storage!$K$12*co2_density/meoh_density/1000000</f>
        <v>251.05079059698966</v>
      </c>
      <c r="DA111" s="28" t="str">
        <f>IFERROR((((CO111+CQ111+CT111)*(1+H2_retrieval!$J$34)+CY111)*1000000/H2_retrieval!$J$8)+h2_regen_meoh,"")</f>
        <v/>
      </c>
      <c r="DB111" s="149">
        <f>(DBT_invest*(M111+1/DBT_lifetime)/DBT_prod+DBT_opex+DBT_e_demand*1000*$AU111/100+Carriers!$T$18/Carriers!$T$23*BD111)*(DD111+DBT_st_ab_losses)/1000000</f>
        <v>59689.371631375812</v>
      </c>
      <c r="DC111" s="28">
        <f>2*(DBT_st_nl_cost*DBT_st_nl_demand/1000000+(DBT_st_invest*(M111+1/DBT_st_lifetime+DBT_st_opex)/(Storage!$M$63/1000000)+DBT_st_e_demand*1000*$AU111/100)*(DD111+DBT_st_ab_losses)/1000000)+Carriers!$T$18/Carriers!$T$23*((DD111+DBT_st_ab_losses)/365.25*short_st_duration_hrs/24)*(h2_short_st_invest*(1/gh2_short_st_lifetime+$M111+h2_short_st_opex)+h2_short_st_e_demand*1000*$AU111/100)/1000000</f>
        <v>5057.9572447704932</v>
      </c>
      <c r="DD111" s="63">
        <f>Storage!$M$57/((1-Shipping!$N$37)^($F111/24/Shipping!$N$44+0.5*Shipping!$N$59))</f>
        <v>219354838.70967743</v>
      </c>
      <c r="DE111" s="28" t="str">
        <f>IF($E111="","No Port",IF(AND(ship_choice="VLCC",G111="Panama"),"Ship cannot pass through Panama",IF(ship_choice="VLCC",((F111/24/Shipping!$AD$44+F111/24/Shipping!$AD$50+Shipping!$AD$59+Shipping!$AD$64)*(Shipping!$AD$22+wacc_nl*Shipping!$AD$19/365.25*1000000+Shipping!$AD$35)+(F111/24/Shipping!$AD$44*Shipping!$AD$45+Shipping!$AD$64*Shipping!$AD$65)*IF(bunker_choice="HFO",$H111,IF(bunker_choice="hydrogen",$BD111*hfo_e_density_lhv/h2_e_density_lhv,(DB111+DC111)*1000000/DD111*hfo_e_density_lhv/DBT_e_density_lhv))+(F111/24/Shipping!$AD$50*Shipping!$AD$51+Shipping!$AD$59*Shipping!$AD$60)*IF(bunker_choice="HFO",bunker_price_ROT,IF(bunker_choice="hydrogen",$BD111*hfo_e_density_lhv/h2_e_density_lhv,(DB111+DC111)*1000000/DD111*hfo_e_density_lhv/DBT_e_density_lhv))+Shipping!$AD$73+IF(G111="Panama",Shipping!$AD$55,0)+IF(G111="Suez",Shipping!$AD$56,0))/Shipping!$AD$31*DD111/1000000+IF(inland_transport_to_port="hv dc grid",$BM111/100*1000*DG111,IF(inland_transport_to_port="pipeline",$BN111,0)),((F111/24/Shipping!$N$44+F111/24/Shipping!$N$50+Shipping!$N$59+Shipping!$N$64)*(Shipping!$N$22+wacc_nl*Shipping!$N$19/365.25*1000000+Shipping!$N$35)+(F111/24/Shipping!$N$44*Shipping!$N$45+Shipping!$N$64*Shipping!$N$65)*IF(bunker_choice="HFO",$H111,IF(bunker_choice="hydrogen",$BD111*hfo_e_density_lhv/h2_e_density_lhv,(DB111+DC111)*1000000/DD111*hfo_e_density_lhv/DBT_e_density_lhv))+(F111/24/Shipping!$N$50*Shipping!$N$51+Shipping!$N$59*Shipping!$N$60)*IF(bunker_choice="HFO",bunker_price_ROT,IF(bunker_choice="hydrogen",$BD111*hfo_e_density_lhv/h2_e_density_lhv,(DB111+DC111)*1000000/DD111*hfo_e_density_lhv/DBT_e_density_lhv))+Shipping!$N$73+IF(G111="Panama",Shipping!$N$55,0)+IF(G111="Suez",Shipping!$N$56,0))/Shipping!$N$31*Shipping!$N$86/1000000+IF(inland_transport_to_port="hv dc grid",$BM111/100*1000*DG111,IF(inland_transport_to_port="pipeline",$BN111,0)))))</f>
        <v>No Port</v>
      </c>
      <c r="DF111" s="28" t="str">
        <f t="shared" si="159"/>
        <v/>
      </c>
      <c r="DG111" s="29">
        <f>((Carriers!$T$18/Carriers!$T$23*alk_el_e_demand)+DBT_e_demand)*(DD111+DBT_st_ab_losses)/1000000+DBT_st_e_demand*DD111/1000000</f>
        <v>703.88335483870969</v>
      </c>
      <c r="DH111" s="29">
        <f t="shared" si="160"/>
        <v>0.21935483870967742</v>
      </c>
      <c r="DI111" s="28" t="str">
        <f>IFERROR(DF111*1000000/Storage!$M$12,"")</f>
        <v/>
      </c>
      <c r="DJ111" s="28" t="str">
        <f>IF($E111="","No Port",((F111/24/Shipping!$N$44+F111/24/Shipping!$N$50+Shipping!$N$59+Shipping!$N$64)*Carriers!$T$39*wacc_nl))</f>
        <v>No Port</v>
      </c>
      <c r="DK111" s="100">
        <f>H2_retrieval!$L$25*h2_demand_kt/1000+(co2_liq_e_demand+co2_st_e_demand*2)*Storage!$M$12*co2_density/DBT_density/1000000</f>
        <v>206.61934861671787</v>
      </c>
      <c r="DL111" s="28" t="str">
        <f>IFERROR(((DF111*(1+H2_retrieval!$L$34)+DJ111)*1000000/H2_retrieval!$L$8)+h2_regen_lohc,"")</f>
        <v/>
      </c>
      <c r="DM111" s="149">
        <f t="shared" si="175"/>
        <v>63041.983251200072</v>
      </c>
      <c r="DN111" s="16">
        <f>2*(nabh4_st_nl_cost*nabh4_st_nl_demand/1000000+(nabh4_st_invest*(M111+1/nabh4_st_lifetime+nabh4_st_opex)/(Storage!$O$63/1000000)+nabh4_st_e_demand*1000*$AU111/100)*(DO111+nabh4_st_ab_losses)/1000000)+(h2_demand_kt*1000/365.25*short_st_duration_hrs/24)*(h2_short_st_invest*(1/gh2_short_st_lifetime+$M111+h2_short_st_opex)+h2_short_st_e_demand*1000*$AU111/100)/1000000</f>
        <v>1721.2910949232778</v>
      </c>
      <c r="DO111" s="63">
        <f>Storage!$O$57/((1-Shipping!$P$37)^($F111/24/Shipping!$P$44+0.5*Shipping!$P$59))</f>
        <v>63920000</v>
      </c>
      <c r="DP111" s="16" t="str">
        <f>IF($E111="","No Port",((F111/24/Shipping!$P$44+F111/24/Shipping!$P$50+Shipping!$P$59+Shipping!$P$64)*(Shipping!$P$22+wacc_nl*Shipping!$P$19/365.25*1000000+Shipping!$P$35)+(F111/24/Shipping!$P$44*Shipping!$P$45+Shipping!$P$64*Shipping!$P$65)*IF(bunker_choice="HFO",$H111,IF(bunker_choice="hydrogen",$BD111*hfo_e_density_lhv/h2_e_density_lhv,(DM111+DN111)*1000000/DO111*hfo_e_density_lhv/nabh4_e_density_lhv))+(F111/24/Shipping!$P$50*Shipping!$P$51+Shipping!$P$59*Shipping!$P$60)*IF(bunker_choice="HFO",bunker_price_ROT,IF(bunker_choice="hydrogen",$BD111*hfo_e_density_lhv/h2_e_density_lhv,(DM111+DN111)*1000000/DO111*hfo_e_density_lhv/nabh4_e_density_lhv))+Shipping!$P$73+IF(G111="Panama",Shipping!$P$55,0)+IF(G111="Suez",Shipping!$P$56,0))/Shipping!$P$31*(DO111+nabh4_st_ab_losses)/1000000+IF(inland_transport_to_port="hv dc grid",$BM111/100*1000*DR111,IF(inland_transport_to_port="pipeline",$BN111,0)))</f>
        <v>No Port</v>
      </c>
      <c r="DQ111" s="28" t="str">
        <f t="shared" si="146"/>
        <v/>
      </c>
      <c r="DR111" s="29">
        <f>((Carriers!$V$18/Carriers!$V$23*alk_el_e_demand)+nabh4_e_demand)*(DO111+nabh4_st_ab_losses)/1000000+nabh4_st_e_demand*DO111/1000000</f>
        <v>980.02139682539689</v>
      </c>
      <c r="DS111" s="28">
        <f t="shared" si="161"/>
        <v>3.1960000000000002</v>
      </c>
      <c r="DT111" s="28" t="str">
        <f>IFERROR(DQ111*1000000/Storage!$O$12,"")</f>
        <v/>
      </c>
      <c r="DU111" s="28" t="str">
        <f>IF($E111="","No Port",((F111/24/Shipping!$P$44+F111/24/Shipping!$P$50+Shipping!$P$59+Shipping!$P$64)*Carriers!$V$39*wacc_nl))</f>
        <v>No Port</v>
      </c>
      <c r="DV111" s="100">
        <f>H2_retrieval!$N$25*h2_demand_kt/1000+(co2_liq_e_demand+co2_st_e_demand*2)*Storage!$O$12*co2_density/nabh4_density/1000000</f>
        <v>18.783638728971958</v>
      </c>
      <c r="DW111" s="28" t="str">
        <f>IFERROR(((DQ111*(1+H2_retrieval!$N$34)+DU111)*1000000/H2_retrieval!$N$8)+h2_regen_nabh4,"")</f>
        <v/>
      </c>
      <c r="DX111" s="149">
        <f>(Dme_invest*(M111+1/Dme_lifetime)/Dme_prod+Dme_opex+Dme_e_demand*1000*$AU111/100+Carriers!$X$21/Carriers!$X$23*(CO111*1000000/CS111))*(EB111+Dme_st_ab_losses)/1000000</f>
        <v>124924.10017776494</v>
      </c>
      <c r="DY111" s="86">
        <f>(Dme_invest*(M111+1/Dme_lifetime)/Dme_prod+Dme_opex+Dme_e_demand*1000*$AU111/100+Carriers!$X$21/Carriers!$X$23*(CP111*1000000/CS111))*(EB111+Dme_st_ab_losses)/1000000</f>
        <v>154073.3497855335</v>
      </c>
      <c r="DZ111" s="63">
        <f>Dme_st_nl_cost*Dme_st_nl_demand/1000000+(Dme_st_invest*(M111+1/Dme_st_lifetime+Dme_st_opex)/(Storage!$Q$63/1000000)+Dme_st_e_demand*1000*$AU111/100)*(EB111+Dme_st_ab_losses)/1000000+co2_st_nl_cost*Storage!$Q$12*co2_density/Dme_density/1000000+(co2_st_opex_lev+co2_st_invest_lev+co2_st_e_demand*1000*$AU111/100)*Storage!$Q$12/1000000+co2_st_invest_lev*Storage!$Q$12*co2_st_lifetime*M111/1000000+(h2_demand_kt*1000/365.25*short_st_duration_hrs/24)*(h2_short_st_invest*(1/gh2_short_st_lifetime+$M111+h2_short_st_opex)+h2_short_st_e_demand*1000*$AU111/100)/1000000</f>
        <v>7002.4591180087009</v>
      </c>
      <c r="EA111" s="63">
        <f>Dme_st_nl_cost*Dme_st_nl_demand/1000000+(Dme_st_invest*(M111+1/Dme_st_lifetime+Dme_st_opex)/(Storage!$Q$63/1000000)+Dme_st_e_demand*1000*$AU111/100)*(EB111+Dme_st_ab_losses)/1000000+(h2_demand_kt*1000/365.25*short_st_duration_hrs/24)*(h2_short_st_invest*(1/gh2_short_st_lifetime+$M111+h2_short_st_opex)+h2_short_st_e_demand*1000*$AU111/100)/1000000</f>
        <v>3694.791217291297</v>
      </c>
      <c r="EB111" s="63">
        <f>Storage!$Q$57/((1-Shipping!$R$37)^($F111/24/Shipping!$R$44+0.5*Shipping!$R$59))</f>
        <v>103547089.94708996</v>
      </c>
      <c r="EC111" s="153" t="str">
        <f>IF($E111="","No Port",IF(AND(ship_choice="VLCC",G111="Panama"),"Ship cannot pass through Panama",IF(ship_choice="VLCC",((F111/24/Shipping!$AD$44+F111/24/Shipping!$AD$50+Shipping!$AD$59+Shipping!$AD$64)*(Shipping!$AD$22+wacc_nl*Shipping!$AD$19/365.25*1000000+Shipping!$AD$35)+(F111/24/Shipping!$AD$44*Shipping!$AD$45+Shipping!$AD$64*Shipping!$AD$65)*IF(bunker_choice="HFO",$H111,IF(bunker_choice="hydrogen",$BD111*hfo_e_density_lhv/h2_e_density_lhv,(DX111+DZ111)*1000000/EB111*hfo_e_density_lhv/Dme_e_density_lhv))+(F111/24/Shipping!$AD$50*Shipping!$AD$51+Shipping!$AD$59*Shipping!$AD$60)*IF(bunker_choice="HFO",bunker_price_ROT,IF(bunker_choice="hydrogen",$BD111*hfo_e_density_lhv/h2_e_density_lhv,(DX111+DZ111)*1000000/EB111*hfo_e_density_lhv/Dme_e_density_lhv))+Shipping!$AD$73+IF(G111="Panama",Shipping!$AD$55,0)+IF(G111="Suez",Shipping!$AD$56,0))/Shipping!$AD$31*(EB111+Dme_st_ab_losses)/1000000+IF(inland_transport_to_port="hv dc grid",$BM111/100*1000*EE111,IF(inland_transport_to_port="pipeline",$BN111,0)),((F111/24/Shipping!$R$44+F111/24/Shipping!$R$50+Shipping!$R$59+Shipping!$R$64)*(Shipping!$R$22+wacc_nl*Shipping!$R$19/365.25*1000000+Shipping!$R$35)+(F111/24/Shipping!$R$44*Shipping!$R$45+Shipping!$R$64*Shipping!$R$65)*IF(bunker_choice="HFO",$H111,IF(bunker_choice="hydrogen",$BD111*hfo_e_density_lhv/h2_e_density_lhv,(DX111+DZ111)*1000000/EB111*hfo_e_density_lhv/Dme_e_density_lhv))+(F111/24/Shipping!$R$50*Shipping!$R$51+Shipping!$R$59*Shipping!$R$60)*IF(bunker_choice="HFO",bunker_price_ROT,IF(bunker_choice="hydrogen",$BD111*hfo_e_density_lhv/h2_e_density_lhv,(DX111+DZ111)*1000000/EB111*hfo_e_density_lhv/Dme_e_density_lhv))+Shipping!$R$73+IF(G111="Panama",Shipping!$R$55,0)+IF(G111="Suez",Shipping!$R$56,0))/Shipping!$R$31*(EB111+Dme_st_ab_losses)/1000000+IF(inland_transport_to_port="hv dc grid",$BM111/100*1000*EE111,IF(inland_transport_to_port="pipeline",$BN111,0)))))</f>
        <v>No Port</v>
      </c>
      <c r="ED111" s="28" t="str">
        <f t="shared" si="134"/>
        <v/>
      </c>
      <c r="EE111" s="29">
        <f>(Dme_e_demand)*(EB111+Dme_st_ab_losses)/1000000+Dme_st_e_demand*DZ111/1000000+$CV111*(Carriers!$X$21/Carriers!$X$23*EB111)/$CS111</f>
        <v>1550.216830191647</v>
      </c>
      <c r="EF111" s="29">
        <f t="shared" si="162"/>
        <v>1.0354708994708997</v>
      </c>
      <c r="EG111" s="28" t="str">
        <f>IFERROR(ED111*1000000/Storage!$Q$12,"")</f>
        <v/>
      </c>
      <c r="EH111" s="28" t="str">
        <f>IF($E111="","No Port",((F111/24/Shipping!$R$44+F111/24/Shipping!$R$50+Shipping!$R$59+Shipping!$R$64)*Carriers!$X$39*wacc_nl))</f>
        <v>No Port</v>
      </c>
      <c r="EI111" s="100">
        <f>H2_retrieval!$P$25*h2_demand_kt/1000+(co2_liq_e_demand+co2_st_e_demand*2)*Storage!$Q$12*co2_density/Dme_density/1000000</f>
        <v>252.45335899349112</v>
      </c>
      <c r="EJ111" s="28" t="str">
        <f>IFERROR((((DX111+DZ111+EC111)*(1+H2_retrieval!$P$34)+EH111)*1000000/H2_retrieval!$P$8)+h2_regen_dme,"")</f>
        <v/>
      </c>
      <c r="EK111" s="149">
        <f>(ome_invest*(M111+1/ome_lifetime)/ome_prod+ome_opex+ome_e_demand*1000*$AU111/100+Carriers!$Z$21/Carriers!$Z$23*(CO111*1000000/CS111))*(EO111+ome_st_ab_losses)/1000000</f>
        <v>271033.96131114912</v>
      </c>
      <c r="EL111" s="86">
        <f>(ome_invest*(M111+1/ome_lifetime)/ome_prod+ome_opex+ome_e_demand*1000*$AU111/100+Carriers!$Z$21/Carriers!$Z$23*(CP111*1000000/CS111))*(EO111+ome_st_ab_losses)/1000000</f>
        <v>332223.91051920445</v>
      </c>
      <c r="EM111" s="63">
        <f>ome_st_nl_cost*ome_st_nl_demand/1000000+(ome_st_invest*(M111+1/ome_st_lifetime+ome_st_opex)/(Storage!$S$63/1000000)+ome_st_e_demand*1000*$AU111/100)*(EO111+ome_st_ab_losses)/1000000+co2_st_nl_cost*Storage!$S$12*co2_density/ome_density/1000000+(co2_st_opex_lev+co2_st_invest_lev+co2_st_e_demand*1000*$AU111/100)*Storage!$S$12/1000000+co2_st_invest_lev*Storage!$S$12*co2_st_lifetime*M111/1000000+(h2_demand_kt*1000/365.25*short_st_duration_hrs/24)*(h2_short_st_invest*(1/gh2_short_st_lifetime+$M111+h2_short_st_opex)+h2_short_st_e_demand*1000*$AU111/100)/1000000</f>
        <v>6009.3097271673787</v>
      </c>
      <c r="EN111" s="63">
        <f>ome_st_nl_cost*ome_st_nl_demand/1000000+(ome_st_invest*(M111+1/ome_st_lifetime+ome_st_opex)/(Storage!$S$63/1000000)+ome_st_e_demand*1000*$AU111/100)*(EO111+ome_st_ab_losses)/1000000+(h2_demand_kt*1000/365.25*short_st_duration_hrs/24)*(h2_short_st_invest*(1/gh2_short_st_lifetime+$M111+h2_short_st_opex)+h2_short_st_e_demand*1000*$AU111/100)/1000000</f>
        <v>2250.4700948066702</v>
      </c>
      <c r="EO111" s="63">
        <f>Storage!$S$57/((1-Shipping!$T$37)^($F111/24/Shipping!$T$44+0.5*Shipping!$T$59))</f>
        <v>128282539.68253967</v>
      </c>
      <c r="EP111" s="28" t="str">
        <f>IF($E111="","No Port",IF(AND(ship_choice="VLCC",G111="Panama"),"Ship cannot pass through Panama",IF(ship_choice="VLCC",((F111/24/Shipping!$AD$44+F111/24/Shipping!$AD$50+Shipping!$AD$59+Shipping!$AD$64)*(Shipping!$AD$22+wacc_nl*Shipping!$AD$19/365.25*1000000+Shipping!$AD$35)+(F111/24/Shipping!$AD$44*Shipping!$AD$45+Shipping!$AD$64*Shipping!$AD$65)*IF(bunker_choice="HFO",$H111,IF(bunker_choice="hydrogen",$BD111*hfo_e_density_lhv/h2_e_density_lhv,(EK111+EM111)*1000000/EO111*hfo_e_density_lhv/Dme_e_density_lhv))+(F111/24/Shipping!$AD$50*Shipping!$AD$51+Shipping!$AD$59*Shipping!$AD$60)*IF(bunker_choice="HFO",bunker_price_ROT,IF(bunker_choice="hydrogen",$BD111*hfo_e_density_lhv/h2_e_density_lhv,(EK111+EM111)*1000000/EO111*hfo_e_density_lhv/ome_e_density_lhv))+Shipping!$AD$73+IF(G111="Panama",Shipping!$AD$55,0)+IF(G111="Suez",Shipping!$AD$56,0))/Shipping!$AD$31*(EO111+ome_st_ab_losses)/1000000+IF(inland_transport_to_port="hv dc grid",$BM111/100*1000*ER111,IF(inland_transport_to_port="pipeline",$BN111,0)),((F111/24/Shipping!$T$44+F111/24/Shipping!$T$50+Shipping!$T$59+Shipping!$T$64)*(Shipping!$T$22+wacc_nl*Shipping!$T$19/365.25*1000000+Shipping!$T$35)+(F111/24/Shipping!$T$44*Shipping!$T$45+Shipping!$T$64*Shipping!$T$65)*IF(bunker_choice="HFO",$H111,IF(bunker_choice="hydrogen",$BD111*hfo_e_density_lhv/h2_e_density_lhv,(EK111+EM111)*1000000/EO111*hfo_e_density_lhv/Dme_e_density_lhv))+(F111/24/Shipping!$T$50*Shipping!$T$51+Shipping!$T$59*Shipping!$T$60)*IF(bunker_choice="HFO",bunker_price_ROT,IF(bunker_choice="hydrogen",$BD111*hfo_e_density_lhv/h2_e_density_lhv,(EK111+EM111)*1000000/EO111*hfo_e_density_lhv/ome_e_density_lhv))+Shipping!$T$73+IF(G111="Panama",Shipping!$T$55,0)+IF(G111="Suez",Shipping!$T$56,0))/Shipping!$T$31*(EO111+ome_st_ab_losses)/1000000+IF(inland_transport_to_port="hv dc grid",$BM111/100*1000*ER111,IF(inland_transport_to_port="pipeline",$BN111,0)))))</f>
        <v>No Port</v>
      </c>
      <c r="EQ111" s="28" t="str">
        <f t="shared" si="135"/>
        <v/>
      </c>
      <c r="ER111" s="29">
        <f>(ome_e_demand)*(EO111+ome_st_ab_losses)/1000000+ome_st_e_demand*EM111/1000000+$CV111*(Carriers!$Z$21/Carriers!$Z$23*EO111)/$CS111</f>
        <v>3352.0814591547482</v>
      </c>
      <c r="ES111" s="29">
        <f t="shared" si="163"/>
        <v>0.1924238095238095</v>
      </c>
      <c r="ET111" s="28" t="str">
        <f>IFERROR(EQ111*1000000/Storage!$S$12,"")</f>
        <v/>
      </c>
      <c r="EU111" s="28" t="str">
        <f>IF($E111="","No Port",((F111/24/Shipping!$T$44+F111/24/Shipping!$T$50+Shipping!$T$59+Shipping!$T$64)*Carriers!$Z$39*wacc_nl))</f>
        <v>No Port</v>
      </c>
      <c r="EV111" s="100">
        <f>H2_retrieval!$R$25*h2_demand_kt/1000+(co2_liq_e_demand+co2_st_e_demand*2)*Storage!$S$12*co2_density/ome_density/1000000</f>
        <v>254.51942895252085</v>
      </c>
      <c r="EW111" s="28" t="str">
        <f>IFERROR((((EK111+EM111+EP111)*(1+H2_retrieval!$R$34)+EU111)*1000000/H2_retrieval!$R$8)+h2_regen_ome,"")</f>
        <v/>
      </c>
      <c r="EX111" s="149">
        <f>(sng_invest*(M111+1/sng_lifetime)/sng_prod+lng_invest*(M111+1/lng_lifetime)/lng_prod+sng_opex+lng_opex+(sng_e_demand+lng_e_demand)*1000*$AU111/100+Carriers!$AB$18/Carriers!$AB$23*BD111+Carriers!$AB$20/Carriers!$AB$23*co2_liq_cost)*(FB111+lng_st_ab_losses)/1000000</f>
        <v>94910.302921304581</v>
      </c>
      <c r="EY111" s="86">
        <f>(sng_invest*(M111+1/sng_lifetime)/sng_prod+lng_invest*(M111+1/lng_lifetime)/lng_prod+sng_opex+lng_opex+(sng_e_demand+lng_e_demand)*1000*$AU111/100+Carriers!$AB$18/Carriers!$AB$23*BD111+Carriers!$AB$20/Carriers!$AB$23*BP111)*(FB111+lng_st_ab_losses)/1000000</f>
        <v>110797.97150809734</v>
      </c>
      <c r="EZ111" s="63">
        <f>lng_st_nl_cost*lng_st_nl_demand/1000000+(lng_st_invest*(M111+1/lng_st_lifetime+lng_st_opex)/(Storage!$U$63/1000000)+lng_st_e_demand*1000*$AU111/100)*(FB111+lng_st_ab_losses)/1000000+co2_st_nl_cost*Storage!$U$12*co2_density/lng_density/1000000+(co2_st_opex_lev+co2_st_invest_lev+co2_st_e_demand*1000*$AU111/100)*Storage!$U$12/1000000+co2_st_invest_lev*Storage!$U$12*co2_st_lifetime*M111/1000000+Carriers!$AB$18/Carriers!$AB$23*((FB111+lng_st_ab_losses)/365.25*short_st_duration_hrs/24)*(h2_short_st_invest*(1/gh2_short_st_lifetime+$M111+h2_short_st_opex)+h2_short_st_e_demand*1000*$AU111/100)/1000000+Carriers!$AB$20/Carriers!$AB$23*((FB111+lng_st_ab_losses)/365.25*short_st_duration_hrs/24)*(co2_short_st_invest*(1/co2_short_st_lifetime+$M111+co2_short_st_opex)+co2_short_st_e_demand*1000*$AU111/100)/1000000</f>
        <v>7468.0640740635727</v>
      </c>
      <c r="FA111" s="63">
        <f>lng_st_nl_cost*lng_st_nl_demand/1000000+(lng_st_invest*(M111+1/lng_st_lifetime+lng_st_opex)/(Storage!$U$63/1000000)+lng_st_e_demand*1000*$AU111/100)*(FB111+lng_st_ab_losses)/1000000+Carriers!$AB$18/Carriers!$AB$23*((FB111+lng_st_ab_losses)/365.25*short_st_duration_hrs/24)*(h2_short_st_invest*(1/gh2_short_st_lifetime+$M111+h2_short_st_opex)+h2_short_st_e_demand*1000*$AU111/100)/1000000+Carriers!$AB$20/Carriers!$AB$23*((FB111+lng_st_ab_losses)/365.25*short_st_duration_hrs/24)*(co2_short_st_invest*(1/co2_short_st_lifetime+$M111+co2_short_st_opex)+co2_short_st_e_demand*1000*$AU111/100)/1000000</f>
        <v>5733.9721871300826</v>
      </c>
      <c r="FB111" s="63">
        <f>Storage!$U$57/((1-Shipping!$V$37)^($F111/24/Shipping!$V$44+0.5*Shipping!$V$59))</f>
        <v>40707231.50721889</v>
      </c>
      <c r="FC111" s="28" t="str">
        <f>IF($E111="","No Port",IF(G111="Panama","Ship cannot pass through Panama",((F111/24/Shipping!$V$44+F111/24/Shipping!$V$50+Shipping!$V$59+Shipping!$V$64)*(Shipping!$V$22+wacc_nl*Shipping!$V$19/365.25*1000000+Shipping!$V$35)+(F111/24/Shipping!$V$44*Shipping!$V$45+Shipping!$V$64*Shipping!$V$65)*IF(bunker_choice="HFO",$H111,IF(bunker_choice="hydrogen",$BD111*hfo_e_density_lhv/h2_e_density_lhv,(EX111+EZ111)*1000000/FB111*hfo_e_density_lhv/lng_e_density_lhv))+(F111/24/Shipping!$V$50*Shipping!$V$51+Shipping!$V$59*Shipping!$V$60)*IF(bunker_choice="HFO",bunker_price_ROT,IF(bunker_choice="hydrogen",$BD111*hfo_e_density_lhv/h2_e_density_lhv,(EX111+EZ111)*1000000/FB111*hfo_e_density_lhv/lng_e_density_lhv))+Shipping!$V$73+IF(G111="Panama",Shipping!$V$55,0)+IF(G111="Suez",Shipping!$V$56,0))/Shipping!$V$31*(FB111+lng_st_ab_losses)/1000000)+IF(inland_transport_to_port="hv dc grid",$BM111/100*1000*FE111,IF(inland_transport_to_port="pipeline",$BN111,0)))</f>
        <v>No Port</v>
      </c>
      <c r="FD111" s="28" t="str">
        <f t="shared" si="136"/>
        <v/>
      </c>
      <c r="FE111" s="29">
        <f>((Carriers!$AB$18/Carriers!$AB$23*alk_el_e_demand)+sng_e_demand+lng_e_demand)*(FB111+lng_st_ab_losses)/1000000+lng_st_e_demand*EZ111/1000000</f>
        <v>1091.7519083899308</v>
      </c>
      <c r="FF111" s="29">
        <f t="shared" si="164"/>
        <v>0.8126185861001558</v>
      </c>
      <c r="FG111" s="28" t="str">
        <f>IFERROR(FD111*1000000/Storage!$U$12,"")</f>
        <v/>
      </c>
      <c r="FH111" s="28" t="str">
        <f>IF($E111="","No Port",((F111/24/Shipping!$V$44+F111/24/Shipping!$V$50+Shipping!$V$59+Shipping!$V$64)*Carriers!$AB$39*wacc_nl))</f>
        <v>No Port</v>
      </c>
      <c r="FI111" s="100">
        <f>H2_retrieval!$T$25*h2_demand_kt/1000+(co2_liq_e_demand+co2_st_e_demand*2)*Storage!$U$12*co2_density/lng_density/1000000</f>
        <v>236.51371749646054</v>
      </c>
      <c r="FJ111" s="28" t="str">
        <f>IFERROR((((EX111+EZ111+FC111)*(1+H2_retrieval!$T$34)+FH111)*1000000/H2_retrieval!$T$8)+h2_regen_lng,"")</f>
        <v/>
      </c>
      <c r="FK111" s="149">
        <f>(lh2_invest*(M111+1/lh2_lifetime)/lh2_prod+lh2_opex+lh2_e_demand*1000*$AU111/100+Carriers!$AD$18/Carriers!$AD$23*BD111)*(FM111+lh2_st_ab_losses)/1000000</f>
        <v>73524.625685550738</v>
      </c>
      <c r="FL111" s="28">
        <f>lh2_st_nl_cost*lh2_st_nl_demand/1000000+(lh2_st_invest*(M111+1/lh2_st_lifetime+lh2_st_opex)/(Storage!$Y$63/1000000)+lh2_st_e_demand*1000*$AU111/100)*(FM111+lh2_st_ab_losses)/1000000+((FM111+lh2_st_ab_losses)/365.25*short_st_duration_hrs/24)*(h2_short_st_invest*(1/gh2_short_st_lifetime+$M111+h2_short_st_opex)+h2_short_st_e_demand*1000*$AU111/100)/1000000</f>
        <v>65219.399587780463</v>
      </c>
      <c r="FM111" s="63">
        <f>Storage!$Y$57/((1-Shipping!$Z$37)^($F111/24/Shipping!$Z$44+0.5*Shipping!$Z$59))</f>
        <v>13659984.090217989</v>
      </c>
      <c r="FN111" s="28" t="str">
        <f>IF($E111="","No Port",IF(G111="Panama","Ship cannot pass through Panama",((F111/24/Shipping!$Z$44+F111/24/Shipping!$Z$50+Shipping!$Z$59+Shipping!$Z$64)*(Shipping!$Z$22+wacc_nl*Shipping!$Z$19/365.25*1000000+Shipping!$Z$35)+(F111/24/Shipping!$Z$44*Shipping!$Z$45+Shipping!$Z$64*Shipping!$Z$65)*IF(bunker_choice="HFO",$H111,IF(bunker_choice="hydrogen",$BD111*hfo_e_density_lhv/h2_e_density_lhv,(FK111+FL111)*1000000/FM111*hfo_e_density_lhv/lh2_e_density_lhv))+(F111/24/Shipping!$Z$50*Shipping!$Z$51+Shipping!$Z$59*Shipping!$Z$60)*IF(bunker_choice="HFO",bunker_price_ROT,IF(bunker_choice="hydrogen",$BD111*hfo_e_density_lhv/h2_e_density_lhv,(FK111+FL111)*1000000/FM111*hfo_e_density_lhv/lh2_e_density_lhv))+Shipping!$Z$73+IF(G111="Panama",Shipping!$Z$55,0)+IF(G111="Suez",Shipping!$Z$56,0))/Shipping!$Z$31*(FM111+lh2_st_ab_losses)/1000000)+IF(inland_transport_to_port="hv dc grid",$BM111/100*1000*FP111,IF(inland_transport_to_port="pipeline",$BN111,0)))</f>
        <v>No Port</v>
      </c>
      <c r="FO111" s="28" t="str">
        <f t="shared" si="128"/>
        <v/>
      </c>
      <c r="FP111" s="29">
        <f>((Carriers!$AD$18/Carriers!$AD$23*alk_el_e_demand)+lh2_e_demand)*(FM111+lh2_st_ab_losses)/1000000+lh2_st_e_demand*FM111/1000000</f>
        <v>791.60233245091877</v>
      </c>
      <c r="FQ111" s="100">
        <f t="shared" si="165"/>
        <v>1.361902463475859</v>
      </c>
      <c r="FR111" s="28" t="str">
        <f>IFERROR(FO111*1000000/Storage!$Y$12,"")</f>
        <v/>
      </c>
      <c r="FS111" s="100">
        <f>H2_retrieval!$V$25*h2_demand_kt/1000</f>
        <v>8.16</v>
      </c>
      <c r="FT111" s="28" t="str">
        <f>IFERROR(FR111*(1+H2_retrieval!$V$34)/Carrier_properties!$U$7+H2_retrieval!$V$38,"")</f>
        <v/>
      </c>
      <c r="FU111" s="12"/>
      <c r="FV111" s="24">
        <f t="shared" si="129"/>
        <v>3.306362126179839</v>
      </c>
      <c r="FW111" s="24" t="str">
        <f t="shared" si="143"/>
        <v/>
      </c>
      <c r="FX111" s="24" t="str">
        <f t="shared" si="144"/>
        <v/>
      </c>
      <c r="FY111" s="24">
        <f t="shared" si="130"/>
        <v>3.306362126179839</v>
      </c>
      <c r="FZ111" s="28">
        <f t="shared" si="145"/>
        <v>4094.750059076815</v>
      </c>
      <c r="GA111" s="28">
        <f t="shared" si="137"/>
        <v>916.16777358040622</v>
      </c>
      <c r="GB111" s="28">
        <f t="shared" si="138"/>
        <v>570.10261480361089</v>
      </c>
      <c r="GC111" s="28">
        <f t="shared" si="139"/>
        <v>1023.297239226035</v>
      </c>
      <c r="GD111" s="28">
        <f t="shared" si="140"/>
        <v>1487.9544163361929</v>
      </c>
      <c r="GE111" s="28">
        <f t="shared" si="141"/>
        <v>2589.7827665507539</v>
      </c>
      <c r="GF111" s="28">
        <f t="shared" si="142"/>
        <v>2721.8252729480946</v>
      </c>
      <c r="GG111" s="12"/>
      <c r="GH111" s="12"/>
      <c r="GI111" s="12"/>
      <c r="GJ111" s="12"/>
      <c r="GK111" s="12"/>
      <c r="GL111" s="12"/>
      <c r="GM111" s="12"/>
      <c r="GN111" s="12"/>
      <c r="GO111" s="12"/>
      <c r="GP111" s="12"/>
      <c r="GQ111" s="12"/>
      <c r="GR111" s="12"/>
      <c r="GS111" s="12"/>
      <c r="GT111" s="12"/>
      <c r="GU111" s="12"/>
      <c r="GV111" s="12"/>
      <c r="GW111" s="12"/>
      <c r="GX111" s="12"/>
      <c r="GY111" s="12"/>
      <c r="GZ111" s="12"/>
      <c r="HA111" s="12"/>
      <c r="HB111" s="12"/>
      <c r="HC111" s="12"/>
      <c r="HD111" s="12"/>
      <c r="HE111" s="12"/>
      <c r="HF111" s="12"/>
    </row>
    <row r="112" spans="1:214" x14ac:dyDescent="0.2">
      <c r="A112" s="154" t="s">
        <v>115</v>
      </c>
      <c r="B112" s="12">
        <v>10161</v>
      </c>
      <c r="C112" s="12">
        <v>0.2</v>
      </c>
      <c r="D112" s="12">
        <f t="shared" si="111"/>
        <v>0.8</v>
      </c>
      <c r="E112" s="12" t="s">
        <v>768</v>
      </c>
      <c r="F112" s="12">
        <v>6180</v>
      </c>
      <c r="G112" s="14" t="s">
        <v>113</v>
      </c>
      <c r="H112" s="16">
        <f t="shared" si="166"/>
        <v>382.75862068965517</v>
      </c>
      <c r="I112" s="16">
        <v>1280000</v>
      </c>
      <c r="J112" s="16">
        <f t="shared" si="113"/>
        <v>638.30764864229229</v>
      </c>
      <c r="K112" s="27">
        <f t="shared" si="114"/>
        <v>765.96917837075068</v>
      </c>
      <c r="L112" s="103">
        <v>0.16600000000000001</v>
      </c>
      <c r="M112" s="103">
        <f t="shared" si="167"/>
        <v>0.15881408554938503</v>
      </c>
      <c r="N112" s="122">
        <f t="shared" si="116"/>
        <v>0.8</v>
      </c>
      <c r="O112" s="46">
        <f t="shared" si="168"/>
        <v>40</v>
      </c>
      <c r="P112" s="70">
        <f t="array" ref="P112">SUMPRODUCT(IF(Solar_data!A$4:A$777=A112,Solar_data!C$4:C$777),IF(Solar_data!A$4:A$777=A112,Solar_data!I$4:I$777))/SUMIF(Solar_data!A$4:A$777,A112,Solar_data!I$4:I$777)</f>
        <v>1883.0804422275091</v>
      </c>
      <c r="Q112" s="16">
        <f t="array" ref="Q112">MAX(IF(Solar_data!$A$777:'Solar_data'!$A$4=Country_details!$A112,Solar_data!$C$4:'Solar_data'!$C$777))</f>
        <v>2463.75</v>
      </c>
      <c r="R112" s="16">
        <f t="array" ref="R112">MIN(IF(Solar_data!$A$777:'Solar_data'!$A$4=Country_details!A112,Solar_data!$C$4:'Solar_data'!$C$777))</f>
        <v>1368.75</v>
      </c>
      <c r="S112" s="24">
        <f t="shared" si="149"/>
        <v>3.2465597292337911</v>
      </c>
      <c r="T112" s="24">
        <f t="shared" si="150"/>
        <v>2.4813934573895846</v>
      </c>
      <c r="U112" s="24">
        <f t="shared" si="151"/>
        <v>4.4665082233012532</v>
      </c>
      <c r="V112" s="16">
        <f t="array" ref="V112">SUM(IF(Solar_data!$A$777:'Solar_data'!$A$4=Country_details!$A112,Solar_data!$I$4:'Solar_data'!$I$777))</f>
        <v>8584.419742705526</v>
      </c>
      <c r="W112" s="148"/>
      <c r="X112" s="16">
        <f>IFERROR(INDEX(Onshore_wind_data!$J$5:'Onshore_wind_data'!$J$221,MATCH(A112,Onshore_wind_data!$B$5:'Onshore_wind_data'!$B$221,0)),"")</f>
        <v>3639.4012970330427</v>
      </c>
      <c r="Y112" s="16">
        <f>IFERROR(INDEX(Onshore_wind_data!$K$5:'Onshore_wind_data'!$K$221,MATCH(A112,Onshore_wind_data!$B$5:'Onshore_wind_data'!$B$221,0)),"")</f>
        <v>3971</v>
      </c>
      <c r="Z112" s="16">
        <f>IFERROR(INDEX(Onshore_wind_data!$L$5:'Onshore_wind_data'!$L$221,MATCH(A112,Onshore_wind_data!$B$5:'Onshore_wind_data'!$B$221,0)),"")</f>
        <v>2847.5</v>
      </c>
      <c r="AA112" s="24">
        <f t="shared" si="169"/>
        <v>4.6836322441807212</v>
      </c>
      <c r="AB112" s="24">
        <f t="shared" si="170"/>
        <v>4.2925251232176009</v>
      </c>
      <c r="AC112" s="24">
        <f t="shared" si="171"/>
        <v>5.9861693641078473</v>
      </c>
      <c r="AD112" s="16">
        <f>IFERROR(INDEX(Onshore_wind_data!$I$5:'Onshore_wind_data'!$I$221,MATCH(A112,Onshore_wind_data!$B$5:'Onshore_wind_data'!$B$221,0)),"")</f>
        <v>12214.047115249999</v>
      </c>
      <c r="AE112" s="148"/>
      <c r="AF112" s="16">
        <f>INDEX(Offshore_wind_data!$AA$7:$AA$192,MATCH(Country_details!A112,Offshore_wind_data!$A$7:$A$192,0))</f>
        <v>3153.6</v>
      </c>
      <c r="AG112" s="16">
        <f>INDEX(Offshore_wind_data!$Y$7:$Y$192,MATCH(Country_details!A112,Offshore_wind_data!$A$7:$A$192,0))</f>
        <v>3153.6</v>
      </c>
      <c r="AH112" s="16">
        <f>INDEX(Offshore_wind_data!$Z$7:$Z$192,MATCH(Country_details!A112,Offshore_wind_data!$A$7:$A$192,0))</f>
        <v>3153.6</v>
      </c>
      <c r="AI112" s="24">
        <f t="shared" si="152"/>
        <v>10.157905878016839</v>
      </c>
      <c r="AJ112" s="24">
        <f t="shared" si="153"/>
        <v>10.157905878016839</v>
      </c>
      <c r="AK112" s="24">
        <f t="shared" si="154"/>
        <v>10.157905878016839</v>
      </c>
      <c r="AL112" s="16">
        <f>INDEX(Offshore_wind_data!$W$7:$W$191,MATCH(A112,Offshore_wind_data!$A$7:$A$191,0))</f>
        <v>6.3072000000000003E-2</v>
      </c>
      <c r="AM112" s="148"/>
      <c r="AN112" s="12">
        <v>32.200000000000003</v>
      </c>
      <c r="AO112" s="12">
        <v>41.6</v>
      </c>
      <c r="AP112" s="34">
        <f>0.708*11.63</f>
        <v>8.2340400000000002</v>
      </c>
      <c r="AQ112" s="15">
        <f t="shared" si="155"/>
        <v>50</v>
      </c>
      <c r="AR112" s="12">
        <f t="shared" si="131"/>
        <v>2080</v>
      </c>
      <c r="AS112" s="16">
        <f t="shared" si="121"/>
        <v>18718.529929955526</v>
      </c>
      <c r="AT112" s="12"/>
      <c r="AU112" s="24">
        <f t="shared" si="147"/>
        <v>4.1936128516817233</v>
      </c>
      <c r="AV112" s="16">
        <f t="shared" si="148"/>
        <v>5522.4817392605519</v>
      </c>
      <c r="AW112" s="149">
        <f>HV_DC_Grid!$E$3/(1-AX112)*AU112/100*1000</f>
        <v>5229.9379591651223</v>
      </c>
      <c r="AX112" s="31">
        <f>(1-(1-HV_DC_Grid!$E$25)^(B112*C112*HV_DC_Grid!$E$8/1000))+(1-(1-HV_DC_Grid!$E$26)^(B112*D112*HV_DC_Grid!$E$8/1000))+HV_DC_Grid!$E$35*HV_DC_Grid!$E$28</f>
        <v>0.19815246673573006</v>
      </c>
      <c r="AY112" s="28">
        <f>B112*nl_e_demand/IF(hv_dc_flh="electricity FLH",$AV112,hv_dc_custom)*1000*hv_dc_capacity_multiplier*hv_dc_length_multiplier*1000*(C112*hv_dc_overhead_invest*(hv_dc_overhead_opex+M112+1/hv_dc_lifetime)+D112*hv_dc_sea_invest*(hv_dc_sea_opex+M112+1/hv_dc_lifetime))/1000000+HV_DC_Grid!$E$10*1000*hv_dc_station_invest*hv_dc_station_number*(hv_dc_station_opex+M112+1/hv_dc_lifetime)/1000000</f>
        <v>29032.072024424251</v>
      </c>
      <c r="AZ112" s="24">
        <f>(AW112+AY112)/(HV_DC_Grid!$E$3*1000)*100</f>
        <v>34.262009983589373</v>
      </c>
      <c r="BA112" s="28">
        <f>MIN(((Carriers!$F$26+Carriers!$F$27)*(alk_el_opex+wacc_nl+1/alk_el_lifetime)+IF(hv_dc_flh="electricity FLH",$AV112,hv_dc_custom)*AZ112/100)/(IF(hv_dc_flh="electricity FLH",$AV112,hv_dc_custom)/alk_el_e_demand)*1000,((Carriers!$H$26+Carriers!$H$27)*(pem_el_opex+wacc_nl+1/pem_el_lifetime)+IF(hv_dc_flh="electricity FLH",$AV112,hv_dc_custom)*AZ112/100)/(IF(hv_dc_flh="electricity FLH",$AV112,hv_dc_custom)/pem_el_e_demand)*1000)</f>
        <v>17615.148696962635</v>
      </c>
      <c r="BB112" s="12"/>
      <c r="BC112" s="12"/>
      <c r="BD112" s="149">
        <f>MIN(((Carriers!$F$26+Carriers!$F$27)*(alk_el_opex+M112+1/alk_el_lifetime)+$AV112*$AU112/100)/($AV112/alk_el_e_demand)*1000,((Carriers!$H$26+Carriers!$H$27)*(pem_el_opex+M112+1/pem_el_lifetime)+$AV112*$AU112/100)/($AV112/pem_el_e_demand)*1000)</f>
        <v>2877.5025117259379</v>
      </c>
      <c r="BE112" s="28">
        <f>Storage!$AC$50</f>
        <v>8.1664117557772418</v>
      </c>
      <c r="BF112" s="28">
        <f>((Pipeline!$D$22*Pipeline!$D$24*B112*(pipeline_opex+M112+1/pipeline_lifetime))*(Pipeline!$D$39/Pipeline!$D$3)+(Pipeline!$D$57*(pipeline_comp_opex+M112+1/pipeline_comp_lifetime)+Pipeline!$D$47*1000*Pipeline!$D$45*$AU112/100/1000000))*(Pipeline!$D$75/Pipeline!$D$45)</f>
        <v>26878.406038230838</v>
      </c>
      <c r="BG112" s="28">
        <f>BD112+(BE112+BF112)/Storage!$AC$12*1000000</f>
        <v>4854.4563683426004</v>
      </c>
      <c r="BH112" s="28"/>
      <c r="BI112" s="28"/>
      <c r="BJ112" s="28">
        <f>IF($E112="","No Port",BK112*HV_DC_Grid!$E$3*$AU112/100*1000)</f>
        <v>120.42451722972602</v>
      </c>
      <c r="BK112" s="31">
        <f>IFERROR((1-(1-HV_DC_Grid!$E$25)^(K112*HV_DC_Grid!$E$8/1000))+HV_DC_Grid!$E$35*HV_DC_Grid!$E$28,"")</f>
        <v>2.8716174212751508E-2</v>
      </c>
      <c r="BL112" s="28">
        <f>IFERROR(K112*nl_e_demand/IF(hv_dc_flh="electricity FLH",$AV112,hv_dc_custom)*1000*hv_dc_capacity_multiplier*hv_dc_length_multiplier*1000*(hv_dc_overhead_invest*(hv_dc_overhead_opex+M112+1/hv_dc_lifetime))/1000000+HV_DC_Grid!$E$10*1000*hv_dc_station_invest*hv_dc_station_number*(hv_dc_station_opex+M112+1/hv_dc_lifetime)/1000000,"")</f>
        <v>1295.5148376172642</v>
      </c>
      <c r="BM112" s="29">
        <f>IFERROR((BJ112+BL112)/(HV_DC_Grid!$E$3*1000)*100,"")</f>
        <v>1.4159393548469903</v>
      </c>
      <c r="BN112" s="28">
        <f>IFERROR(((Pipeline!$D$22*Pipeline!$D$24*K112*(pipeline_opex+M112+1/pipeline_lifetime))*(Pipeline!$D$39/Pipeline!$D$3)+(Pipeline!$D$57*(pipeline_comp_opex+M112+1/pipeline_comp_lifetime)+Pipeline!$D$47*1000*Pipeline!$D$45*S112/100/1000000))*(Pipeline!$D$75/Pipeline!$D$45),"")</f>
        <v>2121.7604701476257</v>
      </c>
      <c r="BO112" s="28"/>
      <c r="BP112" s="150">
        <f t="shared" si="172"/>
        <v>138.971913458942</v>
      </c>
      <c r="BQ112" s="34">
        <f t="shared" si="173"/>
        <v>40.84720402217917</v>
      </c>
      <c r="BR112" s="151">
        <f>(nh3_invest*(M112+1/nh3_lifetime)/nh3_prod+nh3_opex+nh3_e_demand*1000*$AU112/100+Carriers!$N$18/Carriers!$N$23*BD112+Carriers!$N$19/Carriers!$N$23*BQ112)*(BT112+nh3_st_ab_losses)/1000000</f>
        <v>54949.38844949683</v>
      </c>
      <c r="BS112" s="63">
        <f>nh3_st_nl_cost*nh3_st_nl_demand/1000000+(nh3_st_invest*(M112+1/nh3_st_lifetime+nh3_st_opex)/(Storage!$G$63/1000000)+nh3_st_e_demand*1000*$AU112/100)*(BT112+nh3_st_ab_losses)/1000000+Carriers!$N$18/Carriers!$N$23*((BT112+nh3_st_ab_losses)/365.25*short_st_duration_hrs/24)*(h2_short_st_invest*(1/gh2_short_st_lifetime+$M112+h2_short_st_opex)+h2_short_st_e_demand*1000*$AU112/100)/1000000+Carriers!$N$19/Carriers!$N$23*((BT112+nh3_st_ab_losses)/365.25*short_st_duration_hrs/24)*(n2_short_st_invest*(1/n2_short_st_lifetime+$M112+n2_short_st_opex)+n2_short_st_e_demand*1000*$AU112/100)/1000000</f>
        <v>3880.2266660755708</v>
      </c>
      <c r="BT112" s="63">
        <f>Storage!$G$57/((1-Shipping!$H$37)^(F112/24/Shipping!$H$44+0.5*Shipping!$H$59))</f>
        <v>79918192.17889297</v>
      </c>
      <c r="BU112" s="63">
        <f>IF($E112="","No Port",((F112/24/Shipping!$H$44+F112/24/Shipping!$H$50+Shipping!$H$59+Shipping!$H$64)*(Shipping!$H$22+wacc_nl*Shipping!$H$19/365.25*1000000+Shipping!$H$35)+(F112/24/Shipping!$H$44*Shipping!$H$45+Shipping!$H$64*Shipping!$H$65)*IF(bunker_choice="HFO",H112,IF(bunker_choice="hydrogen",BD112*hfo_e_density_lhv/h2_e_density_lhv,(BR112+BS112)*1000000/BT112*hfo_e_density_lhv/nh3_e_density_lhv))+(F112/24/Shipping!$H$50*Shipping!$H$51+Shipping!$H$59*Shipping!$H$60)*IF(bunker_choice="HFO",bunker_price_ROT,IF(bunker_choice="hydrogen",BD112*hfo_e_density_lhv/h2_e_density_lhv,(BR112+BS112)*1000000/BT112*hfo_e_density_lhv/nh3_e_density_lhv))+Shipping!$H$73+IF(G112="Panama",Shipping!$H$55,0)+IF(G112="Suez",Shipping!$H$56,0))/Shipping!$H$31*BT112/1000000+IF(inland_transport_to_port="hv dc grid",$BM112/100*1000*BW112,IF(inland_transport_to_port="pipeline",$BN112,0)))</f>
        <v>6715.1149934960276</v>
      </c>
      <c r="BV112" s="63">
        <f t="shared" si="174"/>
        <v>65544.730109068434</v>
      </c>
      <c r="BW112" s="33">
        <f>((Carriers!$N$18/Carriers!$N$23*alk_el_e_demand)+(Carriers!$N$19/Carriers!$N$23*n2_e_demand)+nh3_e_demand)*(BT112+nh3_st_ab_losses)/1000000+nh3_st_e_demand*BT112/1000000</f>
        <v>789.20532317781169</v>
      </c>
      <c r="BX112" s="33">
        <f t="shared" si="156"/>
        <v>0.76626754477640768</v>
      </c>
      <c r="BY112" s="63">
        <f>IFERROR(BV112*1000000/Storage!$G$12,"")</f>
        <v>856.08925742301062</v>
      </c>
      <c r="BZ112" s="63">
        <f>H2_retrieval!$F$25*h2_demand_kt/1000</f>
        <v>80</v>
      </c>
      <c r="CA112" s="63">
        <f>IFERROR(BY112*(1+H2_retrieval!$F$34)/Carrier_properties!$E$7+H2_retrieval!$F$38,"")</f>
        <v>5228.6914288399439</v>
      </c>
      <c r="CB112" s="149">
        <f>(FA_invest*(M112+1/FA_lifetime)/FA_prod+FA_opex+FA_e_demand*1000*$AU112/100+Carriers!$P$18/Carriers!$P$23*BD112+Carriers!$P$20/Carriers!$P$23*co2_liq_cost)*(CF112+FA_st_ab_losses)/1000000</f>
        <v>122935.68347306944</v>
      </c>
      <c r="CC112" s="86">
        <f>(FA_invest*(M112+1/FA_lifetime)/FA_prod+FA_opex+FA_e_demand*1000*$AU112/100+Carriers!$P$18/Carriers!$P$23*BD112+Carriers!$P$20/Carriers!$P$23*BP112)*(CF112+FA_st_ab_losses)/1000000</f>
        <v>156876.84233772728</v>
      </c>
      <c r="CD112" s="63">
        <f>FA_st_nl_cost*FA_st_nl_demand/1000000+(FA_st_invest*(M112+1/FA_st_lifetime+FA_st_opex)/(Storage!$I$63/1000000)+FA_st_e_demand*1000*$AU112/100)*(CF112+FA_st_ab_losses)/1000000+co2_st_nl_cost*Storage!$I$12*co2_density/FA_density/1000000+(co2_st_opex_lev+co2_st_invest_lev+co2_st_e_demand*1000*$AU112/100)*Storage!$I$12/1000000+co2_st_invest_lev*Storage!$I$12*co2_st_lifetime*M112/1000000+Carriers!$P$18/Carriers!$P$23*((CF112+FA_st_ab_losses)/365.25*short_st_duration_hrs/24)*(h2_short_st_invest*(1/gh2_short_st_lifetime+$M112+h2_short_st_opex)+h2_short_st_e_demand*1000*$AU112/100)/1000000+Carriers!$P$20/Carriers!$P$23*((CF112+FA_st_ab_losses)/365.25*short_st_duration_hrs/24)*(co2_short_st_invest*(1/co2_short_st_lifetime+$M112+co2_short_st_opex)+co2_short_st_e_demand*1000*$AU112/100)/1000000</f>
        <v>13345.456194748263</v>
      </c>
      <c r="CE112" s="63">
        <f>FA_st_nl_cost*FA_st_nl_demand/1000000+(FA_st_invest*(M112+1/FA_st_lifetime+FA_st_opex)/(Storage!$I$63/1000000)+FA_st_e_demand*1000*$AU112/100)*(CF112+FA_st_ab_losses)/1000000+Carriers!$P$18/Carriers!$P$23*((CF112+FA_st_ab_losses)/365.25*short_st_duration_hrs/24)*(h2_short_st_invest*(1/gh2_short_st_lifetime+$M112+h2_short_st_opex)+h2_short_st_e_demand*1000*$AU112/100)/1000000+Carriers!$P$20/Carriers!$P$23*((CF112+FA_st_ab_losses)/365.25*short_st_duration_hrs/24)*(co2_short_st_invest*(1/co2_short_st_lifetime+$M112+co2_short_st_opex)+co2_short_st_e_demand*1000*$AU112/100)/1000000</f>
        <v>5697.9729975551854</v>
      </c>
      <c r="CF112" s="63">
        <f>Storage!$I$57/((1-Shipping!$J$37)^($F112/24/Shipping!$J$44+0.5*Shipping!$J$59))</f>
        <v>310425396.82539684</v>
      </c>
      <c r="CG112" s="28">
        <f>IF($E112="","No Port",((F112/24/Shipping!$J$44+F112/24/Shipping!$J$50+Shipping!$J$59+Shipping!$J$64)*(Shipping!$J$22+wacc_nl*Shipping!$J$19/365.25*1000000+Shipping!$J$35)+(F112/24/Shipping!$J$44*Shipping!$J$45+Shipping!$J$64*Shipping!$J$65)*IF(bunker_choice="HFO",$H112,IF(bunker_choice="hydrogen",$BD112*hfo_e_density_lhv/h2_e_density_lhv,(CB112+CD112)*1000000/CF112*hfo_e_density_lhv/FA_e_density_lhv))+(F112/24/Shipping!$J$50*Shipping!$J$51+Shipping!$J$59*Shipping!$J$60)*IF(bunker_choice="HFO",bunker_price_ROT,IF(bunker_choice="hydrogen",$BD112*hfo_e_density_lhv/h2_e_density_lhv,(CB112+CD112)*1000000/CF112*hfo_e_density_lhv/FA_e_density_lhv))+Shipping!$J$73+IF(G112="Panama",Shipping!$J$55,0)+IF(G112="Suez",Shipping!$J$56,0))/Shipping!$J$31*CF112/1000000+IF(inland_transport_to_port="hv dc grid",$BM112/100*1000*CI112,IF(inland_transport_to_port="pipeline",$BN112,0)))</f>
        <v>20709.220872131405</v>
      </c>
      <c r="CH112" s="28">
        <f t="shared" si="132"/>
        <v>183284.03620741388</v>
      </c>
      <c r="CI112" s="29">
        <f>((Carriers!$P$18/Carriers!$P$23*alk_el_e_demand)+FA_e_demand)*(CF112+FA_st_ab_losses)/1000000+FA_st_e_demand*CF112/1000000</f>
        <v>1897.8881241622576</v>
      </c>
      <c r="CJ112" s="29">
        <f t="shared" si="157"/>
        <v>0.46563809523809524</v>
      </c>
      <c r="CK112" s="28">
        <f>IFERROR(CH112*1000000/Storage!$I$12,"")</f>
        <v>590.42861209743285</v>
      </c>
      <c r="CL112" s="28">
        <f>IF($E112="","No Port",((F112/24/Shipping!$J$44+F112/24/Shipping!$J$50+Shipping!$J$59+Shipping!$J$64)*Carriers!$P$39*wacc_nl))</f>
        <v>300.87320541665127</v>
      </c>
      <c r="CM112" s="29">
        <f>H2_retrieval!$H$25*h2_demand_kt/1000+(co2_liq_e_demand+co2_st_e_demand*2)*Storage!$I$12*co2_density/FA_density/1000000</f>
        <v>94.204253879484654</v>
      </c>
      <c r="CN112" s="28">
        <f>IFERROR((((CB112+CD112+CG112)*(1+H2_retrieval!$H$34)+CL112)*1000000/H2_retrieval!$H$8)+h2_regen_fa,"")</f>
        <v>11655.219260808557</v>
      </c>
      <c r="CO112" s="149">
        <f>(meoh_invest*(M112+1/meoh_lifetime)/meoh_prod+meoh_opex+meoh_e_demand*1000*$AU112/100+Carriers!$R$18/Carriers!$R$23*BD112+Carriers!$R$20/Carriers!$R$23*co2_liq_cost)*(CS112+meoh_st_ab_losses)/1000000</f>
        <v>64008.670008417284</v>
      </c>
      <c r="CP112" s="86">
        <f>(meoh_invest*(M112+1/meoh_lifetime)/meoh_prod+meoh_opex+meoh_e_demand*1000*$AU112/100+Carriers!$R$18/Carriers!$R$23*BD112+Carriers!$R$20/Carriers!$R$23*BP112)*(CS112+meoh_st_ab_losses)/1000000</f>
        <v>83933.178087876178</v>
      </c>
      <c r="CQ112" s="63">
        <f>meoh_st_nl_cost*meoh_st_nl_demand/1000000+(meoh_st_invest*(M112+1/meoh_st_lifetime+meoh_st_opex)/(Storage!$K$63/1000000)+meoh_st_e_demand*1000*$AU112/100)*(CS112+meoh_st_ab_losses)/1000000+co2_st_nl_cost*Storage!$K$12*co2_density/meoh_density/1000000+(co2_st_opex_lev+co2_st_invest_lev+co2_st_e_demand*1000*IFERROR(MIN(S112,AA112,AI112),S112)/100)*Storage!$K$12/1000000+co2_st_invest_lev*Storage!$K$12*co2_st_lifetime*M112/1000000+Carriers!$R$18/Carriers!$R$23*((CS112+meoh_st_ab_losses)/365.25*short_st_duration_hrs/24)*(h2_short_st_invest*(1/gh2_short_st_lifetime+$M112+h2_short_st_opex)+h2_short_st_e_demand*1000*$AU112/100)/1000000+Carriers!$R$20/Carriers!$R$23*((CF112+meoh_st_ab_losses)/365.25*short_st_duration_hrs/24)*(co2_short_st_invest*(1/co2_short_st_lifetime+$M112+co2_short_st_opex)+co2_short_st_e_demand*1000*$AU112/100)/1000000</f>
        <v>5442.1614822398205</v>
      </c>
      <c r="CR112" s="63">
        <f>meoh_st_nl_cost*meoh_st_nl_demand/1000000+(meoh_st_invest*(M112+1/meoh_st_lifetime+meoh_st_opex)/(Storage!$K$63/1000000)+meoh_st_e_demand*1000*$AU112/100)*(CS112+meoh_st_ab_losses)/1000000+Carriers!$R$18/Carriers!$R$23*((CS112+meoh_st_ab_losses)/365.25*short_st_duration_hrs/24)*(h2_short_st_invest*(1/gh2_short_st_lifetime+$M112+h2_short_st_opex)+h2_short_st_e_demand*1000*$AU112/100)/1000000+Carriers!$R$20/Carriers!$R$23*((CF112+meoh_st_ab_losses)/365.25*short_st_duration_hrs/24)*(co2_short_st_invest*(1/co2_short_st_lifetime+$M112+co2_short_st_opex)+co2_short_st_e_demand*1000*$AU112/100)/1000000</f>
        <v>2283.7595415383867</v>
      </c>
      <c r="CS112" s="63">
        <f>Storage!$K$57/((1-Shipping!$L$37)^($F112/24/Shipping!$L$44+0.5*Shipping!$L$59))</f>
        <v>108044444.44444443</v>
      </c>
      <c r="CT112" s="28">
        <f>IF($E112="","No Port",IF(AND(ship_choice="VLCC",G112="Panama"),"Ship cannot pass through Panama",IF(ship_choice="VLCC",((F112/24/Shipping!$AD$44+F112/24/Shipping!$AD$50+Shipping!$AD$59+Shipping!$AD$64)*(Shipping!$AD$22+wacc_nl*Shipping!$AD$19/365.25*1000000+Shipping!$AD$35)+(F112/24/Shipping!$AD$44*Shipping!$AD$45+Shipping!$AD$64*Shipping!$AD$65)*IF(bunker_choice="HFO",$H112,IF(bunker_choice="hydrogen",$BD112*hfo_e_density_lhv/h2_e_density_lhv,(CO112+CQ112)*1000000/CS112*hfo_e_density_lhv/meoh_e_density_lhv))+(F112/24/Shipping!$AD$50*Shipping!$AD$51+Shipping!$AD$59*Shipping!$AD$60)*IF(bunker_choice="HFO",bunker_price_ROT,IF(bunker_choice="hydrogen",$BD112*hfo_e_density_lhv/h2_e_density_lhv,(CO112+CQ112)*1000000/CS112*hfo_e_density_lhv/meoh_e_density_lhv))+Shipping!$AD$73+IF(G112="Panama",Shipping!$AD$55,0)+IF(G112="Suez",Shipping!$AD$56,0))/Shipping!$AD$31*CS112/1000000+IF(inland_transport_to_port="hv dc grid",$BM112/100*1000*CV112,IF(inland_transport_to_port="pipeline",$BN112,0)),((F112/24/Shipping!$L$44+F112/24/Shipping!$L$50+Shipping!$L$59+Shipping!$L$64)*(Shipping!$L$22+wacc_nl*Shipping!$L$19/365.25*1000000+Shipping!$L$35)+(F112/24/Shipping!$L$44*Shipping!$L$45+Shipping!$L$64*Shipping!$L$65)*IF(bunker_choice="HFO",$H112,IF(bunker_choice="hydrogen",$BD112*hfo_e_density_lhv/h2_e_density_lhv,(CO112+CQ112)*1000000/CS112*hfo_e_density_lhv/meoh_e_density_lhv))+(F112/24/Shipping!$L$50*Shipping!$L$51+Shipping!$L$59*Shipping!$L$60)*IF(bunker_choice="HFO",bunker_price_ROT,IF(bunker_choice="hydrogen",$BD112*hfo_e_density_lhv/h2_e_density_lhv,(CO112+CQ112)*1000000/CS112*hfo_e_density_lhv/meoh_e_density_lhv))+Shipping!$L$73+IF(G112="Panama",Shipping!$L$55,0)+IF(G112="Suez",Shipping!$L$56,0))/Shipping!$L$31*CS112/1000000+IF(inland_transport_to_port="hv dc grid",$BM112/100*1000*CV112,IF(inland_transport_to_port="pipeline",$BN112,0)))))</f>
        <v>8261.0880935395253</v>
      </c>
      <c r="CU112" s="28">
        <f t="shared" si="133"/>
        <v>94478.025722954088</v>
      </c>
      <c r="CV112" s="29">
        <f>((Carriers!$R$18/Carriers!$R$23*alk_el_e_demand)+meoh_e_demand)*(CS112+meoh_st_ab_losses)/1000000+meoh_st_e_demand*CS112/1000000</f>
        <v>1119.9789871111109</v>
      </c>
      <c r="CW112" s="29">
        <f t="shared" si="158"/>
        <v>0.16206666666666666</v>
      </c>
      <c r="CX112" s="28">
        <f>IFERROR(CU112*1000000/Storage!$K$12,"")</f>
        <v>874.43668398456077</v>
      </c>
      <c r="CY112" s="28">
        <f>IF($E112="","No Port",((F112/24/Shipping!$L$44+F112/24/Shipping!$L$50+Shipping!$L$59+Shipping!$L$64)*Carriers!$R$39*wacc_nl))</f>
        <v>107.79362624292047</v>
      </c>
      <c r="CZ112" s="29">
        <f>H2_retrieval!$J$25*h2_demand_kt/1000+(co2_liq_e_demand+co2_st_e_demand*2)*Storage!$K$12*co2_density/meoh_density/1000000</f>
        <v>251.05079059698966</v>
      </c>
      <c r="DA112" s="28">
        <f>IFERROR((((CO112+CQ112+CT112)*(1+H2_retrieval!$J$34)+CY112)*1000000/H2_retrieval!$J$8)+h2_regen_meoh,"")</f>
        <v>6892.1662792578472</v>
      </c>
      <c r="DB112" s="149">
        <f>(DBT_invest*(M112+1/DBT_lifetime)/DBT_prod+DBT_opex+DBT_e_demand*1000*$AU112/100+Carriers!$T$18/Carriers!$T$23*BD112)*(DD112+DBT_st_ab_losses)/1000000</f>
        <v>42845.491514937326</v>
      </c>
      <c r="DC112" s="28">
        <f>2*(DBT_st_nl_cost*DBT_st_nl_demand/1000000+(DBT_st_invest*(M112+1/DBT_st_lifetime+DBT_st_opex)/(Storage!$M$63/1000000)+DBT_st_e_demand*1000*$AU112/100)*(DD112+DBT_st_ab_losses)/1000000)+Carriers!$T$18/Carriers!$T$23*((DD112+DBT_st_ab_losses)/365.25*short_st_duration_hrs/24)*(h2_short_st_invest*(1/gh2_short_st_lifetime+$M112+h2_short_st_opex)+h2_short_st_e_demand*1000*$AU112/100)/1000000</f>
        <v>4629.1858347522784</v>
      </c>
      <c r="DD112" s="63">
        <f>Storage!$M$57/((1-Shipping!$N$37)^($F112/24/Shipping!$N$44+0.5*Shipping!$N$59))</f>
        <v>219354838.70967743</v>
      </c>
      <c r="DE112" s="28">
        <f>IF($E112="","No Port",IF(AND(ship_choice="VLCC",G112="Panama"),"Ship cannot pass through Panama",IF(ship_choice="VLCC",((F112/24/Shipping!$AD$44+F112/24/Shipping!$AD$50+Shipping!$AD$59+Shipping!$AD$64)*(Shipping!$AD$22+wacc_nl*Shipping!$AD$19/365.25*1000000+Shipping!$AD$35)+(F112/24/Shipping!$AD$44*Shipping!$AD$45+Shipping!$AD$64*Shipping!$AD$65)*IF(bunker_choice="HFO",$H112,IF(bunker_choice="hydrogen",$BD112*hfo_e_density_lhv/h2_e_density_lhv,(DB112+DC112)*1000000/DD112*hfo_e_density_lhv/DBT_e_density_lhv))+(F112/24/Shipping!$AD$50*Shipping!$AD$51+Shipping!$AD$59*Shipping!$AD$60)*IF(bunker_choice="HFO",bunker_price_ROT,IF(bunker_choice="hydrogen",$BD112*hfo_e_density_lhv/h2_e_density_lhv,(DB112+DC112)*1000000/DD112*hfo_e_density_lhv/DBT_e_density_lhv))+Shipping!$AD$73+IF(G112="Panama",Shipping!$AD$55,0)+IF(G112="Suez",Shipping!$AD$56,0))/Shipping!$AD$31*DD112/1000000+IF(inland_transport_to_port="hv dc grid",$BM112/100*1000*DG112,IF(inland_transport_to_port="pipeline",$BN112,0)),((F112/24/Shipping!$N$44+F112/24/Shipping!$N$50+Shipping!$N$59+Shipping!$N$64)*(Shipping!$N$22+wacc_nl*Shipping!$N$19/365.25*1000000+Shipping!$N$35)+(F112/24/Shipping!$N$44*Shipping!$N$45+Shipping!$N$64*Shipping!$N$65)*IF(bunker_choice="HFO",$H112,IF(bunker_choice="hydrogen",$BD112*hfo_e_density_lhv/h2_e_density_lhv,(DB112+DC112)*1000000/DD112*hfo_e_density_lhv/DBT_e_density_lhv))+(F112/24/Shipping!$N$50*Shipping!$N$51+Shipping!$N$59*Shipping!$N$60)*IF(bunker_choice="HFO",bunker_price_ROT,IF(bunker_choice="hydrogen",$BD112*hfo_e_density_lhv/h2_e_density_lhv,(DB112+DC112)*1000000/DD112*hfo_e_density_lhv/DBT_e_density_lhv))+Shipping!$N$73+IF(G112="Panama",Shipping!$N$55,0)+IF(G112="Suez",Shipping!$N$56,0))/Shipping!$N$31*Shipping!$N$86/1000000+IF(inland_transport_to_port="hv dc grid",$BM112/100*1000*DG112,IF(inland_transport_to_port="pipeline",$BN112,0)))))</f>
        <v>13685.410727396335</v>
      </c>
      <c r="DF112" s="28">
        <f t="shared" si="159"/>
        <v>61160.088077085937</v>
      </c>
      <c r="DG112" s="29">
        <f>((Carriers!$T$18/Carriers!$T$23*alk_el_e_demand)+DBT_e_demand)*(DD112+DBT_st_ab_losses)/1000000+DBT_st_e_demand*DD112/1000000</f>
        <v>703.88335483870969</v>
      </c>
      <c r="DH112" s="29">
        <f t="shared" si="160"/>
        <v>0.21935483870967742</v>
      </c>
      <c r="DI112" s="28">
        <f>IFERROR(DF112*1000000/Storage!$M$12,"")</f>
        <v>278.81804858671529</v>
      </c>
      <c r="DJ112" s="28">
        <f>IF($E112="","No Port",((F112/24/Shipping!$N$44+F112/24/Shipping!$N$50+Shipping!$N$59+Shipping!$N$64)*Carriers!$T$39*wacc_nl))</f>
        <v>7850.9639682510351</v>
      </c>
      <c r="DK112" s="100">
        <f>H2_retrieval!$L$25*h2_demand_kt/1000+(co2_liq_e_demand+co2_st_e_demand*2)*Storage!$M$12*co2_density/DBT_density/1000000</f>
        <v>206.61934861671787</v>
      </c>
      <c r="DL112" s="28">
        <f>IFERROR(((DF112*(1+H2_retrieval!$L$34)+DJ112)*1000000/H2_retrieval!$L$8)+h2_regen_lohc,"")</f>
        <v>5544.9918427959255</v>
      </c>
      <c r="DM112" s="149">
        <f t="shared" si="175"/>
        <v>69182.29063257252</v>
      </c>
      <c r="DN112" s="16">
        <f>2*(nabh4_st_nl_cost*nabh4_st_nl_demand/1000000+(nabh4_st_invest*(M112+1/nabh4_st_lifetime+nabh4_st_opex)/(Storage!$O$63/1000000)+nabh4_st_e_demand*1000*$AU112/100)*(DO112+nabh4_st_ab_losses)/1000000)+(h2_demand_kt*1000/365.25*short_st_duration_hrs/24)*(h2_short_st_invest*(1/gh2_short_st_lifetime+$M112+h2_short_st_opex)+h2_short_st_e_demand*1000*$AU112/100)/1000000</f>
        <v>1650.2337110256408</v>
      </c>
      <c r="DO112" s="63">
        <f>Storage!$O$57/((1-Shipping!$P$37)^($F112/24/Shipping!$P$44+0.5*Shipping!$P$59))</f>
        <v>63920000</v>
      </c>
      <c r="DP112" s="16">
        <f>IF($E112="","No Port",((F112/24/Shipping!$P$44+F112/24/Shipping!$P$50+Shipping!$P$59+Shipping!$P$64)*(Shipping!$P$22+wacc_nl*Shipping!$P$19/365.25*1000000+Shipping!$P$35)+(F112/24/Shipping!$P$44*Shipping!$P$45+Shipping!$P$64*Shipping!$P$65)*IF(bunker_choice="HFO",$H112,IF(bunker_choice="hydrogen",$BD112*hfo_e_density_lhv/h2_e_density_lhv,(DM112+DN112)*1000000/DO112*hfo_e_density_lhv/nabh4_e_density_lhv))+(F112/24/Shipping!$P$50*Shipping!$P$51+Shipping!$P$59*Shipping!$P$60)*IF(bunker_choice="HFO",bunker_price_ROT,IF(bunker_choice="hydrogen",$BD112*hfo_e_density_lhv/h2_e_density_lhv,(DM112+DN112)*1000000/DO112*hfo_e_density_lhv/nabh4_e_density_lhv))+Shipping!$P$73+IF(G112="Panama",Shipping!$P$55,0)+IF(G112="Suez",Shipping!$P$56,0))/Shipping!$P$31*(DO112+nabh4_st_ab_losses)/1000000+IF(inland_transport_to_port="hv dc grid",$BM112/100*1000*DR112,IF(inland_transport_to_port="pipeline",$BN112,0)))</f>
        <v>5833.6241379466919</v>
      </c>
      <c r="DQ112" s="28">
        <f t="shared" si="146"/>
        <v>76666.148481544849</v>
      </c>
      <c r="DR112" s="29">
        <f>((Carriers!$V$18/Carriers!$V$23*alk_el_e_demand)+nabh4_e_demand)*(DO112+nabh4_st_ab_losses)/1000000+nabh4_st_e_demand*DO112/1000000</f>
        <v>980.02139682539689</v>
      </c>
      <c r="DS112" s="28">
        <f t="shared" si="161"/>
        <v>3.1960000000000002</v>
      </c>
      <c r="DT112" s="28">
        <f>IFERROR(DQ112*1000000/Storage!$O$12,"")</f>
        <v>1199.4078298114025</v>
      </c>
      <c r="DU112" s="28">
        <f>IF($E112="","No Port",((F112/24/Shipping!$P$44+F112/24/Shipping!$P$50+Shipping!$P$59+Shipping!$P$64)*Carriers!$V$39*wacc_nl))</f>
        <v>725.22620952044508</v>
      </c>
      <c r="DV112" s="100">
        <f>H2_retrieval!$N$25*h2_demand_kt/1000+(co2_liq_e_demand+co2_st_e_demand*2)*Storage!$O$12*co2_density/nabh4_density/1000000</f>
        <v>18.783638728971958</v>
      </c>
      <c r="DW112" s="28">
        <f>IFERROR(((DQ112*(1+H2_retrieval!$N$34)+DU112)*1000000/H2_retrieval!$N$8)+h2_regen_nabh4,"")</f>
        <v>5810.1608031488886</v>
      </c>
      <c r="DX112" s="149">
        <f>(Dme_invest*(M112+1/Dme_lifetime)/Dme_prod+Dme_opex+Dme_e_demand*1000*$AU112/100+Carriers!$X$21/Carriers!$X$23*(CO112*1000000/CS112))*(EB112+Dme_st_ab_losses)/1000000</f>
        <v>90859.531855396024</v>
      </c>
      <c r="DY112" s="86">
        <f>(Dme_invest*(M112+1/Dme_lifetime)/Dme_prod+Dme_opex+Dme_e_demand*1000*$AU112/100+Carriers!$X$21/Carriers!$X$23*(CP112*1000000/CS112))*(EB112+Dme_st_ab_losses)/1000000</f>
        <v>117890.39492286013</v>
      </c>
      <c r="DZ112" s="63">
        <f>Dme_st_nl_cost*Dme_st_nl_demand/1000000+(Dme_st_invest*(M112+1/Dme_st_lifetime+Dme_st_opex)/(Storage!$Q$63/1000000)+Dme_st_e_demand*1000*$AU112/100)*(EB112+Dme_st_ab_losses)/1000000+co2_st_nl_cost*Storage!$Q$12*co2_density/Dme_density/1000000+(co2_st_opex_lev+co2_st_invest_lev+co2_st_e_demand*1000*$AU112/100)*Storage!$Q$12/1000000+co2_st_invest_lev*Storage!$Q$12*co2_st_lifetime*M112/1000000+(h2_demand_kt*1000/365.25*short_st_duration_hrs/24)*(h2_short_st_invest*(1/gh2_short_st_lifetime+$M112+h2_short_st_opex)+h2_short_st_e_demand*1000*$AU112/100)/1000000</f>
        <v>6636.7451820546166</v>
      </c>
      <c r="EA112" s="63">
        <f>Dme_st_nl_cost*Dme_st_nl_demand/1000000+(Dme_st_invest*(M112+1/Dme_st_lifetime+Dme_st_opex)/(Storage!$Q$63/1000000)+Dme_st_e_demand*1000*$AU112/100)*(EB112+Dme_st_ab_losses)/1000000+(h2_demand_kt*1000/365.25*short_st_duration_hrs/24)*(h2_short_st_invest*(1/gh2_short_st_lifetime+$M112+h2_short_st_opex)+h2_short_st_e_demand*1000*$AU112/100)/1000000</f>
        <v>3384.8465637751628</v>
      </c>
      <c r="EB112" s="63">
        <f>Storage!$Q$57/((1-Shipping!$R$37)^($F112/24/Shipping!$R$44+0.5*Shipping!$R$59))</f>
        <v>103547089.94708996</v>
      </c>
      <c r="EC112" s="153">
        <f>IF($E112="","No Port",IF(AND(ship_choice="VLCC",G112="Panama"),"Ship cannot pass through Panama",IF(ship_choice="VLCC",((F112/24/Shipping!$AD$44+F112/24/Shipping!$AD$50+Shipping!$AD$59+Shipping!$AD$64)*(Shipping!$AD$22+wacc_nl*Shipping!$AD$19/365.25*1000000+Shipping!$AD$35)+(F112/24/Shipping!$AD$44*Shipping!$AD$45+Shipping!$AD$64*Shipping!$AD$65)*IF(bunker_choice="HFO",$H112,IF(bunker_choice="hydrogen",$BD112*hfo_e_density_lhv/h2_e_density_lhv,(DX112+DZ112)*1000000/EB112*hfo_e_density_lhv/Dme_e_density_lhv))+(F112/24/Shipping!$AD$50*Shipping!$AD$51+Shipping!$AD$59*Shipping!$AD$60)*IF(bunker_choice="HFO",bunker_price_ROT,IF(bunker_choice="hydrogen",$BD112*hfo_e_density_lhv/h2_e_density_lhv,(DX112+DZ112)*1000000/EB112*hfo_e_density_lhv/Dme_e_density_lhv))+Shipping!$AD$73+IF(G112="Panama",Shipping!$AD$55,0)+IF(G112="Suez",Shipping!$AD$56,0))/Shipping!$AD$31*(EB112+Dme_st_ab_losses)/1000000+IF(inland_transport_to_port="hv dc grid",$BM112/100*1000*EE112,IF(inland_transport_to_port="pipeline",$BN112,0)),((F112/24/Shipping!$R$44+F112/24/Shipping!$R$50+Shipping!$R$59+Shipping!$R$64)*(Shipping!$R$22+wacc_nl*Shipping!$R$19/365.25*1000000+Shipping!$R$35)+(F112/24/Shipping!$R$44*Shipping!$R$45+Shipping!$R$64*Shipping!$R$65)*IF(bunker_choice="HFO",$H112,IF(bunker_choice="hydrogen",$BD112*hfo_e_density_lhv/h2_e_density_lhv,(DX112+DZ112)*1000000/EB112*hfo_e_density_lhv/Dme_e_density_lhv))+(F112/24/Shipping!$R$50*Shipping!$R$51+Shipping!$R$59*Shipping!$R$60)*IF(bunker_choice="HFO",bunker_price_ROT,IF(bunker_choice="hydrogen",$BD112*hfo_e_density_lhv/h2_e_density_lhv,(DX112+DZ112)*1000000/EB112*hfo_e_density_lhv/Dme_e_density_lhv))+Shipping!$R$73+IF(G112="Panama",Shipping!$R$55,0)+IF(G112="Suez",Shipping!$R$56,0))/Shipping!$R$31*(EB112+Dme_st_ab_losses)/1000000+IF(inland_transport_to_port="hv dc grid",$BM112/100*1000*EE112,IF(inland_transport_to_port="pipeline",$BN112,0)))))</f>
        <v>8256.6751985981755</v>
      </c>
      <c r="ED112" s="28">
        <f t="shared" si="134"/>
        <v>129531.91668523347</v>
      </c>
      <c r="EE112" s="29">
        <f>(Dme_e_demand)*(EB112+Dme_st_ab_losses)/1000000+Dme_st_e_demand*DZ112/1000000+$CV112*(Carriers!$X$21/Carriers!$X$23*EB112)/$CS112</f>
        <v>1550.2168265345076</v>
      </c>
      <c r="EF112" s="29">
        <f t="shared" si="162"/>
        <v>1.0354708994708997</v>
      </c>
      <c r="EG112" s="28">
        <f>IFERROR(ED112*1000000/Storage!$Q$12,"")</f>
        <v>1250.9469532308551</v>
      </c>
      <c r="EH112" s="28">
        <f>IF($E112="","No Port",((F112/24/Shipping!$R$44+F112/24/Shipping!$R$50+Shipping!$R$59+Shipping!$R$64)*Carriers!$X$39*wacc_nl))</f>
        <v>112.10066014410573</v>
      </c>
      <c r="EI112" s="100">
        <f>H2_retrieval!$P$25*h2_demand_kt/1000+(co2_liq_e_demand+co2_st_e_demand*2)*Storage!$Q$12*co2_density/Dme_density/1000000</f>
        <v>252.45335899349112</v>
      </c>
      <c r="EJ112" s="28">
        <f>IFERROR((((DX112+DZ112+EC112)*(1+H2_retrieval!$P$34)+EH112)*1000000/H2_retrieval!$P$8)+h2_regen_dme,"")</f>
        <v>8954.323609092653</v>
      </c>
      <c r="EK112" s="149">
        <f>(ome_invest*(M112+1/ome_lifetime)/ome_prod+ome_opex+ome_e_demand*1000*$AU112/100+Carriers!$Z$21/Carriers!$Z$23*(CO112*1000000/CS112))*(EO112+ome_st_ab_losses)/1000000</f>
        <v>199734.15429133634</v>
      </c>
      <c r="EL112" s="86">
        <f>(ome_invest*(M112+1/ome_lifetime)/ome_prod+ome_opex+ome_e_demand*1000*$AU112/100+Carriers!$Z$21/Carriers!$Z$23*(CP112*1000000/CS112))*(EO112+ome_st_ab_losses)/1000000</f>
        <v>256477.19777974277</v>
      </c>
      <c r="EM112" s="63">
        <f>ome_st_nl_cost*ome_st_nl_demand/1000000+(ome_st_invest*(M112+1/ome_st_lifetime+ome_st_opex)/(Storage!$S$63/1000000)+ome_st_e_demand*1000*$AU112/100)*(EO112+ome_st_ab_losses)/1000000+co2_st_nl_cost*Storage!$S$12*co2_density/ome_density/1000000+(co2_st_opex_lev+co2_st_invest_lev+co2_st_e_demand*1000*$AU112/100)*Storage!$S$12/1000000+co2_st_invest_lev*Storage!$S$12*co2_st_lifetime*M112/1000000+(h2_demand_kt*1000/365.25*short_st_duration_hrs/24)*(h2_short_st_invest*(1/gh2_short_st_lifetime+$M112+h2_short_st_opex)+h2_short_st_e_demand*1000*$AU112/100)/1000000</f>
        <v>5733.6623734349896</v>
      </c>
      <c r="EN112" s="63">
        <f>ome_st_nl_cost*ome_st_nl_demand/1000000+(ome_st_invest*(M112+1/ome_st_lifetime+ome_st_opex)/(Storage!$S$63/1000000)+ome_st_e_demand*1000*$AU112/100)*(EO112+ome_st_ab_losses)/1000000+(h2_demand_kt*1000/365.25*short_st_duration_hrs/24)*(h2_short_st_invest*(1/gh2_short_st_lifetime+$M112+h2_short_st_opex)+h2_short_st_e_demand*1000*$AU112/100)/1000000</f>
        <v>2043.914254810386</v>
      </c>
      <c r="EO112" s="63">
        <f>Storage!$S$57/((1-Shipping!$T$37)^($F112/24/Shipping!$T$44+0.5*Shipping!$T$59))</f>
        <v>128282539.68253967</v>
      </c>
      <c r="EP112" s="28">
        <f>IF($E112="","No Port",IF(AND(ship_choice="VLCC",G112="Panama"),"Ship cannot pass through Panama",IF(ship_choice="VLCC",((F112/24/Shipping!$AD$44+F112/24/Shipping!$AD$50+Shipping!$AD$59+Shipping!$AD$64)*(Shipping!$AD$22+wacc_nl*Shipping!$AD$19/365.25*1000000+Shipping!$AD$35)+(F112/24/Shipping!$AD$44*Shipping!$AD$45+Shipping!$AD$64*Shipping!$AD$65)*IF(bunker_choice="HFO",$H112,IF(bunker_choice="hydrogen",$BD112*hfo_e_density_lhv/h2_e_density_lhv,(EK112+EM112)*1000000/EO112*hfo_e_density_lhv/Dme_e_density_lhv))+(F112/24/Shipping!$AD$50*Shipping!$AD$51+Shipping!$AD$59*Shipping!$AD$60)*IF(bunker_choice="HFO",bunker_price_ROT,IF(bunker_choice="hydrogen",$BD112*hfo_e_density_lhv/h2_e_density_lhv,(EK112+EM112)*1000000/EO112*hfo_e_density_lhv/ome_e_density_lhv))+Shipping!$AD$73+IF(G112="Panama",Shipping!$AD$55,0)+IF(G112="Suez",Shipping!$AD$56,0))/Shipping!$AD$31*(EO112+ome_st_ab_losses)/1000000+IF(inland_transport_to_port="hv dc grid",$BM112/100*1000*ER112,IF(inland_transport_to_port="pipeline",$BN112,0)),((F112/24/Shipping!$T$44+F112/24/Shipping!$T$50+Shipping!$T$59+Shipping!$T$64)*(Shipping!$T$22+wacc_nl*Shipping!$T$19/365.25*1000000+Shipping!$T$35)+(F112/24/Shipping!$T$44*Shipping!$T$45+Shipping!$T$64*Shipping!$T$65)*IF(bunker_choice="HFO",$H112,IF(bunker_choice="hydrogen",$BD112*hfo_e_density_lhv/h2_e_density_lhv,(EK112+EM112)*1000000/EO112*hfo_e_density_lhv/Dme_e_density_lhv))+(F112/24/Shipping!$T$50*Shipping!$T$51+Shipping!$T$59*Shipping!$T$60)*IF(bunker_choice="HFO",bunker_price_ROT,IF(bunker_choice="hydrogen",$BD112*hfo_e_density_lhv/h2_e_density_lhv,(EK112+EM112)*1000000/EO112*hfo_e_density_lhv/ome_e_density_lhv))+Shipping!$T$73+IF(G112="Panama",Shipping!$T$55,0)+IF(G112="Suez",Shipping!$T$56,0))/Shipping!$T$31*(EO112+ome_st_ab_losses)/1000000+IF(inland_transport_to_port="hv dc grid",$BM112/100*1000*ER112,IF(inland_transport_to_port="pipeline",$BN112,0)))))</f>
        <v>9001.8209397794453</v>
      </c>
      <c r="EQ112" s="28">
        <f t="shared" si="135"/>
        <v>267522.93297433259</v>
      </c>
      <c r="ER112" s="29">
        <f>(ome_e_demand)*(EO112+ome_st_ab_losses)/1000000+ome_st_e_demand*EM112/1000000+$CV112*(Carriers!$Z$21/Carriers!$Z$23*EO112)/$CS112</f>
        <v>3352.0814587412769</v>
      </c>
      <c r="ES112" s="29">
        <f t="shared" si="163"/>
        <v>0.1924238095238095</v>
      </c>
      <c r="ET112" s="28">
        <f>IFERROR(EQ112*1000000/Storage!$S$12,"")</f>
        <v>2085.4196809353057</v>
      </c>
      <c r="EU112" s="28">
        <f>IF($E112="","No Port",((F112/24/Shipping!$T$44+F112/24/Shipping!$T$50+Shipping!$T$59+Shipping!$T$64)*Carriers!$Z$39*wacc_nl))</f>
        <v>127.98474004966131</v>
      </c>
      <c r="EV112" s="100">
        <f>H2_retrieval!$R$25*h2_demand_kt/1000+(co2_liq_e_demand+co2_st_e_demand*2)*Storage!$S$12*co2_density/ome_density/1000000</f>
        <v>254.51942895252085</v>
      </c>
      <c r="EW112" s="28">
        <f>IFERROR((((EK112+EM112+EP112)*(1+H2_retrieval!$R$34)+EU112)*1000000/H2_retrieval!$R$8)+h2_regen_ome,"")</f>
        <v>16949.36548029909</v>
      </c>
      <c r="EX112" s="149">
        <f>(sng_invest*(M112+1/sng_lifetime)/sng_prod+lng_invest*(M112+1/lng_lifetime)/lng_prod+sng_opex+lng_opex+(sng_e_demand+lng_e_demand)*1000*$AU112/100+Carriers!$AB$18/Carriers!$AB$23*BD112+Carriers!$AB$20/Carriers!$AB$23*co2_liq_cost)*(FB112+lng_st_ab_losses)/1000000</f>
        <v>70721.84221523712</v>
      </c>
      <c r="EY112" s="86">
        <f>(sng_invest*(M112+1/sng_lifetime)/sng_prod+lng_invest*(M112+1/lng_lifetime)/lng_prod+sng_opex+lng_opex+(sng_e_demand+lng_e_demand)*1000*$AU112/100+Carriers!$AB$18/Carriers!$AB$23*BD112+Carriers!$AB$20/Carriers!$AB$23*BP112)*(FB112+lng_st_ab_losses)/1000000</f>
        <v>85750.396588789881</v>
      </c>
      <c r="EZ112" s="63">
        <f>lng_st_nl_cost*lng_st_nl_demand/1000000+(lng_st_invest*(M112+1/lng_st_lifetime+lng_st_opex)/(Storage!$U$63/1000000)+lng_st_e_demand*1000*$AU112/100)*(FB112+lng_st_ab_losses)/1000000+co2_st_nl_cost*Storage!$U$12*co2_density/lng_density/1000000+(co2_st_opex_lev+co2_st_invest_lev+co2_st_e_demand*1000*$AU112/100)*Storage!$U$12/1000000+co2_st_invest_lev*Storage!$U$12*co2_st_lifetime*M112/1000000+Carriers!$AB$18/Carriers!$AB$23*((FB112+lng_st_ab_losses)/365.25*short_st_duration_hrs/24)*(h2_short_st_invest*(1/gh2_short_st_lifetime+$M112+h2_short_st_opex)+h2_short_st_e_demand*1000*$AU112/100)/1000000+Carriers!$AB$20/Carriers!$AB$23*((FB112+lng_st_ab_losses)/365.25*short_st_duration_hrs/24)*(co2_short_st_invest*(1/co2_short_st_lifetime+$M112+co2_short_st_opex)+co2_short_st_e_demand*1000*$AU112/100)/1000000</f>
        <v>7028.981363543242</v>
      </c>
      <c r="FA112" s="63">
        <f>lng_st_nl_cost*lng_st_nl_demand/1000000+(lng_st_invest*(M112+1/lng_st_lifetime+lng_st_opex)/(Storage!$U$63/1000000)+lng_st_e_demand*1000*$AU112/100)*(FB112+lng_st_ab_losses)/1000000+Carriers!$AB$18/Carriers!$AB$23*((FB112+lng_st_ab_losses)/365.25*short_st_duration_hrs/24)*(h2_short_st_invest*(1/gh2_short_st_lifetime+$M112+h2_short_st_opex)+h2_short_st_e_demand*1000*$AU112/100)/1000000+Carriers!$AB$20/Carriers!$AB$23*((FB112+lng_st_ab_losses)/365.25*short_st_duration_hrs/24)*(co2_short_st_invest*(1/co2_short_st_lifetime+$M112+co2_short_st_opex)+co2_short_st_e_demand*1000*$AU112/100)/1000000</f>
        <v>5316.7476248342155</v>
      </c>
      <c r="FB112" s="63">
        <f>Storage!$U$57/((1-Shipping!$V$37)^($F112/24/Shipping!$V$44+0.5*Shipping!$V$59))</f>
        <v>41524641.018418491</v>
      </c>
      <c r="FC112" s="28" t="e">
        <f>IF($E112="","No Port",IF(G112="Panama","Ship cannot pass through Panama",((F112/24/Shipping!$V$44+F112/24/Shipping!$V$50+Shipping!$V$59+Shipping!$V$64)*(Shipping!$V$22+wacc_nl*Shipping!$V$19/365.25*1000000+Shipping!$V$35)+(F112/24/Shipping!$V$44*Shipping!$V$45+Shipping!$V$64*Shipping!$V$65)*IF(bunker_choice="HFO",$H112,IF(bunker_choice="hydrogen",$BD112*hfo_e_density_lhv/h2_e_density_lhv,(EX112+EZ112)*1000000/FB112*hfo_e_density_lhv/lng_e_density_lhv))+(F112/24/Shipping!$V$50*Shipping!$V$51+Shipping!$V$59*Shipping!$V$60)*IF(bunker_choice="HFO",bunker_price_ROT,IF(bunker_choice="hydrogen",$BD112*hfo_e_density_lhv/h2_e_density_lhv,(EX112+EZ112)*1000000/FB112*hfo_e_density_lhv/lng_e_density_lhv))+Shipping!$V$73+IF(G112="Panama",Shipping!$V$55,0)+IF(G112="Suez",Shipping!$V$56,0))/Shipping!$V$31*(FB112+lng_st_ab_losses)/1000000)+IF(inland_transport_to_port="hv dc grid",$BM112/100*1000*FE112,IF(inland_transport_to_port="pipeline",$BN112,0)))</f>
        <v>#VALUE!</v>
      </c>
      <c r="FD112" s="28" t="str">
        <f t="shared" si="136"/>
        <v/>
      </c>
      <c r="FE112" s="29">
        <f>((Carriers!$AB$18/Carriers!$AB$23*alk_el_e_demand)+sng_e_demand+lng_e_demand)*(FB112+lng_st_ab_losses)/1000000+lng_st_e_demand*EZ112/1000000</f>
        <v>1113.6493214797674</v>
      </c>
      <c r="FF112" s="29">
        <f t="shared" si="164"/>
        <v>0.8126185861001558</v>
      </c>
      <c r="FG112" s="28" t="str">
        <f>IFERROR(FD112*1000000/Storage!$U$12,"")</f>
        <v/>
      </c>
      <c r="FH112" s="28">
        <f>IF($E112="","No Port",((F112/24/Shipping!$V$44+F112/24/Shipping!$V$50+Shipping!$V$59+Shipping!$V$64)*Carriers!$AB$39*wacc_nl))</f>
        <v>37.608741577585704</v>
      </c>
      <c r="FI112" s="100">
        <f>H2_retrieval!$T$25*h2_demand_kt/1000+(co2_liq_e_demand+co2_st_e_demand*2)*Storage!$U$12*co2_density/lng_density/1000000</f>
        <v>236.51371749646054</v>
      </c>
      <c r="FJ112" s="28" t="str">
        <f>IFERROR((((EX112+EZ112+FC112)*(1+H2_retrieval!$T$34)+FH112)*1000000/H2_retrieval!$T$8)+h2_regen_lng,"")</f>
        <v/>
      </c>
      <c r="FK112" s="149">
        <f>(lh2_invest*(M112+1/lh2_lifetime)/lh2_prod+lh2_opex+lh2_e_demand*1000*$AU112/100+Carriers!$AD$18/Carriers!$AD$23*BD112)*(FM112+lh2_st_ab_losses)/1000000</f>
        <v>57695.38092039949</v>
      </c>
      <c r="FL112" s="28">
        <f>lh2_st_nl_cost*lh2_st_nl_demand/1000000+(lh2_st_invest*(M112+1/lh2_st_lifetime+lh2_st_opex)/(Storage!$Y$63/1000000)+lh2_st_e_demand*1000*$AU112/100)*(FM112+lh2_st_ab_losses)/1000000+((FM112+lh2_st_ab_losses)/365.25*short_st_duration_hrs/24)*(h2_short_st_invest*(1/gh2_short_st_lifetime+$M112+h2_short_st_opex)+h2_short_st_e_demand*1000*$AU112/100)/1000000</f>
        <v>61215.06902934856</v>
      </c>
      <c r="FM112" s="63">
        <f>Storage!$Y$57/((1-Shipping!$Z$37)^($F112/24/Shipping!$Z$44+0.5*Shipping!$Z$59))</f>
        <v>14101661.755985403</v>
      </c>
      <c r="FN112" s="28" t="e">
        <f>IF($E112="","No Port",IF(G112="Panama","Ship cannot pass through Panama",((F112/24/Shipping!$Z$44+F112/24/Shipping!$Z$50+Shipping!$Z$59+Shipping!$Z$64)*(Shipping!$Z$22+wacc_nl*Shipping!$Z$19/365.25*1000000+Shipping!$Z$35)+(F112/24/Shipping!$Z$44*Shipping!$Z$45+Shipping!$Z$64*Shipping!$Z$65)*IF(bunker_choice="HFO",$H112,IF(bunker_choice="hydrogen",$BD112*hfo_e_density_lhv/h2_e_density_lhv,(FK112+FL112)*1000000/FM112*hfo_e_density_lhv/lh2_e_density_lhv))+(F112/24/Shipping!$Z$50*Shipping!$Z$51+Shipping!$Z$59*Shipping!$Z$60)*IF(bunker_choice="HFO",bunker_price_ROT,IF(bunker_choice="hydrogen",$BD112*hfo_e_density_lhv/h2_e_density_lhv,(FK112+FL112)*1000000/FM112*hfo_e_density_lhv/lh2_e_density_lhv))+Shipping!$Z$73+IF(G112="Panama",Shipping!$Z$55,0)+IF(G112="Suez",Shipping!$Z$56,0))/Shipping!$Z$31*(FM112+lh2_st_ab_losses)/1000000)+IF(inland_transport_to_port="hv dc grid",$BM112/100*1000*FP112,IF(inland_transport_to_port="pipeline",$BN112,0)))</f>
        <v>#VALUE!</v>
      </c>
      <c r="FO112" s="28" t="str">
        <f t="shared" si="128"/>
        <v/>
      </c>
      <c r="FP112" s="29">
        <f>((Carriers!$AD$18/Carriers!$AD$23*alk_el_e_demand)+lh2_e_demand)*(FM112+lh2_st_ab_losses)/1000000+lh2_st_e_demand*FM112/1000000</f>
        <v>817.16221896887896</v>
      </c>
      <c r="FQ112" s="100">
        <f t="shared" si="165"/>
        <v>1.361902463475859</v>
      </c>
      <c r="FR112" s="28" t="str">
        <f>IFERROR(FO112*1000000/Storage!$Y$12,"")</f>
        <v/>
      </c>
      <c r="FS112" s="100">
        <f>H2_retrieval!$V$25*h2_demand_kt/1000</f>
        <v>8.16</v>
      </c>
      <c r="FT112" s="28" t="str">
        <f>IFERROR(FR112*(1+H2_retrieval!$V$34)/Carrier_properties!$U$7+H2_retrieval!$V$38,"")</f>
        <v/>
      </c>
      <c r="FU112" s="12"/>
      <c r="FV112" s="24">
        <f t="shared" si="129"/>
        <v>3.2465597292337911</v>
      </c>
      <c r="FW112" s="24">
        <f t="shared" si="143"/>
        <v>4.6836322441807212</v>
      </c>
      <c r="FX112" s="24">
        <f t="shared" si="144"/>
        <v>10.157905878016839</v>
      </c>
      <c r="FY112" s="24">
        <f t="shared" si="130"/>
        <v>3.2465597292337911</v>
      </c>
      <c r="FZ112" s="28">
        <f t="shared" si="145"/>
        <v>2877.5025117259379</v>
      </c>
      <c r="GA112" s="28">
        <f t="shared" si="137"/>
        <v>687.57046363730683</v>
      </c>
      <c r="GB112" s="28">
        <f t="shared" si="138"/>
        <v>505.36084979530494</v>
      </c>
      <c r="GC112" s="28">
        <f t="shared" si="139"/>
        <v>776.83936938593752</v>
      </c>
      <c r="GD112" s="28">
        <f t="shared" si="140"/>
        <v>1138.5196337540654</v>
      </c>
      <c r="GE112" s="28">
        <f t="shared" si="141"/>
        <v>1999.3149372817684</v>
      </c>
      <c r="GF112" s="28">
        <f t="shared" si="142"/>
        <v>2065.0484744890346</v>
      </c>
      <c r="GG112" s="12"/>
      <c r="GH112" s="12"/>
      <c r="GI112" s="12"/>
      <c r="GJ112" s="12"/>
      <c r="GK112" s="12"/>
      <c r="GL112" s="12"/>
      <c r="GM112" s="12"/>
      <c r="GN112" s="12"/>
      <c r="GO112" s="12"/>
      <c r="GP112" s="12"/>
      <c r="GQ112" s="12"/>
      <c r="GR112" s="12"/>
      <c r="GS112" s="12"/>
      <c r="GT112" s="12"/>
      <c r="GU112" s="12"/>
      <c r="GV112" s="12"/>
      <c r="GW112" s="12"/>
      <c r="GX112" s="12"/>
      <c r="GY112" s="12"/>
      <c r="GZ112" s="12"/>
      <c r="HA112" s="12"/>
      <c r="HB112" s="12"/>
      <c r="HC112" s="12"/>
      <c r="HD112" s="12"/>
      <c r="HE112" s="12"/>
      <c r="HF112" s="12"/>
    </row>
    <row r="113" spans="1:214" x14ac:dyDescent="0.2">
      <c r="A113" s="154" t="s">
        <v>116</v>
      </c>
      <c r="B113" s="12">
        <v>10587</v>
      </c>
      <c r="C113" s="12">
        <v>0.9</v>
      </c>
      <c r="D113" s="12">
        <f t="shared" si="111"/>
        <v>9.9999999999999978E-2</v>
      </c>
      <c r="E113" s="12" t="s">
        <v>769</v>
      </c>
      <c r="F113" s="12">
        <v>9629</v>
      </c>
      <c r="G113" s="12" t="s">
        <v>692</v>
      </c>
      <c r="H113" s="16">
        <f t="shared" si="166"/>
        <v>382.75862068965517</v>
      </c>
      <c r="I113" s="16">
        <v>298170</v>
      </c>
      <c r="J113" s="16">
        <f t="shared" si="113"/>
        <v>308.07541083867903</v>
      </c>
      <c r="K113" s="27">
        <f t="shared" si="114"/>
        <v>369.69049300641484</v>
      </c>
      <c r="L113" s="103">
        <v>0.106</v>
      </c>
      <c r="M113" s="103">
        <f t="shared" si="167"/>
        <v>0.11638767867819218</v>
      </c>
      <c r="N113" s="122">
        <f t="shared" si="116"/>
        <v>0.85</v>
      </c>
      <c r="O113" s="46">
        <f t="shared" si="168"/>
        <v>40</v>
      </c>
      <c r="P113" s="70">
        <f t="array" ref="P113">SUMPRODUCT(IF(Solar_data!A$4:A$777=A113,Solar_data!C$4:C$777),IF(Solar_data!A$4:A$777=A113,Solar_data!I$4:I$777))/SUMIF(Solar_data!A$4:A$777,A113,Solar_data!I$4:I$777)</f>
        <v>1886.141660239776</v>
      </c>
      <c r="Q113" s="16">
        <f t="array" ref="Q113">MAX(IF(Solar_data!$A$777:'Solar_data'!$A$4=Country_details!$A113,Solar_data!$C$4:'Solar_data'!$C$777))</f>
        <v>2281.25</v>
      </c>
      <c r="R113" s="16">
        <f t="array" ref="R113">MIN(IF(Solar_data!$A$777:'Solar_data'!$A$4=Country_details!A113,Solar_data!$C$4:'Solar_data'!$C$777))</f>
        <v>1733.75</v>
      </c>
      <c r="S113" s="24">
        <f t="shared" si="149"/>
        <v>2.3996306862104064</v>
      </c>
      <c r="T113" s="24">
        <f t="shared" si="150"/>
        <v>1.9840190274854614</v>
      </c>
      <c r="U113" s="24">
        <f t="shared" si="151"/>
        <v>2.6105513519545545</v>
      </c>
      <c r="V113" s="16">
        <f t="array" ref="V113">SUM(IF(Solar_data!$A$777:'Solar_data'!$A$4=Country_details!$A113,Solar_data!$I$4:'Solar_data'!$I$777))</f>
        <v>2019.975891795887</v>
      </c>
      <c r="W113" s="148"/>
      <c r="X113" s="16">
        <f>IFERROR(INDEX(Onshore_wind_data!$J$5:'Onshore_wind_data'!$J$221,MATCH(A113,Onshore_wind_data!$B$5:'Onshore_wind_data'!$B$221,0)),"")</f>
        <v>3199.1124830393487</v>
      </c>
      <c r="Y113" s="16">
        <f>IFERROR(INDEX(Onshore_wind_data!$K$5:'Onshore_wind_data'!$K$221,MATCH(A113,Onshore_wind_data!$B$5:'Onshore_wind_data'!$B$221,0)),"")</f>
        <v>3971</v>
      </c>
      <c r="Z113" s="16">
        <f>IFERROR(INDEX(Onshore_wind_data!$L$5:'Onshore_wind_data'!$L$221,MATCH(A113,Onshore_wind_data!$B$5:'Onshore_wind_data'!$B$221,0)),"")</f>
        <v>2847.5</v>
      </c>
      <c r="AA113" s="24">
        <f t="shared" si="169"/>
        <v>4.2951288027161763</v>
      </c>
      <c r="AB113" s="24">
        <f t="shared" si="170"/>
        <v>3.4602367587587937</v>
      </c>
      <c r="AC113" s="24">
        <f t="shared" si="171"/>
        <v>4.8254961085271892</v>
      </c>
      <c r="AD113" s="16">
        <f>IFERROR(INDEX(Onshore_wind_data!$I$5:'Onshore_wind_data'!$I$221,MATCH(A113,Onshore_wind_data!$B$5:'Onshore_wind_data'!$B$221,0)),"")</f>
        <v>176.83094249999999</v>
      </c>
      <c r="AE113" s="148"/>
      <c r="AF113" s="16">
        <f>INDEX(Offshore_wind_data!$AA$7:$AA$192,MATCH(Country_details!A113,Offshore_wind_data!$A$7:$A$192,0))</f>
        <v>3715.0568930733016</v>
      </c>
      <c r="AG113" s="16">
        <f>INDEX(Offshore_wind_data!$Y$7:$Y$192,MATCH(Country_details!A113,Offshore_wind_data!$A$7:$A$192,0))</f>
        <v>4204.8</v>
      </c>
      <c r="AH113" s="16">
        <f>INDEX(Offshore_wind_data!$Z$7:$Z$192,MATCH(Country_details!A113,Offshore_wind_data!$A$7:$A$192,0))</f>
        <v>3153.6</v>
      </c>
      <c r="AI113" s="24">
        <f t="shared" si="152"/>
        <v>7.0239233922903042</v>
      </c>
      <c r="AJ113" s="24">
        <f t="shared" si="153"/>
        <v>6.2058302451833383</v>
      </c>
      <c r="AK113" s="24">
        <f t="shared" si="154"/>
        <v>8.2744403269111189</v>
      </c>
      <c r="AL113" s="16">
        <f>INDEX(Offshore_wind_data!$W$7:$W$191,MATCH(A113,Offshore_wind_data!$A$7:$A$191,0))</f>
        <v>994.37212799999998</v>
      </c>
      <c r="AM113" s="148"/>
      <c r="AN113" s="12">
        <v>104.9</v>
      </c>
      <c r="AO113" s="12">
        <v>151.30000000000001</v>
      </c>
      <c r="AP113" s="34">
        <f>0.457*11.63</f>
        <v>5.3149100000000002</v>
      </c>
      <c r="AQ113" s="15">
        <f t="shared" si="155"/>
        <v>50</v>
      </c>
      <c r="AR113" s="12">
        <f t="shared" si="131"/>
        <v>7565.0000000000009</v>
      </c>
      <c r="AS113" s="16">
        <f t="shared" si="121"/>
        <v>-4373.8210377041141</v>
      </c>
      <c r="AT113" s="12"/>
      <c r="AU113" s="24">
        <f t="shared" si="147"/>
        <v>3.5920807615140151</v>
      </c>
      <c r="AV113" s="16">
        <f t="shared" si="148"/>
        <v>5085.2541432791249</v>
      </c>
      <c r="AW113" s="149">
        <f>HV_DC_Grid!$E$3/(1-AX113)*AU113/100*1000</f>
        <v>4505.2988869741666</v>
      </c>
      <c r="AX113" s="31">
        <f>(1-(1-HV_DC_Grid!$E$25)^(B113*C113*HV_DC_Grid!$E$8/1000))+(1-(1-HV_DC_Grid!$E$26)^(B113*D113*HV_DC_Grid!$E$8/1000))+HV_DC_Grid!$E$35*HV_DC_Grid!$E$28</f>
        <v>0.20269867735090141</v>
      </c>
      <c r="AY113" s="28">
        <f>B113*nl_e_demand/IF(hv_dc_flh="electricity FLH",$AV113,hv_dc_custom)*1000*hv_dc_capacity_multiplier*hv_dc_length_multiplier*1000*(C113*hv_dc_overhead_invest*(hv_dc_overhead_opex+M113+1/hv_dc_lifetime)+D113*hv_dc_sea_invest*(hv_dc_sea_opex+M113+1/hv_dc_lifetime))/1000000+HV_DC_Grid!$E$10*1000*hv_dc_station_invest*hv_dc_station_number*(hv_dc_station_opex+M113+1/hv_dc_lifetime)/1000000</f>
        <v>10669.01709003955</v>
      </c>
      <c r="AZ113" s="24">
        <f>(AW113+AY113)/(HV_DC_Grid!$E$3*1000)*100</f>
        <v>15.174315977013716</v>
      </c>
      <c r="BA113" s="28">
        <f>MIN(((Carriers!$F$26+Carriers!$F$27)*(alk_el_opex+wacc_nl+1/alk_el_lifetime)+IF(hv_dc_flh="electricity FLH",$AV113,hv_dc_custom)*AZ113/100)/(IF(hv_dc_flh="electricity FLH",$AV113,hv_dc_custom)/alk_el_e_demand)*1000,((Carriers!$H$26+Carriers!$H$27)*(pem_el_opex+wacc_nl+1/pem_el_lifetime)+IF(hv_dc_flh="electricity FLH",$AV113,hv_dc_custom)*AZ113/100)/(IF(hv_dc_flh="electricity FLH",$AV113,hv_dc_custom)/pem_el_e_demand)*1000)</f>
        <v>8101.8420040853307</v>
      </c>
      <c r="BB113" s="12"/>
      <c r="BC113" s="12"/>
      <c r="BD113" s="149">
        <f>MIN(((Carriers!$F$26+Carriers!$F$27)*(alk_el_opex+M113+1/alk_el_lifetime)+$AV113*$AU113/100)/($AV113/alk_el_e_demand)*1000,((Carriers!$H$26+Carriers!$H$27)*(pem_el_opex+M113+1/pem_el_lifetime)+$AV113*$AU113/100)/($AV113/pem_el_e_demand)*1000)</f>
        <v>2480.6761638174635</v>
      </c>
      <c r="BE113" s="28">
        <f>Storage!$AC$50</f>
        <v>8.1664117557772418</v>
      </c>
      <c r="BF113" s="28">
        <f>((Pipeline!$D$22*Pipeline!$D$24*B113*(pipeline_opex+M113+1/pipeline_lifetime))*(Pipeline!$D$39/Pipeline!$D$3)+(Pipeline!$D$57*(pipeline_comp_opex+M113+1/pipeline_comp_lifetime)+Pipeline!$D$47*1000*Pipeline!$D$45*$AU113/100/1000000))*(Pipeline!$D$75/Pipeline!$D$45)</f>
        <v>22697.63176257534</v>
      </c>
      <c r="BG113" s="28">
        <f>BD113+(BE113+BF113)/Storage!$AC$12*1000000</f>
        <v>4150.2201472241632</v>
      </c>
      <c r="BH113" s="28"/>
      <c r="BI113" s="28"/>
      <c r="BJ113" s="28">
        <f>IF($E113="","No Port",BK113*HV_DC_Grid!$E$3*$AU113/100*1000)</f>
        <v>75.900363579441958</v>
      </c>
      <c r="BK113" s="31">
        <f>IFERROR((1-(1-HV_DC_Grid!$E$25)^(K113*HV_DC_Grid!$E$8/1000))+HV_DC_Grid!$E$35*HV_DC_Grid!$E$28,"")</f>
        <v>2.1129915672455798E-2</v>
      </c>
      <c r="BL113" s="28">
        <f>IFERROR(K113*nl_e_demand/IF(hv_dc_flh="electricity FLH",$AV113,hv_dc_custom)*1000*hv_dc_capacity_multiplier*hv_dc_length_multiplier*1000*(hv_dc_overhead_invest*(hv_dc_overhead_opex+M113+1/hv_dc_lifetime))/1000000+HV_DC_Grid!$E$10*1000*hv_dc_station_invest*hv_dc_station_number*(hv_dc_station_opex+M113+1/hv_dc_lifetime)/1000000,"")</f>
        <v>695.16704349699376</v>
      </c>
      <c r="BM113" s="29">
        <f>IFERROR((BJ113+BL113)/(HV_DC_Grid!$E$3*1000)*100,"")</f>
        <v>0.77106740707643573</v>
      </c>
      <c r="BN113" s="28">
        <f>IFERROR(((Pipeline!$D$22*Pipeline!$D$24*K113*(pipeline_opex+M113+1/pipeline_lifetime))*(Pipeline!$D$39/Pipeline!$D$3)+(Pipeline!$D$57*(pipeline_comp_opex+M113+1/pipeline_comp_lifetime)+Pipeline!$D$47*1000*Pipeline!$D$45*S113/100/1000000))*(Pipeline!$D$75/Pipeline!$D$45),"")</f>
        <v>867.96689251737178</v>
      </c>
      <c r="BO113" s="28"/>
      <c r="BP113" s="150">
        <f t="shared" si="172"/>
        <v>114.45028352742317</v>
      </c>
      <c r="BQ113" s="34">
        <f t="shared" si="173"/>
        <v>33.536576751265038</v>
      </c>
      <c r="BR113" s="151">
        <f>(nh3_invest*(M113+1/nh3_lifetime)/nh3_prod+nh3_opex+nh3_e_demand*1000*$AU113/100+Carriers!$N$18/Carriers!$N$23*BD113+Carriers!$N$19/Carriers!$N$23*BQ113)*(BT113+nh3_st_ab_losses)/1000000</f>
        <v>47914.98708690652</v>
      </c>
      <c r="BS113" s="63">
        <f>nh3_st_nl_cost*nh3_st_nl_demand/1000000+(nh3_st_invest*(M113+1/nh3_st_lifetime+nh3_st_opex)/(Storage!$G$63/1000000)+nh3_st_e_demand*1000*$AU113/100)*(BT113+nh3_st_ab_losses)/1000000+Carriers!$N$18/Carriers!$N$23*((BT113+nh3_st_ab_losses)/365.25*short_st_duration_hrs/24)*(h2_short_st_invest*(1/gh2_short_st_lifetime+$M113+h2_short_st_opex)+h2_short_st_e_demand*1000*$AU113/100)/1000000+Carriers!$N$19/Carriers!$N$23*((BT113+nh3_st_ab_losses)/365.25*short_st_duration_hrs/24)*(n2_short_st_invest*(1/n2_short_st_lifetime+$M113+n2_short_st_opex)+n2_short_st_e_demand*1000*$AU113/100)/1000000</f>
        <v>3411.2600576645405</v>
      </c>
      <c r="BT113" s="63">
        <f>Storage!$G$57/((1-Shipping!$H$37)^(F113/24/Shipping!$H$44+0.5*Shipping!$H$59))</f>
        <v>81679194.051759347</v>
      </c>
      <c r="BU113" s="63">
        <f>IF($E113="","No Port",((F113/24/Shipping!$H$44+F113/24/Shipping!$H$50+Shipping!$H$59+Shipping!$H$64)*(Shipping!$H$22+wacc_nl*Shipping!$H$19/365.25*1000000+Shipping!$H$35)+(F113/24/Shipping!$H$44*Shipping!$H$45+Shipping!$H$64*Shipping!$H$65)*IF(bunker_choice="HFO",H113,IF(bunker_choice="hydrogen",BD113*hfo_e_density_lhv/h2_e_density_lhv,(BR113+BS113)*1000000/BT113*hfo_e_density_lhv/nh3_e_density_lhv))+(F113/24/Shipping!$H$50*Shipping!$H$51+Shipping!$H$59*Shipping!$H$60)*IF(bunker_choice="HFO",bunker_price_ROT,IF(bunker_choice="hydrogen",BD113*hfo_e_density_lhv/h2_e_density_lhv,(BR113+BS113)*1000000/BT113*hfo_e_density_lhv/nh3_e_density_lhv))+Shipping!$H$73+IF(G113="Panama",Shipping!$H$55,0)+IF(G113="Suez",Shipping!$H$56,0))/Shipping!$H$31*BT113/1000000+IF(inland_transport_to_port="hv dc grid",$BM113/100*1000*BW113,IF(inland_transport_to_port="pipeline",$BN113,0)))</f>
        <v>7204.3639357392722</v>
      </c>
      <c r="BV113" s="63">
        <f t="shared" si="174"/>
        <v>58530.611080310337</v>
      </c>
      <c r="BW113" s="33">
        <f>((Carriers!$N$18/Carriers!$N$23*alk_el_e_demand)+(Carriers!$N$19/Carriers!$N$23*n2_e_demand)+nh3_e_demand)*(BT113+nh3_st_ab_losses)/1000000+nh3_st_e_demand*BT113/1000000</f>
        <v>806.58165108793992</v>
      </c>
      <c r="BX113" s="33">
        <f t="shared" si="156"/>
        <v>0.76626754477640768</v>
      </c>
      <c r="BY113" s="63">
        <f>IFERROR(BV113*1000000/Storage!$G$12,"")</f>
        <v>764.47682815807798</v>
      </c>
      <c r="BZ113" s="63">
        <f>H2_retrieval!$F$25*h2_demand_kt/1000</f>
        <v>80</v>
      </c>
      <c r="CA113" s="63">
        <f>IFERROR(BY113*(1+H2_retrieval!$F$34)/Carrier_properties!$E$7+H2_retrieval!$F$38,"")</f>
        <v>4712.9473826077301</v>
      </c>
      <c r="CB113" s="149">
        <f>(FA_invest*(M113+1/FA_lifetime)/FA_prod+FA_opex+FA_e_demand*1000*$AU113/100+Carriers!$P$18/Carriers!$P$23*BD113+Carriers!$P$20/Carriers!$P$23*co2_liq_cost)*(CF113+FA_st_ab_losses)/1000000</f>
        <v>104952.31498798703</v>
      </c>
      <c r="CC113" s="86">
        <f>(FA_invest*(M113+1/FA_lifetime)/FA_prod+FA_opex+FA_e_demand*1000*$AU113/100+Carriers!$P$18/Carriers!$P$23*BD113+Carriers!$P$20/Carriers!$P$23*BP113)*(CF113+FA_st_ab_losses)/1000000</f>
        <v>132574.90286446351</v>
      </c>
      <c r="CD113" s="63">
        <f>FA_st_nl_cost*FA_st_nl_demand/1000000+(FA_st_invest*(M113+1/FA_st_lifetime+FA_st_opex)/(Storage!$I$63/1000000)+FA_st_e_demand*1000*$AU113/100)*(CF113+FA_st_ab_losses)/1000000+co2_st_nl_cost*Storage!$I$12*co2_density/FA_density/1000000+(co2_st_opex_lev+co2_st_invest_lev+co2_st_e_demand*1000*$AU113/100)*Storage!$I$12/1000000+co2_st_invest_lev*Storage!$I$12*co2_st_lifetime*M113/1000000+Carriers!$P$18/Carriers!$P$23*((CF113+FA_st_ab_losses)/365.25*short_st_duration_hrs/24)*(h2_short_st_invest*(1/gh2_short_st_lifetime+$M113+h2_short_st_opex)+h2_short_st_e_demand*1000*$AU113/100)/1000000+Carriers!$P$20/Carriers!$P$23*((CF113+FA_st_ab_losses)/365.25*short_st_duration_hrs/24)*(co2_short_st_invest*(1/co2_short_st_lifetime+$M113+co2_short_st_opex)+co2_short_st_e_demand*1000*$AU113/100)/1000000</f>
        <v>11789.057615707372</v>
      </c>
      <c r="CE113" s="63">
        <f>FA_st_nl_cost*FA_st_nl_demand/1000000+(FA_st_invest*(M113+1/FA_st_lifetime+FA_st_opex)/(Storage!$I$63/1000000)+FA_st_e_demand*1000*$AU113/100)*(CF113+FA_st_ab_losses)/1000000+Carriers!$P$18/Carriers!$P$23*((CF113+FA_st_ab_losses)/365.25*short_st_duration_hrs/24)*(h2_short_st_invest*(1/gh2_short_st_lifetime+$M113+h2_short_st_opex)+h2_short_st_e_demand*1000*$AU113/100)/1000000+Carriers!$P$20/Carriers!$P$23*((CF113+FA_st_ab_losses)/365.25*short_st_duration_hrs/24)*(co2_short_st_invest*(1/co2_short_st_lifetime+$M113+co2_short_st_opex)+co2_short_st_e_demand*1000*$AU113/100)/1000000</f>
        <v>4945.910008562023</v>
      </c>
      <c r="CF113" s="63">
        <f>Storage!$I$57/((1-Shipping!$J$37)^($F113/24/Shipping!$J$44+0.5*Shipping!$J$59))</f>
        <v>310425396.82539684</v>
      </c>
      <c r="CG113" s="28">
        <f>IF($E113="","No Port",((F113/24/Shipping!$J$44+F113/24/Shipping!$J$50+Shipping!$J$59+Shipping!$J$64)*(Shipping!$J$22+wacc_nl*Shipping!$J$19/365.25*1000000+Shipping!$J$35)+(F113/24/Shipping!$J$44*Shipping!$J$45+Shipping!$J$64*Shipping!$J$65)*IF(bunker_choice="HFO",$H113,IF(bunker_choice="hydrogen",$BD113*hfo_e_density_lhv/h2_e_density_lhv,(CB113+CD113)*1000000/CF113*hfo_e_density_lhv/FA_e_density_lhv))+(F113/24/Shipping!$J$50*Shipping!$J$51+Shipping!$J$59*Shipping!$J$60)*IF(bunker_choice="HFO",bunker_price_ROT,IF(bunker_choice="hydrogen",$BD113*hfo_e_density_lhv/h2_e_density_lhv,(CB113+CD113)*1000000/CF113*hfo_e_density_lhv/FA_e_density_lhv))+Shipping!$J$73+IF(G113="Panama",Shipping!$J$55,0)+IF(G113="Suez",Shipping!$J$56,0))/Shipping!$J$31*CF113/1000000+IF(inland_transport_to_port="hv dc grid",$BM113/100*1000*CI113,IF(inland_transport_to_port="pipeline",$BN113,0)))</f>
        <v>27363.153854607001</v>
      </c>
      <c r="CH113" s="28">
        <f t="shared" si="132"/>
        <v>164883.96672763253</v>
      </c>
      <c r="CI113" s="29">
        <f>((Carriers!$P$18/Carriers!$P$23*alk_el_e_demand)+FA_e_demand)*(CF113+FA_st_ab_losses)/1000000+FA_st_e_demand*CF113/1000000</f>
        <v>1897.8881241622576</v>
      </c>
      <c r="CJ113" s="29">
        <f t="shared" si="157"/>
        <v>0.46563809523809524</v>
      </c>
      <c r="CK113" s="28">
        <f>IFERROR(CH113*1000000/Storage!$I$12,"")</f>
        <v>531.15488749902079</v>
      </c>
      <c r="CL113" s="28">
        <f>IF($E113="","No Port",((F113/24/Shipping!$J$44+F113/24/Shipping!$J$50+Shipping!$J$59+Shipping!$J$64)*Carriers!$P$39*wacc_nl))</f>
        <v>443.8086992846994</v>
      </c>
      <c r="CM113" s="29">
        <f>H2_retrieval!$H$25*h2_demand_kt/1000+(co2_liq_e_demand+co2_st_e_demand*2)*Storage!$I$12*co2_density/FA_density/1000000</f>
        <v>94.204253879484654</v>
      </c>
      <c r="CN113" s="28">
        <f>IFERROR((((CB113+CD113+CG113)*(1+H2_retrieval!$H$34)+CL113)*1000000/H2_retrieval!$H$8)+h2_regen_fa,"")</f>
        <v>10718.241423471818</v>
      </c>
      <c r="CO113" s="149">
        <f>(meoh_invest*(M113+1/meoh_lifetime)/meoh_prod+meoh_opex+meoh_e_demand*1000*$AU113/100+Carriers!$R$18/Carriers!$R$23*BD113+Carriers!$R$20/Carriers!$R$23*co2_liq_cost)*(CS113+meoh_st_ab_losses)/1000000</f>
        <v>55280.094538164034</v>
      </c>
      <c r="CP113" s="86">
        <f>(meoh_invest*(M113+1/meoh_lifetime)/meoh_prod+meoh_opex+meoh_e_demand*1000*$AU113/100+Carriers!$R$18/Carriers!$R$23*BD113+Carriers!$R$20/Carriers!$R$23*BP113)*(CS113+meoh_st_ab_losses)/1000000</f>
        <v>71495.406381670429</v>
      </c>
      <c r="CQ113" s="63">
        <f>meoh_st_nl_cost*meoh_st_nl_demand/1000000+(meoh_st_invest*(M113+1/meoh_st_lifetime+meoh_st_opex)/(Storage!$K$63/1000000)+meoh_st_e_demand*1000*$AU113/100)*(CS113+meoh_st_ab_losses)/1000000+co2_st_nl_cost*Storage!$K$12*co2_density/meoh_density/1000000+(co2_st_opex_lev+co2_st_invest_lev+co2_st_e_demand*1000*IFERROR(MIN(S113,AA113,AI113),S113)/100)*Storage!$K$12/1000000+co2_st_invest_lev*Storage!$K$12*co2_st_lifetime*M113/1000000+Carriers!$R$18/Carriers!$R$23*((CS113+meoh_st_ab_losses)/365.25*short_st_duration_hrs/24)*(h2_short_st_invest*(1/gh2_short_st_lifetime+$M113+h2_short_st_opex)+h2_short_st_e_demand*1000*$AU113/100)/1000000+Carriers!$R$20/Carriers!$R$23*((CF113+meoh_st_ab_losses)/365.25*short_st_duration_hrs/24)*(co2_short_st_invest*(1/co2_short_st_lifetime+$M113+co2_short_st_opex)+co2_short_st_e_demand*1000*$AU113/100)/1000000</f>
        <v>4791.1983043990058</v>
      </c>
      <c r="CR113" s="63">
        <f>meoh_st_nl_cost*meoh_st_nl_demand/1000000+(meoh_st_invest*(M113+1/meoh_st_lifetime+meoh_st_opex)/(Storage!$K$63/1000000)+meoh_st_e_demand*1000*$AU113/100)*(CS113+meoh_st_ab_losses)/1000000+Carriers!$R$18/Carriers!$R$23*((CS113+meoh_st_ab_losses)/365.25*short_st_duration_hrs/24)*(h2_short_st_invest*(1/gh2_short_st_lifetime+$M113+h2_short_st_opex)+h2_short_st_e_demand*1000*$AU113/100)/1000000+Carriers!$R$20/Carriers!$R$23*((CF113+meoh_st_ab_losses)/365.25*short_st_duration_hrs/24)*(co2_short_st_invest*(1/co2_short_st_lifetime+$M113+co2_short_st_opex)+co2_short_st_e_demand*1000*$AU113/100)/1000000</f>
        <v>1939.261436560651</v>
      </c>
      <c r="CS113" s="63">
        <f>Storage!$K$57/((1-Shipping!$L$37)^($F113/24/Shipping!$L$44+0.5*Shipping!$L$59))</f>
        <v>108044444.44444443</v>
      </c>
      <c r="CT113" s="28">
        <f>IF($E113="","No Port",IF(AND(ship_choice="VLCC",G113="Panama"),"Ship cannot pass through Panama",IF(ship_choice="VLCC",((F113/24/Shipping!$AD$44+F113/24/Shipping!$AD$50+Shipping!$AD$59+Shipping!$AD$64)*(Shipping!$AD$22+wacc_nl*Shipping!$AD$19/365.25*1000000+Shipping!$AD$35)+(F113/24/Shipping!$AD$44*Shipping!$AD$45+Shipping!$AD$64*Shipping!$AD$65)*IF(bunker_choice="HFO",$H113,IF(bunker_choice="hydrogen",$BD113*hfo_e_density_lhv/h2_e_density_lhv,(CO113+CQ113)*1000000/CS113*hfo_e_density_lhv/meoh_e_density_lhv))+(F113/24/Shipping!$AD$50*Shipping!$AD$51+Shipping!$AD$59*Shipping!$AD$60)*IF(bunker_choice="HFO",bunker_price_ROT,IF(bunker_choice="hydrogen",$BD113*hfo_e_density_lhv/h2_e_density_lhv,(CO113+CQ113)*1000000/CS113*hfo_e_density_lhv/meoh_e_density_lhv))+Shipping!$AD$73+IF(G113="Panama",Shipping!$AD$55,0)+IF(G113="Suez",Shipping!$AD$56,0))/Shipping!$AD$31*CS113/1000000+IF(inland_transport_to_port="hv dc grid",$BM113/100*1000*CV113,IF(inland_transport_to_port="pipeline",$BN113,0)),((F113/24/Shipping!$L$44+F113/24/Shipping!$L$50+Shipping!$L$59+Shipping!$L$64)*(Shipping!$L$22+wacc_nl*Shipping!$L$19/365.25*1000000+Shipping!$L$35)+(F113/24/Shipping!$L$44*Shipping!$L$45+Shipping!$L$64*Shipping!$L$65)*IF(bunker_choice="HFO",$H113,IF(bunker_choice="hydrogen",$BD113*hfo_e_density_lhv/h2_e_density_lhv,(CO113+CQ113)*1000000/CS113*hfo_e_density_lhv/meoh_e_density_lhv))+(F113/24/Shipping!$L$50*Shipping!$L$51+Shipping!$L$59*Shipping!$L$60)*IF(bunker_choice="HFO",bunker_price_ROT,IF(bunker_choice="hydrogen",$BD113*hfo_e_density_lhv/h2_e_density_lhv,(CO113+CQ113)*1000000/CS113*hfo_e_density_lhv/meoh_e_density_lhv))+Shipping!$L$73+IF(G113="Panama",Shipping!$L$55,0)+IF(G113="Suez",Shipping!$L$56,0))/Shipping!$L$31*CS113/1000000+IF(inland_transport_to_port="hv dc grid",$BM113/100*1000*CV113,IF(inland_transport_to_port="pipeline",$BN113,0)))))</f>
        <v>9634.5011230887994</v>
      </c>
      <c r="CU113" s="28">
        <f t="shared" si="133"/>
        <v>83069.168941319891</v>
      </c>
      <c r="CV113" s="29">
        <f>((Carriers!$R$18/Carriers!$R$23*alk_el_e_demand)+meoh_e_demand)*(CS113+meoh_st_ab_losses)/1000000+meoh_st_e_demand*CS113/1000000</f>
        <v>1119.9789871111109</v>
      </c>
      <c r="CW113" s="29">
        <f t="shared" si="158"/>
        <v>0.16206666666666666</v>
      </c>
      <c r="CX113" s="28">
        <f>IFERROR(CU113*1000000/Storage!$K$12,"")</f>
        <v>768.84257555725935</v>
      </c>
      <c r="CY113" s="28">
        <f>IF($E113="","No Port",((F113/24/Shipping!$L$44+F113/24/Shipping!$L$50+Shipping!$L$59+Shipping!$L$64)*Carriers!$R$39*wacc_nl))</f>
        <v>159.25821883868912</v>
      </c>
      <c r="CZ113" s="29">
        <f>H2_retrieval!$J$25*h2_demand_kt/1000+(co2_liq_e_demand+co2_st_e_demand*2)*Storage!$K$12*co2_density/meoh_density/1000000</f>
        <v>251.05079059698966</v>
      </c>
      <c r="DA113" s="28">
        <f>IFERROR((((CO113+CQ113+CT113)*(1+H2_retrieval!$J$34)+CY113)*1000000/H2_retrieval!$J$8)+h2_regen_meoh,"")</f>
        <v>6307.264733232184</v>
      </c>
      <c r="DB113" s="149">
        <f>(DBT_invest*(M113+1/DBT_lifetime)/DBT_prod+DBT_opex+DBT_e_demand*1000*$AU113/100+Carriers!$T$18/Carriers!$T$23*BD113)*(DD113+DBT_st_ab_losses)/1000000</f>
        <v>36952.393490036717</v>
      </c>
      <c r="DC113" s="28">
        <f>2*(DBT_st_nl_cost*DBT_st_nl_demand/1000000+(DBT_st_invest*(M113+1/DBT_st_lifetime+DBT_st_opex)/(Storage!$M$63/1000000)+DBT_st_e_demand*1000*$AU113/100)*(DD113+DBT_st_ab_losses)/1000000)+Carriers!$T$18/Carriers!$T$23*((DD113+DBT_st_ab_losses)/365.25*short_st_duration_hrs/24)*(h2_short_st_invest*(1/gh2_short_st_lifetime+$M113+h2_short_st_opex)+h2_short_st_e_demand*1000*$AU113/100)/1000000</f>
        <v>4022.8070027695494</v>
      </c>
      <c r="DD113" s="63">
        <f>Storage!$M$57/((1-Shipping!$N$37)^($F113/24/Shipping!$N$44+0.5*Shipping!$N$59))</f>
        <v>219354838.70967743</v>
      </c>
      <c r="DE113" s="28">
        <f>IF($E113="","No Port",IF(AND(ship_choice="VLCC",G113="Panama"),"Ship cannot pass through Panama",IF(ship_choice="VLCC",((F113/24/Shipping!$AD$44+F113/24/Shipping!$AD$50+Shipping!$AD$59+Shipping!$AD$64)*(Shipping!$AD$22+wacc_nl*Shipping!$AD$19/365.25*1000000+Shipping!$AD$35)+(F113/24/Shipping!$AD$44*Shipping!$AD$45+Shipping!$AD$64*Shipping!$AD$65)*IF(bunker_choice="HFO",$H113,IF(bunker_choice="hydrogen",$BD113*hfo_e_density_lhv/h2_e_density_lhv,(DB113+DC113)*1000000/DD113*hfo_e_density_lhv/DBT_e_density_lhv))+(F113/24/Shipping!$AD$50*Shipping!$AD$51+Shipping!$AD$59*Shipping!$AD$60)*IF(bunker_choice="HFO",bunker_price_ROT,IF(bunker_choice="hydrogen",$BD113*hfo_e_density_lhv/h2_e_density_lhv,(DB113+DC113)*1000000/DD113*hfo_e_density_lhv/DBT_e_density_lhv))+Shipping!$AD$73+IF(G113="Panama",Shipping!$AD$55,0)+IF(G113="Suez",Shipping!$AD$56,0))/Shipping!$AD$31*DD113/1000000+IF(inland_transport_to_port="hv dc grid",$BM113/100*1000*DG113,IF(inland_transport_to_port="pipeline",$BN113,0)),((F113/24/Shipping!$N$44+F113/24/Shipping!$N$50+Shipping!$N$59+Shipping!$N$64)*(Shipping!$N$22+wacc_nl*Shipping!$N$19/365.25*1000000+Shipping!$N$35)+(F113/24/Shipping!$N$44*Shipping!$N$45+Shipping!$N$64*Shipping!$N$65)*IF(bunker_choice="HFO",$H113,IF(bunker_choice="hydrogen",$BD113*hfo_e_density_lhv/h2_e_density_lhv,(DB113+DC113)*1000000/DD113*hfo_e_density_lhv/DBT_e_density_lhv))+(F113/24/Shipping!$N$50*Shipping!$N$51+Shipping!$N$59*Shipping!$N$60)*IF(bunker_choice="HFO",bunker_price_ROT,IF(bunker_choice="hydrogen",$BD113*hfo_e_density_lhv/h2_e_density_lhv,(DB113+DC113)*1000000/DD113*hfo_e_density_lhv/DBT_e_density_lhv))+Shipping!$N$73+IF(G113="Panama",Shipping!$N$55,0)+IF(G113="Suez",Shipping!$N$56,0))/Shipping!$N$31*Shipping!$N$86/1000000+IF(inland_transport_to_port="hv dc grid",$BM113/100*1000*DG113,IF(inland_transport_to_port="pipeline",$BN113,0)))))</f>
        <v>17348.392158124534</v>
      </c>
      <c r="DF113" s="28">
        <f t="shared" si="159"/>
        <v>58323.592650930805</v>
      </c>
      <c r="DG113" s="29">
        <f>((Carriers!$T$18/Carriers!$T$23*alk_el_e_demand)+DBT_e_demand)*(DD113+DBT_st_ab_losses)/1000000+DBT_st_e_demand*DD113/1000000</f>
        <v>703.88335483870969</v>
      </c>
      <c r="DH113" s="29">
        <f t="shared" si="160"/>
        <v>0.21935483870967742</v>
      </c>
      <c r="DI113" s="28">
        <f>IFERROR(DF113*1000000/Storage!$M$12,"")</f>
        <v>265.88696649689041</v>
      </c>
      <c r="DJ113" s="28">
        <f>IF($E113="","No Port",((F113/24/Shipping!$N$44+F113/24/Shipping!$N$50+Shipping!$N$59+Shipping!$N$64)*Carriers!$T$39*wacc_nl))</f>
        <v>11599.299340136115</v>
      </c>
      <c r="DK113" s="100">
        <f>H2_retrieval!$L$25*h2_demand_kt/1000+(co2_liq_e_demand+co2_st_e_demand*2)*Storage!$M$12*co2_density/DBT_density/1000000</f>
        <v>206.61934861671787</v>
      </c>
      <c r="DL113" s="28">
        <f>IFERROR(((DF113*(1+H2_retrieval!$L$34)+DJ113)*1000000/H2_retrieval!$L$8)+h2_regen_lohc,"")</f>
        <v>5612.0388976290105</v>
      </c>
      <c r="DM113" s="149">
        <f t="shared" si="175"/>
        <v>59780.907700391064</v>
      </c>
      <c r="DN113" s="16">
        <f>2*(nabh4_st_nl_cost*nabh4_st_nl_demand/1000000+(nabh4_st_invest*(M113+1/nabh4_st_lifetime+nabh4_st_opex)/(Storage!$O$63/1000000)+nabh4_st_e_demand*1000*$AU113/100)*(DO113+nabh4_st_ab_losses)/1000000)+(h2_demand_kt*1000/365.25*short_st_duration_hrs/24)*(h2_short_st_invest*(1/gh2_short_st_lifetime+$M113+h2_short_st_opex)+h2_short_st_e_demand*1000*$AU113/100)/1000000</f>
        <v>1433.4765987860378</v>
      </c>
      <c r="DO113" s="63">
        <f>Storage!$O$57/((1-Shipping!$P$37)^($F113/24/Shipping!$P$44+0.5*Shipping!$P$59))</f>
        <v>63920000</v>
      </c>
      <c r="DP113" s="16">
        <f>IF($E113="","No Port",((F113/24/Shipping!$P$44+F113/24/Shipping!$P$50+Shipping!$P$59+Shipping!$P$64)*(Shipping!$P$22+wacc_nl*Shipping!$P$19/365.25*1000000+Shipping!$P$35)+(F113/24/Shipping!$P$44*Shipping!$P$45+Shipping!$P$64*Shipping!$P$65)*IF(bunker_choice="HFO",$H113,IF(bunker_choice="hydrogen",$BD113*hfo_e_density_lhv/h2_e_density_lhv,(DM113+DN113)*1000000/DO113*hfo_e_density_lhv/nabh4_e_density_lhv))+(F113/24/Shipping!$P$50*Shipping!$P$51+Shipping!$P$59*Shipping!$P$60)*IF(bunker_choice="HFO",bunker_price_ROT,IF(bunker_choice="hydrogen",$BD113*hfo_e_density_lhv/h2_e_density_lhv,(DM113+DN113)*1000000/DO113*hfo_e_density_lhv/nabh4_e_density_lhv))+Shipping!$P$73+IF(G113="Panama",Shipping!$P$55,0)+IF(G113="Suez",Shipping!$P$56,0))/Shipping!$P$31*(DO113+nabh4_st_ab_losses)/1000000+IF(inland_transport_to_port="hv dc grid",$BM113/100*1000*DR113,IF(inland_transport_to_port="pipeline",$BN113,0)))</f>
        <v>4848.8807692821629</v>
      </c>
      <c r="DQ113" s="28">
        <f t="shared" si="146"/>
        <v>66063.265068459266</v>
      </c>
      <c r="DR113" s="29">
        <f>((Carriers!$V$18/Carriers!$V$23*alk_el_e_demand)+nabh4_e_demand)*(DO113+nabh4_st_ab_losses)/1000000+nabh4_st_e_demand*DO113/1000000</f>
        <v>980.02139682539689</v>
      </c>
      <c r="DS113" s="28">
        <f t="shared" si="161"/>
        <v>3.1960000000000002</v>
      </c>
      <c r="DT113" s="28">
        <f>IFERROR(DQ113*1000000/Storage!$O$12,"")</f>
        <v>1033.5304297318407</v>
      </c>
      <c r="DU113" s="28">
        <f>IF($E113="","No Port",((F113/24/Shipping!$P$44+F113/24/Shipping!$P$50+Shipping!$P$59+Shipping!$P$64)*Carriers!$V$39*wacc_nl))</f>
        <v>1060.7736978006576</v>
      </c>
      <c r="DV113" s="100">
        <f>H2_retrieval!$N$25*h2_demand_kt/1000+(co2_liq_e_demand+co2_st_e_demand*2)*Storage!$O$12*co2_density/nabh4_density/1000000</f>
        <v>18.783638728971958</v>
      </c>
      <c r="DW113" s="28">
        <f>IFERROR(((DQ113*(1+H2_retrieval!$N$34)+DU113)*1000000/H2_retrieval!$N$8)+h2_regen_nabh4,"")</f>
        <v>5039.6171565998384</v>
      </c>
      <c r="DX113" s="149">
        <f>(Dme_invest*(M113+1/Dme_lifetime)/Dme_prod+Dme_opex+Dme_e_demand*1000*$AU113/100+Carriers!$X$21/Carriers!$X$23*(CO113*1000000/CS113))*(EB113+Dme_st_ab_losses)/1000000</f>
        <v>78349.309636218779</v>
      </c>
      <c r="DY113" s="86">
        <f>(Dme_invest*(M113+1/Dme_lifetime)/Dme_prod+Dme_opex+Dme_e_demand*1000*$AU113/100+Carriers!$X$21/Carriers!$X$23*(CP113*1000000/CS113))*(EB113+Dme_st_ab_losses)/1000000</f>
        <v>100348.03965705821</v>
      </c>
      <c r="DZ113" s="63">
        <f>Dme_st_nl_cost*Dme_st_nl_demand/1000000+(Dme_st_invest*(M113+1/Dme_st_lifetime+Dme_st_opex)/(Storage!$Q$63/1000000)+Dme_st_e_demand*1000*$AU113/100)*(EB113+Dme_st_ab_losses)/1000000+co2_st_nl_cost*Storage!$Q$12*co2_density/Dme_density/1000000+(co2_st_opex_lev+co2_st_invest_lev+co2_st_e_demand*1000*$AU113/100)*Storage!$Q$12/1000000+co2_st_invest_lev*Storage!$Q$12*co2_st_lifetime*M113/1000000+(h2_demand_kt*1000/365.25*short_st_duration_hrs/24)*(h2_short_st_invest*(1/gh2_short_st_lifetime+$M113+h2_short_st_opex)+h2_short_st_e_demand*1000*$AU113/100)/1000000</f>
        <v>5916.879725554797</v>
      </c>
      <c r="EA113" s="63">
        <f>Dme_st_nl_cost*Dme_st_nl_demand/1000000+(Dme_st_invest*(M113+1/Dme_st_lifetime+Dme_st_opex)/(Storage!$Q$63/1000000)+Dme_st_e_demand*1000*$AU113/100)*(EB113+Dme_st_ab_losses)/1000000+(h2_demand_kt*1000/365.25*short_st_duration_hrs/24)*(h2_short_st_invest*(1/gh2_short_st_lifetime+$M113+h2_short_st_opex)+h2_short_st_e_demand*1000*$AU113/100)/1000000</f>
        <v>2933.279418373786</v>
      </c>
      <c r="EB113" s="63">
        <f>Storage!$Q$57/((1-Shipping!$R$37)^($F113/24/Shipping!$R$44+0.5*Shipping!$R$59))</f>
        <v>103547089.94708996</v>
      </c>
      <c r="EC113" s="153">
        <f>IF($E113="","No Port",IF(AND(ship_choice="VLCC",G113="Panama"),"Ship cannot pass through Panama",IF(ship_choice="VLCC",((F113/24/Shipping!$AD$44+F113/24/Shipping!$AD$50+Shipping!$AD$59+Shipping!$AD$64)*(Shipping!$AD$22+wacc_nl*Shipping!$AD$19/365.25*1000000+Shipping!$AD$35)+(F113/24/Shipping!$AD$44*Shipping!$AD$45+Shipping!$AD$64*Shipping!$AD$65)*IF(bunker_choice="HFO",$H113,IF(bunker_choice="hydrogen",$BD113*hfo_e_density_lhv/h2_e_density_lhv,(DX113+DZ113)*1000000/EB113*hfo_e_density_lhv/Dme_e_density_lhv))+(F113/24/Shipping!$AD$50*Shipping!$AD$51+Shipping!$AD$59*Shipping!$AD$60)*IF(bunker_choice="HFO",bunker_price_ROT,IF(bunker_choice="hydrogen",$BD113*hfo_e_density_lhv/h2_e_density_lhv,(DX113+DZ113)*1000000/EB113*hfo_e_density_lhv/Dme_e_density_lhv))+Shipping!$AD$73+IF(G113="Panama",Shipping!$AD$55,0)+IF(G113="Suez",Shipping!$AD$56,0))/Shipping!$AD$31*(EB113+Dme_st_ab_losses)/1000000+IF(inland_transport_to_port="hv dc grid",$BM113/100*1000*EE113,IF(inland_transport_to_port="pipeline",$BN113,0)),((F113/24/Shipping!$R$44+F113/24/Shipping!$R$50+Shipping!$R$59+Shipping!$R$64)*(Shipping!$R$22+wacc_nl*Shipping!$R$19/365.25*1000000+Shipping!$R$35)+(F113/24/Shipping!$R$44*Shipping!$R$45+Shipping!$R$64*Shipping!$R$65)*IF(bunker_choice="HFO",$H113,IF(bunker_choice="hydrogen",$BD113*hfo_e_density_lhv/h2_e_density_lhv,(DX113+DZ113)*1000000/EB113*hfo_e_density_lhv/Dme_e_density_lhv))+(F113/24/Shipping!$R$50*Shipping!$R$51+Shipping!$R$59*Shipping!$R$60)*IF(bunker_choice="HFO",bunker_price_ROT,IF(bunker_choice="hydrogen",$BD113*hfo_e_density_lhv/h2_e_density_lhv,(DX113+DZ113)*1000000/EB113*hfo_e_density_lhv/Dme_e_density_lhv))+Shipping!$R$73+IF(G113="Panama",Shipping!$R$55,0)+IF(G113="Suez",Shipping!$R$56,0))/Shipping!$R$31*(EB113+Dme_st_ab_losses)/1000000+IF(inland_transport_to_port="hv dc grid",$BM113/100*1000*EE113,IF(inland_transport_to_port="pipeline",$BN113,0)))))</f>
        <v>9693.0218020881257</v>
      </c>
      <c r="ED113" s="28">
        <f t="shared" si="134"/>
        <v>112974.34087752012</v>
      </c>
      <c r="EE113" s="29">
        <f>(Dme_e_demand)*(EB113+Dme_st_ab_losses)/1000000+Dme_st_e_demand*DZ113/1000000+$CV113*(Carriers!$X$21/Carriers!$X$23*EB113)/$CS113</f>
        <v>1550.2168193358532</v>
      </c>
      <c r="EF113" s="29">
        <f t="shared" si="162"/>
        <v>1.0354708994708997</v>
      </c>
      <c r="EG113" s="28">
        <f>IFERROR(ED113*1000000/Storage!$Q$12,"")</f>
        <v>1091.0431276750246</v>
      </c>
      <c r="EH113" s="28">
        <f>IF($E113="","No Port",((F113/24/Shipping!$R$44+F113/24/Shipping!$R$50+Shipping!$R$59+Shipping!$R$64)*Carriers!$X$39*wacc_nl))</f>
        <v>166.32415066876365</v>
      </c>
      <c r="EI113" s="100">
        <f>H2_retrieval!$P$25*h2_demand_kt/1000+(co2_liq_e_demand+co2_st_e_demand*2)*Storage!$Q$12*co2_density/Dme_density/1000000</f>
        <v>252.45335899349112</v>
      </c>
      <c r="EJ113" s="28">
        <f>IFERROR((((DX113+DZ113+EC113)*(1+H2_retrieval!$P$34)+EH113)*1000000/H2_retrieval!$P$8)+h2_regen_dme,"")</f>
        <v>8091.1237869115921</v>
      </c>
      <c r="EK113" s="149">
        <f>(ome_invest*(M113+1/ome_lifetime)/ome_prod+ome_opex+ome_e_demand*1000*$AU113/100+Carriers!$Z$21/Carriers!$Z$23*(CO113*1000000/CS113))*(EO113+ome_st_ab_losses)/1000000</f>
        <v>172010.21372928849</v>
      </c>
      <c r="EL113" s="86">
        <f>(ome_invest*(M113+1/ome_lifetime)/ome_prod+ome_opex+ome_e_demand*1000*$AU113/100+Carriers!$Z$21/Carriers!$Z$23*(CP113*1000000/CS113))*(EO113+ome_st_ab_losses)/1000000</f>
        <v>218189.83038254661</v>
      </c>
      <c r="EM113" s="63">
        <f>ome_st_nl_cost*ome_st_nl_demand/1000000+(ome_st_invest*(M113+1/ome_st_lifetime+ome_st_opex)/(Storage!$S$63/1000000)+ome_st_e_demand*1000*$AU113/100)*(EO113+ome_st_ab_losses)/1000000+co2_st_nl_cost*Storage!$S$12*co2_density/ome_density/1000000+(co2_st_opex_lev+co2_st_invest_lev+co2_st_e_demand*1000*$AU113/100)*Storage!$S$12/1000000+co2_st_invest_lev*Storage!$S$12*co2_st_lifetime*M113/1000000+(h2_demand_kt*1000/365.25*short_st_duration_hrs/24)*(h2_short_st_invest*(1/gh2_short_st_lifetime+$M113+h2_short_st_opex)+h2_short_st_e_demand*1000*$AU113/100)/1000000</f>
        <v>5109.4926211487946</v>
      </c>
      <c r="EN113" s="63">
        <f>ome_st_nl_cost*ome_st_nl_demand/1000000+(ome_st_invest*(M113+1/ome_st_lifetime+ome_st_opex)/(Storage!$S$63/1000000)+ome_st_e_demand*1000*$AU113/100)*(EO113+ome_st_ab_losses)/1000000+(h2_demand_kt*1000/365.25*short_st_duration_hrs/24)*(h2_short_st_invest*(1/gh2_short_st_lifetime+$M113+h2_short_st_opex)+h2_short_st_e_demand*1000*$AU113/100)/1000000</f>
        <v>1752.1342274100493</v>
      </c>
      <c r="EO113" s="63">
        <f>Storage!$S$57/((1-Shipping!$T$37)^($F113/24/Shipping!$T$44+0.5*Shipping!$T$59))</f>
        <v>128282539.68253967</v>
      </c>
      <c r="EP113" s="28">
        <f>IF($E113="","No Port",IF(AND(ship_choice="VLCC",G113="Panama"),"Ship cannot pass through Panama",IF(ship_choice="VLCC",((F113/24/Shipping!$AD$44+F113/24/Shipping!$AD$50+Shipping!$AD$59+Shipping!$AD$64)*(Shipping!$AD$22+wacc_nl*Shipping!$AD$19/365.25*1000000+Shipping!$AD$35)+(F113/24/Shipping!$AD$44*Shipping!$AD$45+Shipping!$AD$64*Shipping!$AD$65)*IF(bunker_choice="HFO",$H113,IF(bunker_choice="hydrogen",$BD113*hfo_e_density_lhv/h2_e_density_lhv,(EK113+EM113)*1000000/EO113*hfo_e_density_lhv/Dme_e_density_lhv))+(F113/24/Shipping!$AD$50*Shipping!$AD$51+Shipping!$AD$59*Shipping!$AD$60)*IF(bunker_choice="HFO",bunker_price_ROT,IF(bunker_choice="hydrogen",$BD113*hfo_e_density_lhv/h2_e_density_lhv,(EK113+EM113)*1000000/EO113*hfo_e_density_lhv/ome_e_density_lhv))+Shipping!$AD$73+IF(G113="Panama",Shipping!$AD$55,0)+IF(G113="Suez",Shipping!$AD$56,0))/Shipping!$AD$31*(EO113+ome_st_ab_losses)/1000000+IF(inland_transport_to_port="hv dc grid",$BM113/100*1000*ER113,IF(inland_transport_to_port="pipeline",$BN113,0)),((F113/24/Shipping!$T$44+F113/24/Shipping!$T$50+Shipping!$T$59+Shipping!$T$64)*(Shipping!$T$22+wacc_nl*Shipping!$T$19/365.25*1000000+Shipping!$T$35)+(F113/24/Shipping!$T$44*Shipping!$T$45+Shipping!$T$64*Shipping!$T$65)*IF(bunker_choice="HFO",$H113,IF(bunker_choice="hydrogen",$BD113*hfo_e_density_lhv/h2_e_density_lhv,(EK113+EM113)*1000000/EO113*hfo_e_density_lhv/Dme_e_density_lhv))+(F113/24/Shipping!$T$50*Shipping!$T$51+Shipping!$T$59*Shipping!$T$60)*IF(bunker_choice="HFO",bunker_price_ROT,IF(bunker_choice="hydrogen",$BD113*hfo_e_density_lhv/h2_e_density_lhv,(EK113+EM113)*1000000/EO113*hfo_e_density_lhv/ome_e_density_lhv))+Shipping!$T$73+IF(G113="Panama",Shipping!$T$55,0)+IF(G113="Suez",Shipping!$T$56,0))/Shipping!$T$31*(EO113+ome_st_ab_losses)/1000000+IF(inland_transport_to_port="hv dc grid",$BM113/100*1000*ER113,IF(inland_transport_to_port="pipeline",$BN113,0)))))</f>
        <v>10679.511397042257</v>
      </c>
      <c r="EQ113" s="28">
        <f t="shared" si="135"/>
        <v>230621.47600699891</v>
      </c>
      <c r="ER113" s="29">
        <f>(ome_e_demand)*(EO113+ome_st_ab_losses)/1000000+ome_st_e_demand*EM113/1000000+$CV113*(Carriers!$Z$21/Carriers!$Z$23*EO113)/$CS113</f>
        <v>3352.0814578050222</v>
      </c>
      <c r="ES113" s="29">
        <f t="shared" si="163"/>
        <v>0.1924238095238095</v>
      </c>
      <c r="ET113" s="28">
        <f>IFERROR(EQ113*1000000/Storage!$S$12,"")</f>
        <v>1797.7620070332021</v>
      </c>
      <c r="EU113" s="28">
        <f>IF($E113="","No Port",((F113/24/Shipping!$T$44+F113/24/Shipping!$T$50+Shipping!$T$59+Shipping!$T$64)*Carriers!$Z$39*wacc_nl))</f>
        <v>189.08930378599601</v>
      </c>
      <c r="EV113" s="100">
        <f>H2_retrieval!$R$25*h2_demand_kt/1000+(co2_liq_e_demand+co2_st_e_demand*2)*Storage!$S$12*co2_density/ome_density/1000000</f>
        <v>254.51942895252085</v>
      </c>
      <c r="EW113" s="28">
        <f>IFERROR((((EK113+EM113+EP113)*(1+H2_retrieval!$R$34)+EU113)*1000000/H2_retrieval!$R$8)+h2_regen_ome,"")</f>
        <v>14992.798179318581</v>
      </c>
      <c r="EX113" s="149">
        <f>(sng_invest*(M113+1/sng_lifetime)/sng_prod+lng_invest*(M113+1/lng_lifetime)/lng_prod+sng_opex+lng_opex+(sng_e_demand+lng_e_demand)*1000*$AU113/100+Carriers!$AB$18/Carriers!$AB$23*BD113+Carriers!$AB$20/Carriers!$AB$23*co2_liq_cost)*(FB113+lng_st_ab_losses)/1000000</f>
        <v>61483.370898372894</v>
      </c>
      <c r="EY113" s="86">
        <f>(sng_invest*(M113+1/sng_lifetime)/sng_prod+lng_invest*(M113+1/lng_lifetime)/lng_prod+sng_opex+lng_opex+(sng_e_demand+lng_e_demand)*1000*$AU113/100+Carriers!$AB$18/Carriers!$AB$23*BD113+Carriers!$AB$20/Carriers!$AB$23*BP113)*(FB113+lng_st_ab_losses)/1000000</f>
        <v>73850.481418640367</v>
      </c>
      <c r="EZ113" s="63">
        <f>lng_st_nl_cost*lng_st_nl_demand/1000000+(lng_st_invest*(M113+1/lng_st_lifetime+lng_st_opex)/(Storage!$U$63/1000000)+lng_st_e_demand*1000*$AU113/100)*(FB113+lng_st_ab_losses)/1000000+co2_st_nl_cost*Storage!$U$12*co2_density/lng_density/1000000+(co2_st_opex_lev+co2_st_invest_lev+co2_st_e_demand*1000*$AU113/100)*Storage!$U$12/1000000+co2_st_invest_lev*Storage!$U$12*co2_st_lifetime*M113/1000000+Carriers!$AB$18/Carriers!$AB$23*((FB113+lng_st_ab_losses)/365.25*short_st_duration_hrs/24)*(h2_short_st_invest*(1/gh2_short_st_lifetime+$M113+h2_short_st_opex)+h2_short_st_e_demand*1000*$AU113/100)/1000000+Carriers!$AB$20/Carriers!$AB$23*((FB113+lng_st_ab_losses)/365.25*short_st_duration_hrs/24)*(co2_short_st_invest*(1/co2_short_st_lifetime+$M113+co2_short_st_opex)+co2_short_st_e_demand*1000*$AU113/100)/1000000</f>
        <v>6244.4412359667886</v>
      </c>
      <c r="FA113" s="63">
        <f>lng_st_nl_cost*lng_st_nl_demand/1000000+(lng_st_invest*(M113+1/lng_st_lifetime+lng_st_opex)/(Storage!$U$63/1000000)+lng_st_e_demand*1000*$AU113/100)*(FB113+lng_st_ab_losses)/1000000+Carriers!$AB$18/Carriers!$AB$23*((FB113+lng_st_ab_losses)/365.25*short_st_duration_hrs/24)*(h2_short_st_invest*(1/gh2_short_st_lifetime+$M113+h2_short_st_opex)+h2_short_st_e_demand*1000*$AU113/100)/1000000+Carriers!$AB$20/Carriers!$AB$23*((FB113+lng_st_ab_losses)/365.25*short_st_duration_hrs/24)*(co2_short_st_invest*(1/co2_short_st_lifetime+$M113+co2_short_st_opex)+co2_short_st_e_demand*1000*$AU113/100)/1000000</f>
        <v>4637.3640278064222</v>
      </c>
      <c r="FB113" s="63">
        <f>Storage!$U$57/((1-Shipping!$V$37)^($F113/24/Shipping!$V$44+0.5*Shipping!$V$59))</f>
        <v>41987944.9732586</v>
      </c>
      <c r="FC113" s="28">
        <f>IF($E113="","No Port",IF(G113="Panama","Ship cannot pass through Panama",((F113/24/Shipping!$V$44+F113/24/Shipping!$V$50+Shipping!$V$59+Shipping!$V$64)*(Shipping!$V$22+wacc_nl*Shipping!$V$19/365.25*1000000+Shipping!$V$35)+(F113/24/Shipping!$V$44*Shipping!$V$45+Shipping!$V$64*Shipping!$V$65)*IF(bunker_choice="HFO",$H113,IF(bunker_choice="hydrogen",$BD113*hfo_e_density_lhv/h2_e_density_lhv,(EX113+EZ113)*1000000/FB113*hfo_e_density_lhv/lng_e_density_lhv))+(F113/24/Shipping!$V$50*Shipping!$V$51+Shipping!$V$59*Shipping!$V$60)*IF(bunker_choice="HFO",bunker_price_ROT,IF(bunker_choice="hydrogen",$BD113*hfo_e_density_lhv/h2_e_density_lhv,(EX113+EZ113)*1000000/FB113*hfo_e_density_lhv/lng_e_density_lhv))+Shipping!$V$73+IF(G113="Panama",Shipping!$V$55,0)+IF(G113="Suez",Shipping!$V$56,0))/Shipping!$V$31*(FB113+lng_st_ab_losses)/1000000)+IF(inland_transport_to_port="hv dc grid",$BM113/100*1000*FE113,IF(inland_transport_to_port="pipeline",$BN113,0)))</f>
        <v>4103.7127588379062</v>
      </c>
      <c r="FD113" s="28">
        <f t="shared" si="136"/>
        <v>82591.558205284702</v>
      </c>
      <c r="FE113" s="29">
        <f>((Carriers!$AB$18/Carriers!$AB$23*alk_el_e_demand)+sng_e_demand+lng_e_demand)*(FB113+lng_st_ab_losses)/1000000+lng_st_e_demand*EZ113/1000000</f>
        <v>1126.0606638840957</v>
      </c>
      <c r="FF113" s="29">
        <f t="shared" si="164"/>
        <v>0.8126185861001558</v>
      </c>
      <c r="FG113" s="28">
        <f>IFERROR(FD113*1000000/Storage!$U$12,"")</f>
        <v>2035.0704657904162</v>
      </c>
      <c r="FH113" s="28">
        <f>IF($E113="","No Port",((F113/24/Shipping!$V$44+F113/24/Shipping!$V$50+Shipping!$V$59+Shipping!$V$64)*Carriers!$AB$39*wacc_nl))</f>
        <v>55.265355660822813</v>
      </c>
      <c r="FI113" s="100">
        <f>H2_retrieval!$T$25*h2_demand_kt/1000+(co2_liq_e_demand+co2_st_e_demand*2)*Storage!$U$12*co2_density/lng_density/1000000</f>
        <v>236.51371749646054</v>
      </c>
      <c r="FJ113" s="28">
        <f>IFERROR((((EX113+EZ113+FC113)*(1+H2_retrieval!$T$34)+FH113)*1000000/H2_retrieval!$T$8)+h2_regen_lng,"")</f>
        <v>6455.9219438459986</v>
      </c>
      <c r="FK113" s="149">
        <f>(lh2_invest*(M113+1/lh2_lifetime)/lh2_prod+lh2_opex+lh2_e_demand*1000*$AU113/100+Carriers!$AD$18/Carriers!$AD$23*BD113)*(FM113+lh2_st_ab_losses)/1000000</f>
        <v>49890.390400156502</v>
      </c>
      <c r="FL113" s="28">
        <f>lh2_st_nl_cost*lh2_st_nl_demand/1000000+(lh2_st_invest*(M113+1/lh2_st_lifetime+lh2_st_opex)/(Storage!$Y$63/1000000)+lh2_st_e_demand*1000*$AU113/100)*(FM113+lh2_st_ab_losses)/1000000+((FM113+lh2_st_ab_losses)/365.25*short_st_duration_hrs/24)*(h2_short_st_invest*(1/gh2_short_st_lifetime+$M113+h2_short_st_opex)+h2_short_st_e_demand*1000*$AU113/100)/1000000</f>
        <v>54238.388990503772</v>
      </c>
      <c r="FM113" s="63">
        <f>Storage!$Y$57/((1-Shipping!$Z$37)^($F113/24/Shipping!$Z$44+0.5*Shipping!$Z$59))</f>
        <v>14354337.774757905</v>
      </c>
      <c r="FN113" s="28">
        <f>IF($E113="","No Port",IF(G113="Panama","Ship cannot pass through Panama",((F113/24/Shipping!$Z$44+F113/24/Shipping!$Z$50+Shipping!$Z$59+Shipping!$Z$64)*(Shipping!$Z$22+wacc_nl*Shipping!$Z$19/365.25*1000000+Shipping!$Z$35)+(F113/24/Shipping!$Z$44*Shipping!$Z$45+Shipping!$Z$64*Shipping!$Z$65)*IF(bunker_choice="HFO",$H113,IF(bunker_choice="hydrogen",$BD113*hfo_e_density_lhv/h2_e_density_lhv,(FK113+FL113)*1000000/FM113*hfo_e_density_lhv/lh2_e_density_lhv))+(F113/24/Shipping!$Z$50*Shipping!$Z$51+Shipping!$Z$59*Shipping!$Z$60)*IF(bunker_choice="HFO",bunker_price_ROT,IF(bunker_choice="hydrogen",$BD113*hfo_e_density_lhv/h2_e_density_lhv,(FK113+FL113)*1000000/FM113*hfo_e_density_lhv/lh2_e_density_lhv))+Shipping!$Z$73+IF(G113="Panama",Shipping!$Z$55,0)+IF(G113="Suez",Shipping!$Z$56,0))/Shipping!$Z$31*(FM113+lh2_st_ab_losses)/1000000)+IF(inland_transport_to_port="hv dc grid",$BM113/100*1000*FP113,IF(inland_transport_to_port="pipeline",$BN113,0)))</f>
        <v>6942.5943691586235</v>
      </c>
      <c r="FO113" s="28">
        <f t="shared" si="128"/>
        <v>111071.3737598189</v>
      </c>
      <c r="FP113" s="29">
        <f>((Carriers!$AD$18/Carriers!$AD$23*alk_el_e_demand)+lh2_e_demand)*(FM113+lh2_st_ab_losses)/1000000+lh2_st_e_demand*FM113/1000000</f>
        <v>831.7845801752436</v>
      </c>
      <c r="FQ113" s="100">
        <f t="shared" si="165"/>
        <v>1.361902463475859</v>
      </c>
      <c r="FR113" s="28">
        <f>IFERROR(FO113*1000000/Storage!$Y$12,"")</f>
        <v>8167.0127764572726</v>
      </c>
      <c r="FS113" s="100">
        <f>H2_retrieval!$V$25*h2_demand_kt/1000</f>
        <v>8.16</v>
      </c>
      <c r="FT113" s="28">
        <f>IFERROR(FR113*(1+H2_retrieval!$V$34)/Carrier_properties!$U$7+H2_retrieval!$V$38,"")</f>
        <v>8198.9815023257397</v>
      </c>
      <c r="FU113" s="12"/>
      <c r="FV113" s="24">
        <f t="shared" si="129"/>
        <v>2.3996306862104064</v>
      </c>
      <c r="FW113" s="24">
        <f t="shared" si="143"/>
        <v>4.2951288027161763</v>
      </c>
      <c r="FX113" s="24">
        <f t="shared" si="144"/>
        <v>7.0239233922903042</v>
      </c>
      <c r="FY113" s="24">
        <f t="shared" si="130"/>
        <v>2.3996306862104064</v>
      </c>
      <c r="FZ113" s="28">
        <f t="shared" si="145"/>
        <v>2480.6761638174635</v>
      </c>
      <c r="GA113" s="28">
        <f t="shared" si="137"/>
        <v>586.62414147406048</v>
      </c>
      <c r="GB113" s="28">
        <f t="shared" si="138"/>
        <v>427.0749243465803</v>
      </c>
      <c r="GC113" s="28">
        <f t="shared" si="139"/>
        <v>661.72218987560052</v>
      </c>
      <c r="GD113" s="28">
        <f t="shared" si="140"/>
        <v>969.10535784572619</v>
      </c>
      <c r="GE113" s="28">
        <f t="shared" si="141"/>
        <v>1700.8536853300548</v>
      </c>
      <c r="GF113" s="28">
        <f t="shared" si="142"/>
        <v>1758.849628522531</v>
      </c>
      <c r="GG113" s="12"/>
      <c r="GH113" s="12"/>
      <c r="GI113" s="12"/>
      <c r="GJ113" s="12"/>
      <c r="GK113" s="12"/>
      <c r="GL113" s="12"/>
      <c r="GM113" s="12"/>
      <c r="GN113" s="12"/>
      <c r="GO113" s="12"/>
      <c r="GP113" s="12"/>
      <c r="GQ113" s="12"/>
      <c r="GR113" s="12"/>
      <c r="GS113" s="12"/>
      <c r="GT113" s="12"/>
      <c r="GU113" s="12"/>
      <c r="GV113" s="12"/>
      <c r="GW113" s="12"/>
      <c r="GX113" s="12"/>
      <c r="GY113" s="12"/>
      <c r="GZ113" s="12"/>
      <c r="HA113" s="12"/>
      <c r="HB113" s="12"/>
      <c r="HC113" s="12"/>
      <c r="HD113" s="12"/>
      <c r="HE113" s="12"/>
      <c r="HF113" s="12"/>
    </row>
    <row r="114" spans="1:214" x14ac:dyDescent="0.2">
      <c r="A114" s="154" t="s">
        <v>258</v>
      </c>
      <c r="B114" s="12">
        <v>1756</v>
      </c>
      <c r="C114" s="12">
        <v>1</v>
      </c>
      <c r="D114" s="12">
        <f t="shared" si="111"/>
        <v>0</v>
      </c>
      <c r="E114" s="12" t="s">
        <v>800</v>
      </c>
      <c r="F114" s="12">
        <v>1231</v>
      </c>
      <c r="G114" s="12"/>
      <c r="H114" s="16">
        <f t="shared" si="166"/>
        <v>382.75862068965517</v>
      </c>
      <c r="I114" s="16">
        <v>91605</v>
      </c>
      <c r="J114" s="16">
        <f t="shared" si="113"/>
        <v>170.75941298758949</v>
      </c>
      <c r="K114" s="27">
        <f t="shared" si="114"/>
        <v>204.91129558510738</v>
      </c>
      <c r="L114" s="204">
        <v>0.08</v>
      </c>
      <c r="M114" s="103">
        <f t="shared" si="167"/>
        <v>9.8002902367341937E-2</v>
      </c>
      <c r="N114" s="122">
        <f t="shared" si="116"/>
        <v>0.9</v>
      </c>
      <c r="O114" s="46">
        <f t="shared" si="168"/>
        <v>40</v>
      </c>
      <c r="P114" s="70">
        <f t="array" ref="P114">SUMPRODUCT(IF(Solar_data!A$4:A$777=A114,Solar_data!C$4:C$777),IF(Solar_data!A$4:A$777=A114,Solar_data!I$4:I$777))/SUMIF(Solar_data!A$4:A$777,A114,Solar_data!I$4:I$777)</f>
        <v>1870.8497824051681</v>
      </c>
      <c r="Q114" s="16">
        <f t="array" ref="Q114">MAX(IF(Solar_data!$A$777:'Solar_data'!$A$4=Country_details!$A114,Solar_data!$C$4:'Solar_data'!$C$777))</f>
        <v>2098.75</v>
      </c>
      <c r="R114" s="16">
        <f t="array" ref="R114">MIN(IF(Solar_data!$A$777:'Solar_data'!$A$4=Country_details!A114,Solar_data!$C$4:'Solar_data'!$C$777))</f>
        <v>1551.25</v>
      </c>
      <c r="S114" s="24">
        <f t="shared" si="149"/>
        <v>2.0162384852324275</v>
      </c>
      <c r="T114" s="24">
        <f t="shared" si="150"/>
        <v>1.7972980733169805</v>
      </c>
      <c r="U114" s="24">
        <f t="shared" si="151"/>
        <v>2.4316385697817973</v>
      </c>
      <c r="V114" s="16">
        <f t="array" ref="V114">SUM(IF(Solar_data!$A$777:'Solar_data'!$A$4=Country_details!$A114,Solar_data!$I$4:'Solar_data'!$I$777))</f>
        <v>686.60108871028262</v>
      </c>
      <c r="W114" s="148"/>
      <c r="X114" s="16">
        <f>IFERROR(INDEX(Onshore_wind_data!$J$5:'Onshore_wind_data'!$J$221,MATCH(A114,Onshore_wind_data!$B$5:'Onshore_wind_data'!$B$221,0)),"")</f>
        <v>3035.4181232357214</v>
      </c>
      <c r="Y114" s="16">
        <f>IFERROR(INDEX(Onshore_wind_data!$K$5:'Onshore_wind_data'!$K$221,MATCH(A114,Onshore_wind_data!$B$5:'Onshore_wind_data'!$B$221,0)),"")</f>
        <v>3285.5</v>
      </c>
      <c r="Z114" s="16">
        <f>IFERROR(INDEX(Onshore_wind_data!$L$5:'Onshore_wind_data'!$L$221,MATCH(A114,Onshore_wind_data!$B$5:'Onshore_wind_data'!$B$221,0)),"")</f>
        <v>2847.5</v>
      </c>
      <c r="AA114" s="24">
        <f t="shared" si="169"/>
        <v>4.0549359576516242</v>
      </c>
      <c r="AB114" s="24">
        <f t="shared" si="170"/>
        <v>3.7462870474557715</v>
      </c>
      <c r="AC114" s="24">
        <f t="shared" si="171"/>
        <v>4.3225376977755703</v>
      </c>
      <c r="AD114" s="16">
        <f>IFERROR(INDEX(Onshore_wind_data!$I$5:'Onshore_wind_data'!$I$221,MATCH(A114,Onshore_wind_data!$B$5:'Onshore_wind_data'!$B$221,0)),"")</f>
        <v>85.164119200000002</v>
      </c>
      <c r="AE114" s="148"/>
      <c r="AF114" s="16">
        <f>INDEX(Offshore_wind_data!$AA$7:$AA$192,MATCH(Country_details!A114,Offshore_wind_data!$A$7:$A$192,0))</f>
        <v>3714.148900969039</v>
      </c>
      <c r="AG114" s="16">
        <f>INDEX(Offshore_wind_data!$Y$7:$Y$192,MATCH(Country_details!A114,Offshore_wind_data!$A$7:$A$192,0))</f>
        <v>3854.4</v>
      </c>
      <c r="AH114" s="16">
        <f>INDEX(Offshore_wind_data!$Z$7:$Z$192,MATCH(Country_details!A114,Offshore_wind_data!$A$7:$A$192,0))</f>
        <v>3153.6</v>
      </c>
      <c r="AI114" s="24">
        <f t="shared" si="152"/>
        <v>6.3326503483183689</v>
      </c>
      <c r="AJ114" s="24">
        <f t="shared" si="153"/>
        <v>6.1022224811716148</v>
      </c>
      <c r="AK114" s="24">
        <f t="shared" si="154"/>
        <v>7.4582719214319733</v>
      </c>
      <c r="AL114" s="16">
        <f>INDEX(Offshore_wind_data!$W$7:$W$191,MATCH(A114,Offshore_wind_data!$A$7:$A$191,0))</f>
        <v>628.58256000000006</v>
      </c>
      <c r="AM114" s="148"/>
      <c r="AN114" s="12">
        <v>10.3</v>
      </c>
      <c r="AO114" s="12">
        <v>9</v>
      </c>
      <c r="AP114" s="34">
        <f>2.083*11.63</f>
        <v>24.225290000000005</v>
      </c>
      <c r="AQ114" s="15">
        <f t="shared" si="155"/>
        <v>50</v>
      </c>
      <c r="AR114" s="12">
        <f>AQ114*AO114</f>
        <v>450</v>
      </c>
      <c r="AS114" s="16">
        <f t="shared" si="121"/>
        <v>950.34776791028253</v>
      </c>
      <c r="AT114" s="12"/>
      <c r="AU114" s="24">
        <f t="shared" si="147"/>
        <v>3.277543284438603</v>
      </c>
      <c r="AV114" s="16">
        <f t="shared" si="148"/>
        <v>4906.2679056408897</v>
      </c>
      <c r="AW114" s="149">
        <f>HV_DC_Grid!$E$3/(1-AX114)*AU114/100*1000</f>
        <v>3440.6895511606681</v>
      </c>
      <c r="AX114" s="31">
        <f>(1-(1-HV_DC_Grid!$E$25)^(B114*C114*HV_DC_Grid!$E$8/1000))+(1-(1-HV_DC_Grid!$E$26)^(B114*D114*HV_DC_Grid!$E$8/1000))+HV_DC_Grid!$E$35*HV_DC_Grid!$E$28</f>
        <v>4.7416735597964652E-2</v>
      </c>
      <c r="AY114" s="28">
        <f>B114*nl_e_demand/IF(hv_dc_flh="electricity FLH",$AV114,hv_dc_custom)*1000*hv_dc_capacity_multiplier*hv_dc_length_multiplier*1000*(C114*hv_dc_overhead_invest*(hv_dc_overhead_opex+M114+1/hv_dc_lifetime)+D114*hv_dc_sea_invest*(hv_dc_sea_opex+M114+1/hv_dc_lifetime))/1000000+HV_DC_Grid!$E$10*1000*hv_dc_station_invest*hv_dc_station_number*(hv_dc_station_opex+M114+1/hv_dc_lifetime)/1000000</f>
        <v>1584.2880120710201</v>
      </c>
      <c r="AZ114" s="24">
        <f>(AW114+AY114)/(HV_DC_Grid!$E$3*1000)*100</f>
        <v>5.0249775632316886</v>
      </c>
      <c r="BA114" s="28">
        <f>MIN(((Carriers!$F$26+Carriers!$F$27)*(alk_el_opex+wacc_nl+1/alk_el_lifetime)+IF(hv_dc_flh="electricity FLH",$AV114,hv_dc_custom)*AZ114/100)/(IF(hv_dc_flh="electricity FLH",$AV114,hv_dc_custom)/alk_el_e_demand)*1000,((Carriers!$H$26+Carriers!$H$27)*(pem_el_opex+wacc_nl+1/pem_el_lifetime)+IF(hv_dc_flh="electricity FLH",$AV114,hv_dc_custom)*AZ114/100)/(IF(hv_dc_flh="electricity FLH",$AV114,hv_dc_custom)/pem_el_e_demand)*1000)</f>
        <v>2905.3773840992621</v>
      </c>
      <c r="BB114" s="12"/>
      <c r="BC114" s="12"/>
      <c r="BD114" s="149">
        <f>MIN(((Carriers!$F$26+Carriers!$F$27)*(alk_el_opex+M114+1/alk_el_lifetime)+$AV114*$AU114/100)/($AV114/alk_el_e_demand)*1000,((Carriers!$H$26+Carriers!$H$27)*(pem_el_opex+M114+1/pem_el_lifetime)+$AV114*$AU114/100)/($AV114/pem_el_e_demand)*1000)</f>
        <v>2274.9064465428173</v>
      </c>
      <c r="BE114" s="28">
        <f>Storage!$AC$50</f>
        <v>8.1664117557772418</v>
      </c>
      <c r="BF114" s="28">
        <f>((Pipeline!$D$22*Pipeline!$D$24*B114*(pipeline_opex+M114+1/pipeline_lifetime))*(Pipeline!$D$39/Pipeline!$D$3)+(Pipeline!$D$57*(pipeline_comp_opex+M114+1/pipeline_comp_lifetime)+Pipeline!$D$47*1000*Pipeline!$D$45*$AU114/100/1000000))*(Pipeline!$D$75/Pipeline!$D$45)</f>
        <v>3468.7303280600163</v>
      </c>
      <c r="BG114" s="28">
        <f>BD114+(BE114+BF114)/Storage!$AC$12*1000000</f>
        <v>2530.5606185880961</v>
      </c>
      <c r="BH114" s="28"/>
      <c r="BI114" s="28"/>
      <c r="BJ114" s="28">
        <f>IF($E114="","No Port",BK114*HV_DC_Grid!$E$3*$AU114/100*1000)</f>
        <v>58.858962752440469</v>
      </c>
      <c r="BK114" s="31">
        <f>IFERROR((1-(1-HV_DC_Grid!$E$25)^(K114*HV_DC_Grid!$E$8/1000))+HV_DC_Grid!$E$35*HV_DC_Grid!$E$28,"")</f>
        <v>1.7958256426969563E-2</v>
      </c>
      <c r="BL114" s="28">
        <f>IFERROR(K114*nl_e_demand/IF(hv_dc_flh="electricity FLH",$AV114,hv_dc_custom)*1000*hv_dc_capacity_multiplier*hv_dc_length_multiplier*1000*(hv_dc_overhead_invest*(hv_dc_overhead_opex+M114+1/hv_dc_lifetime))/1000000+HV_DC_Grid!$E$10*1000*hv_dc_station_invest*hv_dc_station_number*(hv_dc_station_opex+M114+1/hv_dc_lifetime)/1000000,"")</f>
        <v>495.02771062452877</v>
      </c>
      <c r="BM114" s="29">
        <f>IFERROR((BJ114+BL114)/(HV_DC_Grid!$E$3*1000)*100,"")</f>
        <v>0.55388667337696929</v>
      </c>
      <c r="BN114" s="28">
        <f>IFERROR(((Pipeline!$D$22*Pipeline!$D$24*K114*(pipeline_opex+M114+1/pipeline_lifetime))*(Pipeline!$D$39/Pipeline!$D$3)+(Pipeline!$D$57*(pipeline_comp_opex+M114+1/pipeline_comp_lifetime)+Pipeline!$D$47*1000*Pipeline!$D$45*S114/100/1000000))*(Pipeline!$D$75/Pipeline!$D$45),"")</f>
        <v>460.32699143490419</v>
      </c>
      <c r="BO114" s="28"/>
      <c r="BP114" s="150">
        <f t="shared" si="172"/>
        <v>103.52793924808329</v>
      </c>
      <c r="BQ114" s="34">
        <f t="shared" si="173"/>
        <v>30.310357850833487</v>
      </c>
      <c r="BR114" s="151">
        <f>(nh3_invest*(M114+1/nh3_lifetime)/nh3_prod+nh3_opex+nh3_e_demand*1000*$AU114/100+Carriers!$N$18/Carriers!$N$23*BD114+Carriers!$N$19/Carriers!$N$23*BQ114)*(BT114+nh3_st_ab_losses)/1000000</f>
        <v>41556.137719502651</v>
      </c>
      <c r="BS114" s="63">
        <f>nh3_st_nl_cost*nh3_st_nl_demand/1000000+(nh3_st_invest*(M114+1/nh3_st_lifetime+nh3_st_opex)/(Storage!$G$63/1000000)+nh3_st_e_demand*1000*$AU114/100)*(BT114+nh3_st_ab_losses)/1000000+Carriers!$N$18/Carriers!$N$23*((BT114+nh3_st_ab_losses)/365.25*short_st_duration_hrs/24)*(h2_short_st_invest*(1/gh2_short_st_lifetime+$M114+h2_short_st_opex)+h2_short_st_e_demand*1000*$AU114/100)/1000000+Carriers!$N$19/Carriers!$N$23*((BT114+nh3_st_ab_losses)/365.25*short_st_duration_hrs/24)*(n2_short_st_invest*(1/n2_short_st_lifetime+$M114+n2_short_st_opex)+n2_short_st_e_demand*1000*$AU114/100)/1000000</f>
        <v>3080.152205206804</v>
      </c>
      <c r="BT114" s="63">
        <f>Storage!$G$57/((1-Shipping!$H$37)^(F114/24/Shipping!$H$44+0.5*Shipping!$H$59))</f>
        <v>77457433.58645834</v>
      </c>
      <c r="BU114" s="63">
        <f>IF($E114="","No Port",((F114/24/Shipping!$H$44+F114/24/Shipping!$H$50+Shipping!$H$59+Shipping!$H$64)*(Shipping!$H$22+wacc_nl*Shipping!$H$19/365.25*1000000+Shipping!$H$35)+(F114/24/Shipping!$H$44*Shipping!$H$45+Shipping!$H$64*Shipping!$H$65)*IF(bunker_choice="HFO",H114,IF(bunker_choice="hydrogen",BD114*hfo_e_density_lhv/h2_e_density_lhv,(BR114+BS114)*1000000/BT114*hfo_e_density_lhv/nh3_e_density_lhv))+(F114/24/Shipping!$H$50*Shipping!$H$51+Shipping!$H$59*Shipping!$H$60)*IF(bunker_choice="HFO",bunker_price_ROT,IF(bunker_choice="hydrogen",BD114*hfo_e_density_lhv/h2_e_density_lhv,(BR114+BS114)*1000000/BT114*hfo_e_density_lhv/nh3_e_density_lhv))+Shipping!$H$73+IF(G114="Panama",Shipping!$H$55,0)+IF(G114="Suez",Shipping!$H$56,0))/Shipping!$H$31*BT114/1000000+IF(inland_transport_to_port="hv dc grid",$BM114/100*1000*BW114,IF(inland_transport_to_port="pipeline",$BN114,0)))</f>
        <v>1527.5539195789061</v>
      </c>
      <c r="BV114" s="63">
        <f t="shared" si="174"/>
        <v>46163.843844288363</v>
      </c>
      <c r="BW114" s="33">
        <f>((Carriers!$N$18/Carriers!$N$23*alk_el_e_demand)+(Carriers!$N$19/Carriers!$N$23*n2_e_demand)+nh3_e_demand)*(BT114+nh3_st_ab_losses)/1000000+nh3_st_e_demand*BT114/1000000</f>
        <v>764.92428812121011</v>
      </c>
      <c r="BX114" s="33">
        <f t="shared" si="156"/>
        <v>0.76626754477640768</v>
      </c>
      <c r="BY114" s="63">
        <f>IFERROR(BV114*1000000/Storage!$G$12,"")</f>
        <v>602.95268178975698</v>
      </c>
      <c r="BZ114" s="63">
        <f>H2_retrieval!$F$25*h2_demand_kt/1000</f>
        <v>80</v>
      </c>
      <c r="CA114" s="63">
        <f>IFERROR(BY114*(1+H2_retrieval!$F$34)/Carrier_properties!$E$7+H2_retrieval!$F$38,"")</f>
        <v>3803.6262623119974</v>
      </c>
      <c r="CB114" s="149">
        <f>(FA_invest*(M114+1/FA_lifetime)/FA_prod+FA_opex+FA_e_demand*1000*$AU114/100+Carriers!$P$18/Carriers!$P$23*BD114+Carriers!$P$20/Carriers!$P$23*co2_liq_cost)*(CF114+FA_st_ab_losses)/1000000</f>
        <v>96024.630624770027</v>
      </c>
      <c r="CC114" s="86">
        <f>(FA_invest*(M114+1/FA_lifetime)/FA_prod+FA_opex+FA_e_demand*1000*$AU114/100+Carriers!$P$18/Carriers!$P$23*BD114+Carriers!$P$20/Carriers!$P$23*BP114)*(CF114+FA_st_ab_losses)/1000000</f>
        <v>120832.82125770683</v>
      </c>
      <c r="CD114" s="63">
        <f>FA_st_nl_cost*FA_st_nl_demand/1000000+(FA_st_invest*(M114+1/FA_st_lifetime+FA_st_opex)/(Storage!$I$63/1000000)+FA_st_e_demand*1000*$AU114/100)*(CF114+FA_st_ab_losses)/1000000+co2_st_nl_cost*Storage!$I$12*co2_density/FA_density/1000000+(co2_st_opex_lev+co2_st_invest_lev+co2_st_e_demand*1000*$AU114/100)*Storage!$I$12/1000000+co2_st_invest_lev*Storage!$I$12*co2_st_lifetime*M114/1000000+Carriers!$P$18/Carriers!$P$23*((CF114+FA_st_ab_losses)/365.25*short_st_duration_hrs/24)*(h2_short_st_invest*(1/gh2_short_st_lifetime+$M114+h2_short_st_opex)+h2_short_st_e_demand*1000*$AU114/100)/1000000+Carriers!$P$20/Carriers!$P$23*((CF114+FA_st_ab_losses)/365.25*short_st_duration_hrs/24)*(co2_short_st_invest*(1/co2_short_st_lifetime+$M114+co2_short_st_opex)+co2_short_st_e_demand*1000*$AU114/100)/1000000</f>
        <v>11097.630079299626</v>
      </c>
      <c r="CE114" s="63">
        <f>FA_st_nl_cost*FA_st_nl_demand/1000000+(FA_st_invest*(M114+1/FA_st_lifetime+FA_st_opex)/(Storage!$I$63/1000000)+FA_st_e_demand*1000*$AU114/100)*(CF114+FA_st_ab_losses)/1000000+Carriers!$P$18/Carriers!$P$23*((CF114+FA_st_ab_losses)/365.25*short_st_duration_hrs/24)*(h2_short_st_invest*(1/gh2_short_st_lifetime+$M114+h2_short_st_opex)+h2_short_st_e_demand*1000*$AU114/100)/1000000+Carriers!$P$20/Carriers!$P$23*((CF114+FA_st_ab_losses)/365.25*short_st_duration_hrs/24)*(co2_short_st_invest*(1/co2_short_st_lifetime+$M114+co2_short_st_opex)+co2_short_st_e_demand*1000*$AU114/100)/1000000</f>
        <v>4619.7516192686981</v>
      </c>
      <c r="CF114" s="63">
        <f>Storage!$I$57/((1-Shipping!$J$37)^($F114/24/Shipping!$J$44+0.5*Shipping!$J$59))</f>
        <v>310425396.82539684</v>
      </c>
      <c r="CG114" s="28">
        <f>IF($E114="","No Port",((F114/24/Shipping!$J$44+F114/24/Shipping!$J$50+Shipping!$J$59+Shipping!$J$64)*(Shipping!$J$22+wacc_nl*Shipping!$J$19/365.25*1000000+Shipping!$J$35)+(F114/24/Shipping!$J$44*Shipping!$J$45+Shipping!$J$64*Shipping!$J$65)*IF(bunker_choice="HFO",$H114,IF(bunker_choice="hydrogen",$BD114*hfo_e_density_lhv/h2_e_density_lhv,(CB114+CD114)*1000000/CF114*hfo_e_density_lhv/FA_e_density_lhv))+(F114/24/Shipping!$J$50*Shipping!$J$51+Shipping!$J$59*Shipping!$J$60)*IF(bunker_choice="HFO",bunker_price_ROT,IF(bunker_choice="hydrogen",$BD114*hfo_e_density_lhv/h2_e_density_lhv,(CB114+CD114)*1000000/CF114*hfo_e_density_lhv/FA_e_density_lhv))+Shipping!$J$73+IF(G114="Panama",Shipping!$J$55,0)+IF(G114="Suez",Shipping!$J$56,0))/Shipping!$J$31*CF114/1000000+IF(inland_transport_to_port="hv dc grid",$BM114/100*1000*CI114,IF(inland_transport_to_port="pipeline",$BN114,0)))</f>
        <v>4886.8011372553847</v>
      </c>
      <c r="CH114" s="28">
        <f t="shared" si="132"/>
        <v>130339.37401423093</v>
      </c>
      <c r="CI114" s="29">
        <f>((Carriers!$P$18/Carriers!$P$23*alk_el_e_demand)+FA_e_demand)*(CF114+FA_st_ab_losses)/1000000+FA_st_e_demand*CF114/1000000</f>
        <v>1897.8881241622576</v>
      </c>
      <c r="CJ114" s="29">
        <f t="shared" si="157"/>
        <v>0.46563809523809524</v>
      </c>
      <c r="CK114" s="28">
        <f>IFERROR(CH114*1000000/Storage!$I$12,"")</f>
        <v>419.87342320300604</v>
      </c>
      <c r="CL114" s="28">
        <f>IF($E114="","No Port",((F114/24/Shipping!$J$44+F114/24/Shipping!$J$50+Shipping!$J$59+Shipping!$J$64)*Carriers!$P$39*wacc_nl))</f>
        <v>95.773826131939529</v>
      </c>
      <c r="CM114" s="29">
        <f>H2_retrieval!$H$25*h2_demand_kt/1000+(co2_liq_e_demand+co2_st_e_demand*2)*Storage!$I$12*co2_density/FA_density/1000000</f>
        <v>94.204253879484654</v>
      </c>
      <c r="CN114" s="28">
        <f>IFERROR((((CB114+CD114+CG114)*(1+H2_retrieval!$H$34)+CL114)*1000000/H2_retrieval!$H$8)+h2_regen_fa,"")</f>
        <v>8332.6899903740887</v>
      </c>
      <c r="CO114" s="149">
        <f>(meoh_invest*(M114+1/meoh_lifetime)/meoh_prod+meoh_opex+meoh_e_demand*1000*$AU114/100+Carriers!$R$18/Carriers!$R$23*BD114+Carriers!$R$20/Carriers!$R$23*co2_liq_cost)*(CS114+meoh_st_ab_losses)/1000000</f>
        <v>50766.458793304068</v>
      </c>
      <c r="CP114" s="86">
        <f>(meoh_invest*(M114+1/meoh_lifetime)/meoh_prod+meoh_opex+meoh_e_demand*1000*$AU114/100+Carriers!$R$18/Carriers!$R$23*BD114+Carriers!$R$20/Carriers!$R$23*BP114)*(CS114+meoh_st_ab_losses)/1000000</f>
        <v>65329.632569241345</v>
      </c>
      <c r="CQ114" s="63">
        <f>meoh_st_nl_cost*meoh_st_nl_demand/1000000+(meoh_st_invest*(M114+1/meoh_st_lifetime+meoh_st_opex)/(Storage!$K$63/1000000)+meoh_st_e_demand*1000*$AU114/100)*(CS114+meoh_st_ab_losses)/1000000+co2_st_nl_cost*Storage!$K$12*co2_density/meoh_density/1000000+(co2_st_opex_lev+co2_st_invest_lev+co2_st_e_demand*1000*IFERROR(MIN(S114,AA114,AI114),S114)/100)*Storage!$K$12/1000000+co2_st_invest_lev*Storage!$K$12*co2_st_lifetime*M114/1000000+Carriers!$R$18/Carriers!$R$23*((CS114+meoh_st_ab_losses)/365.25*short_st_duration_hrs/24)*(h2_short_st_invest*(1/gh2_short_st_lifetime+$M114+h2_short_st_opex)+h2_short_st_e_demand*1000*$AU114/100)/1000000+Carriers!$R$20/Carriers!$R$23*((CF114+meoh_st_ab_losses)/365.25*short_st_duration_hrs/24)*(co2_short_st_invest*(1/co2_short_st_lifetime+$M114+co2_short_st_opex)+co2_short_st_e_demand*1000*$AU114/100)/1000000</f>
        <v>4507.2337501147031</v>
      </c>
      <c r="CR114" s="63">
        <f>meoh_st_nl_cost*meoh_st_nl_demand/1000000+(meoh_st_invest*(M114+1/meoh_st_lifetime+meoh_st_opex)/(Storage!$K$63/1000000)+meoh_st_e_demand*1000*$AU114/100)*(CS114+meoh_st_ab_losses)/1000000+Carriers!$R$18/Carriers!$R$23*((CS114+meoh_st_ab_losses)/365.25*short_st_duration_hrs/24)*(h2_short_st_invest*(1/gh2_short_st_lifetime+$M114+h2_short_st_opex)+h2_short_st_e_demand*1000*$AU114/100)/1000000+Carriers!$R$20/Carriers!$R$23*((CF114+meoh_st_ab_losses)/365.25*short_st_duration_hrs/24)*(co2_short_st_invest*(1/co2_short_st_lifetime+$M114+co2_short_st_opex)+co2_short_st_e_demand*1000*$AU114/100)/1000000</f>
        <v>1789.8692207698405</v>
      </c>
      <c r="CS114" s="63">
        <f>Storage!$K$57/((1-Shipping!$L$37)^($F114/24/Shipping!$L$44+0.5*Shipping!$L$59))</f>
        <v>108044444.44444443</v>
      </c>
      <c r="CT114" s="28">
        <f>IF($E114="","No Port",IF(AND(ship_choice="VLCC",G114="Panama"),"Ship cannot pass through Panama",IF(ship_choice="VLCC",((F114/24/Shipping!$AD$44+F114/24/Shipping!$AD$50+Shipping!$AD$59+Shipping!$AD$64)*(Shipping!$AD$22+wacc_nl*Shipping!$AD$19/365.25*1000000+Shipping!$AD$35)+(F114/24/Shipping!$AD$44*Shipping!$AD$45+Shipping!$AD$64*Shipping!$AD$65)*IF(bunker_choice="HFO",$H114,IF(bunker_choice="hydrogen",$BD114*hfo_e_density_lhv/h2_e_density_lhv,(CO114+CQ114)*1000000/CS114*hfo_e_density_lhv/meoh_e_density_lhv))+(F114/24/Shipping!$AD$50*Shipping!$AD$51+Shipping!$AD$59*Shipping!$AD$60)*IF(bunker_choice="HFO",bunker_price_ROT,IF(bunker_choice="hydrogen",$BD114*hfo_e_density_lhv/h2_e_density_lhv,(CO114+CQ114)*1000000/CS114*hfo_e_density_lhv/meoh_e_density_lhv))+Shipping!$AD$73+IF(G114="Panama",Shipping!$AD$55,0)+IF(G114="Suez",Shipping!$AD$56,0))/Shipping!$AD$31*CS114/1000000+IF(inland_transport_to_port="hv dc grid",$BM114/100*1000*CV114,IF(inland_transport_to_port="pipeline",$BN114,0)),((F114/24/Shipping!$L$44+F114/24/Shipping!$L$50+Shipping!$L$59+Shipping!$L$64)*(Shipping!$L$22+wacc_nl*Shipping!$L$19/365.25*1000000+Shipping!$L$35)+(F114/24/Shipping!$L$44*Shipping!$L$45+Shipping!$L$64*Shipping!$L$65)*IF(bunker_choice="HFO",$H114,IF(bunker_choice="hydrogen",$BD114*hfo_e_density_lhv/h2_e_density_lhv,(CO114+CQ114)*1000000/CS114*hfo_e_density_lhv/meoh_e_density_lhv))+(F114/24/Shipping!$L$50*Shipping!$L$51+Shipping!$L$59*Shipping!$L$60)*IF(bunker_choice="HFO",bunker_price_ROT,IF(bunker_choice="hydrogen",$BD114*hfo_e_density_lhv/h2_e_density_lhv,(CO114+CQ114)*1000000/CS114*hfo_e_density_lhv/meoh_e_density_lhv))+Shipping!$L$73+IF(G114="Panama",Shipping!$L$55,0)+IF(G114="Suez",Shipping!$L$56,0))/Shipping!$L$31*CS114/1000000+IF(inland_transport_to_port="hv dc grid",$BM114/100*1000*CV114,IF(inland_transport_to_port="pipeline",$BN114,0)))))</f>
        <v>1902.9844051267046</v>
      </c>
      <c r="CU114" s="28">
        <f t="shared" si="133"/>
        <v>69022.486195137884</v>
      </c>
      <c r="CV114" s="29">
        <f>((Carriers!$R$18/Carriers!$R$23*alk_el_e_demand)+meoh_e_demand)*(CS114+meoh_st_ab_losses)/1000000+meoh_st_e_demand*CS114/1000000</f>
        <v>1119.9789871111109</v>
      </c>
      <c r="CW114" s="29">
        <f t="shared" si="158"/>
        <v>0.16206666666666666</v>
      </c>
      <c r="CX114" s="28">
        <f>IFERROR(CU114*1000000/Storage!$K$12,"")</f>
        <v>638.83419966705162</v>
      </c>
      <c r="CY114" s="28">
        <f>IF($E114="","No Port",((F114/24/Shipping!$L$44+F114/24/Shipping!$L$50+Shipping!$L$59+Shipping!$L$64)*Carriers!$R$39*wacc_nl))</f>
        <v>33.946636171462359</v>
      </c>
      <c r="CZ114" s="29">
        <f>H2_retrieval!$J$25*h2_demand_kt/1000+(co2_liq_e_demand+co2_st_e_demand*2)*Storage!$K$12*co2_density/meoh_density/1000000</f>
        <v>251.05079059698966</v>
      </c>
      <c r="DA114" s="28">
        <f>IFERROR((((CO114+CQ114+CT114)*(1+H2_retrieval!$J$34)+CY114)*1000000/H2_retrieval!$J$8)+h2_regen_meoh,"")</f>
        <v>5376.7920420723613</v>
      </c>
      <c r="DB114" s="149">
        <f>(DBT_invest*(M114+1/DBT_lifetime)/DBT_prod+DBT_opex+DBT_e_demand*1000*$AU114/100+Carriers!$T$18/Carriers!$T$23*BD114)*(DD114+DBT_st_ab_losses)/1000000</f>
        <v>33936.168549875576</v>
      </c>
      <c r="DC114" s="28">
        <f>2*(DBT_st_nl_cost*DBT_st_nl_demand/1000000+(DBT_st_invest*(M114+1/DBT_st_lifetime+DBT_st_opex)/(Storage!$M$63/1000000)+DBT_st_e_demand*1000*$AU114/100)*(DD114+DBT_st_ab_losses)/1000000)+Carriers!$T$18/Carriers!$T$23*((DD114+DBT_st_ab_losses)/365.25*short_st_duration_hrs/24)*(h2_short_st_invest*(1/gh2_short_st_lifetime+$M114+h2_short_st_opex)+h2_short_st_e_demand*1000*$AU114/100)/1000000</f>
        <v>3759.8058250159852</v>
      </c>
      <c r="DD114" s="63">
        <f>Storage!$M$57/((1-Shipping!$N$37)^($F114/24/Shipping!$N$44+0.5*Shipping!$N$59))</f>
        <v>219354838.70967743</v>
      </c>
      <c r="DE114" s="28">
        <f>IF($E114="","No Port",IF(AND(ship_choice="VLCC",G114="Panama"),"Ship cannot pass through Panama",IF(ship_choice="VLCC",((F114/24/Shipping!$AD$44+F114/24/Shipping!$AD$50+Shipping!$AD$59+Shipping!$AD$64)*(Shipping!$AD$22+wacc_nl*Shipping!$AD$19/365.25*1000000+Shipping!$AD$35)+(F114/24/Shipping!$AD$44*Shipping!$AD$45+Shipping!$AD$64*Shipping!$AD$65)*IF(bunker_choice="HFO",$H114,IF(bunker_choice="hydrogen",$BD114*hfo_e_density_lhv/h2_e_density_lhv,(DB114+DC114)*1000000/DD114*hfo_e_density_lhv/DBT_e_density_lhv))+(F114/24/Shipping!$AD$50*Shipping!$AD$51+Shipping!$AD$59*Shipping!$AD$60)*IF(bunker_choice="HFO",bunker_price_ROT,IF(bunker_choice="hydrogen",$BD114*hfo_e_density_lhv/h2_e_density_lhv,(DB114+DC114)*1000000/DD114*hfo_e_density_lhv/DBT_e_density_lhv))+Shipping!$AD$73+IF(G114="Panama",Shipping!$AD$55,0)+IF(G114="Suez",Shipping!$AD$56,0))/Shipping!$AD$31*DD114/1000000+IF(inland_transport_to_port="hv dc grid",$BM114/100*1000*DG114,IF(inland_transport_to_port="pipeline",$BN114,0)),((F114/24/Shipping!$N$44+F114/24/Shipping!$N$50+Shipping!$N$59+Shipping!$N$64)*(Shipping!$N$22+wacc_nl*Shipping!$N$19/365.25*1000000+Shipping!$N$35)+(F114/24/Shipping!$N$44*Shipping!$N$45+Shipping!$N$64*Shipping!$N$65)*IF(bunker_choice="HFO",$H114,IF(bunker_choice="hydrogen",$BD114*hfo_e_density_lhv/h2_e_density_lhv,(DB114+DC114)*1000000/DD114*hfo_e_density_lhv/DBT_e_density_lhv))+(F114/24/Shipping!$N$50*Shipping!$N$51+Shipping!$N$59*Shipping!$N$60)*IF(bunker_choice="HFO",bunker_price_ROT,IF(bunker_choice="hydrogen",$BD114*hfo_e_density_lhv/h2_e_density_lhv,(DB114+DC114)*1000000/DD114*hfo_e_density_lhv/DBT_e_density_lhv))+Shipping!$N$73+IF(G114="Panama",Shipping!$N$55,0)+IF(G114="Suez",Shipping!$N$56,0))/Shipping!$N$31*Shipping!$N$86/1000000+IF(inland_transport_to_port="hv dc grid",$BM114/100*1000*DG114,IF(inland_transport_to_port="pipeline",$BN114,0)))))</f>
        <v>3145.8746124896834</v>
      </c>
      <c r="DF114" s="28">
        <f t="shared" si="159"/>
        <v>40841.84898738125</v>
      </c>
      <c r="DG114" s="29">
        <f>((Carriers!$T$18/Carriers!$T$23*alk_el_e_demand)+DBT_e_demand)*(DD114+DBT_st_ab_losses)/1000000+DBT_st_e_demand*DD114/1000000</f>
        <v>703.88335483870969</v>
      </c>
      <c r="DH114" s="29">
        <f t="shared" si="160"/>
        <v>0.21935483870967742</v>
      </c>
      <c r="DI114" s="28">
        <f>IFERROR(DF114*1000000/Storage!$M$12,"")</f>
        <v>186.19078214835568</v>
      </c>
      <c r="DJ114" s="28">
        <f>IF($E114="","No Port",((F114/24/Shipping!$N$44+F114/24/Shipping!$N$50+Shipping!$N$59+Shipping!$N$64)*Carriers!$T$39*wacc_nl))</f>
        <v>2472.4450481410727</v>
      </c>
      <c r="DK114" s="100">
        <f>H2_retrieval!$L$25*h2_demand_kt/1000+(co2_liq_e_demand+co2_st_e_demand*2)*Storage!$M$12*co2_density/DBT_density/1000000</f>
        <v>206.61934861671787</v>
      </c>
      <c r="DL114" s="28">
        <f>IFERROR(((DF114*(1+H2_retrieval!$L$34)+DJ114)*1000000/H2_retrieval!$L$8)+h2_regen_lohc,"")</f>
        <v>3655.5243420742595</v>
      </c>
      <c r="DM114" s="149">
        <f t="shared" si="175"/>
        <v>55180.724369458178</v>
      </c>
      <c r="DN114" s="16">
        <f>2*(nabh4_st_nl_cost*nabh4_st_nl_demand/1000000+(nabh4_st_invest*(M114+1/nabh4_st_lifetime+nabh4_st_opex)/(Storage!$O$63/1000000)+nabh4_st_e_demand*1000*$AU114/100)*(DO114+nabh4_st_ab_losses)/1000000)+(h2_demand_kt*1000/365.25*short_st_duration_hrs/24)*(h2_short_st_invest*(1/gh2_short_st_lifetime+$M114+h2_short_st_opex)+h2_short_st_e_demand*1000*$AU114/100)/1000000</f>
        <v>1336.1042494790495</v>
      </c>
      <c r="DO114" s="63">
        <f>Storage!$O$57/((1-Shipping!$P$37)^($F114/24/Shipping!$P$44+0.5*Shipping!$P$59))</f>
        <v>63920000</v>
      </c>
      <c r="DP114" s="16">
        <f>IF($E114="","No Port",((F114/24/Shipping!$P$44+F114/24/Shipping!$P$50+Shipping!$P$59+Shipping!$P$64)*(Shipping!$P$22+wacc_nl*Shipping!$P$19/365.25*1000000+Shipping!$P$35)+(F114/24/Shipping!$P$44*Shipping!$P$45+Shipping!$P$64*Shipping!$P$65)*IF(bunker_choice="HFO",$H114,IF(bunker_choice="hydrogen",$BD114*hfo_e_density_lhv/h2_e_density_lhv,(DM114+DN114)*1000000/DO114*hfo_e_density_lhv/nabh4_e_density_lhv))+(F114/24/Shipping!$P$50*Shipping!$P$51+Shipping!$P$59*Shipping!$P$60)*IF(bunker_choice="HFO",bunker_price_ROT,IF(bunker_choice="hydrogen",$BD114*hfo_e_density_lhv/h2_e_density_lhv,(DM114+DN114)*1000000/DO114*hfo_e_density_lhv/nabh4_e_density_lhv))+Shipping!$P$73+IF(G114="Panama",Shipping!$P$55,0)+IF(G114="Suez",Shipping!$P$56,0))/Shipping!$P$31*(DO114+nabh4_st_ab_losses)/1000000+IF(inland_transport_to_port="hv dc grid",$BM114/100*1000*DR114,IF(inland_transport_to_port="pipeline",$BN114,0)))</f>
        <v>1134.8932272869617</v>
      </c>
      <c r="DQ114" s="28">
        <f t="shared" si="146"/>
        <v>57651.721846224194</v>
      </c>
      <c r="DR114" s="29">
        <f>((Carriers!$V$18/Carriers!$V$23*alk_el_e_demand)+nabh4_e_demand)*(DO114+nabh4_st_ab_losses)/1000000+nabh4_st_e_demand*DO114/1000000</f>
        <v>980.02139682539689</v>
      </c>
      <c r="DS114" s="28">
        <f t="shared" si="161"/>
        <v>3.1960000000000002</v>
      </c>
      <c r="DT114" s="28">
        <f>IFERROR(DQ114*1000000/Storage!$O$12,"")</f>
        <v>901.93557331389547</v>
      </c>
      <c r="DU114" s="28">
        <f>IF($E114="","No Port",((F114/24/Shipping!$P$44+F114/24/Shipping!$P$50+Shipping!$P$59+Shipping!$P$64)*Carriers!$V$39*wacc_nl))</f>
        <v>243.746209665771</v>
      </c>
      <c r="DV114" s="100">
        <f>H2_retrieval!$N$25*h2_demand_kt/1000+(co2_liq_e_demand+co2_st_e_demand*2)*Storage!$O$12*co2_density/nabh4_density/1000000</f>
        <v>18.783638728971958</v>
      </c>
      <c r="DW114" s="28">
        <f>IFERROR(((DQ114*(1+H2_retrieval!$N$34)+DU114)*1000000/H2_retrieval!$N$8)+h2_regen_nabh4,"")</f>
        <v>4348.6758643340545</v>
      </c>
      <c r="DX114" s="149">
        <f>(Dme_invest*(M114+1/Dme_lifetime)/Dme_prod+Dme_opex+Dme_e_demand*1000*$AU114/100+Carriers!$X$21/Carriers!$X$23*(CO114*1000000/CS114))*(EB114+Dme_st_ab_losses)/1000000</f>
        <v>71918.907220151581</v>
      </c>
      <c r="DY114" s="86">
        <f>(Dme_invest*(M114+1/Dme_lifetime)/Dme_prod+Dme_opex+Dme_e_demand*1000*$AU114/100+Carriers!$X$21/Carriers!$X$23*(CP114*1000000/CS114))*(EB114+Dme_st_ab_losses)/1000000</f>
        <v>91676.24098192621</v>
      </c>
      <c r="DZ114" s="63">
        <f>Dme_st_nl_cost*Dme_st_nl_demand/1000000+(Dme_st_invest*(M114+1/Dme_st_lifetime+Dme_st_opex)/(Storage!$Q$63/1000000)+Dme_st_e_demand*1000*$AU114/100)*(EB114+Dme_st_ab_losses)/1000000+co2_st_nl_cost*Storage!$Q$12*co2_density/Dme_density/1000000+(co2_st_opex_lev+co2_st_invest_lev+co2_st_e_demand*1000*$AU114/100)*Storage!$Q$12/1000000+co2_st_invest_lev*Storage!$Q$12*co2_st_lifetime*M114/1000000+(h2_demand_kt*1000/365.25*short_st_duration_hrs/24)*(h2_short_st_invest*(1/gh2_short_st_lifetime+$M114+h2_short_st_opex)+h2_short_st_e_demand*1000*$AU114/100)/1000000</f>
        <v>5598.8006134066327</v>
      </c>
      <c r="EA114" s="63">
        <f>Dme_st_nl_cost*Dme_st_nl_demand/1000000+(Dme_st_invest*(M114+1/Dme_st_lifetime+Dme_st_opex)/(Storage!$Q$63/1000000)+Dme_st_e_demand*1000*$AU114/100)*(EB114+Dme_st_ab_losses)/1000000+(h2_demand_kt*1000/365.25*short_st_duration_hrs/24)*(h2_short_st_invest*(1/gh2_short_st_lifetime+$M114+h2_short_st_opex)+h2_short_st_e_demand*1000*$AU114/100)/1000000</f>
        <v>2737.0413592385207</v>
      </c>
      <c r="EB114" s="63">
        <f>Storage!$Q$57/((1-Shipping!$R$37)^($F114/24/Shipping!$R$44+0.5*Shipping!$R$59))</f>
        <v>103547089.94708996</v>
      </c>
      <c r="EC114" s="153">
        <f>IF($E114="","No Port",IF(AND(ship_choice="VLCC",G114="Panama"),"Ship cannot pass through Panama",IF(ship_choice="VLCC",((F114/24/Shipping!$AD$44+F114/24/Shipping!$AD$50+Shipping!$AD$59+Shipping!$AD$64)*(Shipping!$AD$22+wacc_nl*Shipping!$AD$19/365.25*1000000+Shipping!$AD$35)+(F114/24/Shipping!$AD$44*Shipping!$AD$45+Shipping!$AD$64*Shipping!$AD$65)*IF(bunker_choice="HFO",$H114,IF(bunker_choice="hydrogen",$BD114*hfo_e_density_lhv/h2_e_density_lhv,(DX114+DZ114)*1000000/EB114*hfo_e_density_lhv/Dme_e_density_lhv))+(F114/24/Shipping!$AD$50*Shipping!$AD$51+Shipping!$AD$59*Shipping!$AD$60)*IF(bunker_choice="HFO",bunker_price_ROT,IF(bunker_choice="hydrogen",$BD114*hfo_e_density_lhv/h2_e_density_lhv,(DX114+DZ114)*1000000/EB114*hfo_e_density_lhv/Dme_e_density_lhv))+Shipping!$AD$73+IF(G114="Panama",Shipping!$AD$55,0)+IF(G114="Suez",Shipping!$AD$56,0))/Shipping!$AD$31*(EB114+Dme_st_ab_losses)/1000000+IF(inland_transport_to_port="hv dc grid",$BM114/100*1000*EE114,IF(inland_transport_to_port="pipeline",$BN114,0)),((F114/24/Shipping!$R$44+F114/24/Shipping!$R$50+Shipping!$R$59+Shipping!$R$64)*(Shipping!$R$22+wacc_nl*Shipping!$R$19/365.25*1000000+Shipping!$R$35)+(F114/24/Shipping!$R$44*Shipping!$R$45+Shipping!$R$64*Shipping!$R$65)*IF(bunker_choice="HFO",$H114,IF(bunker_choice="hydrogen",$BD114*hfo_e_density_lhv/h2_e_density_lhv,(DX114+DZ114)*1000000/EB114*hfo_e_density_lhv/Dme_e_density_lhv))+(F114/24/Shipping!$R$50*Shipping!$R$51+Shipping!$R$59*Shipping!$R$60)*IF(bunker_choice="HFO",bunker_price_ROT,IF(bunker_choice="hydrogen",$BD114*hfo_e_density_lhv/h2_e_density_lhv,(DX114+DZ114)*1000000/EB114*hfo_e_density_lhv/Dme_e_density_lhv))+Shipping!$R$73+IF(G114="Panama",Shipping!$R$55,0)+IF(G114="Suez",Shipping!$R$56,0))/Shipping!$R$31*(EB114+Dme_st_ab_losses)/1000000+IF(inland_transport_to_port="hv dc grid",$BM114/100*1000*EE114,IF(inland_transport_to_port="pipeline",$BN114,0)))))</f>
        <v>1976.6335738393514</v>
      </c>
      <c r="ED114" s="28">
        <f t="shared" si="134"/>
        <v>96389.91591500408</v>
      </c>
      <c r="EE114" s="29">
        <f>(Dme_e_demand)*(EB114+Dme_st_ab_losses)/1000000+Dme_st_e_demand*DZ114/1000000+$CV114*(Carriers!$X$21/Carriers!$X$23*EB114)/$CS114</f>
        <v>1550.2168161550619</v>
      </c>
      <c r="EF114" s="29">
        <f t="shared" si="162"/>
        <v>1.0354708994708997</v>
      </c>
      <c r="EG114" s="28">
        <f>IFERROR(ED114*1000000/Storage!$Q$12,"")</f>
        <v>930.88000796793972</v>
      </c>
      <c r="EH114" s="28">
        <f>IF($E114="","No Port",((F114/24/Shipping!$R$44+F114/24/Shipping!$R$50+Shipping!$R$59+Shipping!$R$64)*Carriers!$X$39*wacc_nl))</f>
        <v>34.294903517103144</v>
      </c>
      <c r="EI114" s="100">
        <f>H2_retrieval!$P$25*h2_demand_kt/1000+(co2_liq_e_demand+co2_st_e_demand*2)*Storage!$Q$12*co2_density/Dme_density/1000000</f>
        <v>252.45335899349112</v>
      </c>
      <c r="EJ114" s="28">
        <f>IFERROR((((DX114+DZ114+EC114)*(1+H2_retrieval!$P$34)+EH114)*1000000/H2_retrieval!$P$8)+h2_regen_dme,"")</f>
        <v>7017.8223895869005</v>
      </c>
      <c r="EK114" s="149">
        <f>(ome_invest*(M114+1/ome_lifetime)/ome_prod+ome_opex+ome_e_demand*1000*$AU114/100+Carriers!$Z$21/Carriers!$Z$23*(CO114*1000000/CS114))*(EO114+ome_st_ab_losses)/1000000</f>
        <v>157826.42943969599</v>
      </c>
      <c r="EL114" s="86">
        <f>(ome_invest*(M114+1/ome_lifetime)/ome_prod+ome_opex+ome_e_demand*1000*$AU114/100+Carriers!$Z$21/Carriers!$Z$23*(CP114*1000000/CS114))*(EO114+ome_st_ab_losses)/1000000</f>
        <v>199300.91902818234</v>
      </c>
      <c r="EM114" s="63">
        <f>ome_st_nl_cost*ome_st_nl_demand/1000000+(ome_st_invest*(M114+1/ome_st_lifetime+ome_st_opex)/(Storage!$S$63/1000000)+ome_st_e_demand*1000*$AU114/100)*(EO114+ome_st_ab_losses)/1000000+co2_st_nl_cost*Storage!$S$12*co2_density/ome_density/1000000+(co2_st_opex_lev+co2_st_invest_lev+co2_st_e_demand*1000*$AU114/100)*Storage!$S$12/1000000+co2_st_invest_lev*Storage!$S$12*co2_st_lifetime*M114/1000000+(h2_demand_kt*1000/365.25*short_st_duration_hrs/24)*(h2_short_st_invest*(1/gh2_short_st_lifetime+$M114+h2_short_st_opex)+h2_short_st_e_demand*1000*$AU114/100)/1000000</f>
        <v>4832.0036890370347</v>
      </c>
      <c r="EN114" s="63">
        <f>ome_st_nl_cost*ome_st_nl_demand/1000000+(ome_st_invest*(M114+1/ome_st_lifetime+ome_st_opex)/(Storage!$S$63/1000000)+ome_st_e_demand*1000*$AU114/100)*(EO114+ome_st_ab_losses)/1000000+(h2_demand_kt*1000/365.25*short_st_duration_hrs/24)*(h2_short_st_invest*(1/gh2_short_st_lifetime+$M114+h2_short_st_opex)+h2_short_st_e_demand*1000*$AU114/100)/1000000</f>
        <v>1625.5918813015869</v>
      </c>
      <c r="EO114" s="63">
        <f>Storage!$S$57/((1-Shipping!$T$37)^($F114/24/Shipping!$T$44+0.5*Shipping!$T$59))</f>
        <v>128282539.68253967</v>
      </c>
      <c r="EP114" s="28">
        <f>IF($E114="","No Port",IF(AND(ship_choice="VLCC",G114="Panama"),"Ship cannot pass through Panama",IF(ship_choice="VLCC",((F114/24/Shipping!$AD$44+F114/24/Shipping!$AD$50+Shipping!$AD$59+Shipping!$AD$64)*(Shipping!$AD$22+wacc_nl*Shipping!$AD$19/365.25*1000000+Shipping!$AD$35)+(F114/24/Shipping!$AD$44*Shipping!$AD$45+Shipping!$AD$64*Shipping!$AD$65)*IF(bunker_choice="HFO",$H114,IF(bunker_choice="hydrogen",$BD114*hfo_e_density_lhv/h2_e_density_lhv,(EK114+EM114)*1000000/EO114*hfo_e_density_lhv/Dme_e_density_lhv))+(F114/24/Shipping!$AD$50*Shipping!$AD$51+Shipping!$AD$59*Shipping!$AD$60)*IF(bunker_choice="HFO",bunker_price_ROT,IF(bunker_choice="hydrogen",$BD114*hfo_e_density_lhv/h2_e_density_lhv,(EK114+EM114)*1000000/EO114*hfo_e_density_lhv/ome_e_density_lhv))+Shipping!$AD$73+IF(G114="Panama",Shipping!$AD$55,0)+IF(G114="Suez",Shipping!$AD$56,0))/Shipping!$AD$31*(EO114+ome_st_ab_losses)/1000000+IF(inland_transport_to_port="hv dc grid",$BM114/100*1000*ER114,IF(inland_transport_to_port="pipeline",$BN114,0)),((F114/24/Shipping!$T$44+F114/24/Shipping!$T$50+Shipping!$T$59+Shipping!$T$64)*(Shipping!$T$22+wacc_nl*Shipping!$T$19/365.25*1000000+Shipping!$T$35)+(F114/24/Shipping!$T$44*Shipping!$T$45+Shipping!$T$64*Shipping!$T$65)*IF(bunker_choice="HFO",$H114,IF(bunker_choice="hydrogen",$BD114*hfo_e_density_lhv/h2_e_density_lhv,(EK114+EM114)*1000000/EO114*hfo_e_density_lhv/Dme_e_density_lhv))+(F114/24/Shipping!$T$50*Shipping!$T$51+Shipping!$T$59*Shipping!$T$60)*IF(bunker_choice="HFO",bunker_price_ROT,IF(bunker_choice="hydrogen",$BD114*hfo_e_density_lhv/h2_e_density_lhv,(EK114+EM114)*1000000/EO114*hfo_e_density_lhv/ome_e_density_lhv))+Shipping!$T$73+IF(G114="Panama",Shipping!$T$55,0)+IF(G114="Suez",Shipping!$T$56,0))/Shipping!$T$31*(EO114+ome_st_ab_losses)/1000000+IF(inland_transport_to_port="hv dc grid",$BM114/100*1000*ER114,IF(inland_transport_to_port="pipeline",$BN114,0)))))</f>
        <v>2067.8653338533777</v>
      </c>
      <c r="EQ114" s="28">
        <f t="shared" si="135"/>
        <v>202994.37624333729</v>
      </c>
      <c r="ER114" s="29">
        <f>(ome_e_demand)*(EO114+ome_st_ab_losses)/1000000+ome_st_e_demand*EM114/1000000+$CV114*(Carriers!$Z$21/Carriers!$Z$23*EO114)/$CS114</f>
        <v>3352.0814573887892</v>
      </c>
      <c r="ES114" s="29">
        <f t="shared" si="163"/>
        <v>0.1924238095238095</v>
      </c>
      <c r="ET114" s="28">
        <f>IFERROR(EQ114*1000000/Storage!$S$12,"")</f>
        <v>1582.400666105354</v>
      </c>
      <c r="EU114" s="28">
        <f>IF($E114="","No Port",((F114/24/Shipping!$T$44+F114/24/Shipping!$T$50+Shipping!$T$59+Shipping!$T$64)*Carriers!$Z$39*wacc_nl))</f>
        <v>40.30527181796505</v>
      </c>
      <c r="EV114" s="100">
        <f>H2_retrieval!$R$25*h2_demand_kt/1000+(co2_liq_e_demand+co2_st_e_demand*2)*Storage!$S$12*co2_density/ome_density/1000000</f>
        <v>254.51942895252085</v>
      </c>
      <c r="EW114" s="28">
        <f>IFERROR((((EK114+EM114+EP114)*(1+H2_retrieval!$R$34)+EU114)*1000000/H2_retrieval!$R$8)+h2_regen_ome,"")</f>
        <v>13285.319994255258</v>
      </c>
      <c r="EX114" s="149">
        <f>(sng_invest*(M114+1/sng_lifetime)/sng_prod+lng_invest*(M114+1/lng_lifetime)/lng_prod+sng_opex+lng_opex+(sng_e_demand+lng_e_demand)*1000*$AU114/100+Carriers!$AB$18/Carriers!$AB$23*BD114+Carriers!$AB$20/Carriers!$AB$23*co2_liq_cost)*(FB114+lng_st_ab_losses)/1000000</f>
        <v>54900.368269445615</v>
      </c>
      <c r="EY114" s="86">
        <f>(sng_invest*(M114+1/sng_lifetime)/sng_prod+lng_invest*(M114+1/lng_lifetime)/lng_prod+sng_opex+lng_opex+(sng_e_demand+lng_e_demand)*1000*$AU114/100+Carriers!$AB$18/Carriers!$AB$23*BD114+Carriers!$AB$20/Carriers!$AB$23*BP114)*(FB114+lng_st_ab_losses)/1000000</f>
        <v>65711.696091863603</v>
      </c>
      <c r="EZ114" s="63">
        <f>lng_st_nl_cost*lng_st_nl_demand/1000000+(lng_st_invest*(M114+1/lng_st_lifetime+lng_st_opex)/(Storage!$U$63/1000000)+lng_st_e_demand*1000*$AU114/100)*(FB114+lng_st_ab_losses)/1000000+co2_st_nl_cost*Storage!$U$12*co2_density/lng_density/1000000+(co2_st_opex_lev+co2_st_invest_lev+co2_st_e_demand*1000*$AU114/100)*Storage!$U$12/1000000+co2_st_invest_lev*Storage!$U$12*co2_st_lifetime*M114/1000000+Carriers!$AB$18/Carriers!$AB$23*((FB114+lng_st_ab_losses)/365.25*short_st_duration_hrs/24)*(h2_short_st_invest*(1/gh2_short_st_lifetime+$M114+h2_short_st_opex)+h2_short_st_e_demand*1000*$AU114/100)/1000000+Carriers!$AB$20/Carriers!$AB$23*((FB114+lng_st_ab_losses)/365.25*short_st_duration_hrs/24)*(co2_short_st_invest*(1/co2_short_st_lifetime+$M114+co2_short_st_opex)+co2_short_st_e_demand*1000*$AU114/100)/1000000</f>
        <v>5812.3150670002869</v>
      </c>
      <c r="FA114" s="63">
        <f>lng_st_nl_cost*lng_st_nl_demand/1000000+(lng_st_invest*(M114+1/lng_st_lifetime+lng_st_opex)/(Storage!$U$63/1000000)+lng_st_e_demand*1000*$AU114/100)*(FB114+lng_st_ab_losses)/1000000+Carriers!$AB$18/Carriers!$AB$23*((FB114+lng_st_ab_losses)/365.25*short_st_duration_hrs/24)*(h2_short_st_invest*(1/gh2_short_st_lifetime+$M114+h2_short_st_opex)+h2_short_st_e_demand*1000*$AU114/100)/1000000+Carriers!$AB$20/Carriers!$AB$23*((FB114+lng_st_ab_losses)/365.25*short_st_duration_hrs/24)*(co2_short_st_invest*(1/co2_short_st_lifetime+$M114+co2_short_st_opex)+co2_short_st_e_demand*1000*$AU114/100)/1000000</f>
        <v>4252.9921006045324</v>
      </c>
      <c r="FB114" s="63">
        <f>Storage!$U$57/((1-Shipping!$V$37)^($F114/24/Shipping!$V$44+0.5*Shipping!$V$59))</f>
        <v>40868758.525104865</v>
      </c>
      <c r="FC114" s="28">
        <f>IF($E114="","No Port",IF(G114="Panama","Ship cannot pass through Panama",((F114/24/Shipping!$V$44+F114/24/Shipping!$V$50+Shipping!$V$59+Shipping!$V$64)*(Shipping!$V$22+wacc_nl*Shipping!$V$19/365.25*1000000+Shipping!$V$35)+(F114/24/Shipping!$V$44*Shipping!$V$45+Shipping!$V$64*Shipping!$V$65)*IF(bunker_choice="HFO",$H114,IF(bunker_choice="hydrogen",$BD114*hfo_e_density_lhv/h2_e_density_lhv,(EX114+EZ114)*1000000/FB114*hfo_e_density_lhv/lng_e_density_lhv))+(F114/24/Shipping!$V$50*Shipping!$V$51+Shipping!$V$59*Shipping!$V$60)*IF(bunker_choice="HFO",bunker_price_ROT,IF(bunker_choice="hydrogen",$BD114*hfo_e_density_lhv/h2_e_density_lhv,(EX114+EZ114)*1000000/FB114*hfo_e_density_lhv/lng_e_density_lhv))+Shipping!$V$73+IF(G114="Panama",Shipping!$V$55,0)+IF(G114="Suez",Shipping!$V$56,0))/Shipping!$V$31*(FB114+lng_st_ab_losses)/1000000)+IF(inland_transport_to_port="hv dc grid",$BM114/100*1000*FE114,IF(inland_transport_to_port="pipeline",$BN114,0)))</f>
        <v>1021.4765890720628</v>
      </c>
      <c r="FD114" s="28">
        <f t="shared" si="136"/>
        <v>70986.164781540196</v>
      </c>
      <c r="FE114" s="29">
        <f>((Carriers!$AB$18/Carriers!$AB$23*alk_el_e_demand)+sng_e_demand+lng_e_demand)*(FB114+lng_st_ab_losses)/1000000+lng_st_e_demand*EZ114/1000000</f>
        <v>1096.0789906385855</v>
      </c>
      <c r="FF114" s="29">
        <f t="shared" si="164"/>
        <v>0.8126185861001558</v>
      </c>
      <c r="FG114" s="28">
        <f>IFERROR(FD114*1000000/Storage!$U$12,"")</f>
        <v>1749.1115383436452</v>
      </c>
      <c r="FH114" s="28">
        <f>IF($E114="","No Port",((F114/24/Shipping!$V$44+F114/24/Shipping!$V$50+Shipping!$V$59+Shipping!$V$64)*Carriers!$AB$39*wacc_nl))</f>
        <v>12.273112961192416</v>
      </c>
      <c r="FI114" s="100">
        <f>H2_retrieval!$T$25*h2_demand_kt/1000+(co2_liq_e_demand+co2_st_e_demand*2)*Storage!$U$12*co2_density/lng_density/1000000</f>
        <v>236.51371749646054</v>
      </c>
      <c r="FJ114" s="28">
        <f>IFERROR((((EX114+EZ114+FC114)*(1+H2_retrieval!$T$34)+FH114)*1000000/H2_retrieval!$T$8)+h2_regen_lng,"")</f>
        <v>5710.3074430842889</v>
      </c>
      <c r="FK114" s="149">
        <f>(lh2_invest*(M114+1/lh2_lifetime)/lh2_prod+lh2_opex+lh2_e_demand*1000*$AU114/100+Carriers!$AD$18/Carriers!$AD$23*BD114)*(FM114+lh2_st_ab_losses)/1000000</f>
        <v>43601.172505638082</v>
      </c>
      <c r="FL114" s="28">
        <f>lh2_st_nl_cost*lh2_st_nl_demand/1000000+(lh2_st_invest*(M114+1/lh2_st_lifetime+lh2_st_opex)/(Storage!$Y$63/1000000)+lh2_st_e_demand*1000*$AU114/100)*(FM114+lh2_st_ab_losses)/1000000+((FM114+lh2_st_ab_losses)/365.25*short_st_duration_hrs/24)*(h2_short_st_invest*(1/gh2_short_st_lifetime+$M114+h2_short_st_opex)+h2_short_st_e_demand*1000*$AU114/100)/1000000</f>
        <v>49719.575483656816</v>
      </c>
      <c r="FM114" s="63">
        <f>Storage!$Y$57/((1-Shipping!$Z$37)^($F114/24/Shipping!$Z$44+0.5*Shipping!$Z$59))</f>
        <v>13746844.883042647</v>
      </c>
      <c r="FN114" s="28">
        <f>IF($E114="","No Port",IF(G114="Panama","Ship cannot pass through Panama",((F114/24/Shipping!$Z$44+F114/24/Shipping!$Z$50+Shipping!$Z$59+Shipping!$Z$64)*(Shipping!$Z$22+wacc_nl*Shipping!$Z$19/365.25*1000000+Shipping!$Z$35)+(F114/24/Shipping!$Z$44*Shipping!$Z$45+Shipping!$Z$64*Shipping!$Z$65)*IF(bunker_choice="HFO",$H114,IF(bunker_choice="hydrogen",$BD114*hfo_e_density_lhv/h2_e_density_lhv,(FK114+FL114)*1000000/FM114*hfo_e_density_lhv/lh2_e_density_lhv))+(F114/24/Shipping!$Z$50*Shipping!$Z$51+Shipping!$Z$59*Shipping!$Z$60)*IF(bunker_choice="HFO",bunker_price_ROT,IF(bunker_choice="hydrogen",$BD114*hfo_e_density_lhv/h2_e_density_lhv,(FK114+FL114)*1000000/FM114*hfo_e_density_lhv/lh2_e_density_lhv))+Shipping!$Z$73+IF(G114="Panama",Shipping!$Z$55,0)+IF(G114="Suez",Shipping!$Z$56,0))/Shipping!$Z$31*(FM114+lh2_st_ab_losses)/1000000)+IF(inland_transport_to_port="hv dc grid",$BM114/100*1000*FP114,IF(inland_transport_to_port="pipeline",$BN114,0)))</f>
        <v>1534.6623867465091</v>
      </c>
      <c r="FO114" s="28">
        <f t="shared" si="128"/>
        <v>94855.410376041415</v>
      </c>
      <c r="FP114" s="29">
        <f>((Carriers!$AD$18/Carriers!$AD$23*alk_el_e_demand)+lh2_e_demand)*(FM114+lh2_st_ab_losses)/1000000+lh2_st_e_demand*FM114/1000000</f>
        <v>796.62896653168173</v>
      </c>
      <c r="FQ114" s="100">
        <f t="shared" si="165"/>
        <v>1.361902463475859</v>
      </c>
      <c r="FR114" s="28">
        <f>IFERROR(FO114*1000000/Storage!$Y$12,"")</f>
        <v>6974.6625276501036</v>
      </c>
      <c r="FS114" s="100">
        <f>H2_retrieval!$V$25*h2_demand_kt/1000</f>
        <v>8.16</v>
      </c>
      <c r="FT114" s="28">
        <f>IFERROR(FR114*(1+H2_retrieval!$V$34)/Carrier_properties!$U$7+H2_retrieval!$V$38,"")</f>
        <v>7006.6312535185707</v>
      </c>
      <c r="FU114" s="12"/>
      <c r="FV114" s="24">
        <f t="shared" si="129"/>
        <v>2.0162384852324275</v>
      </c>
      <c r="FW114" s="24">
        <f t="shared" si="143"/>
        <v>4.0549359576516242</v>
      </c>
      <c r="FX114" s="24">
        <f t="shared" si="144"/>
        <v>6.3326503483183689</v>
      </c>
      <c r="FY114" s="24">
        <f t="shared" si="130"/>
        <v>2.0162384852324275</v>
      </c>
      <c r="FZ114" s="28">
        <f t="shared" si="145"/>
        <v>2274.9064465428173</v>
      </c>
      <c r="GA114" s="28">
        <f t="shared" si="137"/>
        <v>536.50289966188325</v>
      </c>
      <c r="GB114" s="28">
        <f t="shared" si="138"/>
        <v>389.24914808330249</v>
      </c>
      <c r="GC114" s="28">
        <f t="shared" si="139"/>
        <v>604.65517598022643</v>
      </c>
      <c r="GD114" s="28">
        <f t="shared" si="140"/>
        <v>885.3579663974192</v>
      </c>
      <c r="GE114" s="28">
        <f t="shared" si="141"/>
        <v>1553.6090844583496</v>
      </c>
      <c r="GF114" s="28">
        <f t="shared" si="142"/>
        <v>1607.8711089669684</v>
      </c>
      <c r="GG114" s="12"/>
      <c r="GH114" s="12"/>
      <c r="GI114" s="12"/>
      <c r="GJ114" s="12"/>
      <c r="GK114" s="12"/>
      <c r="GL114" s="12"/>
      <c r="GM114" s="12"/>
      <c r="GN114" s="12"/>
      <c r="GO114" s="12"/>
      <c r="GP114" s="12"/>
      <c r="GQ114" s="12"/>
      <c r="GR114" s="12"/>
      <c r="GS114" s="12"/>
      <c r="GT114" s="12"/>
      <c r="GU114" s="12"/>
      <c r="GV114" s="12"/>
      <c r="GW114" s="12"/>
      <c r="GX114" s="12"/>
      <c r="GY114" s="12"/>
      <c r="GZ114" s="12"/>
      <c r="HA114" s="12"/>
      <c r="HB114" s="12"/>
      <c r="HC114" s="12"/>
      <c r="HD114" s="12"/>
      <c r="HE114" s="12"/>
      <c r="HF114" s="12"/>
    </row>
    <row r="115" spans="1:214" x14ac:dyDescent="0.2">
      <c r="A115" s="154" t="s">
        <v>117</v>
      </c>
      <c r="B115" s="12">
        <v>7189</v>
      </c>
      <c r="C115" s="12">
        <v>0</v>
      </c>
      <c r="D115" s="12">
        <f t="shared" si="111"/>
        <v>1</v>
      </c>
      <c r="E115" s="12" t="s">
        <v>770</v>
      </c>
      <c r="F115" s="12">
        <v>3848</v>
      </c>
      <c r="G115" s="12"/>
      <c r="H115" s="16">
        <f t="shared" si="166"/>
        <v>382.75862068965517</v>
      </c>
      <c r="I115" s="16">
        <v>8870</v>
      </c>
      <c r="J115" s="16">
        <f t="shared" si="113"/>
        <v>53.135757173961707</v>
      </c>
      <c r="K115" s="27">
        <f t="shared" si="114"/>
        <v>63.762908608754046</v>
      </c>
      <c r="L115" s="103">
        <v>6.7000000000000004E-2</v>
      </c>
      <c r="M115" s="103">
        <f t="shared" si="167"/>
        <v>8.8810514211916824E-2</v>
      </c>
      <c r="N115" s="122">
        <f t="shared" si="116"/>
        <v>0.85</v>
      </c>
      <c r="O115" s="46">
        <f t="shared" si="168"/>
        <v>40</v>
      </c>
      <c r="P115" s="70">
        <f t="array" ref="P115">SUMPRODUCT(IF(Solar_data!A$4:A$777=A115,Solar_data!C$4:C$777),IF(Solar_data!A$4:A$777=A115,Solar_data!I$4:I$777))/SUMIF(Solar_data!A$4:A$777,A115,Solar_data!I$4:I$777)</f>
        <v>2026.4716541960413</v>
      </c>
      <c r="Q115" s="16">
        <f t="array" ref="Q115">MAX(IF(Solar_data!$A$777:'Solar_data'!$A$4=Country_details!$A115,Solar_data!$C$4:'Solar_data'!$C$777))</f>
        <v>2281.25</v>
      </c>
      <c r="R115" s="16">
        <f t="array" ref="R115">MIN(IF(Solar_data!$A$777:'Solar_data'!$A$4=Country_details!A115,Solar_data!$C$4:'Solar_data'!$C$777))</f>
        <v>1916.25</v>
      </c>
      <c r="S115" s="24">
        <f t="shared" si="149"/>
        <v>1.8396150843537327</v>
      </c>
      <c r="T115" s="24">
        <f t="shared" si="150"/>
        <v>1.6341601416216105</v>
      </c>
      <c r="U115" s="24">
        <f t="shared" si="151"/>
        <v>1.9454287400257266</v>
      </c>
      <c r="V115" s="16">
        <f t="array" ref="V115">SUM(IF(Solar_data!$A$777:'Solar_data'!$A$4=Country_details!$A115,Solar_data!$I$4:'Solar_data'!$I$777))</f>
        <v>70.024349931469231</v>
      </c>
      <c r="W115" s="148"/>
      <c r="X115" s="16">
        <f>IFERROR(INDEX(Onshore_wind_data!$J$5:'Onshore_wind_data'!$J$221,MATCH(A115,Onshore_wind_data!$B$5:'Onshore_wind_data'!$B$221,0)),"")</f>
        <v>2958.4335566640821</v>
      </c>
      <c r="Y115" s="16">
        <f>IFERROR(INDEX(Onshore_wind_data!$K$5:'Onshore_wind_data'!$K$221,MATCH(A115,Onshore_wind_data!$B$5:'Onshore_wind_data'!$B$221,0)),"")</f>
        <v>3971</v>
      </c>
      <c r="Z115" s="16">
        <f>IFERROR(INDEX(Onshore_wind_data!$L$5:'Onshore_wind_data'!$L$221,MATCH(A115,Onshore_wind_data!$B$5:'Onshore_wind_data'!$B$221,0)),"")</f>
        <v>2847.5</v>
      </c>
      <c r="AA115" s="24">
        <f t="shared" si="169"/>
        <v>3.9184043971498883</v>
      </c>
      <c r="AB115" s="24">
        <f t="shared" si="170"/>
        <v>2.9192493218605695</v>
      </c>
      <c r="AC115" s="24">
        <f t="shared" si="171"/>
        <v>4.0710584923997617</v>
      </c>
      <c r="AD115" s="16">
        <f>IFERROR(INDEX(Onshore_wind_data!$I$5:'Onshore_wind_data'!$I$221,MATCH(A115,Onshore_wind_data!$B$5:'Onshore_wind_data'!$B$221,0)),"")</f>
        <v>0.30335333924999996</v>
      </c>
      <c r="AE115" s="148"/>
      <c r="AF115" s="16">
        <f>INDEX(Offshore_wind_data!$AA$7:$AA$192,MATCH(Country_details!A115,Offshore_wind_data!$A$7:$A$192,0))</f>
        <v>3886.679638398623</v>
      </c>
      <c r="AG115" s="16">
        <f>INDEX(Offshore_wind_data!$Y$7:$Y$192,MATCH(Country_details!A115,Offshore_wind_data!$A$7:$A$192,0))</f>
        <v>4204.8</v>
      </c>
      <c r="AH115" s="16">
        <f>INDEX(Offshore_wind_data!$Z$7:$Z$192,MATCH(Country_details!A115,Offshore_wind_data!$A$7:$A$192,0))</f>
        <v>3854.4</v>
      </c>
      <c r="AI115" s="24">
        <f t="shared" si="152"/>
        <v>5.7204282467769634</v>
      </c>
      <c r="AJ115" s="24">
        <f t="shared" si="153"/>
        <v>5.2876407890193011</v>
      </c>
      <c r="AK115" s="24">
        <f t="shared" si="154"/>
        <v>5.7683354062028735</v>
      </c>
      <c r="AL115" s="16">
        <f>INDEX(Offshore_wind_data!$W$7:$W$191,MATCH(A115,Offshore_wind_data!$A$7:$A$191,0))</f>
        <v>180.57513599999999</v>
      </c>
      <c r="AM115" s="148"/>
      <c r="AN115" s="12">
        <v>3.7</v>
      </c>
      <c r="AO115" s="12">
        <v>3.3</v>
      </c>
      <c r="AP115" s="34"/>
      <c r="AQ115" s="15">
        <f t="shared" si="155"/>
        <v>50</v>
      </c>
      <c r="AR115" s="12">
        <f t="shared" si="131"/>
        <v>165</v>
      </c>
      <c r="AS115" s="16">
        <f t="shared" si="121"/>
        <v>85.902839270719198</v>
      </c>
      <c r="AT115" s="12"/>
      <c r="AU115" s="24">
        <f t="shared" si="147"/>
        <v>3.0733316346328632</v>
      </c>
      <c r="AV115" s="16">
        <f t="shared" si="148"/>
        <v>4984.9052108601236</v>
      </c>
      <c r="AW115" s="149">
        <f>HV_DC_Grid!$E$3/(1-AX115)*AU115/100*1000</f>
        <v>3589.913359604941</v>
      </c>
      <c r="AX115" s="31">
        <f>(1-(1-HV_DC_Grid!$E$25)^(B115*C115*HV_DC_Grid!$E$8/1000))+(1-(1-HV_DC_Grid!$E$26)^(B115*D115*HV_DC_Grid!$E$8/1000))+HV_DC_Grid!$E$35*HV_DC_Grid!$E$28</f>
        <v>0.1438981037216247</v>
      </c>
      <c r="AY115" s="28">
        <f>B115*nl_e_demand/IF(hv_dc_flh="electricity FLH",$AV115,hv_dc_custom)*1000*hv_dc_capacity_multiplier*hv_dc_length_multiplier*1000*(C115*hv_dc_overhead_invest*(hv_dc_overhead_opex+M115+1/hv_dc_lifetime)+D115*hv_dc_sea_invest*(hv_dc_sea_opex+M115+1/hv_dc_lifetime))/1000000+HV_DC_Grid!$E$10*1000*hv_dc_station_invest*hv_dc_station_number*(hv_dc_station_opex+M115+1/hv_dc_lifetime)/1000000</f>
        <v>14853.420802902137</v>
      </c>
      <c r="AZ115" s="24">
        <f>(AW115+AY115)/(HV_DC_Grid!$E$3*1000)*100</f>
        <v>18.443334162507082</v>
      </c>
      <c r="BA115" s="28">
        <f>MIN(((Carriers!$F$26+Carriers!$F$27)*(alk_el_opex+wacc_nl+1/alk_el_lifetime)+IF(hv_dc_flh="electricity FLH",$AV115,hv_dc_custom)*AZ115/100)/(IF(hv_dc_flh="electricity FLH",$AV115,hv_dc_custom)/alk_el_e_demand)*1000,((Carriers!$H$26+Carriers!$H$27)*(pem_el_opex+wacc_nl+1/pem_el_lifetime)+IF(hv_dc_flh="electricity FLH",$AV115,hv_dc_custom)*AZ115/100)/(IF(hv_dc_flh="electricity FLH",$AV115,hv_dc_custom)/pem_el_e_demand)*1000)</f>
        <v>9731.120667735222</v>
      </c>
      <c r="BB115" s="12"/>
      <c r="BC115" s="12"/>
      <c r="BD115" s="149">
        <f>MIN(((Carriers!$F$26+Carriers!$F$27)*(alk_el_opex+M115+1/alk_el_lifetime)+$AV115*$AU115/100)/($AV115/alk_el_e_demand)*1000,((Carriers!$H$26+Carriers!$H$27)*(pem_el_opex+M115+1/pem_el_lifetime)+$AV115*$AU115/100)/($AV115/pem_el_e_demand)*1000)</f>
        <v>2127.5211773705332</v>
      </c>
      <c r="BE115" s="28">
        <f>Storage!$AC$50</f>
        <v>8.1664117557772418</v>
      </c>
      <c r="BF115" s="28">
        <f>((Pipeline!$D$22*Pipeline!$D$24*B115*(pipeline_opex+M115+1/pipeline_lifetime))*(Pipeline!$D$39/Pipeline!$D$3)+(Pipeline!$D$57*(pipeline_comp_opex+M115+1/pipeline_comp_lifetime)+Pipeline!$D$47*1000*Pipeline!$D$45*$AU115/100/1000000))*(Pipeline!$D$75/Pipeline!$D$45)</f>
        <v>13100.812011716927</v>
      </c>
      <c r="BG115" s="28">
        <f>BD115+(BE115+BF115)/Storage!$AC$12*1000000</f>
        <v>3091.4166496847029</v>
      </c>
      <c r="BH115" s="28"/>
      <c r="BI115" s="28"/>
      <c r="BJ115" s="28">
        <f>IF($E115="","No Port",BK115*HV_DC_Grid!$E$3*$AU115/100*1000)</f>
        <v>46.817248080393362</v>
      </c>
      <c r="BK115" s="31">
        <f>IFERROR((1-(1-HV_DC_Grid!$E$25)^(K115*HV_DC_Grid!$E$8/1000))+HV_DC_Grid!$E$35*HV_DC_Grid!$E$28,"")</f>
        <v>1.5233386320180219E-2</v>
      </c>
      <c r="BL115" s="28">
        <f>IFERROR(K115*nl_e_demand/IF(hv_dc_flh="electricity FLH",$AV115,hv_dc_custom)*1000*hv_dc_capacity_multiplier*hv_dc_length_multiplier*1000*(hv_dc_overhead_invest*(hv_dc_overhead_opex+M115+1/hv_dc_lifetime))/1000000+HV_DC_Grid!$E$10*1000*hv_dc_station_invest*hv_dc_station_number*(hv_dc_station_opex+M115+1/hv_dc_lifetime)/1000000,"")</f>
        <v>368.54281521264619</v>
      </c>
      <c r="BM115" s="29">
        <f>IFERROR((BJ115+BL115)/(HV_DC_Grid!$E$3*1000)*100,"")</f>
        <v>0.41536006329303959</v>
      </c>
      <c r="BN115" s="28">
        <f>IFERROR(((Pipeline!$D$22*Pipeline!$D$24*K115*(pipeline_opex+M115+1/pipeline_lifetime))*(Pipeline!$D$39/Pipeline!$D$3)+(Pipeline!$D$57*(pipeline_comp_opex+M115+1/pipeline_comp_lifetime)+Pipeline!$D$47*1000*Pipeline!$D$45*S115/100/1000000))*(Pipeline!$D$75/Pipeline!$D$45),"")</f>
        <v>177.35189312860666</v>
      </c>
      <c r="BO115" s="28"/>
      <c r="BP115" s="150">
        <f t="shared" si="172"/>
        <v>97.808581096439156</v>
      </c>
      <c r="BQ115" s="34">
        <f t="shared" si="173"/>
        <v>28.646465570624965</v>
      </c>
      <c r="BR115" s="151">
        <f>(nh3_invest*(M115+1/nh3_lifetime)/nh3_prod+nh3_opex+nh3_e_demand*1000*$AU115/100+Carriers!$N$18/Carriers!$N$23*BD115+Carriers!$N$19/Carriers!$N$23*BQ115)*(BT115+nh3_st_ab_losses)/1000000</f>
        <v>39623.939049571956</v>
      </c>
      <c r="BS115" s="63">
        <f>nh3_st_nl_cost*nh3_st_nl_demand/1000000+(nh3_st_invest*(M115+1/nh3_st_lifetime+nh3_st_opex)/(Storage!$G$63/1000000)+nh3_st_e_demand*1000*$AU115/100)*(BT115+nh3_st_ab_losses)/1000000+Carriers!$N$18/Carriers!$N$23*((BT115+nh3_st_ab_losses)/365.25*short_st_duration_hrs/24)*(h2_short_st_invest*(1/gh2_short_st_lifetime+$M115+h2_short_st_opex)+h2_short_st_e_demand*1000*$AU115/100)/1000000+Carriers!$N$19/Carriers!$N$23*((BT115+nh3_st_ab_losses)/365.25*short_st_duration_hrs/24)*(n2_short_st_invest*(1/n2_short_st_lifetime+$M115+n2_short_st_opex)+n2_short_st_e_demand*1000*$AU115/100)/1000000</f>
        <v>3000.4987086569963</v>
      </c>
      <c r="BT115" s="63">
        <f>Storage!$G$57/((1-Shipping!$H$37)^(F115/24/Shipping!$H$44+0.5*Shipping!$H$59))</f>
        <v>78749076.416826144</v>
      </c>
      <c r="BU115" s="63">
        <f>IF($E115="","No Port",((F115/24/Shipping!$H$44+F115/24/Shipping!$H$50+Shipping!$H$59+Shipping!$H$64)*(Shipping!$H$22+wacc_nl*Shipping!$H$19/365.25*1000000+Shipping!$H$35)+(F115/24/Shipping!$H$44*Shipping!$H$45+Shipping!$H$64*Shipping!$H$65)*IF(bunker_choice="HFO",H115,IF(bunker_choice="hydrogen",BD115*hfo_e_density_lhv/h2_e_density_lhv,(BR115+BS115)*1000000/BT115*hfo_e_density_lhv/nh3_e_density_lhv))+(F115/24/Shipping!$H$50*Shipping!$H$51+Shipping!$H$59*Shipping!$H$60)*IF(bunker_choice="HFO",bunker_price_ROT,IF(bunker_choice="hydrogen",BD115*hfo_e_density_lhv/h2_e_density_lhv,(BR115+BS115)*1000000/BT115*hfo_e_density_lhv/nh3_e_density_lhv))+Shipping!$H$73+IF(G115="Panama",Shipping!$H$55,0)+IF(G115="Suez",Shipping!$H$56,0))/Shipping!$H$31*BT115/1000000+IF(inland_transport_to_port="hv dc grid",$BM115/100*1000*BW115,IF(inland_transport_to_port="pipeline",$BN115,0)))</f>
        <v>2561.5247580872988</v>
      </c>
      <c r="BV115" s="63">
        <f t="shared" si="174"/>
        <v>45185.962516316249</v>
      </c>
      <c r="BW115" s="33">
        <f>((Carriers!$N$18/Carriers!$N$23*alk_el_e_demand)+(Carriers!$N$19/Carriers!$N$23*n2_e_demand)+nh3_e_demand)*(BT115+nh3_st_ab_losses)/1000000+nh3_st_e_demand*BT115/1000000</f>
        <v>777.66931111582221</v>
      </c>
      <c r="BX115" s="33">
        <f t="shared" si="156"/>
        <v>0.76626754477640768</v>
      </c>
      <c r="BY115" s="63">
        <f>IFERROR(BV115*1000000/Storage!$G$12,"")</f>
        <v>590.18043147278377</v>
      </c>
      <c r="BZ115" s="63">
        <f>H2_retrieval!$F$25*h2_demand_kt/1000</f>
        <v>80</v>
      </c>
      <c r="CA115" s="63">
        <f>IFERROR(BY115*(1+H2_retrieval!$F$34)/Carrier_properties!$E$7+H2_retrieval!$F$38,"")</f>
        <v>3731.7232234905182</v>
      </c>
      <c r="CB115" s="149">
        <f>(FA_invest*(M115+1/FA_lifetime)/FA_prod+FA_opex+FA_e_demand*1000*$AU115/100+Carriers!$P$18/Carriers!$P$23*BD115+Carriers!$P$20/Carriers!$P$23*co2_liq_cost)*(CF115+FA_st_ab_losses)/1000000</f>
        <v>90295.763167665908</v>
      </c>
      <c r="CC115" s="86">
        <f>(FA_invest*(M115+1/FA_lifetime)/FA_prod+FA_opex+FA_e_demand*1000*$AU115/100+Carriers!$P$18/Carriers!$P$23*BD115+Carriers!$P$20/Carriers!$P$23*BP115)*(CF115+FA_st_ab_losses)/1000000</f>
        <v>113630.22751940037</v>
      </c>
      <c r="CD115" s="63">
        <f>FA_st_nl_cost*FA_st_nl_demand/1000000+(FA_st_invest*(M115+1/FA_st_lifetime+FA_st_opex)/(Storage!$I$63/1000000)+FA_st_e_demand*1000*$AU115/100)*(CF115+FA_st_ab_losses)/1000000+co2_st_nl_cost*Storage!$I$12*co2_density/FA_density/1000000+(co2_st_opex_lev+co2_st_invest_lev+co2_st_e_demand*1000*$AU115/100)*Storage!$I$12/1000000+co2_st_invest_lev*Storage!$I$12*co2_st_lifetime*M115/1000000+Carriers!$P$18/Carriers!$P$23*((CF115+FA_st_ab_losses)/365.25*short_st_duration_hrs/24)*(h2_short_st_invest*(1/gh2_short_st_lifetime+$M115+h2_short_st_opex)+h2_short_st_e_demand*1000*$AU115/100)/1000000+Carriers!$P$20/Carriers!$P$23*((CF115+FA_st_ab_losses)/365.25*short_st_duration_hrs/24)*(co2_short_st_invest*(1/co2_short_st_lifetime+$M115+co2_short_st_opex)+co2_short_st_e_demand*1000*$AU115/100)/1000000</f>
        <v>10737.113629567099</v>
      </c>
      <c r="CE115" s="63">
        <f>FA_st_nl_cost*FA_st_nl_demand/1000000+(FA_st_invest*(M115+1/FA_st_lifetime+FA_st_opex)/(Storage!$I$63/1000000)+FA_st_e_demand*1000*$AU115/100)*(CF115+FA_st_ab_losses)/1000000+Carriers!$P$18/Carriers!$P$23*((CF115+FA_st_ab_losses)/365.25*short_st_duration_hrs/24)*(h2_short_st_invest*(1/gh2_short_st_lifetime+$M115+h2_short_st_opex)+h2_short_st_e_demand*1000*$AU115/100)/1000000+Carriers!$P$20/Carriers!$P$23*((CF115+FA_st_ab_losses)/365.25*short_st_duration_hrs/24)*(co2_short_st_invest*(1/co2_short_st_lifetime+$M115+co2_short_st_opex)+co2_short_st_e_demand*1000*$AU115/100)/1000000</f>
        <v>4456.4420149518955</v>
      </c>
      <c r="CF115" s="63">
        <f>Storage!$I$57/((1-Shipping!$J$37)^($F115/24/Shipping!$J$44+0.5*Shipping!$J$59))</f>
        <v>310425396.82539684</v>
      </c>
      <c r="CG115" s="28">
        <f>IF($E115="","No Port",((F115/24/Shipping!$J$44+F115/24/Shipping!$J$50+Shipping!$J$59+Shipping!$J$64)*(Shipping!$J$22+wacc_nl*Shipping!$J$19/365.25*1000000+Shipping!$J$35)+(F115/24/Shipping!$J$44*Shipping!$J$45+Shipping!$J$64*Shipping!$J$65)*IF(bunker_choice="HFO",$H115,IF(bunker_choice="hydrogen",$BD115*hfo_e_density_lhv/h2_e_density_lhv,(CB115+CD115)*1000000/CF115*hfo_e_density_lhv/FA_e_density_lhv))+(F115/24/Shipping!$J$50*Shipping!$J$51+Shipping!$J$59*Shipping!$J$60)*IF(bunker_choice="HFO",bunker_price_ROT,IF(bunker_choice="hydrogen",$BD115*hfo_e_density_lhv/h2_e_density_lhv,(CB115+CD115)*1000000/CF115*hfo_e_density_lhv/FA_e_density_lhv))+Shipping!$J$73+IF(G115="Panama",Shipping!$J$55,0)+IF(G115="Suez",Shipping!$J$56,0))/Shipping!$J$31*CF115/1000000+IF(inland_transport_to_port="hv dc grid",$BM115/100*1000*CI115,IF(inland_transport_to_port="pipeline",$BN115,0)))</f>
        <v>10123.625105714898</v>
      </c>
      <c r="CH115" s="28">
        <f t="shared" si="132"/>
        <v>128210.29464006718</v>
      </c>
      <c r="CI115" s="29">
        <f>((Carriers!$P$18/Carriers!$P$23*alk_el_e_demand)+FA_e_demand)*(CF115+FA_st_ab_losses)/1000000+FA_st_e_demand*CF115/1000000</f>
        <v>1897.8881241622576</v>
      </c>
      <c r="CJ115" s="29">
        <f t="shared" si="157"/>
        <v>0.46563809523809524</v>
      </c>
      <c r="CK115" s="28">
        <f>IFERROR(CH115*1000000/Storage!$I$12,"")</f>
        <v>413.01483690195903</v>
      </c>
      <c r="CL115" s="28">
        <f>IF($E115="","No Port",((F115/24/Shipping!$J$44+F115/24/Shipping!$J$50+Shipping!$J$59+Shipping!$J$64)*Carriers!$P$39*wacc_nl))</f>
        <v>204.22908488887842</v>
      </c>
      <c r="CM115" s="29">
        <f>H2_retrieval!$H$25*h2_demand_kt/1000+(co2_liq_e_demand+co2_st_e_demand*2)*Storage!$I$12*co2_density/FA_density/1000000</f>
        <v>94.204253879484654</v>
      </c>
      <c r="CN115" s="28">
        <f>IFERROR((((CB115+CD115+CG115)*(1+H2_retrieval!$H$34)+CL115)*1000000/H2_retrieval!$H$8)+h2_regen_fa,"")</f>
        <v>8277.976410990248</v>
      </c>
      <c r="CO115" s="149">
        <f>(meoh_invest*(M115+1/meoh_lifetime)/meoh_prod+meoh_opex+meoh_e_demand*1000*$AU115/100+Carriers!$R$18/Carriers!$R$23*BD115+Carriers!$R$20/Carriers!$R$23*co2_liq_cost)*(CS115+meoh_st_ab_losses)/1000000</f>
        <v>47558.869005592263</v>
      </c>
      <c r="CP115" s="86">
        <f>(meoh_invest*(M115+1/meoh_lifetime)/meoh_prod+meoh_opex+meoh_e_demand*1000*$AU115/100+Carriers!$R$18/Carriers!$R$23*BD115+Carriers!$R$20/Carriers!$R$23*BP115)*(CS115+meoh_st_ab_losses)/1000000</f>
        <v>61256.919957827064</v>
      </c>
      <c r="CQ115" s="63">
        <f>meoh_st_nl_cost*meoh_st_nl_demand/1000000+(meoh_st_invest*(M115+1/meoh_st_lifetime+meoh_st_opex)/(Storage!$K$63/1000000)+meoh_st_e_demand*1000*$AU115/100)*(CS115+meoh_st_ab_losses)/1000000+co2_st_nl_cost*Storage!$K$12*co2_density/meoh_density/1000000+(co2_st_opex_lev+co2_st_invest_lev+co2_st_e_demand*1000*IFERROR(MIN(S115,AA115,AI115),S115)/100)*Storage!$K$12/1000000+co2_st_invest_lev*Storage!$K$12*co2_st_lifetime*M115/1000000+Carriers!$R$18/Carriers!$R$23*((CS115+meoh_st_ab_losses)/365.25*short_st_duration_hrs/24)*(h2_short_st_invest*(1/gh2_short_st_lifetime+$M115+h2_short_st_opex)+h2_short_st_e_demand*1000*$AU115/100)/1000000+Carriers!$R$20/Carriers!$R$23*((CF115+meoh_st_ab_losses)/365.25*short_st_duration_hrs/24)*(co2_short_st_invest*(1/co2_short_st_lifetime+$M115+co2_short_st_opex)+co2_short_st_e_demand*1000*$AU115/100)/1000000</f>
        <v>4366.7844038108005</v>
      </c>
      <c r="CR115" s="63">
        <f>meoh_st_nl_cost*meoh_st_nl_demand/1000000+(meoh_st_invest*(M115+1/meoh_st_lifetime+meoh_st_opex)/(Storage!$K$63/1000000)+meoh_st_e_demand*1000*$AU115/100)*(CS115+meoh_st_ab_losses)/1000000+Carriers!$R$18/Carriers!$R$23*((CS115+meoh_st_ab_losses)/365.25*short_st_duration_hrs/24)*(h2_short_st_invest*(1/gh2_short_st_lifetime+$M115+h2_short_st_opex)+h2_short_st_e_demand*1000*$AU115/100)/1000000+Carriers!$R$20/Carriers!$R$23*((CF115+meoh_st_ab_losses)/365.25*short_st_duration_hrs/24)*(co2_short_st_invest*(1/co2_short_st_lifetime+$M115+co2_short_st_opex)+co2_short_st_e_demand*1000*$AU115/100)/1000000</f>
        <v>1715.077522257011</v>
      </c>
      <c r="CS115" s="63">
        <f>Storage!$K$57/((1-Shipping!$L$37)^($F115/24/Shipping!$L$44+0.5*Shipping!$L$59))</f>
        <v>108044444.44444443</v>
      </c>
      <c r="CT115" s="28">
        <f>IF($E115="","No Port",IF(AND(ship_choice="VLCC",G115="Panama"),"Ship cannot pass through Panama",IF(ship_choice="VLCC",((F115/24/Shipping!$AD$44+F115/24/Shipping!$AD$50+Shipping!$AD$59+Shipping!$AD$64)*(Shipping!$AD$22+wacc_nl*Shipping!$AD$19/365.25*1000000+Shipping!$AD$35)+(F115/24/Shipping!$AD$44*Shipping!$AD$45+Shipping!$AD$64*Shipping!$AD$65)*IF(bunker_choice="HFO",$H115,IF(bunker_choice="hydrogen",$BD115*hfo_e_density_lhv/h2_e_density_lhv,(CO115+CQ115)*1000000/CS115*hfo_e_density_lhv/meoh_e_density_lhv))+(F115/24/Shipping!$AD$50*Shipping!$AD$51+Shipping!$AD$59*Shipping!$AD$60)*IF(bunker_choice="HFO",bunker_price_ROT,IF(bunker_choice="hydrogen",$BD115*hfo_e_density_lhv/h2_e_density_lhv,(CO115+CQ115)*1000000/CS115*hfo_e_density_lhv/meoh_e_density_lhv))+Shipping!$AD$73+IF(G115="Panama",Shipping!$AD$55,0)+IF(G115="Suez",Shipping!$AD$56,0))/Shipping!$AD$31*CS115/1000000+IF(inland_transport_to_port="hv dc grid",$BM115/100*1000*CV115,IF(inland_transport_to_port="pipeline",$BN115,0)),((F115/24/Shipping!$L$44+F115/24/Shipping!$L$50+Shipping!$L$59+Shipping!$L$64)*(Shipping!$L$22+wacc_nl*Shipping!$L$19/365.25*1000000+Shipping!$L$35)+(F115/24/Shipping!$L$44*Shipping!$L$45+Shipping!$L$64*Shipping!$L$65)*IF(bunker_choice="HFO",$H115,IF(bunker_choice="hydrogen",$BD115*hfo_e_density_lhv/h2_e_density_lhv,(CO115+CQ115)*1000000/CS115*hfo_e_density_lhv/meoh_e_density_lhv))+(F115/24/Shipping!$L$50*Shipping!$L$51+Shipping!$L$59*Shipping!$L$60)*IF(bunker_choice="HFO",bunker_price_ROT,IF(bunker_choice="hydrogen",$BD115*hfo_e_density_lhv/h2_e_density_lhv,(CO115+CQ115)*1000000/CS115*hfo_e_density_lhv/meoh_e_density_lhv))+Shipping!$L$73+IF(G115="Panama",Shipping!$L$55,0)+IF(G115="Suez",Shipping!$L$56,0))/Shipping!$L$31*CS115/1000000+IF(inland_transport_to_port="hv dc grid",$BM115/100*1000*CV115,IF(inland_transport_to_port="pipeline",$BN115,0)))))</f>
        <v>3422.8715634523446</v>
      </c>
      <c r="CU115" s="28">
        <f t="shared" si="133"/>
        <v>66394.869043536411</v>
      </c>
      <c r="CV115" s="29">
        <f>((Carriers!$R$18/Carriers!$R$23*alk_el_e_demand)+meoh_e_demand)*(CS115+meoh_st_ab_losses)/1000000+meoh_st_e_demand*CS115/1000000</f>
        <v>1119.9789871111109</v>
      </c>
      <c r="CW115" s="29">
        <f t="shared" si="158"/>
        <v>0.16206666666666666</v>
      </c>
      <c r="CX115" s="28">
        <f>IFERROR(CU115*1000000/Storage!$K$12,"")</f>
        <v>614.51441936633876</v>
      </c>
      <c r="CY115" s="28">
        <f>IF($E115="","No Port",((F115/24/Shipping!$L$44+F115/24/Shipping!$L$50+Shipping!$L$59+Shipping!$L$64)*Carriers!$R$39*wacc_nl))</f>
        <v>72.996458967381912</v>
      </c>
      <c r="CZ115" s="29">
        <f>H2_retrieval!$J$25*h2_demand_kt/1000+(co2_liq_e_demand+co2_st_e_demand*2)*Storage!$K$12*co2_density/meoh_density/1000000</f>
        <v>251.05079059698966</v>
      </c>
      <c r="DA115" s="28">
        <f>IFERROR((((CO115+CQ115+CT115)*(1+H2_retrieval!$J$34)+CY115)*1000000/H2_retrieval!$J$8)+h2_regen_meoh,"")</f>
        <v>5245.2404131830854</v>
      </c>
      <c r="DB115" s="149">
        <f>(DBT_invest*(M115+1/DBT_lifetime)/DBT_prod+DBT_opex+DBT_e_demand*1000*$AU115/100+Carriers!$T$18/Carriers!$T$23*BD115)*(DD115+DBT_st_ab_losses)/1000000</f>
        <v>31820.488329224536</v>
      </c>
      <c r="DC115" s="28">
        <f>2*(DBT_st_nl_cost*DBT_st_nl_demand/1000000+(DBT_st_invest*(M115+1/DBT_st_lifetime+DBT_st_opex)/(Storage!$M$63/1000000)+DBT_st_e_demand*1000*$AU115/100)*(DD115+DBT_st_ab_losses)/1000000)+Carriers!$T$18/Carriers!$T$23*((DD115+DBT_st_ab_losses)/365.25*short_st_duration_hrs/24)*(h2_short_st_invest*(1/gh2_short_st_lifetime+$M115+h2_short_st_opex)+h2_short_st_e_demand*1000*$AU115/100)/1000000</f>
        <v>3628.0987104084284</v>
      </c>
      <c r="DD115" s="63">
        <f>Storage!$M$57/((1-Shipping!$N$37)^($F115/24/Shipping!$N$44+0.5*Shipping!$N$59))</f>
        <v>219354838.70967743</v>
      </c>
      <c r="DE115" s="28">
        <f>IF($E115="","No Port",IF(AND(ship_choice="VLCC",G115="Panama"),"Ship cannot pass through Panama",IF(ship_choice="VLCC",((F115/24/Shipping!$AD$44+F115/24/Shipping!$AD$50+Shipping!$AD$59+Shipping!$AD$64)*(Shipping!$AD$22+wacc_nl*Shipping!$AD$19/365.25*1000000+Shipping!$AD$35)+(F115/24/Shipping!$AD$44*Shipping!$AD$45+Shipping!$AD$64*Shipping!$AD$65)*IF(bunker_choice="HFO",$H115,IF(bunker_choice="hydrogen",$BD115*hfo_e_density_lhv/h2_e_density_lhv,(DB115+DC115)*1000000/DD115*hfo_e_density_lhv/DBT_e_density_lhv))+(F115/24/Shipping!$AD$50*Shipping!$AD$51+Shipping!$AD$59*Shipping!$AD$60)*IF(bunker_choice="HFO",bunker_price_ROT,IF(bunker_choice="hydrogen",$BD115*hfo_e_density_lhv/h2_e_density_lhv,(DB115+DC115)*1000000/DD115*hfo_e_density_lhv/DBT_e_density_lhv))+Shipping!$AD$73+IF(G115="Panama",Shipping!$AD$55,0)+IF(G115="Suez",Shipping!$AD$56,0))/Shipping!$AD$31*DD115/1000000+IF(inland_transport_to_port="hv dc grid",$BM115/100*1000*DG115,IF(inland_transport_to_port="pipeline",$BN115,0)),((F115/24/Shipping!$N$44+F115/24/Shipping!$N$50+Shipping!$N$59+Shipping!$N$64)*(Shipping!$N$22+wacc_nl*Shipping!$N$19/365.25*1000000+Shipping!$N$35)+(F115/24/Shipping!$N$44*Shipping!$N$45+Shipping!$N$64*Shipping!$N$65)*IF(bunker_choice="HFO",$H115,IF(bunker_choice="hydrogen",$BD115*hfo_e_density_lhv/h2_e_density_lhv,(DB115+DC115)*1000000/DD115*hfo_e_density_lhv/DBT_e_density_lhv))+(F115/24/Shipping!$N$50*Shipping!$N$51+Shipping!$N$59*Shipping!$N$60)*IF(bunker_choice="HFO",bunker_price_ROT,IF(bunker_choice="hydrogen",$BD115*hfo_e_density_lhv/h2_e_density_lhv,(DB115+DC115)*1000000/DD115*hfo_e_density_lhv/DBT_e_density_lhv))+Shipping!$N$73+IF(G115="Panama",Shipping!$N$55,0)+IF(G115="Suez",Shipping!$N$56,0))/Shipping!$N$31*Shipping!$N$86/1000000+IF(inland_transport_to_port="hv dc grid",$BM115/100*1000*DG115,IF(inland_transport_to_port="pipeline",$BN115,0)))))</f>
        <v>6245.6654026451779</v>
      </c>
      <c r="DF115" s="28">
        <f t="shared" si="159"/>
        <v>41694.252442278143</v>
      </c>
      <c r="DG115" s="29">
        <f>((Carriers!$T$18/Carriers!$T$23*alk_el_e_demand)+DBT_e_demand)*(DD115+DBT_st_ab_losses)/1000000+DBT_st_e_demand*DD115/1000000</f>
        <v>703.88335483870969</v>
      </c>
      <c r="DH115" s="29">
        <f t="shared" si="160"/>
        <v>0.21935483870967742</v>
      </c>
      <c r="DI115" s="28">
        <f>IFERROR(DF115*1000000/Storage!$M$12,"")</f>
        <v>190.07673907509152</v>
      </c>
      <c r="DJ115" s="28">
        <f>IF($E115="","No Port",((F115/24/Shipping!$N$44+F115/24/Shipping!$N$50+Shipping!$N$59+Shipping!$N$64)*Carriers!$T$39*wacc_nl))</f>
        <v>5316.5719452774174</v>
      </c>
      <c r="DK115" s="100">
        <f>H2_retrieval!$L$25*h2_demand_kt/1000+(co2_liq_e_demand+co2_st_e_demand*2)*Storage!$M$12*co2_density/DBT_density/1000000</f>
        <v>206.61934861671787</v>
      </c>
      <c r="DL115" s="28">
        <f>IFERROR(((DF115*(1+H2_retrieval!$L$34)+DJ115)*1000000/H2_retrieval!$L$8)+h2_regen_lohc,"")</f>
        <v>3927.3280444296452</v>
      </c>
      <c r="DM115" s="149">
        <f t="shared" si="175"/>
        <v>52422.082424716362</v>
      </c>
      <c r="DN115" s="16">
        <f>2*(nabh4_st_nl_cost*nabh4_st_nl_demand/1000000+(nabh4_st_invest*(M115+1/nabh4_st_lifetime+nabh4_st_opex)/(Storage!$O$63/1000000)+nabh4_st_e_demand*1000*$AU115/100)*(DO115+nabh4_st_ab_losses)/1000000)+(h2_demand_kt*1000/365.25*short_st_duration_hrs/24)*(h2_short_st_invest*(1/gh2_short_st_lifetime+$M115+h2_short_st_opex)+h2_short_st_e_demand*1000*$AU115/100)/1000000</f>
        <v>1284.4169013011237</v>
      </c>
      <c r="DO115" s="63">
        <f>Storage!$O$57/((1-Shipping!$P$37)^($F115/24/Shipping!$P$44+0.5*Shipping!$P$59))</f>
        <v>63920000</v>
      </c>
      <c r="DP115" s="16">
        <f>IF($E115="","No Port",((F115/24/Shipping!$P$44+F115/24/Shipping!$P$50+Shipping!$P$59+Shipping!$P$64)*(Shipping!$P$22+wacc_nl*Shipping!$P$19/365.25*1000000+Shipping!$P$35)+(F115/24/Shipping!$P$44*Shipping!$P$45+Shipping!$P$64*Shipping!$P$65)*IF(bunker_choice="HFO",$H115,IF(bunker_choice="hydrogen",$BD115*hfo_e_density_lhv/h2_e_density_lhv,(DM115+DN115)*1000000/DO115*hfo_e_density_lhv/nabh4_e_density_lhv))+(F115/24/Shipping!$P$50*Shipping!$P$51+Shipping!$P$59*Shipping!$P$60)*IF(bunker_choice="HFO",bunker_price_ROT,IF(bunker_choice="hydrogen",$BD115*hfo_e_density_lhv/h2_e_density_lhv,(DM115+DN115)*1000000/DO115*hfo_e_density_lhv/nabh4_e_density_lhv))+Shipping!$P$73+IF(G115="Panama",Shipping!$P$55,0)+IF(G115="Suez",Shipping!$P$56,0))/Shipping!$P$31*(DO115+nabh4_st_ab_losses)/1000000+IF(inland_transport_to_port="hv dc grid",$BM115/100*1000*DR115,IF(inland_transport_to_port="pipeline",$BN115,0)))</f>
        <v>1672.1336437218522</v>
      </c>
      <c r="DQ115" s="28">
        <f t="shared" si="146"/>
        <v>55378.632969739338</v>
      </c>
      <c r="DR115" s="29">
        <f>((Carriers!$V$18/Carriers!$V$23*alk_el_e_demand)+nabh4_e_demand)*(DO115+nabh4_st_ab_losses)/1000000+nabh4_st_e_demand*DO115/1000000</f>
        <v>980.02139682539689</v>
      </c>
      <c r="DS115" s="28">
        <f t="shared" si="161"/>
        <v>3.1960000000000002</v>
      </c>
      <c r="DT115" s="28">
        <f>IFERROR(DQ115*1000000/Storage!$O$12,"")</f>
        <v>866.37410778691071</v>
      </c>
      <c r="DU115" s="28">
        <f>IF($E115="","No Port",((F115/24/Shipping!$P$44+F115/24/Shipping!$P$50+Shipping!$P$59+Shipping!$P$64)*Carriers!$V$39*wacc_nl))</f>
        <v>498.3497981926821</v>
      </c>
      <c r="DV115" s="100">
        <f>H2_retrieval!$N$25*h2_demand_kt/1000+(co2_liq_e_demand+co2_st_e_demand*2)*Storage!$O$12*co2_density/nabh4_density/1000000</f>
        <v>18.783638728971958</v>
      </c>
      <c r="DW115" s="28">
        <f>IFERROR(((DQ115*(1+H2_retrieval!$N$34)+DU115)*1000000/H2_retrieval!$N$8)+h2_regen_nabh4,"")</f>
        <v>4196.9150506952574</v>
      </c>
      <c r="DX115" s="149">
        <f>(Dme_invest*(M115+1/Dme_lifetime)/Dme_prod+Dme_opex+Dme_e_demand*1000*$AU115/100+Carriers!$X$21/Carriers!$X$23*(CO115*1000000/CS115))*(EB115+Dme_st_ab_losses)/1000000</f>
        <v>67398.804589307445</v>
      </c>
      <c r="DY115" s="86">
        <f>(Dme_invest*(M115+1/Dme_lifetime)/Dme_prod+Dme_opex+Dme_e_demand*1000*$AU115/100+Carriers!$X$21/Carriers!$X$23*(CP115*1000000/CS115))*(EB115+Dme_st_ab_losses)/1000000</f>
        <v>85982.45735023728</v>
      </c>
      <c r="DZ115" s="63">
        <f>Dme_st_nl_cost*Dme_st_nl_demand/1000000+(Dme_st_invest*(M115+1/Dme_st_lifetime+Dme_st_opex)/(Storage!$Q$63/1000000)+Dme_st_e_demand*1000*$AU115/100)*(EB115+Dme_st_ab_losses)/1000000+co2_st_nl_cost*Storage!$Q$12*co2_density/Dme_density/1000000+(co2_st_opex_lev+co2_st_invest_lev+co2_st_e_demand*1000*$AU115/100)*Storage!$Q$12/1000000+co2_st_invest_lev*Storage!$Q$12*co2_st_lifetime*M115/1000000+(h2_demand_kt*1000/365.25*short_st_duration_hrs/24)*(h2_short_st_invest*(1/gh2_short_st_lifetime+$M115+h2_short_st_opex)+h2_short_st_e_demand*1000*$AU115/100)/1000000</f>
        <v>5434.4132014314619</v>
      </c>
      <c r="EA115" s="63">
        <f>Dme_st_nl_cost*Dme_st_nl_demand/1000000+(Dme_st_invest*(M115+1/Dme_st_lifetime+Dme_st_opex)/(Storage!$Q$63/1000000)+Dme_st_e_demand*1000*$AU115/100)*(EB115+Dme_st_ab_losses)/1000000+(h2_demand_kt*1000/365.25*short_st_duration_hrs/24)*(h2_short_st_invest*(1/gh2_short_st_lifetime+$M115+h2_short_st_opex)+h2_short_st_e_demand*1000*$AU115/100)/1000000</f>
        <v>2638.4352756252488</v>
      </c>
      <c r="EB115" s="63">
        <f>Storage!$Q$57/((1-Shipping!$R$37)^($F115/24/Shipping!$R$44+0.5*Shipping!$R$59))</f>
        <v>103547089.94708996</v>
      </c>
      <c r="EC115" s="153">
        <f>IF($E115="","No Port",IF(AND(ship_choice="VLCC",G115="Panama"),"Ship cannot pass through Panama",IF(ship_choice="VLCC",((F115/24/Shipping!$AD$44+F115/24/Shipping!$AD$50+Shipping!$AD$59+Shipping!$AD$64)*(Shipping!$AD$22+wacc_nl*Shipping!$AD$19/365.25*1000000+Shipping!$AD$35)+(F115/24/Shipping!$AD$44*Shipping!$AD$45+Shipping!$AD$64*Shipping!$AD$65)*IF(bunker_choice="HFO",$H115,IF(bunker_choice="hydrogen",$BD115*hfo_e_density_lhv/h2_e_density_lhv,(DX115+DZ115)*1000000/EB115*hfo_e_density_lhv/Dme_e_density_lhv))+(F115/24/Shipping!$AD$50*Shipping!$AD$51+Shipping!$AD$59*Shipping!$AD$60)*IF(bunker_choice="HFO",bunker_price_ROT,IF(bunker_choice="hydrogen",$BD115*hfo_e_density_lhv/h2_e_density_lhv,(DX115+DZ115)*1000000/EB115*hfo_e_density_lhv/Dme_e_density_lhv))+Shipping!$AD$73+IF(G115="Panama",Shipping!$AD$55,0)+IF(G115="Suez",Shipping!$AD$56,0))/Shipping!$AD$31*(EB115+Dme_st_ab_losses)/1000000+IF(inland_transport_to_port="hv dc grid",$BM115/100*1000*EE115,IF(inland_transport_to_port="pipeline",$BN115,0)),((F115/24/Shipping!$R$44+F115/24/Shipping!$R$50+Shipping!$R$59+Shipping!$R$64)*(Shipping!$R$22+wacc_nl*Shipping!$R$19/365.25*1000000+Shipping!$R$35)+(F115/24/Shipping!$R$44*Shipping!$R$45+Shipping!$R$64*Shipping!$R$65)*IF(bunker_choice="HFO",$H115,IF(bunker_choice="hydrogen",$BD115*hfo_e_density_lhv/h2_e_density_lhv,(DX115+DZ115)*1000000/EB115*hfo_e_density_lhv/Dme_e_density_lhv))+(F115/24/Shipping!$R$50*Shipping!$R$51+Shipping!$R$59*Shipping!$R$60)*IF(bunker_choice="HFO",bunker_price_ROT,IF(bunker_choice="hydrogen",$BD115*hfo_e_density_lhv/h2_e_density_lhv,(DX115+DZ115)*1000000/EB115*hfo_e_density_lhv/Dme_e_density_lhv))+Shipping!$R$73+IF(G115="Panama",Shipping!$R$55,0)+IF(G115="Suez",Shipping!$R$56,0))/Shipping!$R$31*(EB115+Dme_st_ab_losses)/1000000+IF(inland_transport_to_port="hv dc grid",$BM115/100*1000*EE115,IF(inland_transport_to_port="pipeline",$BN115,0)))))</f>
        <v>3560.8252254832137</v>
      </c>
      <c r="ED115" s="28">
        <f t="shared" si="134"/>
        <v>92181.717851345747</v>
      </c>
      <c r="EE115" s="29">
        <f>(Dme_e_demand)*(EB115+Dme_st_ab_losses)/1000000+Dme_st_e_demand*DZ115/1000000+$CV115*(Carriers!$X$21/Carriers!$X$23*EB115)/$CS115</f>
        <v>1550.2168145111877</v>
      </c>
      <c r="EF115" s="29">
        <f t="shared" si="162"/>
        <v>1.0354708994708997</v>
      </c>
      <c r="EG115" s="28">
        <f>IFERROR(ED115*1000000/Storage!$Q$12,"")</f>
        <v>890.23957987084293</v>
      </c>
      <c r="EH115" s="28">
        <f>IF($E115="","No Port",((F115/24/Shipping!$R$44+F115/24/Shipping!$R$50+Shipping!$R$59+Shipping!$R$64)*Carriers!$X$39*wacc_nl))</f>
        <v>75.438097110327192</v>
      </c>
      <c r="EI115" s="100">
        <f>H2_retrieval!$P$25*h2_demand_kt/1000+(co2_liq_e_demand+co2_st_e_demand*2)*Storage!$Q$12*co2_density/Dme_density/1000000</f>
        <v>252.45335899349112</v>
      </c>
      <c r="EJ115" s="28">
        <f>IFERROR((((DX115+DZ115+EC115)*(1+H2_retrieval!$P$34)+EH115)*1000000/H2_retrieval!$P$8)+h2_regen_dme,"")</f>
        <v>6792.884507411738</v>
      </c>
      <c r="EK115" s="149">
        <f>(ome_invest*(M115+1/ome_lifetime)/ome_prod+ome_opex+ome_e_demand*1000*$AU115/100+Carriers!$Z$21/Carriers!$Z$23*(CO115*1000000/CS115))*(EO115+ome_st_ab_losses)/1000000</f>
        <v>147950.55408738586</v>
      </c>
      <c r="EL115" s="86">
        <f>(ome_invest*(M115+1/ome_lifetime)/ome_prod+ome_opex+ome_e_demand*1000*$AU115/100+Carriers!$Z$21/Carriers!$Z$23*(CP115*1000000/CS115))*(EO115+ome_st_ab_losses)/1000000</f>
        <v>186961.25878279514</v>
      </c>
      <c r="EM115" s="63">
        <f>ome_st_nl_cost*ome_st_nl_demand/1000000+(ome_st_invest*(M115+1/ome_st_lifetime+ome_st_opex)/(Storage!$S$63/1000000)+ome_st_e_demand*1000*$AU115/100)*(EO115+ome_st_ab_losses)/1000000+co2_st_nl_cost*Storage!$S$12*co2_density/ome_density/1000000+(co2_st_opex_lev+co2_st_invest_lev+co2_st_e_demand*1000*$AU115/100)*Storage!$S$12/1000000+co2_st_invest_lev*Storage!$S$12*co2_st_lifetime*M115/1000000+(h2_demand_kt*1000/365.25*short_st_duration_hrs/24)*(h2_short_st_invest*(1/gh2_short_st_lifetime+$M115+h2_short_st_opex)+h2_short_st_e_demand*1000*$AU115/100)/1000000</f>
        <v>4687.1463551292554</v>
      </c>
      <c r="EN115" s="63">
        <f>ome_st_nl_cost*ome_st_nl_demand/1000000+(ome_st_invest*(M115+1/ome_st_lifetime+ome_st_opex)/(Storage!$S$63/1000000)+ome_st_e_demand*1000*$AU115/100)*(EO115+ome_st_ab_losses)/1000000+(h2_demand_kt*1000/365.25*short_st_duration_hrs/24)*(h2_short_st_invest*(1/gh2_short_st_lifetime+$M115+h2_short_st_opex)+h2_short_st_e_demand*1000*$AU115/100)/1000000</f>
        <v>1562.2297962730131</v>
      </c>
      <c r="EO115" s="63">
        <f>Storage!$S$57/((1-Shipping!$T$37)^($F115/24/Shipping!$T$44+0.5*Shipping!$T$59))</f>
        <v>128282539.68253967</v>
      </c>
      <c r="EP115" s="28">
        <f>IF($E115="","No Port",IF(AND(ship_choice="VLCC",G115="Panama"),"Ship cannot pass through Panama",IF(ship_choice="VLCC",((F115/24/Shipping!$AD$44+F115/24/Shipping!$AD$50+Shipping!$AD$59+Shipping!$AD$64)*(Shipping!$AD$22+wacc_nl*Shipping!$AD$19/365.25*1000000+Shipping!$AD$35)+(F115/24/Shipping!$AD$44*Shipping!$AD$45+Shipping!$AD$64*Shipping!$AD$65)*IF(bunker_choice="HFO",$H115,IF(bunker_choice="hydrogen",$BD115*hfo_e_density_lhv/h2_e_density_lhv,(EK115+EM115)*1000000/EO115*hfo_e_density_lhv/Dme_e_density_lhv))+(F115/24/Shipping!$AD$50*Shipping!$AD$51+Shipping!$AD$59*Shipping!$AD$60)*IF(bunker_choice="HFO",bunker_price_ROT,IF(bunker_choice="hydrogen",$BD115*hfo_e_density_lhv/h2_e_density_lhv,(EK115+EM115)*1000000/EO115*hfo_e_density_lhv/ome_e_density_lhv))+Shipping!$AD$73+IF(G115="Panama",Shipping!$AD$55,0)+IF(G115="Suez",Shipping!$AD$56,0))/Shipping!$AD$31*(EO115+ome_st_ab_losses)/1000000+IF(inland_transport_to_port="hv dc grid",$BM115/100*1000*ER115,IF(inland_transport_to_port="pipeline",$BN115,0)),((F115/24/Shipping!$T$44+F115/24/Shipping!$T$50+Shipping!$T$59+Shipping!$T$64)*(Shipping!$T$22+wacc_nl*Shipping!$T$19/365.25*1000000+Shipping!$T$35)+(F115/24/Shipping!$T$44*Shipping!$T$45+Shipping!$T$64*Shipping!$T$65)*IF(bunker_choice="HFO",$H115,IF(bunker_choice="hydrogen",$BD115*hfo_e_density_lhv/h2_e_density_lhv,(EK115+EM115)*1000000/EO115*hfo_e_density_lhv/Dme_e_density_lhv))+(F115/24/Shipping!$T$50*Shipping!$T$51+Shipping!$T$59*Shipping!$T$60)*IF(bunker_choice="HFO",bunker_price_ROT,IF(bunker_choice="hydrogen",$BD115*hfo_e_density_lhv/h2_e_density_lhv,(EK115+EM115)*1000000/EO115*hfo_e_density_lhv/ome_e_density_lhv))+Shipping!$T$73+IF(G115="Panama",Shipping!$T$55,0)+IF(G115="Suez",Shipping!$T$56,0))/Shipping!$T$31*(EO115+ome_st_ab_losses)/1000000+IF(inland_transport_to_port="hv dc grid",$BM115/100*1000*ER115,IF(inland_transport_to_port="pipeline",$BN115,0)))))</f>
        <v>3805.7336671289672</v>
      </c>
      <c r="EQ115" s="28">
        <f t="shared" si="135"/>
        <v>192329.22224619714</v>
      </c>
      <c r="ER115" s="29">
        <f>(ome_e_demand)*(EO115+ome_st_ab_losses)/1000000+ome_st_e_demand*EM115/1000000+$CV115*(Carriers!$Z$21/Carriers!$Z$23*EO115)/$CS115</f>
        <v>3352.0814571715032</v>
      </c>
      <c r="ES115" s="29">
        <f t="shared" si="163"/>
        <v>0.1924238095238095</v>
      </c>
      <c r="ET115" s="28">
        <f>IFERROR(EQ115*1000000/Storage!$S$12,"")</f>
        <v>1499.262664444854</v>
      </c>
      <c r="EU115" s="28">
        <f>IF($E115="","No Port",((F115/24/Shipping!$T$44+F115/24/Shipping!$T$50+Shipping!$T$59+Shipping!$T$64)*Carriers!$Z$39*wacc_nl))</f>
        <v>86.669621860872539</v>
      </c>
      <c r="EV115" s="100">
        <f>H2_retrieval!$R$25*h2_demand_kt/1000+(co2_liq_e_demand+co2_st_e_demand*2)*Storage!$S$12*co2_density/ome_density/1000000</f>
        <v>254.51942895252085</v>
      </c>
      <c r="EW115" s="28">
        <f>IFERROR((((EK115+EM115+EP115)*(1+H2_retrieval!$R$34)+EU115)*1000000/H2_retrieval!$R$8)+h2_regen_ome,"")</f>
        <v>12679.694994042069</v>
      </c>
      <c r="EX115" s="149">
        <f>(sng_invest*(M115+1/sng_lifetime)/sng_prod+lng_invest*(M115+1/lng_lifetime)/lng_prod+sng_opex+lng_opex+(sng_e_demand+lng_e_demand)*1000*$AU115/100+Carriers!$AB$18/Carriers!$AB$23*BD115+Carriers!$AB$20/Carriers!$AB$23*co2_liq_cost)*(FB115+lng_st_ab_losses)/1000000</f>
        <v>51928.147627456121</v>
      </c>
      <c r="EY115" s="86">
        <f>(sng_invest*(M115+1/sng_lifetime)/sng_prod+lng_invest*(M115+1/lng_lifetime)/lng_prod+sng_opex+lng_opex+(sng_e_demand+lng_e_demand)*1000*$AU115/100+Carriers!$AB$18/Carriers!$AB$23*BD115+Carriers!$AB$20/Carriers!$AB$23*BP115)*(FB115+lng_st_ab_losses)/1000000</f>
        <v>62183.106665110863</v>
      </c>
      <c r="EZ115" s="63">
        <f>lng_st_nl_cost*lng_st_nl_demand/1000000+(lng_st_invest*(M115+1/lng_st_lifetime+lng_st_opex)/(Storage!$U$63/1000000)+lng_st_e_demand*1000*$AU115/100)*(FB115+lng_st_ab_losses)/1000000+co2_st_nl_cost*Storage!$U$12*co2_density/lng_density/1000000+(co2_st_opex_lev+co2_st_invest_lev+co2_st_e_demand*1000*$AU115/100)*Storage!$U$12/1000000+co2_st_invest_lev*Storage!$U$12*co2_st_lifetime*M115/1000000+Carriers!$AB$18/Carriers!$AB$23*((FB115+lng_st_ab_losses)/365.25*short_st_duration_hrs/24)*(h2_short_st_invest*(1/gh2_short_st_lifetime+$M115+h2_short_st_opex)+h2_short_st_e_demand*1000*$AU115/100)/1000000+Carriers!$AB$20/Carriers!$AB$23*((FB115+lng_st_ab_losses)/365.25*short_st_duration_hrs/24)*(co2_short_st_invest*(1/co2_short_st_lifetime+$M115+co2_short_st_opex)+co2_short_st_e_demand*1000*$AU115/100)/1000000</f>
        <v>5654.8282000914705</v>
      </c>
      <c r="FA115" s="63">
        <f>lng_st_nl_cost*lng_st_nl_demand/1000000+(lng_st_invest*(M115+1/lng_st_lifetime+lng_st_opex)/(Storage!$U$63/1000000)+lng_st_e_demand*1000*$AU115/100)*(FB115+lng_st_ab_losses)/1000000+Carriers!$AB$18/Carriers!$AB$23*((FB115+lng_st_ab_losses)/365.25*short_st_duration_hrs/24)*(h2_short_st_invest*(1/gh2_short_st_lifetime+$M115+h2_short_st_opex)+h2_short_st_e_demand*1000*$AU115/100)/1000000+Carriers!$AB$20/Carriers!$AB$23*((FB115+lng_st_ab_losses)/365.25*short_st_duration_hrs/24)*(co2_short_st_invest*(1/co2_short_st_lifetime+$M115+co2_short_st_opex)+co2_short_st_e_demand*1000*$AU115/100)/1000000</f>
        <v>4121.2874916499277</v>
      </c>
      <c r="FB115" s="63">
        <f>Storage!$U$57/((1-Shipping!$V$37)^($F115/24/Shipping!$V$44+0.5*Shipping!$V$59))</f>
        <v>41214283.894005604</v>
      </c>
      <c r="FC115" s="28">
        <f>IF($E115="","No Port",IF(G115="Panama","Ship cannot pass through Panama",((F115/24/Shipping!$V$44+F115/24/Shipping!$V$50+Shipping!$V$59+Shipping!$V$64)*(Shipping!$V$22+wacc_nl*Shipping!$V$19/365.25*1000000+Shipping!$V$35)+(F115/24/Shipping!$V$44*Shipping!$V$45+Shipping!$V$64*Shipping!$V$65)*IF(bunker_choice="HFO",$H115,IF(bunker_choice="hydrogen",$BD115*hfo_e_density_lhv/h2_e_density_lhv,(EX115+EZ115)*1000000/FB115*hfo_e_density_lhv/lng_e_density_lhv))+(F115/24/Shipping!$V$50*Shipping!$V$51+Shipping!$V$59*Shipping!$V$60)*IF(bunker_choice="HFO",bunker_price_ROT,IF(bunker_choice="hydrogen",$BD115*hfo_e_density_lhv/h2_e_density_lhv,(EX115+EZ115)*1000000/FB115*hfo_e_density_lhv/lng_e_density_lhv))+Shipping!$V$73+IF(G115="Panama",Shipping!$V$55,0)+IF(G115="Suez",Shipping!$V$56,0))/Shipping!$V$31*(FB115+lng_st_ab_losses)/1000000)+IF(inland_transport_to_port="hv dc grid",$BM115/100*1000*FE115,IF(inland_transport_to_port="pipeline",$BN115,0)))</f>
        <v>1400.6723815031933</v>
      </c>
      <c r="FD115" s="28">
        <f t="shared" si="136"/>
        <v>67705.066538263985</v>
      </c>
      <c r="FE115" s="29">
        <f>((Carriers!$AB$18/Carriers!$AB$23*alk_el_e_demand)+sng_e_demand+lng_e_demand)*(FB115+lng_st_ab_losses)/1000000+lng_st_e_demand*EZ115/1000000</f>
        <v>1105.335198318862</v>
      </c>
      <c r="FF115" s="29">
        <f t="shared" si="164"/>
        <v>0.8126185861001558</v>
      </c>
      <c r="FG115" s="28">
        <f>IFERROR(FD115*1000000/Storage!$U$12,"")</f>
        <v>1668.2647027184883</v>
      </c>
      <c r="FH115" s="28">
        <f>IF($E115="","No Port",((F115/24/Shipping!$V$44+F115/24/Shipping!$V$50+Shipping!$V$59+Shipping!$V$64)*Carriers!$AB$39*wacc_nl))</f>
        <v>25.670433650038902</v>
      </c>
      <c r="FI115" s="100">
        <f>H2_retrieval!$T$25*h2_demand_kt/1000+(co2_liq_e_demand+co2_st_e_demand*2)*Storage!$U$12*co2_density/lng_density/1000000</f>
        <v>236.51371749646054</v>
      </c>
      <c r="FJ115" s="28">
        <f>IFERROR((((EX115+EZ115+FC115)*(1+H2_retrieval!$T$34)+FH115)*1000000/H2_retrieval!$T$8)+h2_regen_lng,"")</f>
        <v>5509.0490316300002</v>
      </c>
      <c r="FK115" s="149">
        <f>(lh2_invest*(M115+1/lh2_lifetime)/lh2_prod+lh2_opex+lh2_e_demand*1000*$AU115/100+Carriers!$AD$18/Carriers!$AD$23*BD115)*(FM115+lh2_st_ab_losses)/1000000</f>
        <v>41410.456992538566</v>
      </c>
      <c r="FL115" s="28">
        <f>lh2_st_nl_cost*lh2_st_nl_demand/1000000+(lh2_st_invest*(M115+1/lh2_st_lifetime+lh2_st_opex)/(Storage!$Y$63/1000000)+lh2_st_e_demand*1000*$AU115/100)*(FM115+lh2_st_ab_losses)/1000000+((FM115+lh2_st_ab_losses)/365.25*short_st_duration_hrs/24)*(h2_short_st_invest*(1/gh2_short_st_lifetime+$M115+h2_short_st_opex)+h2_short_st_e_demand*1000*$AU115/100)/1000000</f>
        <v>48473.024046203565</v>
      </c>
      <c r="FM115" s="63">
        <f>Storage!$Y$57/((1-Shipping!$Z$37)^($F115/24/Shipping!$Z$44+0.5*Shipping!$Z$59))</f>
        <v>13933343.05789228</v>
      </c>
      <c r="FN115" s="28">
        <f>IF($E115="","No Port",IF(G115="Panama","Ship cannot pass through Panama",((F115/24/Shipping!$Z$44+F115/24/Shipping!$Z$50+Shipping!$Z$59+Shipping!$Z$64)*(Shipping!$Z$22+wacc_nl*Shipping!$Z$19/365.25*1000000+Shipping!$Z$35)+(F115/24/Shipping!$Z$44*Shipping!$Z$45+Shipping!$Z$64*Shipping!$Z$65)*IF(bunker_choice="HFO",$H115,IF(bunker_choice="hydrogen",$BD115*hfo_e_density_lhv/h2_e_density_lhv,(FK115+FL115)*1000000/FM115*hfo_e_density_lhv/lh2_e_density_lhv))+(F115/24/Shipping!$Z$50*Shipping!$Z$51+Shipping!$Z$59*Shipping!$Z$60)*IF(bunker_choice="HFO",bunker_price_ROT,IF(bunker_choice="hydrogen",$BD115*hfo_e_density_lhv/h2_e_density_lhv,(FK115+FL115)*1000000/FM115*hfo_e_density_lhv/lh2_e_density_lhv))+Shipping!$Z$73+IF(G115="Panama",Shipping!$Z$55,0)+IF(G115="Suez",Shipping!$Z$56,0))/Shipping!$Z$31*(FM115+lh2_st_ab_losses)/1000000)+IF(inland_transport_to_port="hv dc grid",$BM115/100*1000*FP115,IF(inland_transport_to_port="pipeline",$BN115,0)))</f>
        <v>2506.5764679029103</v>
      </c>
      <c r="FO115" s="28">
        <f t="shared" si="128"/>
        <v>92390.05750664504</v>
      </c>
      <c r="FP115" s="29">
        <f>((Carriers!$AD$18/Carriers!$AD$23*alk_el_e_demand)+lh2_e_demand)*(FM115+lh2_st_ab_losses)/1000000+lh2_st_e_demand*FM115/1000000</f>
        <v>807.42161591023</v>
      </c>
      <c r="FQ115" s="100">
        <f t="shared" si="165"/>
        <v>1.361902463475859</v>
      </c>
      <c r="FR115" s="28">
        <f>IFERROR(FO115*1000000/Storage!$Y$12,"")</f>
        <v>6793.3865813709581</v>
      </c>
      <c r="FS115" s="100">
        <f>H2_retrieval!$V$25*h2_demand_kt/1000</f>
        <v>8.16</v>
      </c>
      <c r="FT115" s="28">
        <f>IFERROR(FR115*(1+H2_retrieval!$V$34)/Carrier_properties!$U$7+H2_retrieval!$V$38,"")</f>
        <v>6825.3553072394252</v>
      </c>
      <c r="FU115" s="12"/>
      <c r="FV115" s="24">
        <f t="shared" si="129"/>
        <v>1.8396150843537327</v>
      </c>
      <c r="FW115" s="24">
        <f t="shared" si="143"/>
        <v>3.9184043971498883</v>
      </c>
      <c r="FX115" s="24">
        <f t="shared" si="144"/>
        <v>5.7204282467769634</v>
      </c>
      <c r="FY115" s="24">
        <f t="shared" si="130"/>
        <v>1.8396150843537327</v>
      </c>
      <c r="FZ115" s="28">
        <f t="shared" si="145"/>
        <v>2127.5211773705332</v>
      </c>
      <c r="GA115" s="28">
        <f t="shared" si="137"/>
        <v>503.1670319514451</v>
      </c>
      <c r="GB115" s="28">
        <f t="shared" si="138"/>
        <v>366.04681408626277</v>
      </c>
      <c r="GC115" s="28">
        <f t="shared" si="139"/>
        <v>566.96038628182191</v>
      </c>
      <c r="GD115" s="28">
        <f t="shared" si="140"/>
        <v>830.37058206244342</v>
      </c>
      <c r="GE115" s="28">
        <f t="shared" si="141"/>
        <v>1457.4178157484835</v>
      </c>
      <c r="GF115" s="28">
        <f t="shared" si="142"/>
        <v>1508.7756183034169</v>
      </c>
      <c r="GG115" s="12"/>
      <c r="GH115" s="12"/>
      <c r="GI115" s="12"/>
      <c r="GJ115" s="12"/>
      <c r="GK115" s="12"/>
      <c r="GL115" s="12"/>
      <c r="GM115" s="12"/>
      <c r="GN115" s="12"/>
      <c r="GO115" s="12"/>
      <c r="GP115" s="12"/>
      <c r="GQ115" s="12"/>
      <c r="GR115" s="12"/>
      <c r="GS115" s="12"/>
      <c r="GT115" s="12"/>
      <c r="GU115" s="12"/>
      <c r="GV115" s="12"/>
      <c r="GW115" s="12"/>
      <c r="GX115" s="12"/>
      <c r="GY115" s="12"/>
      <c r="GZ115" s="12"/>
      <c r="HA115" s="12"/>
      <c r="HB115" s="12"/>
      <c r="HC115" s="12"/>
      <c r="HD115" s="12"/>
      <c r="HE115" s="12"/>
      <c r="HF115" s="12"/>
    </row>
    <row r="116" spans="1:214" x14ac:dyDescent="0.2">
      <c r="A116" s="154" t="s">
        <v>118</v>
      </c>
      <c r="B116" s="12">
        <v>4848</v>
      </c>
      <c r="C116" s="12">
        <v>1</v>
      </c>
      <c r="D116" s="12">
        <f t="shared" si="111"/>
        <v>0</v>
      </c>
      <c r="E116" s="12" t="s">
        <v>771</v>
      </c>
      <c r="F116" s="12">
        <v>6343</v>
      </c>
      <c r="G116" s="12" t="s">
        <v>692</v>
      </c>
      <c r="H116" s="16">
        <f t="shared" si="166"/>
        <v>382.75862068965517</v>
      </c>
      <c r="I116" s="16">
        <v>230080</v>
      </c>
      <c r="J116" s="16">
        <f t="shared" si="113"/>
        <v>270.62287156330035</v>
      </c>
      <c r="K116" s="27">
        <f t="shared" si="114"/>
        <v>324.74744587596041</v>
      </c>
      <c r="L116" s="103">
        <v>8.5000000000000006E-2</v>
      </c>
      <c r="M116" s="103">
        <f t="shared" si="167"/>
        <v>0.10153843627327469</v>
      </c>
      <c r="N116" s="122">
        <f t="shared" si="116"/>
        <v>0.85</v>
      </c>
      <c r="O116" s="46">
        <f t="shared" si="168"/>
        <v>40</v>
      </c>
      <c r="P116" s="70">
        <f t="array" ref="P116">SUMPRODUCT(IF(Solar_data!A$4:A$777=A116,Solar_data!C$4:C$777),IF(Solar_data!A$4:A$777=A116,Solar_data!I$4:I$777))/SUMIF(Solar_data!A$4:A$777,A116,Solar_data!I$4:I$777)</f>
        <v>2020.3328203839501</v>
      </c>
      <c r="Q116" s="16">
        <f t="array" ref="Q116">MAX(IF(Solar_data!$A$777:'Solar_data'!$A$4=Country_details!$A116,Solar_data!$C$4:'Solar_data'!$C$777))</f>
        <v>2281.25</v>
      </c>
      <c r="R116" s="16">
        <f t="array" ref="R116">MIN(IF(Solar_data!$A$777:'Solar_data'!$A$4=Country_details!A116,Solar_data!$C$4:'Solar_data'!$C$777))</f>
        <v>1916.25</v>
      </c>
      <c r="S116" s="24">
        <f t="shared" si="149"/>
        <v>2.0275317117193983</v>
      </c>
      <c r="T116" s="24">
        <f t="shared" si="150"/>
        <v>1.7956334735587725</v>
      </c>
      <c r="U116" s="24">
        <f t="shared" si="151"/>
        <v>2.1376588970937767</v>
      </c>
      <c r="V116" s="16">
        <f t="array" ref="V116">SUM(IF(Solar_data!$A$777:'Solar_data'!$A$4=Country_details!$A116,Solar_data!$I$4:'Solar_data'!$I$777))</f>
        <v>84.065338655614482</v>
      </c>
      <c r="W116" s="148"/>
      <c r="X116" s="16" t="str">
        <f>IFERROR(INDEX(Onshore_wind_data!$J$5:'Onshore_wind_data'!$J$221,MATCH(A116,Onshore_wind_data!$B$5:'Onshore_wind_data'!$B$221,0)),"")</f>
        <v/>
      </c>
      <c r="Y116" s="16" t="str">
        <f>IFERROR(INDEX(Onshore_wind_data!$K$5:'Onshore_wind_data'!$K$221,MATCH(A116,Onshore_wind_data!$B$5:'Onshore_wind_data'!$B$221,0)),"")</f>
        <v/>
      </c>
      <c r="Z116" s="16" t="str">
        <f>IFERROR(INDEX(Onshore_wind_data!$L$5:'Onshore_wind_data'!$L$221,MATCH(A116,Onshore_wind_data!$B$5:'Onshore_wind_data'!$B$221,0)),"")</f>
        <v/>
      </c>
      <c r="AA116" s="24" t="str">
        <f t="shared" si="169"/>
        <v/>
      </c>
      <c r="AB116" s="24" t="str">
        <f t="shared" si="170"/>
        <v/>
      </c>
      <c r="AC116" s="24" t="str">
        <f t="shared" si="171"/>
        <v/>
      </c>
      <c r="AD116" s="16">
        <f>IFERROR(INDEX(Onshore_wind_data!$I$5:'Onshore_wind_data'!$I$221,MATCH(A116,Onshore_wind_data!$B$5:'Onshore_wind_data'!$B$221,0)),"")</f>
        <v>0</v>
      </c>
      <c r="AE116" s="148"/>
      <c r="AF116" s="16" t="str">
        <f>INDEX(Offshore_wind_data!$AA$7:$AA$192,MATCH(Country_details!A116,Offshore_wind_data!$A$7:$A$192,0))</f>
        <v/>
      </c>
      <c r="AG116" s="16" t="str">
        <f>INDEX(Offshore_wind_data!$Y$7:$Y$192,MATCH(Country_details!A116,Offshore_wind_data!$A$7:$A$192,0))</f>
        <v/>
      </c>
      <c r="AH116" s="16" t="str">
        <f>INDEX(Offshore_wind_data!$Z$7:$Z$192,MATCH(Country_details!A116,Offshore_wind_data!$A$7:$A$192,0))</f>
        <v/>
      </c>
      <c r="AI116" s="24" t="str">
        <f t="shared" si="152"/>
        <v/>
      </c>
      <c r="AJ116" s="24" t="str">
        <f t="shared" si="153"/>
        <v/>
      </c>
      <c r="AK116" s="24" t="str">
        <f t="shared" si="154"/>
        <v/>
      </c>
      <c r="AL116" s="16">
        <f>INDEX(Offshore_wind_data!$W$7:$W$191,MATCH(A116,Offshore_wind_data!$A$7:$A$191,0))</f>
        <v>0</v>
      </c>
      <c r="AM116" s="148"/>
      <c r="AN116" s="12">
        <v>2.6</v>
      </c>
      <c r="AO116" s="12">
        <v>3.8</v>
      </c>
      <c r="AP116" s="34">
        <f>19.12*11.63</f>
        <v>222.36560000000003</v>
      </c>
      <c r="AQ116" s="15">
        <f t="shared" si="155"/>
        <v>50</v>
      </c>
      <c r="AR116" s="12">
        <f t="shared" si="131"/>
        <v>190</v>
      </c>
      <c r="AS116" s="16">
        <f t="shared" si="121"/>
        <v>-105.93466134438552</v>
      </c>
      <c r="AT116" s="12"/>
      <c r="AU116" s="24">
        <f t="shared" si="147"/>
        <v>2.0275317117193983</v>
      </c>
      <c r="AV116" s="16">
        <f t="shared" si="148"/>
        <v>2020.3328203839501</v>
      </c>
      <c r="AW116" s="149">
        <f>HV_DC_Grid!$E$3/(1-AX116)*AU116/100*1000</f>
        <v>2261.7756367705006</v>
      </c>
      <c r="AX116" s="31">
        <f>(1-(1-HV_DC_Grid!$E$25)^(B116*C116*HV_DC_Grid!$E$8/1000))+(1-(1-HV_DC_Grid!$E$26)^(B116*D116*HV_DC_Grid!$E$8/1000))+HV_DC_Grid!$E$35*HV_DC_Grid!$E$28</f>
        <v>0.10356638441183739</v>
      </c>
      <c r="AY116" s="28">
        <f>B116*nl_e_demand/IF(hv_dc_flh="electricity FLH",$AV116,hv_dc_custom)*1000*hv_dc_capacity_multiplier*hv_dc_length_multiplier*1000*(C116*hv_dc_overhead_invest*(hv_dc_overhead_opex+M116+1/hv_dc_lifetime)+D116*hv_dc_sea_invest*(hv_dc_sea_opex+M116+1/hv_dc_lifetime))/1000000+HV_DC_Grid!$E$10*1000*hv_dc_station_invest*hv_dc_station_number*(hv_dc_station_opex+M116+1/hv_dc_lifetime)/1000000</f>
        <v>3855.4959019604175</v>
      </c>
      <c r="AZ116" s="24">
        <f>(AW116+AY116)/(HV_DC_Grid!$E$3*1000)*100</f>
        <v>6.1172715387309182</v>
      </c>
      <c r="BA116" s="28">
        <f>MIN(((Carriers!$F$26+Carriers!$F$27)*(alk_el_opex+wacc_nl+1/alk_el_lifetime)+IF(hv_dc_flh="electricity FLH",$AV116,hv_dc_custom)*AZ116/100)/(IF(hv_dc_flh="electricity FLH",$AV116,hv_dc_custom)/alk_el_e_demand)*1000,((Carriers!$H$26+Carriers!$H$27)*(pem_el_opex+wacc_nl+1/pem_el_lifetime)+IF(hv_dc_flh="electricity FLH",$AV116,hv_dc_custom)*AZ116/100)/(IF(hv_dc_flh="electricity FLH",$AV116,hv_dc_custom)/pem_el_e_demand)*1000)</f>
        <v>3466.4887993132165</v>
      </c>
      <c r="BB116" s="12"/>
      <c r="BC116" s="12"/>
      <c r="BD116" s="149">
        <f>MIN(((Carriers!$F$26+Carriers!$F$27)*(alk_el_opex+M116+1/alk_el_lifetime)+$AV116*$AU116/100)/($AV116/alk_el_e_demand)*1000,((Carriers!$H$26+Carriers!$H$27)*(pem_el_opex+M116+1/pem_el_lifetime)+$AV116*$AU116/100)/($AV116/pem_el_e_demand)*1000)</f>
        <v>2508.7824732065937</v>
      </c>
      <c r="BE116" s="28">
        <f>Storage!$AC$50</f>
        <v>8.1664117557772418</v>
      </c>
      <c r="BF116" s="28">
        <f>((Pipeline!$D$22*Pipeline!$D$24*B116*(pipeline_opex+M116+1/pipeline_lifetime))*(Pipeline!$D$39/Pipeline!$D$3)+(Pipeline!$D$57*(pipeline_comp_opex+M116+1/pipeline_comp_lifetime)+Pipeline!$D$47*1000*Pipeline!$D$45*$AU116/100/1000000))*(Pipeline!$D$75/Pipeline!$D$45)</f>
        <v>9563.6814338909517</v>
      </c>
      <c r="BG116" s="28">
        <f>BD116+(BE116+BF116)/Storage!$AC$12*1000000</f>
        <v>3212.5948147982649</v>
      </c>
      <c r="BH116" s="28"/>
      <c r="BI116" s="28"/>
      <c r="BJ116" s="28">
        <f>IF($E116="","No Port",BK116*HV_DC_Grid!$E$3*$AU116/100*1000)</f>
        <v>41.089669408765232</v>
      </c>
      <c r="BK116" s="31">
        <f>IFERROR((1-(1-HV_DC_Grid!$E$25)^(K116*HV_DC_Grid!$E$8/1000))+HV_DC_Grid!$E$35*HV_DC_Grid!$E$28,"")</f>
        <v>2.0265857826667552E-2</v>
      </c>
      <c r="BL116" s="28">
        <f>IFERROR(K116*nl_e_demand/IF(hv_dc_flh="electricity FLH",$AV116,hv_dc_custom)*1000*hv_dc_capacity_multiplier*hv_dc_length_multiplier*1000*(hv_dc_overhead_invest*(hv_dc_overhead_opex+M116+1/hv_dc_lifetime))/1000000+HV_DC_Grid!$E$10*1000*hv_dc_station_invest*hv_dc_station_number*(hv_dc_station_opex+M116+1/hv_dc_lifetime)/1000000,"")</f>
        <v>594.57935634388309</v>
      </c>
      <c r="BM116" s="29">
        <f>IFERROR((BJ116+BL116)/(HV_DC_Grid!$E$3*1000)*100,"")</f>
        <v>0.63566902575264828</v>
      </c>
      <c r="BN116" s="28">
        <f>IFERROR(((Pipeline!$D$22*Pipeline!$D$24*K116*(pipeline_opex+M116+1/pipeline_lifetime))*(Pipeline!$D$39/Pipeline!$D$3)+(Pipeline!$D$57*(pipeline_comp_opex+M116+1/pipeline_comp_lifetime)+Pipeline!$D$47*1000*Pipeline!$D$45*S116/100/1000000))*(Pipeline!$D$75/Pipeline!$D$45),"")</f>
        <v>704.11388778419666</v>
      </c>
      <c r="BO116" s="28"/>
      <c r="BP116" s="150">
        <f t="shared" si="172"/>
        <v>98.420642551094033</v>
      </c>
      <c r="BQ116" s="34">
        <f t="shared" si="173"/>
        <v>29.513086468987439</v>
      </c>
      <c r="BR116" s="151">
        <f>(nh3_invest*(M116+1/nh3_lifetime)/nh3_prod+nh3_opex+nh3_e_demand*1000*$AU116/100+Carriers!$N$18/Carriers!$N$23*BD116+Carriers!$N$19/Carriers!$N$23*BQ116)*(BT116+nh3_st_ab_losses)/1000000</f>
        <v>45688.27976867446</v>
      </c>
      <c r="BS116" s="63">
        <f>nh3_st_nl_cost*nh3_st_nl_demand/1000000+(nh3_st_invest*(M116+1/nh3_st_lifetime+nh3_st_opex)/(Storage!$G$63/1000000)+nh3_st_e_demand*1000*$AU116/100)*(BT116+nh3_st_ab_losses)/1000000+Carriers!$N$18/Carriers!$N$23*((BT116+nh3_st_ab_losses)/365.25*short_st_duration_hrs/24)*(h2_short_st_invest*(1/gh2_short_st_lifetime+$M116+h2_short_st_opex)+h2_short_st_e_demand*1000*$AU116/100)/1000000+Carriers!$N$19/Carriers!$N$23*((BT116+nh3_st_ab_losses)/365.25*short_st_duration_hrs/24)*(n2_short_st_invest*(1/n2_short_st_lifetime+$M116+n2_short_st_opex)+n2_short_st_e_demand*1000*$AU116/100)/1000000</f>
        <v>3174.1410236408783</v>
      </c>
      <c r="BT116" s="63">
        <f>Storage!$G$57/((1-Shipping!$H$37)^(F116/24/Shipping!$H$44+0.5*Shipping!$H$59))</f>
        <v>80000555.989524767</v>
      </c>
      <c r="BU116" s="63">
        <f>IF($E116="","No Port",((F116/24/Shipping!$H$44+F116/24/Shipping!$H$50+Shipping!$H$59+Shipping!$H$64)*(Shipping!$H$22+wacc_nl*Shipping!$H$19/365.25*1000000+Shipping!$H$35)+(F116/24/Shipping!$H$44*Shipping!$H$45+Shipping!$H$64*Shipping!$H$65)*IF(bunker_choice="HFO",H116,IF(bunker_choice="hydrogen",BD116*hfo_e_density_lhv/h2_e_density_lhv,(BR116+BS116)*1000000/BT116*hfo_e_density_lhv/nh3_e_density_lhv))+(F116/24/Shipping!$H$50*Shipping!$H$51+Shipping!$H$59*Shipping!$H$60)*IF(bunker_choice="HFO",bunker_price_ROT,IF(bunker_choice="hydrogen",BD116*hfo_e_density_lhv/h2_e_density_lhv,(BR116+BS116)*1000000/BT116*hfo_e_density_lhv/nh3_e_density_lhv))+Shipping!$H$73+IF(G116="Panama",Shipping!$H$55,0)+IF(G116="Suez",Shipping!$H$56,0))/Shipping!$H$31*BT116/1000000+IF(inland_transport_to_port="hv dc grid",$BM116/100*1000*BW116,IF(inland_transport_to_port="pipeline",$BN116,0)))</f>
        <v>5146.7508932593573</v>
      </c>
      <c r="BV116" s="63">
        <f t="shared" si="174"/>
        <v>54009.171685574693</v>
      </c>
      <c r="BW116" s="33">
        <f>((Carriers!$N$18/Carriers!$N$23*alk_el_e_demand)+(Carriers!$N$19/Carriers!$N$23*n2_e_demand)+nh3_e_demand)*(BT116+nh3_st_ab_losses)/1000000+nh3_st_e_demand*BT116/1000000</f>
        <v>790.01803133191265</v>
      </c>
      <c r="BX116" s="33">
        <f t="shared" si="156"/>
        <v>0.76626754477640768</v>
      </c>
      <c r="BY116" s="63">
        <f>IFERROR(BV116*1000000/Storage!$G$12,"")</f>
        <v>705.42165030500996</v>
      </c>
      <c r="BZ116" s="63">
        <f>H2_retrieval!$F$25*h2_demand_kt/1000</f>
        <v>80</v>
      </c>
      <c r="CA116" s="63">
        <f>IFERROR(BY116*(1+H2_retrieval!$F$34)/Carrier_properties!$E$7+H2_retrieval!$F$38,"")</f>
        <v>4380.4886035830514</v>
      </c>
      <c r="CB116" s="149">
        <f>(FA_invest*(M116+1/FA_lifetime)/FA_prod+FA_opex+FA_e_demand*1000*$AU116/100+Carriers!$P$18/Carriers!$P$23*BD116+Carriers!$P$20/Carriers!$P$23*co2_liq_cost)*(CF116+FA_st_ab_losses)/1000000</f>
        <v>88804.766772000236</v>
      </c>
      <c r="CC116" s="86">
        <f>(FA_invest*(M116+1/FA_lifetime)/FA_prod+FA_opex+FA_e_demand*1000*$AU116/100+Carriers!$P$18/Carriers!$P$23*BD116+Carriers!$P$20/Carriers!$P$23*BP116)*(CF116+FA_st_ab_losses)/1000000</f>
        <v>112296.94306054992</v>
      </c>
      <c r="CD116" s="63">
        <f>FA_st_nl_cost*FA_st_nl_demand/1000000+(FA_st_invest*(M116+1/FA_st_lifetime+FA_st_opex)/(Storage!$I$63/1000000)+FA_st_e_demand*1000*$AU116/100)*(CF116+FA_st_ab_losses)/1000000+co2_st_nl_cost*Storage!$I$12*co2_density/FA_density/1000000+(co2_st_opex_lev+co2_st_invest_lev+co2_st_e_demand*1000*$AU116/100)*Storage!$I$12/1000000+co2_st_invest_lev*Storage!$I$12*co2_st_lifetime*M116/1000000+Carriers!$P$18/Carriers!$P$23*((CF116+FA_st_ab_losses)/365.25*short_st_duration_hrs/24)*(h2_short_st_invest*(1/gh2_short_st_lifetime+$M116+h2_short_st_opex)+h2_short_st_e_demand*1000*$AU116/100)/1000000+Carriers!$P$20/Carriers!$P$23*((CF116+FA_st_ab_losses)/365.25*short_st_duration_hrs/24)*(co2_short_st_invest*(1/co2_short_st_lifetime+$M116+co2_short_st_opex)+co2_short_st_e_demand*1000*$AU116/100)/1000000</f>
        <v>10817.352251901071</v>
      </c>
      <c r="CE116" s="63">
        <f>FA_st_nl_cost*FA_st_nl_demand/1000000+(FA_st_invest*(M116+1/FA_st_lifetime+FA_st_opex)/(Storage!$I$63/1000000)+FA_st_e_demand*1000*$AU116/100)*(CF116+FA_st_ab_losses)/1000000+Carriers!$P$18/Carriers!$P$23*((CF116+FA_st_ab_losses)/365.25*short_st_duration_hrs/24)*(h2_short_st_invest*(1/gh2_short_st_lifetime+$M116+h2_short_st_opex)+h2_short_st_e_demand*1000*$AU116/100)/1000000+Carriers!$P$20/Carriers!$P$23*((CF116+FA_st_ab_losses)/365.25*short_st_duration_hrs/24)*(co2_short_st_invest*(1/co2_short_st_lifetime+$M116+co2_short_st_opex)+co2_short_st_e_demand*1000*$AU116/100)/1000000</f>
        <v>4676.0420676799886</v>
      </c>
      <c r="CF116" s="63">
        <f>Storage!$I$57/((1-Shipping!$J$37)^($F116/24/Shipping!$J$44+0.5*Shipping!$J$59))</f>
        <v>310425396.82539684</v>
      </c>
      <c r="CG116" s="28">
        <f>IF($E116="","No Port",((F116/24/Shipping!$J$44+F116/24/Shipping!$J$50+Shipping!$J$59+Shipping!$J$64)*(Shipping!$J$22+wacc_nl*Shipping!$J$19/365.25*1000000+Shipping!$J$35)+(F116/24/Shipping!$J$44*Shipping!$J$45+Shipping!$J$64*Shipping!$J$65)*IF(bunker_choice="HFO",$H116,IF(bunker_choice="hydrogen",$BD116*hfo_e_density_lhv/h2_e_density_lhv,(CB116+CD116)*1000000/CF116*hfo_e_density_lhv/FA_e_density_lhv))+(F116/24/Shipping!$J$50*Shipping!$J$51+Shipping!$J$59*Shipping!$J$60)*IF(bunker_choice="HFO",bunker_price_ROT,IF(bunker_choice="hydrogen",$BD116*hfo_e_density_lhv/h2_e_density_lhv,(CB116+CD116)*1000000/CF116*hfo_e_density_lhv/FA_e_density_lhv))+Shipping!$J$73+IF(G116="Panama",Shipping!$J$55,0)+IF(G116="Suez",Shipping!$J$56,0))/Shipping!$J$31*CF116/1000000+IF(inland_transport_to_port="hv dc grid",$BM116/100*1000*CI116,IF(inland_transport_to_port="pipeline",$BN116,0)))</f>
        <v>19641.294205694889</v>
      </c>
      <c r="CH116" s="28">
        <f t="shared" si="132"/>
        <v>136614.27933392479</v>
      </c>
      <c r="CI116" s="29">
        <f>((Carriers!$P$18/Carriers!$P$23*alk_el_e_demand)+FA_e_demand)*(CF116+FA_st_ab_losses)/1000000+FA_st_e_demand*CF116/1000000</f>
        <v>1897.8881241622576</v>
      </c>
      <c r="CJ116" s="29">
        <f t="shared" si="157"/>
        <v>0.46563809523809524</v>
      </c>
      <c r="CK116" s="28">
        <f>IFERROR(CH116*1000000/Storage!$I$12,"")</f>
        <v>440.08731479778191</v>
      </c>
      <c r="CL116" s="28">
        <f>IF($E116="","No Port",((F116/24/Shipping!$J$44+F116/24/Shipping!$J$50+Shipping!$J$59+Shipping!$J$64)*Carriers!$P$39*wacc_nl))</f>
        <v>307.6283476319287</v>
      </c>
      <c r="CM116" s="29">
        <f>H2_retrieval!$H$25*h2_demand_kt/1000+(co2_liq_e_demand+co2_st_e_demand*2)*Storage!$I$12*co2_density/FA_density/1000000</f>
        <v>94.204253879484654</v>
      </c>
      <c r="CN116" s="28">
        <f>IFERROR((((CB116+CD116+CG116)*(1+H2_retrieval!$H$34)+CL116)*1000000/H2_retrieval!$H$8)+h2_regen_fa,"")</f>
        <v>8881.6757190337285</v>
      </c>
      <c r="CO116" s="149">
        <f>(meoh_invest*(M116+1/meoh_lifetime)/meoh_prod+meoh_opex+meoh_e_demand*1000*$AU116/100+Carriers!$R$18/Carriers!$R$23*BD116+Carriers!$R$20/Carriers!$R$23*co2_liq_cost)*(CS116+meoh_st_ab_losses)/1000000</f>
        <v>55049.059393343749</v>
      </c>
      <c r="CP116" s="86">
        <f>(meoh_invest*(M116+1/meoh_lifetime)/meoh_prod+meoh_opex+meoh_e_demand*1000*$AU116/100+Carriers!$R$18/Carriers!$R$23*BD116+Carriers!$R$20/Carriers!$R$23*BP116)*(CS116+meoh_st_ab_losses)/1000000</f>
        <v>68839.692121346205</v>
      </c>
      <c r="CQ116" s="63">
        <f>meoh_st_nl_cost*meoh_st_nl_demand/1000000+(meoh_st_invest*(M116+1/meoh_st_lifetime+meoh_st_opex)/(Storage!$K$63/1000000)+meoh_st_e_demand*1000*$AU116/100)*(CS116+meoh_st_ab_losses)/1000000+co2_st_nl_cost*Storage!$K$12*co2_density/meoh_density/1000000+(co2_st_opex_lev+co2_st_invest_lev+co2_st_e_demand*1000*IFERROR(MIN(S116,AA116,AI116),S116)/100)*Storage!$K$12/1000000+co2_st_invest_lev*Storage!$K$12*co2_st_lifetime*M116/1000000+Carriers!$R$18/Carriers!$R$23*((CS116+meoh_st_ab_losses)/365.25*short_st_duration_hrs/24)*(h2_short_st_invest*(1/gh2_short_st_lifetime+$M116+h2_short_st_opex)+h2_short_st_e_demand*1000*$AU116/100)/1000000+Carriers!$R$20/Carriers!$R$23*((CF116+meoh_st_ab_losses)/365.25*short_st_duration_hrs/24)*(co2_short_st_invest*(1/co2_short_st_lifetime+$M116+co2_short_st_opex)+co2_short_st_e_demand*1000*$AU116/100)/1000000</f>
        <v>4552.4278590245449</v>
      </c>
      <c r="CR116" s="63">
        <f>meoh_st_nl_cost*meoh_st_nl_demand/1000000+(meoh_st_invest*(M116+1/meoh_st_lifetime+meoh_st_opex)/(Storage!$K$63/1000000)+meoh_st_e_demand*1000*$AU116/100)*(CS116+meoh_st_ab_losses)/1000000+Carriers!$R$18/Carriers!$R$23*((CS116+meoh_st_ab_losses)/365.25*short_st_duration_hrs/24)*(h2_short_st_invest*(1/gh2_short_st_lifetime+$M116+h2_short_st_opex)+h2_short_st_e_demand*1000*$AU116/100)/1000000+Carriers!$R$20/Carriers!$R$23*((CF116+meoh_st_ab_losses)/365.25*short_st_duration_hrs/24)*(co2_short_st_invest*(1/co2_short_st_lifetime+$M116+co2_short_st_opex)+co2_short_st_e_demand*1000*$AU116/100)/1000000</f>
        <v>1815.9299013874311</v>
      </c>
      <c r="CS116" s="63">
        <f>Storage!$K$57/((1-Shipping!$L$37)^($F116/24/Shipping!$L$44+0.5*Shipping!$L$59))</f>
        <v>108044444.44444443</v>
      </c>
      <c r="CT116" s="28">
        <f>IF($E116="","No Port",IF(AND(ship_choice="VLCC",G116="Panama"),"Ship cannot pass through Panama",IF(ship_choice="VLCC",((F116/24/Shipping!$AD$44+F116/24/Shipping!$AD$50+Shipping!$AD$59+Shipping!$AD$64)*(Shipping!$AD$22+wacc_nl*Shipping!$AD$19/365.25*1000000+Shipping!$AD$35)+(F116/24/Shipping!$AD$44*Shipping!$AD$45+Shipping!$AD$64*Shipping!$AD$65)*IF(bunker_choice="HFO",$H116,IF(bunker_choice="hydrogen",$BD116*hfo_e_density_lhv/h2_e_density_lhv,(CO116+CQ116)*1000000/CS116*hfo_e_density_lhv/meoh_e_density_lhv))+(F116/24/Shipping!$AD$50*Shipping!$AD$51+Shipping!$AD$59*Shipping!$AD$60)*IF(bunker_choice="HFO",bunker_price_ROT,IF(bunker_choice="hydrogen",$BD116*hfo_e_density_lhv/h2_e_density_lhv,(CO116+CQ116)*1000000/CS116*hfo_e_density_lhv/meoh_e_density_lhv))+Shipping!$AD$73+IF(G116="Panama",Shipping!$AD$55,0)+IF(G116="Suez",Shipping!$AD$56,0))/Shipping!$AD$31*CS116/1000000+IF(inland_transport_to_port="hv dc grid",$BM116/100*1000*CV116,IF(inland_transport_to_port="pipeline",$BN116,0)),((F116/24/Shipping!$L$44+F116/24/Shipping!$L$50+Shipping!$L$59+Shipping!$L$64)*(Shipping!$L$22+wacc_nl*Shipping!$L$19/365.25*1000000+Shipping!$L$35)+(F116/24/Shipping!$L$44*Shipping!$L$45+Shipping!$L$64*Shipping!$L$65)*IF(bunker_choice="HFO",$H116,IF(bunker_choice="hydrogen",$BD116*hfo_e_density_lhv/h2_e_density_lhv,(CO116+CQ116)*1000000/CS116*hfo_e_density_lhv/meoh_e_density_lhv))+(F116/24/Shipping!$L$50*Shipping!$L$51+Shipping!$L$59*Shipping!$L$60)*IF(bunker_choice="HFO",bunker_price_ROT,IF(bunker_choice="hydrogen",$BD116*hfo_e_density_lhv/h2_e_density_lhv,(CO116+CQ116)*1000000/CS116*hfo_e_density_lhv/meoh_e_density_lhv))+Shipping!$L$73+IF(G116="Panama",Shipping!$L$55,0)+IF(G116="Suez",Shipping!$L$56,0))/Shipping!$L$31*CS116/1000000+IF(inland_transport_to_port="hv dc grid",$BM116/100*1000*CV116,IF(inland_transport_to_port="pipeline",$BN116,0)))))</f>
        <v>6997.0199337563363</v>
      </c>
      <c r="CU116" s="28">
        <f t="shared" si="133"/>
        <v>77652.64195648997</v>
      </c>
      <c r="CV116" s="29">
        <f>((Carriers!$R$18/Carriers!$R$23*alk_el_e_demand)+meoh_e_demand)*(CS116+meoh_st_ab_losses)/1000000+meoh_st_e_demand*CS116/1000000</f>
        <v>1119.9789871111109</v>
      </c>
      <c r="CW116" s="29">
        <f t="shared" si="158"/>
        <v>0.16206666666666666</v>
      </c>
      <c r="CX116" s="28">
        <f>IFERROR(CU116*1000000/Storage!$K$12,"")</f>
        <v>718.71017853600358</v>
      </c>
      <c r="CY116" s="28">
        <f>IF($E116="","No Port",((F116/24/Shipping!$L$44+F116/24/Shipping!$L$50+Shipping!$L$59+Shipping!$L$64)*Carriers!$R$39*wacc_nl))</f>
        <v>110.22584676861206</v>
      </c>
      <c r="CZ116" s="29">
        <f>H2_retrieval!$J$25*h2_demand_kt/1000+(co2_liq_e_demand+co2_st_e_demand*2)*Storage!$K$12*co2_density/meoh_density/1000000</f>
        <v>251.05079059698966</v>
      </c>
      <c r="DA116" s="28">
        <f>IFERROR((((CO116+CQ116+CT116)*(1+H2_retrieval!$J$34)+CY116)*1000000/H2_retrieval!$J$8)+h2_regen_meoh,"")</f>
        <v>6075.1824426735602</v>
      </c>
      <c r="DB116" s="149">
        <f>(DBT_invest*(M116+1/DBT_lifetime)/DBT_prod+DBT_opex+DBT_e_demand*1000*$AU116/100+Carriers!$T$18/Carriers!$T$23*BD116)*(DD116+DBT_st_ab_losses)/1000000</f>
        <v>37092.814480044377</v>
      </c>
      <c r="DC116" s="28">
        <f>2*(DBT_st_nl_cost*DBT_st_nl_demand/1000000+(DBT_st_invest*(M116+1/DBT_st_lifetime+DBT_st_opex)/(Storage!$M$63/1000000)+DBT_st_e_demand*1000*$AU116/100)*(DD116+DBT_st_ab_losses)/1000000)+Carriers!$T$18/Carriers!$T$23*((DD116+DBT_st_ab_losses)/365.25*short_st_duration_hrs/24)*(h2_short_st_invest*(1/gh2_short_st_lifetime+$M116+h2_short_st_opex)+h2_short_st_e_demand*1000*$AU116/100)/1000000</f>
        <v>3804.6174208562215</v>
      </c>
      <c r="DD116" s="63">
        <f>Storage!$M$57/((1-Shipping!$N$37)^($F116/24/Shipping!$N$44+0.5*Shipping!$N$59))</f>
        <v>219354838.70967743</v>
      </c>
      <c r="DE116" s="28">
        <f>IF($E116="","No Port",IF(AND(ship_choice="VLCC",G116="Panama"),"Ship cannot pass through Panama",IF(ship_choice="VLCC",((F116/24/Shipping!$AD$44+F116/24/Shipping!$AD$50+Shipping!$AD$59+Shipping!$AD$64)*(Shipping!$AD$22+wacc_nl*Shipping!$AD$19/365.25*1000000+Shipping!$AD$35)+(F116/24/Shipping!$AD$44*Shipping!$AD$45+Shipping!$AD$64*Shipping!$AD$65)*IF(bunker_choice="HFO",$H116,IF(bunker_choice="hydrogen",$BD116*hfo_e_density_lhv/h2_e_density_lhv,(DB116+DC116)*1000000/DD116*hfo_e_density_lhv/DBT_e_density_lhv))+(F116/24/Shipping!$AD$50*Shipping!$AD$51+Shipping!$AD$59*Shipping!$AD$60)*IF(bunker_choice="HFO",bunker_price_ROT,IF(bunker_choice="hydrogen",$BD116*hfo_e_density_lhv/h2_e_density_lhv,(DB116+DC116)*1000000/DD116*hfo_e_density_lhv/DBT_e_density_lhv))+Shipping!$AD$73+IF(G116="Panama",Shipping!$AD$55,0)+IF(G116="Suez",Shipping!$AD$56,0))/Shipping!$AD$31*DD116/1000000+IF(inland_transport_to_port="hv dc grid",$BM116/100*1000*DG116,IF(inland_transport_to_port="pipeline",$BN116,0)),((F116/24/Shipping!$N$44+F116/24/Shipping!$N$50+Shipping!$N$59+Shipping!$N$64)*(Shipping!$N$22+wacc_nl*Shipping!$N$19/365.25*1000000+Shipping!$N$35)+(F116/24/Shipping!$N$44*Shipping!$N$45+Shipping!$N$64*Shipping!$N$65)*IF(bunker_choice="HFO",$H116,IF(bunker_choice="hydrogen",$BD116*hfo_e_density_lhv/h2_e_density_lhv,(DB116+DC116)*1000000/DD116*hfo_e_density_lhv/DBT_e_density_lhv))+(F116/24/Shipping!$N$50*Shipping!$N$51+Shipping!$N$59*Shipping!$N$60)*IF(bunker_choice="HFO",bunker_price_ROT,IF(bunker_choice="hydrogen",$BD116*hfo_e_density_lhv/h2_e_density_lhv,(DB116+DC116)*1000000/DD116*hfo_e_density_lhv/DBT_e_density_lhv))+Shipping!$N$73+IF(G116="Panama",Shipping!$N$55,0)+IF(G116="Suez",Shipping!$N$56,0))/Shipping!$N$31*Shipping!$N$86/1000000+IF(inland_transport_to_port="hv dc grid",$BM116/100*1000*DG116,IF(inland_transport_to_port="pipeline",$BN116,0)))))</f>
        <v>12526.935714687366</v>
      </c>
      <c r="DF116" s="28">
        <f t="shared" si="159"/>
        <v>53424.367615587966</v>
      </c>
      <c r="DG116" s="29">
        <f>((Carriers!$T$18/Carriers!$T$23*alk_el_e_demand)+DBT_e_demand)*(DD116+DBT_st_ab_losses)/1000000+DBT_st_e_demand*DD116/1000000</f>
        <v>703.88335483870969</v>
      </c>
      <c r="DH116" s="29">
        <f t="shared" si="160"/>
        <v>0.21935483870967742</v>
      </c>
      <c r="DI116" s="28">
        <f>IFERROR(DF116*1000000/Storage!$M$12,"")</f>
        <v>243.55226412988631</v>
      </c>
      <c r="DJ116" s="28">
        <f>IF($E116="","No Port",((F116/24/Shipping!$N$44+F116/24/Shipping!$N$50+Shipping!$N$59+Shipping!$N$64)*Carriers!$T$39*wacc_nl))</f>
        <v>8028.1105804914732</v>
      </c>
      <c r="DK116" s="100">
        <f>H2_retrieval!$L$25*h2_demand_kt/1000+(co2_liq_e_demand+co2_st_e_demand*2)*Storage!$M$12*co2_density/DBT_density/1000000</f>
        <v>206.61934861671787</v>
      </c>
      <c r="DL116" s="28">
        <f>IFERROR(((DF116*(1+H2_retrieval!$L$34)+DJ116)*1000000/H2_retrieval!$L$8)+h2_regen_lohc,"")</f>
        <v>4989.2143538799301</v>
      </c>
      <c r="DM116" s="149">
        <f t="shared" si="175"/>
        <v>43264.082589327809</v>
      </c>
      <c r="DN116" s="16">
        <f>2*(nabh4_st_nl_cost*nabh4_st_nl_demand/1000000+(nabh4_st_invest*(M116+1/nabh4_st_lifetime+nabh4_st_opex)/(Storage!$O$63/1000000)+nabh4_st_e_demand*1000*$AU116/100)*(DO116+nabh4_st_ab_losses)/1000000)+(h2_demand_kt*1000/365.25*short_st_duration_hrs/24)*(h2_short_st_invest*(1/gh2_short_st_lifetime+$M116+h2_short_st_opex)+h2_short_st_e_demand*1000*$AU116/100)/1000000</f>
        <v>1271.046304708264</v>
      </c>
      <c r="DO116" s="63">
        <f>Storage!$O$57/((1-Shipping!$P$37)^($F116/24/Shipping!$P$44+0.5*Shipping!$P$59))</f>
        <v>63920000</v>
      </c>
      <c r="DP116" s="16">
        <f>IF($E116="","No Port",((F116/24/Shipping!$P$44+F116/24/Shipping!$P$50+Shipping!$P$59+Shipping!$P$64)*(Shipping!$P$22+wacc_nl*Shipping!$P$19/365.25*1000000+Shipping!$P$35)+(F116/24/Shipping!$P$44*Shipping!$P$45+Shipping!$P$64*Shipping!$P$65)*IF(bunker_choice="HFO",$H116,IF(bunker_choice="hydrogen",$BD116*hfo_e_density_lhv/h2_e_density_lhv,(DM116+DN116)*1000000/DO116*hfo_e_density_lhv/nabh4_e_density_lhv))+(F116/24/Shipping!$P$50*Shipping!$P$51+Shipping!$P$59*Shipping!$P$60)*IF(bunker_choice="HFO",bunker_price_ROT,IF(bunker_choice="hydrogen",$BD116*hfo_e_density_lhv/h2_e_density_lhv,(DM116+DN116)*1000000/DO116*hfo_e_density_lhv/nabh4_e_density_lhv))+Shipping!$P$73+IF(G116="Panama",Shipping!$P$55,0)+IF(G116="Suez",Shipping!$P$56,0))/Shipping!$P$31*(DO116+nabh4_st_ab_losses)/1000000+IF(inland_transport_to_port="hv dc grid",$BM116/100*1000*DR116,IF(inland_transport_to_port="pipeline",$BN116,0)))</f>
        <v>3530.7960810308537</v>
      </c>
      <c r="DQ116" s="28">
        <f t="shared" si="146"/>
        <v>48065.924975066926</v>
      </c>
      <c r="DR116" s="29">
        <f>((Carriers!$V$18/Carriers!$V$23*alk_el_e_demand)+nabh4_e_demand)*(DO116+nabh4_st_ab_losses)/1000000+nabh4_st_e_demand*DO116/1000000</f>
        <v>980.02139682539689</v>
      </c>
      <c r="DS116" s="28">
        <f t="shared" si="161"/>
        <v>3.1960000000000002</v>
      </c>
      <c r="DT116" s="28">
        <f>IFERROR(DQ116*1000000/Storage!$O$12,"")</f>
        <v>751.97004028577794</v>
      </c>
      <c r="DU116" s="28">
        <f>IF($E116="","No Port",((F116/24/Shipping!$P$44+F116/24/Shipping!$P$50+Shipping!$P$59+Shipping!$P$64)*Carriers!$V$39*wacc_nl))</f>
        <v>741.08420911153689</v>
      </c>
      <c r="DV116" s="100">
        <f>H2_retrieval!$N$25*h2_demand_kt/1000+(co2_liq_e_demand+co2_st_e_demand*2)*Storage!$O$12*co2_density/nabh4_density/1000000</f>
        <v>18.783638728971958</v>
      </c>
      <c r="DW116" s="28">
        <f>IFERROR(((DQ116*(1+H2_retrieval!$N$34)+DU116)*1000000/H2_retrieval!$N$8)+h2_regen_nabh4,"")</f>
        <v>3666.3100695447415</v>
      </c>
      <c r="DX116" s="149">
        <f>(Dme_invest*(M116+1/Dme_lifetime)/Dme_prod+Dme_opex+Dme_e_demand*1000*$AU116/100+Carriers!$X$21/Carriers!$X$23*(CO116*1000000/CS116))*(EB116+Dme_st_ab_losses)/1000000</f>
        <v>77368.573570034991</v>
      </c>
      <c r="DY116" s="86">
        <f>(Dme_invest*(M116+1/Dme_lifetime)/Dme_prod+Dme_opex+Dme_e_demand*1000*$AU116/100+Carriers!$X$21/Carriers!$X$23*(CP116*1000000/CS116))*(EB116+Dme_st_ab_losses)/1000000</f>
        <v>96077.828694312411</v>
      </c>
      <c r="DZ116" s="63">
        <f>Dme_st_nl_cost*Dme_st_nl_demand/1000000+(Dme_st_invest*(M116+1/Dme_st_lifetime+Dme_st_opex)/(Storage!$Q$63/1000000)+Dme_st_e_demand*1000*$AU116/100)*(EB116+Dme_st_ab_losses)/1000000+co2_st_nl_cost*Storage!$Q$12*co2_density/Dme_density/1000000+(co2_st_opex_lev+co2_st_invest_lev+co2_st_e_demand*1000*$AU116/100)*Storage!$Q$12/1000000+co2_st_invest_lev*Storage!$Q$12*co2_st_lifetime*M116/1000000+(h2_demand_kt*1000/365.25*short_st_duration_hrs/24)*(h2_short_st_invest*(1/gh2_short_st_lifetime+$M116+h2_short_st_opex)+h2_short_st_e_demand*1000*$AU116/100)/1000000</f>
        <v>5510.6742301486247</v>
      </c>
      <c r="EA116" s="63">
        <f>Dme_st_nl_cost*Dme_st_nl_demand/1000000+(Dme_st_invest*(M116+1/Dme_st_lifetime+Dme_st_opex)/(Storage!$Q$63/1000000)+Dme_st_e_demand*1000*$AU116/100)*(EB116+Dme_st_ab_losses)/1000000+(h2_demand_kt*1000/365.25*short_st_duration_hrs/24)*(h2_short_st_invest*(1/gh2_short_st_lifetime+$M116+h2_short_st_opex)+h2_short_st_e_demand*1000*$AU116/100)/1000000</f>
        <v>2761.1824189314561</v>
      </c>
      <c r="EB116" s="63">
        <f>Storage!$Q$57/((1-Shipping!$R$37)^($F116/24/Shipping!$R$44+0.5*Shipping!$R$59))</f>
        <v>103547089.94708996</v>
      </c>
      <c r="EC116" s="153">
        <f>IF($E116="","No Port",IF(AND(ship_choice="VLCC",G116="Panama"),"Ship cannot pass through Panama",IF(ship_choice="VLCC",((F116/24/Shipping!$AD$44+F116/24/Shipping!$AD$50+Shipping!$AD$59+Shipping!$AD$64)*(Shipping!$AD$22+wacc_nl*Shipping!$AD$19/365.25*1000000+Shipping!$AD$35)+(F116/24/Shipping!$AD$44*Shipping!$AD$45+Shipping!$AD$64*Shipping!$AD$65)*IF(bunker_choice="HFO",$H116,IF(bunker_choice="hydrogen",$BD116*hfo_e_density_lhv/h2_e_density_lhv,(DX116+DZ116)*1000000/EB116*hfo_e_density_lhv/Dme_e_density_lhv))+(F116/24/Shipping!$AD$50*Shipping!$AD$51+Shipping!$AD$59*Shipping!$AD$60)*IF(bunker_choice="HFO",bunker_price_ROT,IF(bunker_choice="hydrogen",$BD116*hfo_e_density_lhv/h2_e_density_lhv,(DX116+DZ116)*1000000/EB116*hfo_e_density_lhv/Dme_e_density_lhv))+Shipping!$AD$73+IF(G116="Panama",Shipping!$AD$55,0)+IF(G116="Suez",Shipping!$AD$56,0))/Shipping!$AD$31*(EB116+Dme_st_ab_losses)/1000000+IF(inland_transport_to_port="hv dc grid",$BM116/100*1000*EE116,IF(inland_transport_to_port="pipeline",$BN116,0)),((F116/24/Shipping!$R$44+F116/24/Shipping!$R$50+Shipping!$R$59+Shipping!$R$64)*(Shipping!$R$22+wacc_nl*Shipping!$R$19/365.25*1000000+Shipping!$R$35)+(F116/24/Shipping!$R$44*Shipping!$R$45+Shipping!$R$64*Shipping!$R$65)*IF(bunker_choice="HFO",$H116,IF(bunker_choice="hydrogen",$BD116*hfo_e_density_lhv/h2_e_density_lhv,(DX116+DZ116)*1000000/EB116*hfo_e_density_lhv/Dme_e_density_lhv))+(F116/24/Shipping!$R$50*Shipping!$R$51+Shipping!$R$59*Shipping!$R$60)*IF(bunker_choice="HFO",bunker_price_ROT,IF(bunker_choice="hydrogen",$BD116*hfo_e_density_lhv/h2_e_density_lhv,(DX116+DZ116)*1000000/EB116*hfo_e_density_lhv/Dme_e_density_lhv))+Shipping!$R$73+IF(G116="Panama",Shipping!$R$55,0)+IF(G116="Suez",Shipping!$R$56,0))/Shipping!$R$31*(EB116+Dme_st_ab_losses)/1000000+IF(inland_transport_to_port="hv dc grid",$BM116/100*1000*EE116,IF(inland_transport_to_port="pipeline",$BN116,0)))))</f>
        <v>7010.9981451099538</v>
      </c>
      <c r="ED116" s="28">
        <f t="shared" si="134"/>
        <v>105850.00925835382</v>
      </c>
      <c r="EE116" s="29">
        <f>(Dme_e_demand)*(EB116+Dme_st_ab_losses)/1000000+Dme_st_e_demand*DZ116/1000000+$CV116*(Carriers!$X$21/Carriers!$X$23*EB116)/$CS116</f>
        <v>1550.2168152737981</v>
      </c>
      <c r="EF116" s="29">
        <f t="shared" si="162"/>
        <v>1.0354708994708997</v>
      </c>
      <c r="EG116" s="28">
        <f>IFERROR(ED116*1000000/Storage!$Q$12,"")</f>
        <v>1022.2403093359804</v>
      </c>
      <c r="EH116" s="28">
        <f>IF($E116="","No Port",((F116/24/Shipping!$R$44+F116/24/Shipping!$R$50+Shipping!$R$59+Shipping!$R$64)*Carriers!$X$39*wacc_nl))</f>
        <v>114.66326639389388</v>
      </c>
      <c r="EI116" s="100">
        <f>H2_retrieval!$P$25*h2_demand_kt/1000+(co2_liq_e_demand+co2_st_e_demand*2)*Storage!$Q$12*co2_density/Dme_density/1000000</f>
        <v>252.45335899349112</v>
      </c>
      <c r="EJ116" s="28">
        <f>IFERROR((((DX116+DZ116+EC116)*(1+H2_retrieval!$P$34)+EH116)*1000000/H2_retrieval!$P$8)+h2_regen_dme,"")</f>
        <v>7788.1365734672536</v>
      </c>
      <c r="EK116" s="149">
        <f>(ome_invest*(M116+1/ome_lifetime)/ome_prod+ome_opex+ome_e_demand*1000*$AU116/100+Carriers!$Z$21/Carriers!$Z$23*(CO116*1000000/CS116))*(EO116+ome_st_ab_losses)/1000000</f>
        <v>168149.06140054585</v>
      </c>
      <c r="EL116" s="86">
        <f>(ome_invest*(M116+1/ome_lifetime)/ome_prod+ome_opex+ome_e_demand*1000*$AU116/100+Carriers!$Z$21/Carriers!$Z$23*(CP116*1000000/CS116))*(EO116+ome_st_ab_losses)/1000000</f>
        <v>207423.42990675877</v>
      </c>
      <c r="EM116" s="63">
        <f>ome_st_nl_cost*ome_st_nl_demand/1000000+(ome_st_invest*(M116+1/ome_st_lifetime+ome_st_opex)/(Storage!$S$63/1000000)+ome_st_e_demand*1000*$AU116/100)*(EO116+ome_st_ab_losses)/1000000+co2_st_nl_cost*Storage!$S$12*co2_density/ome_density/1000000+(co2_st_opex_lev+co2_st_invest_lev+co2_st_e_demand*1000*$AU116/100)*Storage!$S$12/1000000+co2_st_invest_lev*Storage!$S$12*co2_st_lifetime*M116/1000000+(h2_demand_kt*1000/365.25*short_st_duration_hrs/24)*(h2_short_st_invest*(1/gh2_short_st_lifetime+$M116+h2_short_st_opex)+h2_short_st_e_demand*1000*$AU116/100)/1000000</f>
        <v>4714.7147562640475</v>
      </c>
      <c r="EN116" s="63">
        <f>ome_st_nl_cost*ome_st_nl_demand/1000000+(ome_st_invest*(M116+1/ome_st_lifetime+ome_st_opex)/(Storage!$S$63/1000000)+ome_st_e_demand*1000*$AU116/100)*(EO116+ome_st_ab_losses)/1000000+(h2_demand_kt*1000/365.25*short_st_duration_hrs/24)*(h2_short_st_invest*(1/gh2_short_st_lifetime+$M116+h2_short_st_opex)+h2_short_st_e_demand*1000*$AU116/100)/1000000</f>
        <v>1647.3889693213687</v>
      </c>
      <c r="EO116" s="63">
        <f>Storage!$S$57/((1-Shipping!$T$37)^($F116/24/Shipping!$T$44+0.5*Shipping!$T$59))</f>
        <v>128282539.68253967</v>
      </c>
      <c r="EP116" s="28">
        <f>IF($E116="","No Port",IF(AND(ship_choice="VLCC",G116="Panama"),"Ship cannot pass through Panama",IF(ship_choice="VLCC",((F116/24/Shipping!$AD$44+F116/24/Shipping!$AD$50+Shipping!$AD$59+Shipping!$AD$64)*(Shipping!$AD$22+wacc_nl*Shipping!$AD$19/365.25*1000000+Shipping!$AD$35)+(F116/24/Shipping!$AD$44*Shipping!$AD$45+Shipping!$AD$64*Shipping!$AD$65)*IF(bunker_choice="HFO",$H116,IF(bunker_choice="hydrogen",$BD116*hfo_e_density_lhv/h2_e_density_lhv,(EK116+EM116)*1000000/EO116*hfo_e_density_lhv/Dme_e_density_lhv))+(F116/24/Shipping!$AD$50*Shipping!$AD$51+Shipping!$AD$59*Shipping!$AD$60)*IF(bunker_choice="HFO",bunker_price_ROT,IF(bunker_choice="hydrogen",$BD116*hfo_e_density_lhv/h2_e_density_lhv,(EK116+EM116)*1000000/EO116*hfo_e_density_lhv/ome_e_density_lhv))+Shipping!$AD$73+IF(G116="Panama",Shipping!$AD$55,0)+IF(G116="Suez",Shipping!$AD$56,0))/Shipping!$AD$31*(EO116+ome_st_ab_losses)/1000000+IF(inland_transport_to_port="hv dc grid",$BM116/100*1000*ER116,IF(inland_transport_to_port="pipeline",$BN116,0)),((F116/24/Shipping!$T$44+F116/24/Shipping!$T$50+Shipping!$T$59+Shipping!$T$64)*(Shipping!$T$22+wacc_nl*Shipping!$T$19/365.25*1000000+Shipping!$T$35)+(F116/24/Shipping!$T$44*Shipping!$T$45+Shipping!$T$64*Shipping!$T$65)*IF(bunker_choice="HFO",$H116,IF(bunker_choice="hydrogen",$BD116*hfo_e_density_lhv/h2_e_density_lhv,(EK116+EM116)*1000000/EO116*hfo_e_density_lhv/Dme_e_density_lhv))+(F116/24/Shipping!$T$50*Shipping!$T$51+Shipping!$T$59*Shipping!$T$60)*IF(bunker_choice="HFO",bunker_price_ROT,IF(bunker_choice="hydrogen",$BD116*hfo_e_density_lhv/h2_e_density_lhv,(EK116+EM116)*1000000/EO116*hfo_e_density_lhv/ome_e_density_lhv))+Shipping!$T$73+IF(G116="Panama",Shipping!$T$55,0)+IF(G116="Suez",Shipping!$T$56,0))/Shipping!$T$31*(EO116+ome_st_ab_losses)/1000000+IF(inland_transport_to_port="hv dc grid",$BM116/100*1000*ER116,IF(inland_transport_to_port="pipeline",$BN116,0)))))</f>
        <v>7738.3922021094504</v>
      </c>
      <c r="EQ116" s="28">
        <f t="shared" si="135"/>
        <v>216809.21107818958</v>
      </c>
      <c r="ER116" s="29">
        <f>(ome_e_demand)*(EO116+ome_st_ab_losses)/1000000+ome_st_e_demand*EM116/1000000+$CV116*(Carriers!$Z$21/Carriers!$Z$23*EO116)/$CS116</f>
        <v>3352.0814572128556</v>
      </c>
      <c r="ES116" s="29">
        <f t="shared" si="163"/>
        <v>0.1924238095238095</v>
      </c>
      <c r="ET116" s="28">
        <f>IFERROR(EQ116*1000000/Storage!$S$12,"")</f>
        <v>1690.0913531547358</v>
      </c>
      <c r="EU116" s="28">
        <f>IF($E116="","No Port",((F116/24/Shipping!$T$44+F116/24/Shipping!$T$50+Shipping!$T$59+Shipping!$T$64)*Carriers!$Z$39*wacc_nl))</f>
        <v>130.87254633815729</v>
      </c>
      <c r="EV116" s="100">
        <f>H2_retrieval!$R$25*h2_demand_kt/1000+(co2_liq_e_demand+co2_st_e_demand*2)*Storage!$S$12*co2_density/ome_density/1000000</f>
        <v>254.51942895252085</v>
      </c>
      <c r="EW116" s="28">
        <f>IFERROR((((EK116+EM116+EP116)*(1+H2_retrieval!$R$34)+EU116)*1000000/H2_retrieval!$R$8)+h2_regen_ome,"")</f>
        <v>14459.322727406226</v>
      </c>
      <c r="EX116" s="149">
        <f>(sng_invest*(M116+1/sng_lifetime)/sng_prod+lng_invest*(M116+1/lng_lifetime)/lng_prod+sng_opex+lng_opex+(sng_e_demand+lng_e_demand)*1000*$AU116/100+Carriers!$AB$18/Carriers!$AB$23*BD116+Carriers!$AB$20/Carriers!$AB$23*co2_liq_cost)*(FB116+lng_st_ab_losses)/1000000</f>
        <v>60323.815558246068</v>
      </c>
      <c r="EY116" s="86">
        <f>(sng_invest*(M116+1/sng_lifetime)/sng_prod+lng_invest*(M116+1/lng_lifetime)/lng_prod+sng_opex+lng_opex+(sng_e_demand+lng_e_demand)*1000*$AU116/100+Carriers!$AB$18/Carriers!$AB$23*BD116+Carriers!$AB$20/Carriers!$AB$23*BP116)*(FB116+lng_st_ab_losses)/1000000</f>
        <v>70731.192129874151</v>
      </c>
      <c r="EZ116" s="63">
        <f>lng_st_nl_cost*lng_st_nl_demand/1000000+(lng_st_invest*(M116+1/lng_st_lifetime+lng_st_opex)/(Storage!$U$63/1000000)+lng_st_e_demand*1000*$AU116/100)*(FB116+lng_st_ab_losses)/1000000+co2_st_nl_cost*Storage!$U$12*co2_density/lng_density/1000000+(co2_st_opex_lev+co2_st_invest_lev+co2_st_e_demand*1000*$AU116/100)*Storage!$U$12/1000000+co2_st_invest_lev*Storage!$U$12*co2_st_lifetime*M116/1000000+Carriers!$AB$18/Carriers!$AB$23*((FB116+lng_st_ab_losses)/365.25*short_st_duration_hrs/24)*(h2_short_st_invest*(1/gh2_short_st_lifetime+$M116+h2_short_st_opex)+h2_short_st_e_demand*1000*$AU116/100)/1000000+Carriers!$AB$20/Carriers!$AB$23*((FB116+lng_st_ab_losses)/365.25*short_st_duration_hrs/24)*(co2_short_st_invest*(1/co2_short_st_lifetime+$M116+co2_short_st_opex)+co2_short_st_e_demand*1000*$AU116/100)/1000000</f>
        <v>5860.1674682405492</v>
      </c>
      <c r="FA116" s="63">
        <f>lng_st_nl_cost*lng_st_nl_demand/1000000+(lng_st_invest*(M116+1/lng_st_lifetime+lng_st_opex)/(Storage!$U$63/1000000)+lng_st_e_demand*1000*$AU116/100)*(FB116+lng_st_ab_losses)/1000000+Carriers!$AB$18/Carriers!$AB$23*((FB116+lng_st_ab_losses)/365.25*short_st_duration_hrs/24)*(h2_short_st_invest*(1/gh2_short_st_lifetime+$M116+h2_short_st_opex)+h2_short_st_e_demand*1000*$AU116/100)/1000000+Carriers!$AB$20/Carriers!$AB$23*((FB116+lng_st_ab_losses)/365.25*short_st_duration_hrs/24)*(co2_short_st_invest*(1/co2_short_st_lifetime+$M116+co2_short_st_opex)+co2_short_st_e_demand*1000*$AU116/100)/1000000</f>
        <v>4344.846473925636</v>
      </c>
      <c r="FB116" s="63">
        <f>Storage!$U$57/((1-Shipping!$V$37)^($F116/24/Shipping!$V$44+0.5*Shipping!$V$59))</f>
        <v>41546421.260130823</v>
      </c>
      <c r="FC116" s="28">
        <f>IF($E116="","No Port",IF(G116="Panama","Ship cannot pass through Panama",((F116/24/Shipping!$V$44+F116/24/Shipping!$V$50+Shipping!$V$59+Shipping!$V$64)*(Shipping!$V$22+wacc_nl*Shipping!$V$19/365.25*1000000+Shipping!$V$35)+(F116/24/Shipping!$V$44*Shipping!$V$45+Shipping!$V$64*Shipping!$V$65)*IF(bunker_choice="HFO",$H116,IF(bunker_choice="hydrogen",$BD116*hfo_e_density_lhv/h2_e_density_lhv,(EX116+EZ116)*1000000/FB116*hfo_e_density_lhv/lng_e_density_lhv))+(F116/24/Shipping!$V$50*Shipping!$V$51+Shipping!$V$59*Shipping!$V$60)*IF(bunker_choice="HFO",bunker_price_ROT,IF(bunker_choice="hydrogen",$BD116*hfo_e_density_lhv/h2_e_density_lhv,(EX116+EZ116)*1000000/FB116*hfo_e_density_lhv/lng_e_density_lhv))+Shipping!$V$73+IF(G116="Panama",Shipping!$V$55,0)+IF(G116="Suez",Shipping!$V$56,0))/Shipping!$V$31*(FB116+lng_st_ab_losses)/1000000)+IF(inland_transport_to_port="hv dc grid",$BM116/100*1000*FE116,IF(inland_transport_to_port="pipeline",$BN116,0)))</f>
        <v>2996.9062906378117</v>
      </c>
      <c r="FD116" s="28">
        <f t="shared" si="136"/>
        <v>78072.944894437591</v>
      </c>
      <c r="FE116" s="29">
        <f>((Carriers!$AB$18/Carriers!$AB$23*alk_el_e_demand)+sng_e_demand+lng_e_demand)*(FB116+lng_st_ab_losses)/1000000+lng_st_e_demand*EZ116/1000000</f>
        <v>1114.2327646948413</v>
      </c>
      <c r="FF116" s="29">
        <f t="shared" si="164"/>
        <v>0.8126185861001558</v>
      </c>
      <c r="FG116" s="28">
        <f>IFERROR(FD116*1000000/Storage!$U$12,"")</f>
        <v>1923.7310420641302</v>
      </c>
      <c r="FH116" s="28">
        <f>IF($E116="","No Port",((F116/24/Shipping!$V$44+F116/24/Shipping!$V$50+Shipping!$V$59+Shipping!$V$64)*Carriers!$AB$39*wacc_nl))</f>
        <v>38.443194490188674</v>
      </c>
      <c r="FI116" s="100">
        <f>H2_retrieval!$T$25*h2_demand_kt/1000+(co2_liq_e_demand+co2_st_e_demand*2)*Storage!$U$12*co2_density/lng_density/1000000</f>
        <v>236.51371749646054</v>
      </c>
      <c r="FJ116" s="28">
        <f>IFERROR((((EX116+EZ116+FC116)*(1+H2_retrieval!$T$34)+FH116)*1000000/H2_retrieval!$T$8)+h2_regen_lng,"")</f>
        <v>6259.7853455207196</v>
      </c>
      <c r="FK116" s="149">
        <f>(lh2_invest*(M116+1/lh2_lifetime)/lh2_prod+lh2_opex+lh2_e_demand*1000*$AU116/100+Carriers!$AD$18/Carriers!$AD$23*BD116)*(FM116+lh2_st_ab_losses)/1000000</f>
        <v>47148.571613446911</v>
      </c>
      <c r="FL116" s="28">
        <f>lh2_st_nl_cost*lh2_st_nl_demand/1000000+(lh2_st_invest*(M116+1/lh2_st_lifetime+lh2_st_opex)/(Storage!$Y$63/1000000)+lh2_st_e_demand*1000*$AU116/100)*(FM116+lh2_st_ab_losses)/1000000+((FM116+lh2_st_ab_losses)/365.25*short_st_duration_hrs/24)*(h2_short_st_invest*(1/gh2_short_st_lifetime+$M116+h2_short_st_opex)+h2_short_st_e_demand*1000*$AU116/100)/1000000</f>
        <v>51051.022702396229</v>
      </c>
      <c r="FM116" s="63">
        <f>Storage!$Y$57/((1-Shipping!$Z$37)^($F116/24/Shipping!$Z$44+0.5*Shipping!$Z$59))</f>
        <v>14113502.488276141</v>
      </c>
      <c r="FN116" s="28">
        <f>IF($E116="","No Port",IF(G116="Panama","Ship cannot pass through Panama",((F116/24/Shipping!$Z$44+F116/24/Shipping!$Z$50+Shipping!$Z$59+Shipping!$Z$64)*(Shipping!$Z$22+wacc_nl*Shipping!$Z$19/365.25*1000000+Shipping!$Z$35)+(F116/24/Shipping!$Z$44*Shipping!$Z$45+Shipping!$Z$64*Shipping!$Z$65)*IF(bunker_choice="HFO",$H116,IF(bunker_choice="hydrogen",$BD116*hfo_e_density_lhv/h2_e_density_lhv,(FK116+FL116)*1000000/FM116*hfo_e_density_lhv/lh2_e_density_lhv))+(F116/24/Shipping!$Z$50*Shipping!$Z$51+Shipping!$Z$59*Shipping!$Z$60)*IF(bunker_choice="HFO",bunker_price_ROT,IF(bunker_choice="hydrogen",$BD116*hfo_e_density_lhv/h2_e_density_lhv,(FK116+FL116)*1000000/FM116*hfo_e_density_lhv/lh2_e_density_lhv))+Shipping!$Z$73+IF(G116="Panama",Shipping!$Z$55,0)+IF(G116="Suez",Shipping!$Z$56,0))/Shipping!$Z$31*(FM116+lh2_st_ab_losses)/1000000)+IF(inland_transport_to_port="hv dc grid",$BM116/100*1000*FP116,IF(inland_transport_to_port="pipeline",$BN116,0)))</f>
        <v>5007.1638290451792</v>
      </c>
      <c r="FO116" s="28">
        <f t="shared" si="128"/>
        <v>103206.75814488831</v>
      </c>
      <c r="FP116" s="29">
        <f>((Carriers!$AD$18/Carriers!$AD$23*alk_el_e_demand)+lh2_e_demand)*(FM116+lh2_st_ab_losses)/1000000+lh2_st_e_demand*FM116/1000000</f>
        <v>817.84744214654393</v>
      </c>
      <c r="FQ116" s="100">
        <f t="shared" si="165"/>
        <v>1.361902463475859</v>
      </c>
      <c r="FR116" s="28">
        <f>IFERROR(FO116*1000000/Storage!$Y$12,"")</f>
        <v>7588.7322165359055</v>
      </c>
      <c r="FS116" s="100">
        <f>H2_retrieval!$V$25*h2_demand_kt/1000</f>
        <v>8.16</v>
      </c>
      <c r="FT116" s="28">
        <f>IFERROR(FR116*(1+H2_retrieval!$V$34)/Carrier_properties!$U$7+H2_retrieval!$V$38,"")</f>
        <v>7620.7009424043727</v>
      </c>
      <c r="FU116" s="12"/>
      <c r="FV116" s="24">
        <f t="shared" si="129"/>
        <v>2.0275317117193983</v>
      </c>
      <c r="FW116" s="24" t="str">
        <f t="shared" si="143"/>
        <v/>
      </c>
      <c r="FX116" s="24" t="str">
        <f t="shared" si="144"/>
        <v/>
      </c>
      <c r="FY116" s="24">
        <f t="shared" si="130"/>
        <v>2.0275317117193983</v>
      </c>
      <c r="FZ116" s="28">
        <f t="shared" si="145"/>
        <v>2508.7824732065937</v>
      </c>
      <c r="GA116" s="28">
        <f t="shared" si="137"/>
        <v>571.09952804149088</v>
      </c>
      <c r="GB116" s="28">
        <f t="shared" si="138"/>
        <v>361.75179031409255</v>
      </c>
      <c r="GC116" s="28">
        <f t="shared" si="139"/>
        <v>637.14235817782389</v>
      </c>
      <c r="GD116" s="28">
        <f t="shared" si="140"/>
        <v>927.86604378168272</v>
      </c>
      <c r="GE116" s="28">
        <f t="shared" si="141"/>
        <v>1616.9264376903416</v>
      </c>
      <c r="GF116" s="28">
        <f t="shared" si="142"/>
        <v>1702.4617279792012</v>
      </c>
      <c r="GG116" s="12"/>
      <c r="GH116" s="12"/>
      <c r="GI116" s="12"/>
      <c r="GJ116" s="12"/>
      <c r="GK116" s="12"/>
      <c r="GL116" s="12"/>
      <c r="GM116" s="12"/>
      <c r="GN116" s="12"/>
      <c r="GO116" s="12"/>
      <c r="GP116" s="12"/>
      <c r="GQ116" s="12"/>
      <c r="GR116" s="12"/>
      <c r="GS116" s="12"/>
      <c r="GT116" s="12"/>
      <c r="GU116" s="12"/>
      <c r="GV116" s="12"/>
      <c r="GW116" s="12"/>
      <c r="GX116" s="12"/>
      <c r="GY116" s="12"/>
      <c r="GZ116" s="12"/>
      <c r="HA116" s="12"/>
      <c r="HB116" s="12"/>
      <c r="HC116" s="12"/>
      <c r="HD116" s="12"/>
      <c r="HE116" s="12"/>
      <c r="HF116" s="12"/>
    </row>
    <row r="117" spans="1:214" x14ac:dyDescent="0.2">
      <c r="A117" s="154" t="s">
        <v>261</v>
      </c>
      <c r="B117" s="12">
        <v>5558</v>
      </c>
      <c r="C117" s="12">
        <v>1</v>
      </c>
      <c r="D117" s="12">
        <f t="shared" si="111"/>
        <v>0</v>
      </c>
      <c r="E117" s="12" t="s">
        <v>772</v>
      </c>
      <c r="F117" s="12">
        <v>3617</v>
      </c>
      <c r="G117" s="12"/>
      <c r="H117" s="16">
        <f t="shared" si="166"/>
        <v>382.75862068965517</v>
      </c>
      <c r="I117" s="16">
        <v>16376870</v>
      </c>
      <c r="J117" s="16">
        <f t="shared" si="113"/>
        <v>2283.181908159474</v>
      </c>
      <c r="K117" s="27">
        <f t="shared" si="114"/>
        <v>2739.8182897913689</v>
      </c>
      <c r="L117" s="103">
        <v>0.113</v>
      </c>
      <c r="M117" s="103">
        <f t="shared" si="167"/>
        <v>0.12133742614649801</v>
      </c>
      <c r="N117" s="122">
        <f t="shared" si="116"/>
        <v>0.9</v>
      </c>
      <c r="O117" s="46">
        <f t="shared" si="168"/>
        <v>40</v>
      </c>
      <c r="P117" s="70">
        <f t="array" ref="P117">SUMPRODUCT(IF(Solar_data!A$4:A$777=A117,Solar_data!C$4:C$777),IF(Solar_data!A$4:A$777=A117,Solar_data!I$4:I$777))/SUMIF(Solar_data!A$4:A$777,A117,Solar_data!I$4:I$777)</f>
        <v>1232.0961750256904</v>
      </c>
      <c r="Q117" s="16">
        <f t="array" ref="Q117">MAX(IF(Solar_data!$A$777:'Solar_data'!$A$4=Country_details!$A117,Solar_data!$C$4:'Solar_data'!$C$777))</f>
        <v>2098.75</v>
      </c>
      <c r="R117" s="16">
        <f t="array" ref="R117">MIN(IF(Solar_data!$A$777:'Solar_data'!$A$4=Country_details!A117,Solar_data!$C$4:'Solar_data'!$C$777))</f>
        <v>638.75</v>
      </c>
      <c r="S117" s="24">
        <f t="shared" si="149"/>
        <v>3.5791764777715738</v>
      </c>
      <c r="T117" s="24">
        <f t="shared" si="150"/>
        <v>2.1011981646238374</v>
      </c>
      <c r="U117" s="24">
        <f t="shared" si="151"/>
        <v>6.9039368266211802</v>
      </c>
      <c r="V117" s="16">
        <f t="array" ref="V117">SUM(IF(Solar_data!$A$777:'Solar_data'!$A$4=Country_details!$A117,Solar_data!$I$4:'Solar_data'!$I$777))</f>
        <v>82583.120448102054</v>
      </c>
      <c r="W117" s="148"/>
      <c r="X117" s="16">
        <f>IFERROR(INDEX(Onshore_wind_data!$J$5:'Onshore_wind_data'!$J$221,MATCH(A117,Onshore_wind_data!$B$5:'Onshore_wind_data'!$B$221,0)),"")</f>
        <v>3035.2195063681065</v>
      </c>
      <c r="Y117" s="16">
        <f>IFERROR(INDEX(Onshore_wind_data!$K$5:'Onshore_wind_data'!$K$221,MATCH(A117,Onshore_wind_data!$B$5:'Onshore_wind_data'!$B$221,0)),"")</f>
        <v>3971</v>
      </c>
      <c r="Z117" s="16">
        <f>IFERROR(INDEX(Onshore_wind_data!$L$5:'Onshore_wind_data'!$L$221,MATCH(A117,Onshore_wind_data!$B$5:'Onshore_wind_data'!$B$221,0)),"")</f>
        <v>2847.5</v>
      </c>
      <c r="AA117" s="24">
        <f t="shared" si="169"/>
        <v>4.6540902452605</v>
      </c>
      <c r="AB117" s="24">
        <f t="shared" si="170"/>
        <v>3.5573370679456549</v>
      </c>
      <c r="AC117" s="24">
        <f t="shared" si="171"/>
        <v>4.9609079883449327</v>
      </c>
      <c r="AD117" s="16">
        <f>IFERROR(INDEX(Onshore_wind_data!$I$5:'Onshore_wind_data'!$I$221,MATCH(A117,Onshore_wind_data!$B$5:'Onshore_wind_data'!$B$221,0)),"")</f>
        <v>17495.151380525003</v>
      </c>
      <c r="AE117" s="148"/>
      <c r="AF117" s="16">
        <f>INDEX(Offshore_wind_data!$AA$7:$AA$192,MATCH(Country_details!A117,Offshore_wind_data!$A$7:$A$192,0))</f>
        <v>4010.92085763973</v>
      </c>
      <c r="AG117" s="16">
        <f>INDEX(Offshore_wind_data!$Y$7:$Y$192,MATCH(Country_details!A117,Offshore_wind_data!$A$7:$A$192,0))</f>
        <v>4204.8</v>
      </c>
      <c r="AH117" s="16">
        <f>INDEX(Offshore_wind_data!$Z$7:$Z$192,MATCH(Country_details!A117,Offshore_wind_data!$A$7:$A$192,0))</f>
        <v>3153.6</v>
      </c>
      <c r="AI117" s="24">
        <f t="shared" si="152"/>
        <v>6.6785759707741938</v>
      </c>
      <c r="AJ117" s="24">
        <f t="shared" si="153"/>
        <v>6.3706334809050897</v>
      </c>
      <c r="AK117" s="24">
        <f t="shared" si="154"/>
        <v>8.4941779745401202</v>
      </c>
      <c r="AL117" s="16">
        <f>INDEX(Offshore_wind_data!$W$7:$W$191,MATCH(A117,Offshore_wind_data!$A$7:$A$191,0))</f>
        <v>29152.656288000002</v>
      </c>
      <c r="AM117" s="148"/>
      <c r="AN117" s="12">
        <v>144</v>
      </c>
      <c r="AO117" s="12">
        <v>132.69999999999999</v>
      </c>
      <c r="AP117" s="34">
        <f>5.093*11.63</f>
        <v>59.231590000000004</v>
      </c>
      <c r="AQ117" s="15">
        <f t="shared" si="155"/>
        <v>50</v>
      </c>
      <c r="AR117" s="12">
        <f t="shared" si="131"/>
        <v>6634.9999999999991</v>
      </c>
      <c r="AS117" s="16">
        <f t="shared" si="121"/>
        <v>122595.92811662705</v>
      </c>
      <c r="AT117" s="12"/>
      <c r="AU117" s="24">
        <f t="shared" si="147"/>
        <v>4.3437318747325939</v>
      </c>
      <c r="AV117" s="16">
        <f t="shared" si="148"/>
        <v>4267.3156813937967</v>
      </c>
      <c r="AW117" s="149">
        <f>HV_DC_Grid!$E$3/(1-AX117)*AU117/100*1000</f>
        <v>4913.6804890362737</v>
      </c>
      <c r="AX117" s="31">
        <f>(1-(1-HV_DC_Grid!$E$25)^(B117*C117*HV_DC_Grid!$E$8/1000))+(1-(1-HV_DC_Grid!$E$26)^(B117*D117*HV_DC_Grid!$E$8/1000))+HV_DC_Grid!$E$35*HV_DC_Grid!$E$28</f>
        <v>0.11599220087170635</v>
      </c>
      <c r="AY117" s="28">
        <f>B117*nl_e_demand/IF(hv_dc_flh="electricity FLH",$AV117,hv_dc_custom)*1000*hv_dc_capacity_multiplier*hv_dc_length_multiplier*1000*(C117*hv_dc_overhead_invest*(hv_dc_overhead_opex+M117+1/hv_dc_lifetime)+D117*hv_dc_sea_invest*(hv_dc_sea_opex+M117+1/hv_dc_lifetime))/1000000+HV_DC_Grid!$E$10*1000*hv_dc_station_invest*hv_dc_station_number*(hv_dc_station_opex+M117+1/hv_dc_lifetime)/1000000</f>
        <v>5000.6464337041598</v>
      </c>
      <c r="AZ117" s="24">
        <f>(AW117+AY117)/(HV_DC_Grid!$E$3*1000)*100</f>
        <v>9.9143269227404343</v>
      </c>
      <c r="BA117" s="28">
        <f>MIN(((Carriers!$F$26+Carriers!$F$27)*(alk_el_opex+wacc_nl+1/alk_el_lifetime)+IF(hv_dc_flh="electricity FLH",$AV117,hv_dc_custom)*AZ117/100)/(IF(hv_dc_flh="electricity FLH",$AV117,hv_dc_custom)/alk_el_e_demand)*1000,((Carriers!$H$26+Carriers!$H$27)*(pem_el_opex+wacc_nl+1/pem_el_lifetime)+IF(hv_dc_flh="electricity FLH",$AV117,hv_dc_custom)*AZ117/100)/(IF(hv_dc_flh="electricity FLH",$AV117,hv_dc_custom)/pem_el_e_demand)*1000)</f>
        <v>5417.0361500789031</v>
      </c>
      <c r="BB117" s="12"/>
      <c r="BC117" s="12"/>
      <c r="BD117" s="149">
        <f>MIN(((Carriers!$F$26+Carriers!$F$27)*(alk_el_opex+M117+1/alk_el_lifetime)+$AV117*$AU117/100)/($AV117/alk_el_e_demand)*1000,((Carriers!$H$26+Carriers!$H$27)*(pem_el_opex+M117+1/pem_el_lifetime)+$AV117*$AU117/100)/($AV117/pem_el_e_demand)*1000)</f>
        <v>3009.4491902612858</v>
      </c>
      <c r="BE117" s="28">
        <f>Storage!$AC$50</f>
        <v>8.1664117557772418</v>
      </c>
      <c r="BF117" s="28">
        <f>((Pipeline!$D$22*Pipeline!$D$24*B117*(pipeline_opex+M117+1/pipeline_lifetime))*(Pipeline!$D$39/Pipeline!$D$3)+(Pipeline!$D$57*(pipeline_comp_opex+M117+1/pipeline_comp_lifetime)+Pipeline!$D$47*1000*Pipeline!$D$45*$AU117/100/1000000))*(Pipeline!$D$75/Pipeline!$D$45)</f>
        <v>12313.829034591636</v>
      </c>
      <c r="BG117" s="28">
        <f>BD117+(BE117+BF117)/Storage!$AC$12*1000000</f>
        <v>3915.4782671985954</v>
      </c>
      <c r="BH117" s="28"/>
      <c r="BI117" s="28"/>
      <c r="BJ117" s="28">
        <f>IF($E117="","No Port",BK117*HV_DC_Grid!$E$3*$AU117/100*1000)</f>
        <v>285.15876470652029</v>
      </c>
      <c r="BK117" s="31">
        <f>IFERROR((1-(1-HV_DC_Grid!$E$25)^(K117*HV_DC_Grid!$E$8/1000))+HV_DC_Grid!$E$35*HV_DC_Grid!$E$28,"")</f>
        <v>6.564833487197573E-2</v>
      </c>
      <c r="BL117" s="28">
        <f>IFERROR(K117*nl_e_demand/IF(hv_dc_flh="electricity FLH",$AV117,hv_dc_custom)*1000*hv_dc_capacity_multiplier*hv_dc_length_multiplier*1000*(hv_dc_overhead_invest*(hv_dc_overhead_opex+M117+1/hv_dc_lifetime))/1000000+HV_DC_Grid!$E$10*1000*hv_dc_station_invest*hv_dc_station_number*(hv_dc_station_opex+M117+1/hv_dc_lifetime)/1000000,"")</f>
        <v>2674.3456217719909</v>
      </c>
      <c r="BM117" s="29">
        <f>IFERROR((BJ117+BL117)/(HV_DC_Grid!$E$3*1000)*100,"")</f>
        <v>2.9595043864785113</v>
      </c>
      <c r="BN117" s="28">
        <f>IFERROR(((Pipeline!$D$22*Pipeline!$D$24*K117*(pipeline_opex+M117+1/pipeline_lifetime))*(Pipeline!$D$39/Pipeline!$D$3)+(Pipeline!$D$57*(pipeline_comp_opex+M117+1/pipeline_comp_lifetime)+Pipeline!$D$47*1000*Pipeline!$D$45*S117/100/1000000))*(Pipeline!$D$75/Pipeline!$D$45),"")</f>
        <v>6116.5905682236789</v>
      </c>
      <c r="BO117" s="28"/>
      <c r="BP117" s="150">
        <f t="shared" si="172"/>
        <v>121.05923838427827</v>
      </c>
      <c r="BQ117" s="34">
        <f t="shared" si="173"/>
        <v>35.126699909643655</v>
      </c>
      <c r="BR117" s="151">
        <f>(nh3_invest*(M117+1/nh3_lifetime)/nh3_prod+nh3_opex+nh3_e_demand*1000*$AU117/100+Carriers!$N$18/Carriers!$N$23*BD117+Carriers!$N$19/Carriers!$N$23*BQ117)*(BT117+nh3_st_ab_losses)/1000000</f>
        <v>54193.911965367537</v>
      </c>
      <c r="BS117" s="63">
        <f>nh3_st_nl_cost*nh3_st_nl_demand/1000000+(nh3_st_invest*(M117+1/nh3_st_lifetime+nh3_st_opex)/(Storage!$G$63/1000000)+nh3_st_e_demand*1000*$AU117/100)*(BT117+nh3_st_ab_losses)/1000000+Carriers!$N$18/Carriers!$N$23*((BT117+nh3_st_ab_losses)/365.25*short_st_duration_hrs/24)*(h2_short_st_invest*(1/gh2_short_st_lifetime+$M117+h2_short_st_opex)+h2_short_st_e_demand*1000*$AU117/100)/1000000+Carriers!$N$19/Carriers!$N$23*((BT117+nh3_st_ab_losses)/365.25*short_st_duration_hrs/24)*(n2_short_st_invest*(1/n2_short_st_lifetime+$M117+n2_short_st_opex)+n2_short_st_e_demand*1000*$AU117/100)/1000000</f>
        <v>3393.8859187832836</v>
      </c>
      <c r="BT117" s="63">
        <f>Storage!$G$57/((1-Shipping!$H$37)^(F117/24/Shipping!$H$44+0.5*Shipping!$H$59))</f>
        <v>78634202.884186193</v>
      </c>
      <c r="BU117" s="63">
        <f>IF($E117="","No Port",((F117/24/Shipping!$H$44+F117/24/Shipping!$H$50+Shipping!$H$59+Shipping!$H$64)*(Shipping!$H$22+wacc_nl*Shipping!$H$19/365.25*1000000+Shipping!$H$35)+(F117/24/Shipping!$H$44*Shipping!$H$45+Shipping!$H$64*Shipping!$H$65)*IF(bunker_choice="HFO",H117,IF(bunker_choice="hydrogen",BD117*hfo_e_density_lhv/h2_e_density_lhv,(BR117+BS117)*1000000/BT117*hfo_e_density_lhv/nh3_e_density_lhv))+(F117/24/Shipping!$H$50*Shipping!$H$51+Shipping!$H$59*Shipping!$H$60)*IF(bunker_choice="HFO",bunker_price_ROT,IF(bunker_choice="hydrogen",BD117*hfo_e_density_lhv/h2_e_density_lhv,(BR117+BS117)*1000000/BT117*hfo_e_density_lhv/nh3_e_density_lhv))+Shipping!$H$73+IF(G117="Panama",Shipping!$H$55,0)+IF(G117="Suez",Shipping!$H$56,0))/Shipping!$H$31*BT117/1000000+IF(inland_transport_to_port="hv dc grid",$BM117/100*1000*BW117,IF(inland_transport_to_port="pipeline",$BN117,0)))</f>
        <v>8660.6961035812237</v>
      </c>
      <c r="BV117" s="63">
        <f t="shared" si="174"/>
        <v>66248.493987732043</v>
      </c>
      <c r="BW117" s="33">
        <f>((Carriers!$N$18/Carriers!$N$23*alk_el_e_demand)+(Carriers!$N$19/Carriers!$N$23*n2_e_demand)+nh3_e_demand)*(BT117+nh3_st_ab_losses)/1000000+nh3_st_e_demand*BT117/1000000</f>
        <v>776.53581989011593</v>
      </c>
      <c r="BX117" s="33">
        <f t="shared" si="156"/>
        <v>0.76626754477640768</v>
      </c>
      <c r="BY117" s="63">
        <f>IFERROR(BV117*1000000/Storage!$G$12,"")</f>
        <v>865.28121984750624</v>
      </c>
      <c r="BZ117" s="63">
        <f>H2_retrieval!$F$25*h2_demand_kt/1000</f>
        <v>80</v>
      </c>
      <c r="CA117" s="63">
        <f>IFERROR(BY117*(1+H2_retrieval!$F$34)/Carrier_properties!$E$7+H2_retrieval!$F$38,"")</f>
        <v>5280.4387728593265</v>
      </c>
      <c r="CB117" s="149">
        <f>(FA_invest*(M117+1/FA_lifetime)/FA_prod+FA_opex+FA_e_demand*1000*$AU117/100+Carriers!$P$18/Carriers!$P$23*BD117+Carriers!$P$20/Carriers!$P$23*co2_liq_cost)*(CF117+FA_st_ab_losses)/1000000</f>
        <v>122411.96040397727</v>
      </c>
      <c r="CC117" s="86">
        <f>(FA_invest*(M117+1/FA_lifetime)/FA_prod+FA_opex+FA_e_demand*1000*$AU117/100+Carriers!$P$18/Carriers!$P$23*BD117+Carriers!$P$20/Carriers!$P$23*BP117)*(CF117+FA_st_ab_losses)/1000000</f>
        <v>151737.49994138919</v>
      </c>
      <c r="CD117" s="63">
        <f>FA_st_nl_cost*FA_st_nl_demand/1000000+(FA_st_invest*(M117+1/FA_st_lifetime+FA_st_opex)/(Storage!$I$63/1000000)+FA_st_e_demand*1000*$AU117/100)*(CF117+FA_st_ab_losses)/1000000+co2_st_nl_cost*Storage!$I$12*co2_density/FA_density/1000000+(co2_st_opex_lev+co2_st_invest_lev+co2_st_e_demand*1000*$AU117/100)*Storage!$I$12/1000000+co2_st_invest_lev*Storage!$I$12*co2_st_lifetime*M117/1000000+Carriers!$P$18/Carriers!$P$23*((CF117+FA_st_ab_losses)/365.25*short_st_duration_hrs/24)*(h2_short_st_invest*(1/gh2_short_st_lifetime+$M117+h2_short_st_opex)+h2_short_st_e_demand*1000*$AU117/100)/1000000+Carriers!$P$20/Carriers!$P$23*((CF117+FA_st_ab_losses)/365.25*short_st_duration_hrs/24)*(co2_short_st_invest*(1/co2_short_st_lifetime+$M117+co2_short_st_opex)+co2_short_st_e_demand*1000*$AU117/100)/1000000</f>
        <v>12185.528648233543</v>
      </c>
      <c r="CE117" s="63">
        <f>FA_st_nl_cost*FA_st_nl_demand/1000000+(FA_st_invest*(M117+1/FA_st_lifetime+FA_st_opex)/(Storage!$I$63/1000000)+FA_st_e_demand*1000*$AU117/100)*(CF117+FA_st_ab_losses)/1000000+Carriers!$P$18/Carriers!$P$23*((CF117+FA_st_ab_losses)/365.25*short_st_duration_hrs/24)*(h2_short_st_invest*(1/gh2_short_st_lifetime+$M117+h2_short_st_opex)+h2_short_st_e_demand*1000*$AU117/100)/1000000+Carriers!$P$20/Carriers!$P$23*((CF117+FA_st_ab_losses)/365.25*short_st_duration_hrs/24)*(co2_short_st_invest*(1/co2_short_st_lifetime+$M117+co2_short_st_opex)+co2_short_st_e_demand*1000*$AU117/100)/1000000</f>
        <v>5036.9955582300754</v>
      </c>
      <c r="CF117" s="63">
        <f>Storage!$I$57/((1-Shipping!$J$37)^($F117/24/Shipping!$J$44+0.5*Shipping!$J$59))</f>
        <v>310425396.82539684</v>
      </c>
      <c r="CG117" s="28">
        <f>IF($E117="","No Port",((F117/24/Shipping!$J$44+F117/24/Shipping!$J$50+Shipping!$J$59+Shipping!$J$64)*(Shipping!$J$22+wacc_nl*Shipping!$J$19/365.25*1000000+Shipping!$J$35)+(F117/24/Shipping!$J$44*Shipping!$J$45+Shipping!$J$64*Shipping!$J$65)*IF(bunker_choice="HFO",$H117,IF(bunker_choice="hydrogen",$BD117*hfo_e_density_lhv/h2_e_density_lhv,(CB117+CD117)*1000000/CF117*hfo_e_density_lhv/FA_e_density_lhv))+(F117/24/Shipping!$J$50*Shipping!$J$51+Shipping!$J$59*Shipping!$J$60)*IF(bunker_choice="HFO",bunker_price_ROT,IF(bunker_choice="hydrogen",$BD117*hfo_e_density_lhv/h2_e_density_lhv,(CB117+CD117)*1000000/CF117*hfo_e_density_lhv/FA_e_density_lhv))+Shipping!$J$73+IF(G117="Panama",Shipping!$J$55,0)+IF(G117="Suez",Shipping!$J$56,0))/Shipping!$J$31*CF117/1000000+IF(inland_transport_to_port="hv dc grid",$BM117/100*1000*CI117,IF(inland_transport_to_port="pipeline",$BN117,0)))</f>
        <v>17245.927932452854</v>
      </c>
      <c r="CH117" s="28">
        <f t="shared" si="132"/>
        <v>174020.42343207213</v>
      </c>
      <c r="CI117" s="29">
        <f>((Carriers!$P$18/Carriers!$P$23*alk_el_e_demand)+FA_e_demand)*(CF117+FA_st_ab_losses)/1000000+FA_st_e_demand*CF117/1000000</f>
        <v>1897.8881241622576</v>
      </c>
      <c r="CJ117" s="29">
        <f t="shared" si="157"/>
        <v>0.46563809523809524</v>
      </c>
      <c r="CK117" s="28">
        <f>IFERROR(CH117*1000000/Storage!$I$12,"")</f>
        <v>560.58694041052445</v>
      </c>
      <c r="CL117" s="28">
        <f>IF($E117="","No Port",((F117/24/Shipping!$J$44+F117/24/Shipping!$J$50+Shipping!$J$59+Shipping!$J$64)*Carriers!$P$39*wacc_nl))</f>
        <v>194.65584653471225</v>
      </c>
      <c r="CM117" s="29">
        <f>H2_retrieval!$H$25*h2_demand_kt/1000+(co2_liq_e_demand+co2_st_e_demand*2)*Storage!$I$12*co2_density/FA_density/1000000</f>
        <v>94.204253879484654</v>
      </c>
      <c r="CN117" s="28">
        <f>IFERROR((((CB117+CD117+CG117)*(1+H2_retrieval!$H$34)+CL117)*1000000/H2_retrieval!$H$8)+h2_regen_fa,"")</f>
        <v>11268.957428884481</v>
      </c>
      <c r="CO117" s="149">
        <f>(meoh_invest*(M117+1/meoh_lifetime)/meoh_prod+meoh_opex+meoh_e_demand*1000*$AU117/100+Carriers!$R$18/Carriers!$R$23*BD117+Carriers!$R$20/Carriers!$R$23*co2_liq_cost)*(CS117+meoh_st_ab_losses)/1000000</f>
        <v>66690.641436586069</v>
      </c>
      <c r="CP117" s="86">
        <f>(meoh_invest*(M117+1/meoh_lifetime)/meoh_prod+meoh_opex+meoh_e_demand*1000*$AU117/100+Carriers!$R$18/Carriers!$R$23*BD117+Carriers!$R$20/Carriers!$R$23*BP117)*(CS117+meoh_st_ab_losses)/1000000</f>
        <v>83905.638478306719</v>
      </c>
      <c r="CQ117" s="63">
        <f>meoh_st_nl_cost*meoh_st_nl_demand/1000000+(meoh_st_invest*(M117+1/meoh_st_lifetime+meoh_st_opex)/(Storage!$K$63/1000000)+meoh_st_e_demand*1000*$AU117/100)*(CS117+meoh_st_ab_losses)/1000000+co2_st_nl_cost*Storage!$K$12*co2_density/meoh_density/1000000+(co2_st_opex_lev+co2_st_invest_lev+co2_st_e_demand*1000*IFERROR(MIN(S117,AA117,AI117),S117)/100)*Storage!$K$12/1000000+co2_st_invest_lev*Storage!$K$12*co2_st_lifetime*M117/1000000+Carriers!$R$18/Carriers!$R$23*((CS117+meoh_st_ab_losses)/365.25*short_st_duration_hrs/24)*(h2_short_st_invest*(1/gh2_short_st_lifetime+$M117+h2_short_st_opex)+h2_short_st_e_demand*1000*$AU117/100)/1000000+Carriers!$R$20/Carriers!$R$23*((CF117+meoh_st_ab_losses)/365.25*short_st_duration_hrs/24)*(co2_short_st_invest*(1/co2_short_st_lifetime+$M117+co2_short_st_opex)+co2_short_st_e_demand*1000*$AU117/100)/1000000</f>
        <v>4985.2993741237688</v>
      </c>
      <c r="CR117" s="63">
        <f>meoh_st_nl_cost*meoh_st_nl_demand/1000000+(meoh_st_invest*(M117+1/meoh_st_lifetime+meoh_st_opex)/(Storage!$K$63/1000000)+meoh_st_e_demand*1000*$AU117/100)*(CS117+meoh_st_ab_losses)/1000000+Carriers!$R$18/Carriers!$R$23*((CS117+meoh_st_ab_losses)/365.25*short_st_duration_hrs/24)*(h2_short_st_invest*(1/gh2_short_st_lifetime+$M117+h2_short_st_opex)+h2_short_st_e_demand*1000*$AU117/100)/1000000+Carriers!$R$20/Carriers!$R$23*((CF117+meoh_st_ab_losses)/365.25*short_st_duration_hrs/24)*(co2_short_st_invest*(1/co2_short_st_lifetime+$M117+co2_short_st_opex)+co2_short_st_e_demand*1000*$AU117/100)/1000000</f>
        <v>1980.8405754647345</v>
      </c>
      <c r="CS117" s="63">
        <f>Storage!$K$57/((1-Shipping!$L$37)^($F117/24/Shipping!$L$44+0.5*Shipping!$L$59))</f>
        <v>108044444.44444443</v>
      </c>
      <c r="CT117" s="28">
        <f>IF($E117="","No Port",IF(AND(ship_choice="VLCC",G117="Panama"),"Ship cannot pass through Panama",IF(ship_choice="VLCC",((F117/24/Shipping!$AD$44+F117/24/Shipping!$AD$50+Shipping!$AD$59+Shipping!$AD$64)*(Shipping!$AD$22+wacc_nl*Shipping!$AD$19/365.25*1000000+Shipping!$AD$35)+(F117/24/Shipping!$AD$44*Shipping!$AD$45+Shipping!$AD$64*Shipping!$AD$65)*IF(bunker_choice="HFO",$H117,IF(bunker_choice="hydrogen",$BD117*hfo_e_density_lhv/h2_e_density_lhv,(CO117+CQ117)*1000000/CS117*hfo_e_density_lhv/meoh_e_density_lhv))+(F117/24/Shipping!$AD$50*Shipping!$AD$51+Shipping!$AD$59*Shipping!$AD$60)*IF(bunker_choice="HFO",bunker_price_ROT,IF(bunker_choice="hydrogen",$BD117*hfo_e_density_lhv/h2_e_density_lhv,(CO117+CQ117)*1000000/CS117*hfo_e_density_lhv/meoh_e_density_lhv))+Shipping!$AD$73+IF(G117="Panama",Shipping!$AD$55,0)+IF(G117="Suez",Shipping!$AD$56,0))/Shipping!$AD$31*CS117/1000000+IF(inland_transport_to_port="hv dc grid",$BM117/100*1000*CV117,IF(inland_transport_to_port="pipeline",$BN117,0)),((F117/24/Shipping!$L$44+F117/24/Shipping!$L$50+Shipping!$L$59+Shipping!$L$64)*(Shipping!$L$22+wacc_nl*Shipping!$L$19/365.25*1000000+Shipping!$L$35)+(F117/24/Shipping!$L$44*Shipping!$L$45+Shipping!$L$64*Shipping!$L$65)*IF(bunker_choice="HFO",$H117,IF(bunker_choice="hydrogen",$BD117*hfo_e_density_lhv/h2_e_density_lhv,(CO117+CQ117)*1000000/CS117*hfo_e_density_lhv/meoh_e_density_lhv))+(F117/24/Shipping!$L$50*Shipping!$L$51+Shipping!$L$59*Shipping!$L$60)*IF(bunker_choice="HFO",bunker_price_ROT,IF(bunker_choice="hydrogen",$BD117*hfo_e_density_lhv/h2_e_density_lhv,(CO117+CQ117)*1000000/CS117*hfo_e_density_lhv/meoh_e_density_lhv))+Shipping!$L$73+IF(G117="Panama",Shipping!$L$55,0)+IF(G117="Suez",Shipping!$L$56,0))/Shipping!$L$31*CS117/1000000+IF(inland_transport_to_port="hv dc grid",$BM117/100*1000*CV117,IF(inland_transport_to_port="pipeline",$BN117,0)))))</f>
        <v>9761.6966241675673</v>
      </c>
      <c r="CU117" s="28">
        <f t="shared" si="133"/>
        <v>95648.175677939027</v>
      </c>
      <c r="CV117" s="29">
        <f>((Carriers!$R$18/Carriers!$R$23*alk_el_e_demand)+meoh_e_demand)*(CS117+meoh_st_ab_losses)/1000000+meoh_st_e_demand*CS117/1000000</f>
        <v>1119.9789871111109</v>
      </c>
      <c r="CW117" s="29">
        <f t="shared" si="158"/>
        <v>0.16206666666666666</v>
      </c>
      <c r="CX117" s="28">
        <f>IFERROR(CU117*1000000/Storage!$K$12,"")</f>
        <v>885.26694889083842</v>
      </c>
      <c r="CY117" s="28">
        <f>IF($E117="","No Port",((F117/24/Shipping!$L$44+F117/24/Shipping!$L$50+Shipping!$L$59+Shipping!$L$64)*Carriers!$R$39*wacc_nl))</f>
        <v>69.549569756125749</v>
      </c>
      <c r="CZ117" s="29">
        <f>H2_retrieval!$J$25*h2_demand_kt/1000+(co2_liq_e_demand+co2_st_e_demand*2)*Storage!$K$12*co2_density/meoh_density/1000000</f>
        <v>251.05079059698966</v>
      </c>
      <c r="DA117" s="28">
        <f>IFERROR((((CO117+CQ117+CT117)*(1+H2_retrieval!$J$34)+CY117)*1000000/H2_retrieval!$J$8)+h2_regen_meoh,"")</f>
        <v>7163.3040582427002</v>
      </c>
      <c r="DB117" s="149">
        <f>(DBT_invest*(M117+1/DBT_lifetime)/DBT_prod+DBT_opex+DBT_e_demand*1000*$AU117/100+Carriers!$T$18/Carriers!$T$23*BD117)*(DD117+DBT_st_ab_losses)/1000000</f>
        <v>44235.895303522804</v>
      </c>
      <c r="DC117" s="28">
        <f>2*(DBT_st_nl_cost*DBT_st_nl_demand/1000000+(DBT_st_invest*(M117+1/DBT_st_lifetime+DBT_st_opex)/(Storage!$M$63/1000000)+DBT_st_e_demand*1000*$AU117/100)*(DD117+DBT_st_ab_losses)/1000000)+Carriers!$T$18/Carriers!$T$23*((DD117+DBT_st_ab_losses)/365.25*short_st_duration_hrs/24)*(h2_short_st_invest*(1/gh2_short_st_lifetime+$M117+h2_short_st_opex)+h2_short_st_e_demand*1000*$AU117/100)/1000000</f>
        <v>4096.5493432233525</v>
      </c>
      <c r="DD117" s="63">
        <f>Storage!$M$57/((1-Shipping!$N$37)^($F117/24/Shipping!$N$44+0.5*Shipping!$N$59))</f>
        <v>219354838.70967743</v>
      </c>
      <c r="DE117" s="28">
        <f>IF($E117="","No Port",IF(AND(ship_choice="VLCC",G117="Panama"),"Ship cannot pass through Panama",IF(ship_choice="VLCC",((F117/24/Shipping!$AD$44+F117/24/Shipping!$AD$50+Shipping!$AD$59+Shipping!$AD$64)*(Shipping!$AD$22+wacc_nl*Shipping!$AD$19/365.25*1000000+Shipping!$AD$35)+(F117/24/Shipping!$AD$44*Shipping!$AD$45+Shipping!$AD$64*Shipping!$AD$65)*IF(bunker_choice="HFO",$H117,IF(bunker_choice="hydrogen",$BD117*hfo_e_density_lhv/h2_e_density_lhv,(DB117+DC117)*1000000/DD117*hfo_e_density_lhv/DBT_e_density_lhv))+(F117/24/Shipping!$AD$50*Shipping!$AD$51+Shipping!$AD$59*Shipping!$AD$60)*IF(bunker_choice="HFO",bunker_price_ROT,IF(bunker_choice="hydrogen",$BD117*hfo_e_density_lhv/h2_e_density_lhv,(DB117+DC117)*1000000/DD117*hfo_e_density_lhv/DBT_e_density_lhv))+Shipping!$AD$73+IF(G117="Panama",Shipping!$AD$55,0)+IF(G117="Suez",Shipping!$AD$56,0))/Shipping!$AD$31*DD117/1000000+IF(inland_transport_to_port="hv dc grid",$BM117/100*1000*DG117,IF(inland_transport_to_port="pipeline",$BN117,0)),((F117/24/Shipping!$N$44+F117/24/Shipping!$N$50+Shipping!$N$59+Shipping!$N$64)*(Shipping!$N$22+wacc_nl*Shipping!$N$19/365.25*1000000+Shipping!$N$35)+(F117/24/Shipping!$N$44*Shipping!$N$45+Shipping!$N$64*Shipping!$N$65)*IF(bunker_choice="HFO",$H117,IF(bunker_choice="hydrogen",$BD117*hfo_e_density_lhv/h2_e_density_lhv,(DB117+DC117)*1000000/DD117*hfo_e_density_lhv/DBT_e_density_lhv))+(F117/24/Shipping!$N$50*Shipping!$N$51+Shipping!$N$59*Shipping!$N$60)*IF(bunker_choice="HFO",bunker_price_ROT,IF(bunker_choice="hydrogen",$BD117*hfo_e_density_lhv/h2_e_density_lhv,(DB117+DC117)*1000000/DD117*hfo_e_density_lhv/DBT_e_density_lhv))+Shipping!$N$73+IF(G117="Panama",Shipping!$N$55,0)+IF(G117="Suez",Shipping!$N$56,0))/Shipping!$N$31*Shipping!$N$86/1000000+IF(inland_transport_to_port="hv dc grid",$BM117/100*1000*DG117,IF(inland_transport_to_port="pipeline",$BN117,0)))))</f>
        <v>12977.941159711481</v>
      </c>
      <c r="DF117" s="28">
        <f t="shared" si="159"/>
        <v>61310.385806457634</v>
      </c>
      <c r="DG117" s="29">
        <f>((Carriers!$T$18/Carriers!$T$23*alk_el_e_demand)+DBT_e_demand)*(DD117+DBT_st_ab_losses)/1000000+DBT_st_e_demand*DD117/1000000</f>
        <v>703.88335483870969</v>
      </c>
      <c r="DH117" s="29">
        <f t="shared" si="160"/>
        <v>0.21935483870967742</v>
      </c>
      <c r="DI117" s="28">
        <f>IFERROR(DF117*1000000/Storage!$M$12,"")</f>
        <v>279.50322941179212</v>
      </c>
      <c r="DJ117" s="28">
        <f>IF($E117="","No Port",((F117/24/Shipping!$N$44+F117/24/Shipping!$N$50+Shipping!$N$59+Shipping!$N$64)*Carriers!$T$39*wacc_nl))</f>
        <v>5065.5236788507864</v>
      </c>
      <c r="DK117" s="100">
        <f>H2_retrieval!$L$25*h2_demand_kt/1000+(co2_liq_e_demand+co2_st_e_demand*2)*Storage!$M$12*co2_density/DBT_density/1000000</f>
        <v>206.61934861671787</v>
      </c>
      <c r="DL117" s="28">
        <f>IFERROR(((DF117*(1+H2_retrieval!$L$34)+DJ117)*1000000/H2_retrieval!$L$8)+h2_regen_lohc,"")</f>
        <v>5351.2313604408855</v>
      </c>
      <c r="DM117" s="149">
        <f t="shared" si="175"/>
        <v>67534.530885457323</v>
      </c>
      <c r="DN117" s="16">
        <f>2*(nabh4_st_nl_cost*nabh4_st_nl_demand/1000000+(nabh4_st_invest*(M117+1/nabh4_st_lifetime+nabh4_st_opex)/(Storage!$O$63/1000000)+nabh4_st_e_demand*1000*$AU117/100)*(DO117+nabh4_st_ab_losses)/1000000)+(h2_demand_kt*1000/365.25*short_st_duration_hrs/24)*(h2_short_st_invest*(1/gh2_short_st_lifetime+$M117+h2_short_st_opex)+h2_short_st_e_demand*1000*$AU117/100)/1000000</f>
        <v>1502.333100552984</v>
      </c>
      <c r="DO117" s="63">
        <f>Storage!$O$57/((1-Shipping!$P$37)^($F117/24/Shipping!$P$44+0.5*Shipping!$P$59))</f>
        <v>63920000</v>
      </c>
      <c r="DP117" s="16">
        <f>IF($E117="","No Port",((F117/24/Shipping!$P$44+F117/24/Shipping!$P$50+Shipping!$P$59+Shipping!$P$64)*(Shipping!$P$22+wacc_nl*Shipping!$P$19/365.25*1000000+Shipping!$P$35)+(F117/24/Shipping!$P$44*Shipping!$P$45+Shipping!$P$64*Shipping!$P$65)*IF(bunker_choice="HFO",$H117,IF(bunker_choice="hydrogen",$BD117*hfo_e_density_lhv/h2_e_density_lhv,(DM117+DN117)*1000000/DO117*hfo_e_density_lhv/nabh4_e_density_lhv))+(F117/24/Shipping!$P$50*Shipping!$P$51+Shipping!$P$59*Shipping!$P$60)*IF(bunker_choice="HFO",bunker_price_ROT,IF(bunker_choice="hydrogen",$BD117*hfo_e_density_lhv/h2_e_density_lhv,(DM117+DN117)*1000000/DO117*hfo_e_density_lhv/nabh4_e_density_lhv))+Shipping!$P$73+IF(G117="Panama",Shipping!$P$55,0)+IF(G117="Suez",Shipping!$P$56,0))/Shipping!$P$31*(DO117+nabh4_st_ab_losses)/1000000+IF(inland_transport_to_port="hv dc grid",$BM117/100*1000*DR117,IF(inland_transport_to_port="pipeline",$BN117,0)))</f>
        <v>7871.0139763662546</v>
      </c>
      <c r="DQ117" s="28">
        <f t="shared" si="146"/>
        <v>76907.877962376573</v>
      </c>
      <c r="DR117" s="29">
        <f>((Carriers!$V$18/Carriers!$V$23*alk_el_e_demand)+nabh4_e_demand)*(DO117+nabh4_st_ab_losses)/1000000+nabh4_st_e_demand*DO117/1000000</f>
        <v>980.02139682539689</v>
      </c>
      <c r="DS117" s="28">
        <f t="shared" si="161"/>
        <v>3.1960000000000002</v>
      </c>
      <c r="DT117" s="28">
        <f>IFERROR(DQ117*1000000/Storage!$O$12,"")</f>
        <v>1203.1895801373055</v>
      </c>
      <c r="DU117" s="28">
        <f>IF($E117="","No Port",((F117/24/Shipping!$P$44+F117/24/Shipping!$P$50+Shipping!$P$59+Shipping!$P$64)*Carriers!$V$39*wacc_nl))</f>
        <v>475.87619141021491</v>
      </c>
      <c r="DV117" s="100">
        <f>H2_retrieval!$N$25*h2_demand_kt/1000+(co2_liq_e_demand+co2_st_e_demand*2)*Storage!$O$12*co2_density/nabh4_density/1000000</f>
        <v>18.783638728971958</v>
      </c>
      <c r="DW117" s="28">
        <f>IFERROR(((DQ117*(1+H2_retrieval!$N$34)+DU117)*1000000/H2_retrieval!$N$8)+h2_regen_nabh4,"")</f>
        <v>5809.955954056104</v>
      </c>
      <c r="DX117" s="149">
        <f>(Dme_invest*(M117+1/Dme_lifetime)/Dme_prod+Dme_opex+Dme_e_demand*1000*$AU117/100+Carriers!$X$21/Carriers!$X$23*(CO117*1000000/CS117))*(EB117+Dme_st_ab_losses)/1000000</f>
        <v>94125.672184070121</v>
      </c>
      <c r="DY117" s="86">
        <f>(Dme_invest*(M117+1/Dme_lifetime)/Dme_prod+Dme_opex+Dme_e_demand*1000*$AU117/100+Carriers!$X$21/Carriers!$X$23*(CP117*1000000/CS117))*(EB117+Dme_st_ab_losses)/1000000</f>
        <v>117480.63913661872</v>
      </c>
      <c r="DZ117" s="63">
        <f>Dme_st_nl_cost*Dme_st_nl_demand/1000000+(Dme_st_invest*(M117+1/Dme_st_lifetime+Dme_st_opex)/(Storage!$Q$63/1000000)+Dme_st_e_demand*1000*$AU117/100)*(EB117+Dme_st_ab_losses)/1000000+co2_st_nl_cost*Storage!$Q$12*co2_density/Dme_density/1000000+(co2_st_opex_lev+co2_st_invest_lev+co2_st_e_demand*1000*$AU117/100)*Storage!$Q$12/1000000+co2_st_invest_lev*Storage!$Q$12*co2_st_lifetime*M117/1000000+(h2_demand_kt*1000/365.25*short_st_duration_hrs/24)*(h2_short_st_invest*(1/gh2_short_st_lifetime+$M117+h2_short_st_opex)+h2_short_st_e_demand*1000*$AU117/100)/1000000</f>
        <v>6078.4990951840864</v>
      </c>
      <c r="EA117" s="63">
        <f>Dme_st_nl_cost*Dme_st_nl_demand/1000000+(Dme_st_invest*(M117+1/Dme_st_lifetime+Dme_st_opex)/(Storage!$Q$63/1000000)+Dme_st_e_demand*1000*$AU117/100)*(EB117+Dme_st_ab_losses)/1000000+(h2_demand_kt*1000/365.25*short_st_duration_hrs/24)*(h2_short_st_invest*(1/gh2_short_st_lifetime+$M117+h2_short_st_opex)+h2_short_st_e_demand*1000*$AU117/100)/1000000</f>
        <v>2993.0328376477592</v>
      </c>
      <c r="EB117" s="63">
        <f>Storage!$Q$57/((1-Shipping!$R$37)^($F117/24/Shipping!$R$44+0.5*Shipping!$R$59))</f>
        <v>103547089.94708996</v>
      </c>
      <c r="EC117" s="153">
        <f>IF($E117="","No Port",IF(AND(ship_choice="VLCC",G117="Panama"),"Ship cannot pass through Panama",IF(ship_choice="VLCC",((F117/24/Shipping!$AD$44+F117/24/Shipping!$AD$50+Shipping!$AD$59+Shipping!$AD$64)*(Shipping!$AD$22+wacc_nl*Shipping!$AD$19/365.25*1000000+Shipping!$AD$35)+(F117/24/Shipping!$AD$44*Shipping!$AD$45+Shipping!$AD$64*Shipping!$AD$65)*IF(bunker_choice="HFO",$H117,IF(bunker_choice="hydrogen",$BD117*hfo_e_density_lhv/h2_e_density_lhv,(DX117+DZ117)*1000000/EB117*hfo_e_density_lhv/Dme_e_density_lhv))+(F117/24/Shipping!$AD$50*Shipping!$AD$51+Shipping!$AD$59*Shipping!$AD$60)*IF(bunker_choice="HFO",bunker_price_ROT,IF(bunker_choice="hydrogen",$BD117*hfo_e_density_lhv/h2_e_density_lhv,(DX117+DZ117)*1000000/EB117*hfo_e_density_lhv/Dme_e_density_lhv))+Shipping!$AD$73+IF(G117="Panama",Shipping!$AD$55,0)+IF(G117="Suez",Shipping!$AD$56,0))/Shipping!$AD$31*(EB117+Dme_st_ab_losses)/1000000+IF(inland_transport_to_port="hv dc grid",$BM117/100*1000*EE117,IF(inland_transport_to_port="pipeline",$BN117,0)),((F117/24/Shipping!$R$44+F117/24/Shipping!$R$50+Shipping!$R$59+Shipping!$R$64)*(Shipping!$R$22+wacc_nl*Shipping!$R$19/365.25*1000000+Shipping!$R$35)+(F117/24/Shipping!$R$44*Shipping!$R$45+Shipping!$R$64*Shipping!$R$65)*IF(bunker_choice="HFO",$H117,IF(bunker_choice="hydrogen",$BD117*hfo_e_density_lhv/h2_e_density_lhv,(DX117+DZ117)*1000000/EB117*hfo_e_density_lhv/Dme_e_density_lhv))+(F117/24/Shipping!$R$50*Shipping!$R$51+Shipping!$R$59*Shipping!$R$60)*IF(bunker_choice="HFO",bunker_price_ROT,IF(bunker_choice="hydrogen",$BD117*hfo_e_density_lhv/h2_e_density_lhv,(DX117+DZ117)*1000000/EB117*hfo_e_density_lhv/Dme_e_density_lhv))+Shipping!$R$73+IF(G117="Panama",Shipping!$R$55,0)+IF(G117="Suez",Shipping!$R$56,0))/Shipping!$R$31*(EB117+Dme_st_ab_losses)/1000000+IF(inland_transport_to_port="hv dc grid",$BM117/100*1000*EE117,IF(inland_transport_to_port="pipeline",$BN117,0)))))</f>
        <v>9797.0097611401852</v>
      </c>
      <c r="ED117" s="28">
        <f t="shared" si="134"/>
        <v>130270.68173540666</v>
      </c>
      <c r="EE117" s="29">
        <f>(Dme_e_demand)*(EB117+Dme_st_ab_losses)/1000000+Dme_st_e_demand*DZ117/1000000+$CV117*(Carriers!$X$21/Carriers!$X$23*EB117)/$CS117</f>
        <v>1550.2168209520469</v>
      </c>
      <c r="EF117" s="29">
        <f t="shared" si="162"/>
        <v>1.0354708994708997</v>
      </c>
      <c r="EG117" s="28">
        <f>IFERROR(ED117*1000000/Storage!$Q$12,"")</f>
        <v>1258.081533744423</v>
      </c>
      <c r="EH117" s="28">
        <f>IF($E117="","No Port",((F117/24/Shipping!$R$44+F117/24/Shipping!$R$50+Shipping!$R$59+Shipping!$R$64)*Carriers!$X$39*wacc_nl))</f>
        <v>71.806428130566118</v>
      </c>
      <c r="EI117" s="100">
        <f>H2_retrieval!$P$25*h2_demand_kt/1000+(co2_liq_e_demand+co2_st_e_demand*2)*Storage!$Q$12*co2_density/Dme_density/1000000</f>
        <v>252.45335899349112</v>
      </c>
      <c r="EJ117" s="28">
        <f>IFERROR((((DX117+DZ117+EC117)*(1+H2_retrieval!$P$34)+EH117)*1000000/H2_retrieval!$P$8)+h2_regen_dme,"")</f>
        <v>9263.7305629405982</v>
      </c>
      <c r="EK117" s="149">
        <f>(ome_invest*(M117+1/ome_lifetime)/ome_prod+ome_opex+ome_e_demand*1000*$AU117/100+Carriers!$Z$21/Carriers!$Z$23*(CO117*1000000/CS117))*(EO117+ome_st_ab_losses)/1000000</f>
        <v>205948.00913806859</v>
      </c>
      <c r="EL117" s="86">
        <f>(ome_invest*(M117+1/ome_lifetime)/ome_prod+ome_opex+ome_e_demand*1000*$AU117/100+Carriers!$Z$21/Carriers!$Z$23*(CP117*1000000/CS117))*(EO117+ome_st_ab_losses)/1000000</f>
        <v>254974.6311201794</v>
      </c>
      <c r="EM117" s="63">
        <f>ome_st_nl_cost*ome_st_nl_demand/1000000+(ome_st_invest*(M117+1/ome_st_lifetime+ome_st_opex)/(Storage!$S$63/1000000)+ome_st_e_demand*1000*$AU117/100)*(EO117+ome_st_ab_losses)/1000000+co2_st_nl_cost*Storage!$S$12*co2_density/ome_density/1000000+(co2_st_opex_lev+co2_st_invest_lev+co2_st_e_demand*1000*$AU117/100)*Storage!$S$12/1000000+co2_st_invest_lev*Storage!$S$12*co2_st_lifetime*M117/1000000+(h2_demand_kt*1000/365.25*short_st_duration_hrs/24)*(h2_short_st_invest*(1/gh2_short_st_lifetime+$M117+h2_short_st_opex)+h2_short_st_e_demand*1000*$AU117/100)/1000000</f>
        <v>5271.0532050976826</v>
      </c>
      <c r="EN117" s="63">
        <f>ome_st_nl_cost*ome_st_nl_demand/1000000+(ome_st_invest*(M117+1/ome_st_lifetime+ome_st_opex)/(Storage!$S$63/1000000)+ome_st_e_demand*1000*$AU117/100)*(EO117+ome_st_ab_losses)/1000000+(h2_demand_kt*1000/365.25*short_st_duration_hrs/24)*(h2_short_st_invest*(1/gh2_short_st_lifetime+$M117+h2_short_st_opex)+h2_short_st_e_demand*1000*$AU117/100)/1000000</f>
        <v>1787.4950038565462</v>
      </c>
      <c r="EO117" s="63">
        <f>Storage!$S$57/((1-Shipping!$T$37)^($F117/24/Shipping!$T$44+0.5*Shipping!$T$59))</f>
        <v>128282539.68253967</v>
      </c>
      <c r="EP117" s="28">
        <f>IF($E117="","No Port",IF(AND(ship_choice="VLCC",G117="Panama"),"Ship cannot pass through Panama",IF(ship_choice="VLCC",((F117/24/Shipping!$AD$44+F117/24/Shipping!$AD$50+Shipping!$AD$59+Shipping!$AD$64)*(Shipping!$AD$22+wacc_nl*Shipping!$AD$19/365.25*1000000+Shipping!$AD$35)+(F117/24/Shipping!$AD$44*Shipping!$AD$45+Shipping!$AD$64*Shipping!$AD$65)*IF(bunker_choice="HFO",$H117,IF(bunker_choice="hydrogen",$BD117*hfo_e_density_lhv/h2_e_density_lhv,(EK117+EM117)*1000000/EO117*hfo_e_density_lhv/Dme_e_density_lhv))+(F117/24/Shipping!$AD$50*Shipping!$AD$51+Shipping!$AD$59*Shipping!$AD$60)*IF(bunker_choice="HFO",bunker_price_ROT,IF(bunker_choice="hydrogen",$BD117*hfo_e_density_lhv/h2_e_density_lhv,(EK117+EM117)*1000000/EO117*hfo_e_density_lhv/ome_e_density_lhv))+Shipping!$AD$73+IF(G117="Panama",Shipping!$AD$55,0)+IF(G117="Suez",Shipping!$AD$56,0))/Shipping!$AD$31*(EO117+ome_st_ab_losses)/1000000+IF(inland_transport_to_port="hv dc grid",$BM117/100*1000*ER117,IF(inland_transport_to_port="pipeline",$BN117,0)),((F117/24/Shipping!$T$44+F117/24/Shipping!$T$50+Shipping!$T$59+Shipping!$T$64)*(Shipping!$T$22+wacc_nl*Shipping!$T$19/365.25*1000000+Shipping!$T$35)+(F117/24/Shipping!$T$44*Shipping!$T$45+Shipping!$T$64*Shipping!$T$65)*IF(bunker_choice="HFO",$H117,IF(bunker_choice="hydrogen",$BD117*hfo_e_density_lhv/h2_e_density_lhv,(EK117+EM117)*1000000/EO117*hfo_e_density_lhv/Dme_e_density_lhv))+(F117/24/Shipping!$T$50*Shipping!$T$51+Shipping!$T$59*Shipping!$T$60)*IF(bunker_choice="HFO",bunker_price_ROT,IF(bunker_choice="hydrogen",$BD117*hfo_e_density_lhv/h2_e_density_lhv,(EK117+EM117)*1000000/EO117*hfo_e_density_lhv/ome_e_density_lhv))+Shipping!$T$73+IF(G117="Panama",Shipping!$T$55,0)+IF(G117="Suez",Shipping!$T$56,0))/Shipping!$T$31*(EO117+ome_st_ab_losses)/1000000+IF(inland_transport_to_port="hv dc grid",$BM117/100*1000*ER117,IF(inland_transport_to_port="pipeline",$BN117,0)))))</f>
        <v>10204.999056893306</v>
      </c>
      <c r="EQ117" s="28">
        <f t="shared" si="135"/>
        <v>266967.12518092926</v>
      </c>
      <c r="ER117" s="29">
        <f>(ome_e_demand)*(EO117+ome_st_ab_losses)/1000000+ome_st_e_demand*EM117/1000000+$CV117*(Carriers!$Z$21/Carriers!$Z$23*EO117)/$CS117</f>
        <v>3352.0814580473634</v>
      </c>
      <c r="ES117" s="29">
        <f t="shared" si="163"/>
        <v>0.1924238095238095</v>
      </c>
      <c r="ET117" s="28">
        <f>IFERROR(EQ117*1000000/Storage!$S$12,"")</f>
        <v>2081.0869962630286</v>
      </c>
      <c r="EU117" s="28">
        <f>IF($E117="","No Port",((F117/24/Shipping!$T$44+F117/24/Shipping!$T$50+Shipping!$T$59+Shipping!$T$64)*Carriers!$Z$39*wacc_nl))</f>
        <v>82.57708656858685</v>
      </c>
      <c r="EV117" s="100">
        <f>H2_retrieval!$R$25*h2_demand_kt/1000+(co2_liq_e_demand+co2_st_e_demand*2)*Storage!$S$12*co2_density/ome_density/1000000</f>
        <v>254.51942895252085</v>
      </c>
      <c r="EW117" s="28">
        <f>IFERROR((((EK117+EM117+EP117)*(1+H2_retrieval!$R$34)+EU117)*1000000/H2_retrieval!$R$8)+h2_regen_ome,"")</f>
        <v>17457.381373095246</v>
      </c>
      <c r="EX117" s="149">
        <f>(sng_invest*(M117+1/sng_lifetime)/sng_prod+lng_invest*(M117+1/lng_lifetime)/lng_prod+sng_opex+lng_opex+(sng_e_demand+lng_e_demand)*1000*$AU117/100+Carriers!$AB$18/Carriers!$AB$23*BD117+Carriers!$AB$20/Carriers!$AB$23*co2_liq_cost)*(FB117+lng_st_ab_losses)/1000000</f>
        <v>71727.217828524575</v>
      </c>
      <c r="EY117" s="86">
        <f>(sng_invest*(M117+1/sng_lifetime)/sng_prod+lng_invest*(M117+1/lng_lifetime)/lng_prod+sng_opex+lng_opex+(sng_e_demand+lng_e_demand)*1000*$AU117/100+Carriers!$AB$18/Carriers!$AB$23*BD117+Carriers!$AB$20/Carriers!$AB$23*BP117)*(FB117+lng_st_ab_losses)/1000000</f>
        <v>84605.553246272277</v>
      </c>
      <c r="EZ117" s="63">
        <f>lng_st_nl_cost*lng_st_nl_demand/1000000+(lng_st_invest*(M117+1/lng_st_lifetime+lng_st_opex)/(Storage!$U$63/1000000)+lng_st_e_demand*1000*$AU117/100)*(FB117+lng_st_ab_losses)/1000000+co2_st_nl_cost*Storage!$U$12*co2_density/lng_density/1000000+(co2_st_opex_lev+co2_st_invest_lev+co2_st_e_demand*1000*$AU117/100)*Storage!$U$12/1000000+co2_st_invest_lev*Storage!$U$12*co2_st_lifetime*M117/1000000+Carriers!$AB$18/Carriers!$AB$23*((FB117+lng_st_ab_losses)/365.25*short_st_duration_hrs/24)*(h2_short_st_invest*(1/gh2_short_st_lifetime+$M117+h2_short_st_opex)+h2_short_st_e_demand*1000*$AU117/100)/1000000+Carriers!$AB$20/Carriers!$AB$23*((FB117+lng_st_ab_losses)/365.25*short_st_duration_hrs/24)*(co2_short_st_invest*(1/co2_short_st_lifetime+$M117+co2_short_st_opex)+co2_short_st_e_demand*1000*$AU117/100)/1000000</f>
        <v>6314.996463910119</v>
      </c>
      <c r="FA117" s="63">
        <f>lng_st_nl_cost*lng_st_nl_demand/1000000+(lng_st_invest*(M117+1/lng_st_lifetime+lng_st_opex)/(Storage!$U$63/1000000)+lng_st_e_demand*1000*$AU117/100)*(FB117+lng_st_ab_losses)/1000000+Carriers!$AB$18/Carriers!$AB$23*((FB117+lng_st_ab_losses)/365.25*short_st_duration_hrs/24)*(h2_short_st_invest*(1/gh2_short_st_lifetime+$M117+h2_short_st_opex)+h2_short_st_e_demand*1000*$AU117/100)/1000000+Carriers!$AB$20/Carriers!$AB$23*((FB117+lng_st_ab_losses)/365.25*short_st_duration_hrs/24)*(co2_short_st_invest*(1/co2_short_st_lifetime+$M117+co2_short_st_opex)+co2_short_st_e_demand*1000*$AU117/100)/1000000</f>
        <v>4667.9940326778988</v>
      </c>
      <c r="FB117" s="63">
        <f>Storage!$U$57/((1-Shipping!$V$37)^($F117/24/Shipping!$V$44+0.5*Shipping!$V$59))</f>
        <v>41183667.523076005</v>
      </c>
      <c r="FC117" s="28">
        <f>IF($E117="","No Port",IF(G117="Panama","Ship cannot pass through Panama",((F117/24/Shipping!$V$44+F117/24/Shipping!$V$50+Shipping!$V$59+Shipping!$V$64)*(Shipping!$V$22+wacc_nl*Shipping!$V$19/365.25*1000000+Shipping!$V$35)+(F117/24/Shipping!$V$44*Shipping!$V$45+Shipping!$V$64*Shipping!$V$65)*IF(bunker_choice="HFO",$H117,IF(bunker_choice="hydrogen",$BD117*hfo_e_density_lhv/h2_e_density_lhv,(EX117+EZ117)*1000000/FB117*hfo_e_density_lhv/lng_e_density_lhv))+(F117/24/Shipping!$V$50*Shipping!$V$51+Shipping!$V$59*Shipping!$V$60)*IF(bunker_choice="HFO",bunker_price_ROT,IF(bunker_choice="hydrogen",$BD117*hfo_e_density_lhv/h2_e_density_lhv,(EX117+EZ117)*1000000/FB117*hfo_e_density_lhv/lng_e_density_lhv))+Shipping!$V$73+IF(G117="Panama",Shipping!$V$55,0)+IF(G117="Suez",Shipping!$V$56,0))/Shipping!$V$31*(FB117+lng_st_ab_losses)/1000000)+IF(inland_transport_to_port="hv dc grid",$BM117/100*1000*FE117,IF(inland_transport_to_port="pipeline",$BN117,0)))</f>
        <v>7484.0830288912457</v>
      </c>
      <c r="FD117" s="28">
        <f t="shared" si="136"/>
        <v>96757.63030784142</v>
      </c>
      <c r="FE117" s="29">
        <f>((Carriers!$AB$18/Carriers!$AB$23*alk_el_e_demand)+sng_e_demand+lng_e_demand)*(FB117+lng_st_ab_losses)/1000000+lng_st_e_demand*EZ117/1000000</f>
        <v>1104.5150356113356</v>
      </c>
      <c r="FF117" s="29">
        <f t="shared" si="164"/>
        <v>0.8126185861001558</v>
      </c>
      <c r="FG117" s="28">
        <f>IFERROR(FD117*1000000/Storage!$U$12,"")</f>
        <v>2384.1249645627381</v>
      </c>
      <c r="FH117" s="28">
        <f>IF($E117="","No Port",((F117/24/Shipping!$V$44+F117/24/Shipping!$V$50+Shipping!$V$59+Shipping!$V$64)*Carriers!$AB$39*wacc_nl))</f>
        <v>24.487865411932848</v>
      </c>
      <c r="FI117" s="100">
        <f>H2_retrieval!$T$25*h2_demand_kt/1000+(co2_liq_e_demand+co2_st_e_demand*2)*Storage!$U$12*co2_density/lng_density/1000000</f>
        <v>236.51371749646054</v>
      </c>
      <c r="FJ117" s="28">
        <f>IFERROR((((EX117+EZ117+FC117)*(1+H2_retrieval!$T$34)+FH117)*1000000/H2_retrieval!$T$8)+h2_regen_lng,"")</f>
        <v>7460.6274539856659</v>
      </c>
      <c r="FK117" s="149">
        <f>(lh2_invest*(M117+1/lh2_lifetime)/lh2_prod+lh2_opex+lh2_e_demand*1000*$AU117/100+Carriers!$AD$18/Carriers!$AD$23*BD117)*(FM117+lh2_st_ab_losses)/1000000</f>
        <v>56702.754298734253</v>
      </c>
      <c r="FL117" s="28">
        <f>lh2_st_nl_cost*lh2_st_nl_demand/1000000+(lh2_st_invest*(M117+1/lh2_st_lifetime+lh2_st_opex)/(Storage!$Y$63/1000000)+lh2_st_e_demand*1000*$AU117/100)*(FM117+lh2_st_ab_losses)/1000000+((FM117+lh2_st_ab_losses)/365.25*short_st_duration_hrs/24)*(h2_short_st_invest*(1/gh2_short_st_lifetime+$M117+h2_short_st_opex)+h2_short_st_e_demand*1000*$AU117/100)/1000000</f>
        <v>54152.850077773401</v>
      </c>
      <c r="FM117" s="63">
        <f>Storage!$Y$57/((1-Shipping!$Z$37)^($F117/24/Shipping!$Z$44+0.5*Shipping!$Z$59))</f>
        <v>13916779.735939601</v>
      </c>
      <c r="FN117" s="28">
        <f>IF($E117="","No Port",IF(G117="Panama","Ship cannot pass through Panama",((F117/24/Shipping!$Z$44+F117/24/Shipping!$Z$50+Shipping!$Z$59+Shipping!$Z$64)*(Shipping!$Z$22+wacc_nl*Shipping!$Z$19/365.25*1000000+Shipping!$Z$35)+(F117/24/Shipping!$Z$44*Shipping!$Z$45+Shipping!$Z$64*Shipping!$Z$65)*IF(bunker_choice="HFO",$H117,IF(bunker_choice="hydrogen",$BD117*hfo_e_density_lhv/h2_e_density_lhv,(FK117+FL117)*1000000/FM117*hfo_e_density_lhv/lh2_e_density_lhv))+(F117/24/Shipping!$Z$50*Shipping!$Z$51+Shipping!$Z$59*Shipping!$Z$60)*IF(bunker_choice="HFO",bunker_price_ROT,IF(bunker_choice="hydrogen",$BD117*hfo_e_density_lhv/h2_e_density_lhv,(FK117+FL117)*1000000/FM117*hfo_e_density_lhv/lh2_e_density_lhv))+Shipping!$Z$73+IF(G117="Panama",Shipping!$Z$55,0)+IF(G117="Suez",Shipping!$Z$56,0))/Shipping!$Z$31*(FM117+lh2_st_ab_losses)/1000000)+IF(inland_transport_to_port="hv dc grid",$BM117/100*1000*FP117,IF(inland_transport_to_port="pipeline",$BN117,0)))</f>
        <v>8576.3209750378992</v>
      </c>
      <c r="FO117" s="28">
        <f t="shared" si="128"/>
        <v>119431.92535154556</v>
      </c>
      <c r="FP117" s="29">
        <f>((Carriers!$AD$18/Carriers!$AD$23*alk_el_e_demand)+lh2_e_demand)*(FM117+lh2_st_ab_losses)/1000000+lh2_st_e_demand*FM117/1000000</f>
        <v>806.46309646882844</v>
      </c>
      <c r="FQ117" s="100">
        <f t="shared" si="165"/>
        <v>1.361902463475859</v>
      </c>
      <c r="FR117" s="28">
        <f>IFERROR(FO117*1000000/Storage!$Y$12,"")</f>
        <v>8781.7592170254084</v>
      </c>
      <c r="FS117" s="100">
        <f>H2_retrieval!$V$25*h2_demand_kt/1000</f>
        <v>8.16</v>
      </c>
      <c r="FT117" s="28">
        <f>IFERROR(FR117*(1+H2_retrieval!$V$34)/Carrier_properties!$U$7+H2_retrieval!$V$38,"")</f>
        <v>8813.7279428938764</v>
      </c>
      <c r="FU117" s="12"/>
      <c r="FV117" s="24">
        <f t="shared" si="129"/>
        <v>3.5791764777715738</v>
      </c>
      <c r="FW117" s="24">
        <f t="shared" si="143"/>
        <v>4.6540902452605</v>
      </c>
      <c r="FX117" s="24">
        <f t="shared" si="144"/>
        <v>6.6785759707741938</v>
      </c>
      <c r="FY117" s="24">
        <f t="shared" si="130"/>
        <v>3.5791764777715738</v>
      </c>
      <c r="FZ117" s="28">
        <f t="shared" si="145"/>
        <v>3009.4491902612858</v>
      </c>
      <c r="GA117" s="28">
        <f t="shared" si="137"/>
        <v>689.19007222830589</v>
      </c>
      <c r="GB117" s="28">
        <f t="shared" si="138"/>
        <v>488.80504460379603</v>
      </c>
      <c r="GC117" s="28">
        <f t="shared" si="139"/>
        <v>776.58447789465299</v>
      </c>
      <c r="GD117" s="28">
        <f t="shared" si="140"/>
        <v>1134.5624410753451</v>
      </c>
      <c r="GE117" s="28">
        <f t="shared" si="141"/>
        <v>1987.60198972646</v>
      </c>
      <c r="GF117" s="28">
        <f t="shared" si="142"/>
        <v>2054.3472287616482</v>
      </c>
      <c r="GG117" s="12"/>
      <c r="GH117" s="12"/>
      <c r="GI117" s="12"/>
      <c r="GJ117" s="12"/>
      <c r="GK117" s="12"/>
      <c r="GL117" s="12"/>
      <c r="GM117" s="12"/>
      <c r="GN117" s="12"/>
      <c r="GO117" s="12"/>
      <c r="GP117" s="12"/>
      <c r="GQ117" s="12"/>
      <c r="GR117" s="12"/>
      <c r="GS117" s="12"/>
      <c r="GT117" s="12"/>
      <c r="GU117" s="12"/>
      <c r="GV117" s="12"/>
      <c r="GW117" s="12"/>
      <c r="GX117" s="12"/>
      <c r="GY117" s="12"/>
      <c r="GZ117" s="12"/>
      <c r="HA117" s="12"/>
      <c r="HB117" s="12"/>
      <c r="HC117" s="12"/>
      <c r="HD117" s="12"/>
      <c r="HE117" s="12"/>
      <c r="HF117" s="12"/>
    </row>
    <row r="118" spans="1:214" x14ac:dyDescent="0.2">
      <c r="A118" s="154" t="s">
        <v>119</v>
      </c>
      <c r="B118" s="12">
        <v>6440</v>
      </c>
      <c r="C118" s="12">
        <v>0.9</v>
      </c>
      <c r="D118" s="12">
        <f t="shared" si="111"/>
        <v>9.9999999999999978E-2</v>
      </c>
      <c r="E118" s="12"/>
      <c r="F118" s="12"/>
      <c r="G118" s="12"/>
      <c r="H118" s="16">
        <f t="shared" si="166"/>
        <v>382.75862068965517</v>
      </c>
      <c r="I118" s="16">
        <v>24670</v>
      </c>
      <c r="J118" s="16">
        <f t="shared" si="113"/>
        <v>88.615489008153176</v>
      </c>
      <c r="K118" s="16" t="str">
        <f t="shared" si="114"/>
        <v/>
      </c>
      <c r="L118" s="103">
        <v>0.15</v>
      </c>
      <c r="M118" s="103">
        <f t="shared" si="167"/>
        <v>0.14750037705040026</v>
      </c>
      <c r="N118" s="122">
        <f t="shared" si="116"/>
        <v>0.9</v>
      </c>
      <c r="O118" s="46">
        <f t="shared" si="168"/>
        <v>40</v>
      </c>
      <c r="P118" s="70">
        <f t="array" ref="P118">SUMPRODUCT(IF(Solar_data!A$4:A$777=A118,Solar_data!C$4:C$777),IF(Solar_data!A$4:A$777=A118,Solar_data!I$4:I$777))/SUMIF(Solar_data!A$4:A$777,A118,Solar_data!I$4:I$777)</f>
        <v>1796.2330701461624</v>
      </c>
      <c r="Q118" s="16">
        <f t="array" ref="Q118">MAX(IF(Solar_data!$A$777:'Solar_data'!$A$4=Country_details!$A118,Solar_data!$C$4:'Solar_data'!$C$777))</f>
        <v>1916.25</v>
      </c>
      <c r="R118" s="16">
        <f t="array" ref="R118">MIN(IF(Solar_data!$A$777:'Solar_data'!$A$4=Country_details!A118,Solar_data!$C$4:'Solar_data'!$C$777))</f>
        <v>1551.25</v>
      </c>
      <c r="S118" s="24">
        <f t="shared" si="149"/>
        <v>2.8531989479668374</v>
      </c>
      <c r="T118" s="24">
        <f t="shared" si="150"/>
        <v>2.6744998335521322</v>
      </c>
      <c r="U118" s="24">
        <f t="shared" si="151"/>
        <v>3.3037939120349864</v>
      </c>
      <c r="V118" s="16">
        <f t="array" ref="V118">SUM(IF(Solar_data!$A$777:'Solar_data'!$A$4=Country_details!$A118,Solar_data!$I$4:'Solar_data'!$I$777))</f>
        <v>180.32390545373508</v>
      </c>
      <c r="W118" s="148"/>
      <c r="X118" s="16" t="str">
        <f>IFERROR(INDEX(Onshore_wind_data!$J$5:'Onshore_wind_data'!$J$221,MATCH(A118,Onshore_wind_data!$B$5:'Onshore_wind_data'!$B$221,0)),"")</f>
        <v/>
      </c>
      <c r="Y118" s="16" t="str">
        <f>IFERROR(INDEX(Onshore_wind_data!$K$5:'Onshore_wind_data'!$K$221,MATCH(A118,Onshore_wind_data!$B$5:'Onshore_wind_data'!$B$221,0)),"")</f>
        <v/>
      </c>
      <c r="Z118" s="16" t="str">
        <f>IFERROR(INDEX(Onshore_wind_data!$L$5:'Onshore_wind_data'!$L$221,MATCH(A118,Onshore_wind_data!$B$5:'Onshore_wind_data'!$B$221,0)),"")</f>
        <v/>
      </c>
      <c r="AA118" s="24" t="str">
        <f t="shared" si="169"/>
        <v/>
      </c>
      <c r="AB118" s="24" t="str">
        <f t="shared" si="170"/>
        <v/>
      </c>
      <c r="AC118" s="24" t="str">
        <f t="shared" si="171"/>
        <v/>
      </c>
      <c r="AD118" s="16">
        <f>IFERROR(INDEX(Onshore_wind_data!$I$5:'Onshore_wind_data'!$I$221,MATCH(A118,Onshore_wind_data!$B$5:'Onshore_wind_data'!$B$221,0)),"")</f>
        <v>0</v>
      </c>
      <c r="AE118" s="148"/>
      <c r="AF118" s="16" t="str">
        <f>INDEX(Offshore_wind_data!$AA$7:$AA$192,MATCH(Country_details!A118,Offshore_wind_data!$A$7:$A$192,0))</f>
        <v/>
      </c>
      <c r="AG118" s="16" t="str">
        <f>INDEX(Offshore_wind_data!$Y$7:$Y$192,MATCH(Country_details!A118,Offshore_wind_data!$A$7:$A$192,0))</f>
        <v/>
      </c>
      <c r="AH118" s="16" t="str">
        <f>INDEX(Offshore_wind_data!$Z$7:$Z$192,MATCH(Country_details!A118,Offshore_wind_data!$A$7:$A$192,0))</f>
        <v/>
      </c>
      <c r="AI118" s="24" t="str">
        <f t="shared" si="152"/>
        <v/>
      </c>
      <c r="AJ118" s="24" t="str">
        <f t="shared" si="153"/>
        <v/>
      </c>
      <c r="AK118" s="24" t="str">
        <f t="shared" si="154"/>
        <v/>
      </c>
      <c r="AL118" s="16">
        <f>INDEX(Offshore_wind_data!$W$7:$W$191,MATCH(A118,Offshore_wind_data!$A$7:$A$191,0))</f>
        <v>0</v>
      </c>
      <c r="AM118" s="148"/>
      <c r="AN118" s="12">
        <v>12.2</v>
      </c>
      <c r="AO118" s="12">
        <v>21.9</v>
      </c>
      <c r="AP118" s="34"/>
      <c r="AQ118" s="15">
        <f t="shared" si="155"/>
        <v>50</v>
      </c>
      <c r="AR118" s="12">
        <f t="shared" si="131"/>
        <v>1095</v>
      </c>
      <c r="AS118" s="16">
        <f t="shared" si="121"/>
        <v>-914.67609454626495</v>
      </c>
      <c r="AT118" s="12"/>
      <c r="AU118" s="24">
        <f t="shared" si="147"/>
        <v>2.8531989479668374</v>
      </c>
      <c r="AV118" s="16">
        <f t="shared" si="148"/>
        <v>1796.2330701461624</v>
      </c>
      <c r="AW118" s="149">
        <f>HV_DC_Grid!$E$3/(1-AX118)*AU118/100*1000</f>
        <v>3289.0160342322611</v>
      </c>
      <c r="AX118" s="31">
        <f>(1-(1-HV_DC_Grid!$E$25)^(B118*C118*HV_DC_Grid!$E$8/1000))+(1-(1-HV_DC_Grid!$E$26)^(B118*D118*HV_DC_Grid!$E$8/1000))+HV_DC_Grid!$E$35*HV_DC_Grid!$E$28</f>
        <v>0.13250682931594593</v>
      </c>
      <c r="AY118" s="28">
        <f>B118*nl_e_demand/IF(hv_dc_flh="electricity FLH",$AV118,hv_dc_custom)*1000*hv_dc_capacity_multiplier*hv_dc_length_multiplier*1000*(C118*hv_dc_overhead_invest*(hv_dc_overhead_opex+M118+1/hv_dc_lifetime)+D118*hv_dc_sea_invest*(hv_dc_sea_opex+M118+1/hv_dc_lifetime))/1000000+HV_DC_Grid!$E$10*1000*hv_dc_station_invest*hv_dc_station_number*(hv_dc_station_opex+M118+1/hv_dc_lifetime)/1000000</f>
        <v>8033.3608078812649</v>
      </c>
      <c r="AZ118" s="24">
        <f>(AW118+AY118)/(HV_DC_Grid!$E$3*1000)*100</f>
        <v>11.322376842113528</v>
      </c>
      <c r="BA118" s="28">
        <f>MIN(((Carriers!$F$26+Carriers!$F$27)*(alk_el_opex+wacc_nl+1/alk_el_lifetime)+IF(hv_dc_flh="electricity FLH",$AV118,hv_dc_custom)*AZ118/100)/(IF(hv_dc_flh="electricity FLH",$AV118,hv_dc_custom)/alk_el_e_demand)*1000,((Carriers!$H$26+Carriers!$H$27)*(pem_el_opex+wacc_nl+1/pem_el_lifetime)+IF(hv_dc_flh="electricity FLH",$AV118,hv_dc_custom)*AZ118/100)/(IF(hv_dc_flh="electricity FLH",$AV118,hv_dc_custom)/pem_el_e_demand)*1000)</f>
        <v>6140.3513936608624</v>
      </c>
      <c r="BB118" s="12"/>
      <c r="BC118" s="12"/>
      <c r="BD118" s="149">
        <f>MIN(((Carriers!$F$26+Carriers!$F$27)*(alk_el_opex+M118+1/alk_el_lifetime)+$AV118*$AU118/100)/($AV118/alk_el_e_demand)*1000,((Carriers!$H$26+Carriers!$H$27)*(pem_el_opex+M118+1/pem_el_lifetime)+$AV118*$AU118/100)/($AV118/pem_el_e_demand)*1000)</f>
        <v>3576.0406579846554</v>
      </c>
      <c r="BE118" s="28">
        <f>Storage!$AC$50</f>
        <v>8.1664117557772418</v>
      </c>
      <c r="BF118" s="28">
        <f>((Pipeline!$D$22*Pipeline!$D$24*B118*(pipeline_opex+M118+1/pipeline_lifetime))*(Pipeline!$D$39/Pipeline!$D$3)+(Pipeline!$D$57*(pipeline_comp_opex+M118+1/pipeline_comp_lifetime)+Pipeline!$D$47*1000*Pipeline!$D$45*$AU118/100/1000000))*(Pipeline!$D$75/Pipeline!$D$45)</f>
        <v>16188.9572179732</v>
      </c>
      <c r="BG118" s="28">
        <f>BD118+(BE118+BF118)/Storage!$AC$12*1000000</f>
        <v>4767.0056307588447</v>
      </c>
      <c r="BH118" s="28"/>
      <c r="BI118" s="28"/>
      <c r="BJ118" s="28" t="str">
        <f>IF($E118="","No Port",BK118*HV_DC_Grid!$E$3*$AU118/100*1000)</f>
        <v>No Port</v>
      </c>
      <c r="BK118" s="31" t="str">
        <f>IFERROR((1-(1-HV_DC_Grid!$E$25)^(K118*HV_DC_Grid!$E$8/1000))+HV_DC_Grid!$E$35*HV_DC_Grid!$E$28,"")</f>
        <v/>
      </c>
      <c r="BL118" s="28" t="str">
        <f>IFERROR(K118*nl_e_demand/IF(hv_dc_flh="electricity FLH",$AV118,hv_dc_custom)*1000*hv_dc_capacity_multiplier*hv_dc_length_multiplier*1000*(hv_dc_overhead_invest*(hv_dc_overhead_opex+M118+1/hv_dc_lifetime))/1000000+HV_DC_Grid!$E$10*1000*hv_dc_station_invest*hv_dc_station_number*(hv_dc_station_opex+M118+1/hv_dc_lifetime)/1000000,"")</f>
        <v/>
      </c>
      <c r="BM118" s="29" t="str">
        <f>IFERROR((BJ118+BL118)/(HV_DC_Grid!$E$3*1000)*100,"")</f>
        <v/>
      </c>
      <c r="BN118" s="28" t="str">
        <f>IFERROR(((Pipeline!$D$22*Pipeline!$D$24*K118*(pipeline_opex+M118+1/pipeline_lifetime))*(Pipeline!$D$39/Pipeline!$D$3)+(Pipeline!$D$57*(pipeline_comp_opex+M118+1/pipeline_comp_lifetime)+Pipeline!$D$47*1000*Pipeline!$D$45*S118/100/1000000))*(Pipeline!$D$75/Pipeline!$D$45),"")</f>
        <v/>
      </c>
      <c r="BO118" s="28"/>
      <c r="BP118" s="150">
        <f t="shared" si="172"/>
        <v>125.94278273901773</v>
      </c>
      <c r="BQ118" s="34">
        <f t="shared" si="173"/>
        <v>37.621173919924424</v>
      </c>
      <c r="BR118" s="151">
        <f>(nh3_invest*(M118+1/nh3_lifetime)/nh3_prod+nh3_opex+nh3_e_demand*1000*$AU118/100+Carriers!$N$18/Carriers!$N$23*BD118+Carriers!$N$19/Carriers!$N$23*BQ118)*(BT118+nh3_st_ab_losses)/1000000</f>
        <v>61107.141244273102</v>
      </c>
      <c r="BS118" s="63">
        <f>nh3_st_nl_cost*nh3_st_nl_demand/1000000+(nh3_st_invest*(M118+1/nh3_st_lifetime+nh3_st_opex)/(Storage!$G$63/1000000)+nh3_st_e_demand*1000*$AU118/100)*(BT118+nh3_st_ab_losses)/1000000+Carriers!$N$18/Carriers!$N$23*((BT118+nh3_st_ab_losses)/365.25*short_st_duration_hrs/24)*(h2_short_st_invest*(1/gh2_short_st_lifetime+$M118+h2_short_st_opex)+h2_short_st_e_demand*1000*$AU118/100)/1000000+Carriers!$N$19/Carriers!$N$23*((BT118+nh3_st_ab_losses)/365.25*short_st_duration_hrs/24)*(n2_short_st_invest*(1/n2_short_st_lifetime+$M118+n2_short_st_opex)+n2_short_st_e_demand*1000*$AU118/100)/1000000</f>
        <v>3636.3588877455145</v>
      </c>
      <c r="BT118" s="63">
        <f>Storage!$G$57/((1-Shipping!$H$37)^(F118/24/Shipping!$H$44+0.5*Shipping!$H$59))</f>
        <v>76857210.785724297</v>
      </c>
      <c r="BU118" s="63" t="str">
        <f>IF($E118="","No Port",((F118/24/Shipping!$H$44+F118/24/Shipping!$H$50+Shipping!$H$59+Shipping!$H$64)*(Shipping!$H$22+wacc_nl*Shipping!$H$19/365.25*1000000+Shipping!$H$35)+(F118/24/Shipping!$H$44*Shipping!$H$45+Shipping!$H$64*Shipping!$H$65)*IF(bunker_choice="HFO",H118,IF(bunker_choice="hydrogen",BD118*hfo_e_density_lhv/h2_e_density_lhv,(BR118+BS118)*1000000/BT118*hfo_e_density_lhv/nh3_e_density_lhv))+(F118/24/Shipping!$H$50*Shipping!$H$51+Shipping!$H$59*Shipping!$H$60)*IF(bunker_choice="HFO",bunker_price_ROT,IF(bunker_choice="hydrogen",BD118*hfo_e_density_lhv/h2_e_density_lhv,(BR118+BS118)*1000000/BT118*hfo_e_density_lhv/nh3_e_density_lhv))+Shipping!$H$73+IF(G118="Panama",Shipping!$H$55,0)+IF(G118="Suez",Shipping!$H$56,0))/Shipping!$H$31*BT118/1000000+IF(inland_transport_to_port="hv dc grid",$BM118/100*1000*BW118,IF(inland_transport_to_port="pipeline",$BN118,0)))</f>
        <v>No Port</v>
      </c>
      <c r="BV118" s="63" t="str">
        <f t="shared" si="174"/>
        <v/>
      </c>
      <c r="BW118" s="33">
        <f>((Carriers!$N$18/Carriers!$N$23*alk_el_e_demand)+(Carriers!$N$19/Carriers!$N$23*n2_e_demand)+nh3_e_demand)*(BT118+nh3_st_ab_losses)/1000000+nh3_st_e_demand*BT118/1000000</f>
        <v>759.00171168026975</v>
      </c>
      <c r="BX118" s="33">
        <f t="shared" si="156"/>
        <v>0.76626754477640768</v>
      </c>
      <c r="BY118" s="63" t="str">
        <f>IFERROR(BV118*1000000/Storage!$G$12,"")</f>
        <v/>
      </c>
      <c r="BZ118" s="63">
        <f>H2_retrieval!$F$25*h2_demand_kt/1000</f>
        <v>80</v>
      </c>
      <c r="CA118" s="63" t="str">
        <f>IFERROR(BY118*(1+H2_retrieval!$F$34)/Carrier_properties!$E$7+H2_retrieval!$F$38,"")</f>
        <v/>
      </c>
      <c r="CB118" s="149">
        <f>(FA_invest*(M118+1/FA_lifetime)/FA_prod+FA_opex+FA_e_demand*1000*$AU118/100+Carriers!$P$18/Carriers!$P$23*BD118+Carriers!$P$20/Carriers!$P$23*co2_liq_cost)*(CF118+FA_st_ab_losses)/1000000</f>
        <v>121650.19981672763</v>
      </c>
      <c r="CC118" s="86">
        <f>(FA_invest*(M118+1/FA_lifetime)/FA_prod+FA_opex+FA_e_demand*1000*$AU118/100+Carriers!$P$18/Carriers!$P$23*BD118+Carriers!$P$20/Carriers!$P$23*BP118)*(CF118+FA_st_ab_losses)/1000000</f>
        <v>152234.09867876553</v>
      </c>
      <c r="CD118" s="63">
        <f>FA_st_nl_cost*FA_st_nl_demand/1000000+(FA_st_invest*(M118+1/FA_st_lifetime+FA_st_opex)/(Storage!$I$63/1000000)+FA_st_e_demand*1000*$AU118/100)*(CF118+FA_st_ab_losses)/1000000+co2_st_nl_cost*Storage!$I$12*co2_density/FA_density/1000000+(co2_st_opex_lev+co2_st_invest_lev+co2_st_e_demand*1000*$AU118/100)*Storage!$I$12/1000000+co2_st_invest_lev*Storage!$I$12*co2_st_lifetime*M118/1000000+Carriers!$P$18/Carriers!$P$23*((CF118+FA_st_ab_losses)/365.25*short_st_duration_hrs/24)*(h2_short_st_invest*(1/gh2_short_st_lifetime+$M118+h2_short_st_opex)+h2_short_st_e_demand*1000*$AU118/100)/1000000+Carriers!$P$20/Carriers!$P$23*((CF118+FA_st_ab_losses)/365.25*short_st_duration_hrs/24)*(co2_short_st_invest*(1/co2_short_st_lifetime+$M118+co2_short_st_opex)+co2_short_st_e_demand*1000*$AU118/100)/1000000</f>
        <v>12558.321131097806</v>
      </c>
      <c r="CE118" s="63">
        <f>FA_st_nl_cost*FA_st_nl_demand/1000000+(FA_st_invest*(M118+1/FA_st_lifetime+FA_st_opex)/(Storage!$I$63/1000000)+FA_st_e_demand*1000*$AU118/100)*(CF118+FA_st_ab_losses)/1000000+Carriers!$P$18/Carriers!$P$23*((CF118+FA_st_ab_losses)/365.25*short_st_duration_hrs/24)*(h2_short_st_invest*(1/gh2_short_st_lifetime+$M118+h2_short_st_opex)+h2_short_st_e_demand*1000*$AU118/100)/1000000+Carriers!$P$20/Carriers!$P$23*((CF118+FA_st_ab_losses)/365.25*short_st_duration_hrs/24)*(co2_short_st_invest*(1/co2_short_st_lifetime+$M118+co2_short_st_opex)+co2_short_st_e_demand*1000*$AU118/100)/1000000</f>
        <v>5491.6310524768232</v>
      </c>
      <c r="CF118" s="63">
        <f>Storage!$I$57/((1-Shipping!$J$37)^($F118/24/Shipping!$J$44+0.5*Shipping!$J$59))</f>
        <v>310425396.82539684</v>
      </c>
      <c r="CG118" s="28" t="str">
        <f>IF($E118="","No Port",((F118/24/Shipping!$J$44+F118/24/Shipping!$J$50+Shipping!$J$59+Shipping!$J$64)*(Shipping!$J$22+wacc_nl*Shipping!$J$19/365.25*1000000+Shipping!$J$35)+(F118/24/Shipping!$J$44*Shipping!$J$45+Shipping!$J$64*Shipping!$J$65)*IF(bunker_choice="HFO",$H118,IF(bunker_choice="hydrogen",$BD118*hfo_e_density_lhv/h2_e_density_lhv,(CB118+CD118)*1000000/CF118*hfo_e_density_lhv/FA_e_density_lhv))+(F118/24/Shipping!$J$50*Shipping!$J$51+Shipping!$J$59*Shipping!$J$60)*IF(bunker_choice="HFO",bunker_price_ROT,IF(bunker_choice="hydrogen",$BD118*hfo_e_density_lhv/h2_e_density_lhv,(CB118+CD118)*1000000/CF118*hfo_e_density_lhv/FA_e_density_lhv))+Shipping!$J$73+IF(G118="Panama",Shipping!$J$55,0)+IF(G118="Suez",Shipping!$J$56,0))/Shipping!$J$31*CF118/1000000+IF(inland_transport_to_port="hv dc grid",$BM118/100*1000*CI118,IF(inland_transport_to_port="pipeline",$BN118,0)))</f>
        <v>No Port</v>
      </c>
      <c r="CH118" s="28" t="str">
        <f t="shared" si="132"/>
        <v/>
      </c>
      <c r="CI118" s="29">
        <f>((Carriers!$P$18/Carriers!$P$23*alk_el_e_demand)+FA_e_demand)*(CF118+FA_st_ab_losses)/1000000+FA_st_e_demand*CF118/1000000</f>
        <v>1897.8881241622576</v>
      </c>
      <c r="CJ118" s="29">
        <f t="shared" si="157"/>
        <v>0.46563809523809524</v>
      </c>
      <c r="CK118" s="28" t="str">
        <f>IFERROR(CH118*1000000/Storage!$I$12,"")</f>
        <v/>
      </c>
      <c r="CL118" s="28" t="str">
        <f>IF($E118="","No Port",((F118/24/Shipping!$J$44+F118/24/Shipping!$J$50+Shipping!$J$59+Shipping!$J$64)*Carriers!$P$39*wacc_nl))</f>
        <v>No Port</v>
      </c>
      <c r="CM118" s="29">
        <f>H2_retrieval!$H$25*h2_demand_kt/1000+(co2_liq_e_demand+co2_st_e_demand*2)*Storage!$I$12*co2_density/FA_density/1000000</f>
        <v>94.204253879484654</v>
      </c>
      <c r="CN118" s="28" t="str">
        <f>IFERROR((((CB118+CD118+CG118)*(1+H2_retrieval!$H$34)+CL118)*1000000/H2_retrieval!$H$8)+h2_regen_fa,"")</f>
        <v/>
      </c>
      <c r="CO118" s="149">
        <f>(meoh_invest*(M118+1/meoh_lifetime)/meoh_prod+meoh_opex+meoh_e_demand*1000*$AU118/100+Carriers!$R$18/Carriers!$R$23*BD118+Carriers!$R$20/Carriers!$R$23*co2_liq_cost)*(CS118+meoh_st_ab_losses)/1000000</f>
        <v>77880.279584974181</v>
      </c>
      <c r="CP118" s="86">
        <f>(meoh_invest*(M118+1/meoh_lifetime)/meoh_prod+meoh_opex+meoh_e_demand*1000*$AU118/100+Carriers!$R$18/Carriers!$R$23*BD118+Carriers!$R$20/Carriers!$R$23*BP118)*(CS118+meoh_st_ab_losses)/1000000</f>
        <v>95833.972398113532</v>
      </c>
      <c r="CQ118" s="63">
        <f>meoh_st_nl_cost*meoh_st_nl_demand/1000000+(meoh_st_invest*(M118+1/meoh_st_lifetime+meoh_st_opex)/(Storage!$K$63/1000000)+meoh_st_e_demand*1000*$AU118/100)*(CS118+meoh_st_ab_losses)/1000000+co2_st_nl_cost*Storage!$K$12*co2_density/meoh_density/1000000+(co2_st_opex_lev+co2_st_invest_lev+co2_st_e_demand*1000*IFERROR(MIN(S118,AA118,AI118),S118)/100)*Storage!$K$12/1000000+co2_st_invest_lev*Storage!$K$12*co2_st_lifetime*M118/1000000+Carriers!$R$18/Carriers!$R$23*((CS118+meoh_st_ab_losses)/365.25*short_st_duration_hrs/24)*(h2_short_st_invest*(1/gh2_short_st_lifetime+$M118+h2_short_st_opex)+h2_short_st_e_demand*1000*$AU118/100)/1000000+Carriers!$R$20/Carriers!$R$23*((CF118+meoh_st_ab_losses)/365.25*short_st_duration_hrs/24)*(co2_short_st_invest*(1/co2_short_st_lifetime+$M118+co2_short_st_opex)+co2_short_st_e_demand*1000*$AU118/100)/1000000</f>
        <v>5248.0695843485673</v>
      </c>
      <c r="CR118" s="63">
        <f>meoh_st_nl_cost*meoh_st_nl_demand/1000000+(meoh_st_invest*(M118+1/meoh_st_lifetime+meoh_st_opex)/(Storage!$K$63/1000000)+meoh_st_e_demand*1000*$AU118/100)*(CS118+meoh_st_ab_losses)/1000000+Carriers!$R$18/Carriers!$R$23*((CS118+meoh_st_ab_losses)/365.25*short_st_duration_hrs/24)*(h2_short_st_invest*(1/gh2_short_st_lifetime+$M118+h2_short_st_opex)+h2_short_st_e_demand*1000*$AU118/100)/1000000+Carriers!$R$20/Carriers!$R$23*((CF118+meoh_st_ab_losses)/365.25*short_st_duration_hrs/24)*(co2_short_st_invest*(1/co2_short_st_lifetime+$M118+co2_short_st_opex)+co2_short_st_e_demand*1000*$AU118/100)/1000000</f>
        <v>2189.4905160388885</v>
      </c>
      <c r="CS118" s="63">
        <f>Storage!$K$57/((1-Shipping!$L$37)^($F118/24/Shipping!$L$44+0.5*Shipping!$L$59))</f>
        <v>108044444.44444443</v>
      </c>
      <c r="CT118" s="28" t="str">
        <f>IF($E118="","No Port",IF(AND(ship_choice="VLCC",G118="Panama"),"Ship cannot pass through Panama",IF(ship_choice="VLCC",((F118/24/Shipping!$AD$44+F118/24/Shipping!$AD$50+Shipping!$AD$59+Shipping!$AD$64)*(Shipping!$AD$22+wacc_nl*Shipping!$AD$19/365.25*1000000+Shipping!$AD$35)+(F118/24/Shipping!$AD$44*Shipping!$AD$45+Shipping!$AD$64*Shipping!$AD$65)*IF(bunker_choice="HFO",$H118,IF(bunker_choice="hydrogen",$BD118*hfo_e_density_lhv/h2_e_density_lhv,(CO118+CQ118)*1000000/CS118*hfo_e_density_lhv/meoh_e_density_lhv))+(F118/24/Shipping!$AD$50*Shipping!$AD$51+Shipping!$AD$59*Shipping!$AD$60)*IF(bunker_choice="HFO",bunker_price_ROT,IF(bunker_choice="hydrogen",$BD118*hfo_e_density_lhv/h2_e_density_lhv,(CO118+CQ118)*1000000/CS118*hfo_e_density_lhv/meoh_e_density_lhv))+Shipping!$AD$73+IF(G118="Panama",Shipping!$AD$55,0)+IF(G118="Suez",Shipping!$AD$56,0))/Shipping!$AD$31*CS118/1000000+IF(inland_transport_to_port="hv dc grid",$BM118/100*1000*CV118,IF(inland_transport_to_port="pipeline",$BN118,0)),((F118/24/Shipping!$L$44+F118/24/Shipping!$L$50+Shipping!$L$59+Shipping!$L$64)*(Shipping!$L$22+wacc_nl*Shipping!$L$19/365.25*1000000+Shipping!$L$35)+(F118/24/Shipping!$L$44*Shipping!$L$45+Shipping!$L$64*Shipping!$L$65)*IF(bunker_choice="HFO",$H118,IF(bunker_choice="hydrogen",$BD118*hfo_e_density_lhv/h2_e_density_lhv,(CO118+CQ118)*1000000/CS118*hfo_e_density_lhv/meoh_e_density_lhv))+(F118/24/Shipping!$L$50*Shipping!$L$51+Shipping!$L$59*Shipping!$L$60)*IF(bunker_choice="HFO",bunker_price_ROT,IF(bunker_choice="hydrogen",$BD118*hfo_e_density_lhv/h2_e_density_lhv,(CO118+CQ118)*1000000/CS118*hfo_e_density_lhv/meoh_e_density_lhv))+Shipping!$L$73+IF(G118="Panama",Shipping!$L$55,0)+IF(G118="Suez",Shipping!$L$56,0))/Shipping!$L$31*CS118/1000000+IF(inland_transport_to_port="hv dc grid",$BM118/100*1000*CV118,IF(inland_transport_to_port="pipeline",$BN118,0)))))</f>
        <v>No Port</v>
      </c>
      <c r="CU118" s="28" t="str">
        <f t="shared" si="133"/>
        <v/>
      </c>
      <c r="CV118" s="29">
        <f>((Carriers!$R$18/Carriers!$R$23*alk_el_e_demand)+meoh_e_demand)*(CS118+meoh_st_ab_losses)/1000000+meoh_st_e_demand*CS118/1000000</f>
        <v>1119.9789871111109</v>
      </c>
      <c r="CW118" s="29">
        <f t="shared" si="158"/>
        <v>0.16206666666666666</v>
      </c>
      <c r="CX118" s="28" t="str">
        <f>IFERROR(CU118*1000000/Storage!$K$12,"")</f>
        <v/>
      </c>
      <c r="CY118" s="28" t="str">
        <f>IF($E118="","No Port",((F118/24/Shipping!$L$44+F118/24/Shipping!$L$50+Shipping!$L$59+Shipping!$L$64)*Carriers!$R$39*wacc_nl))</f>
        <v>No Port</v>
      </c>
      <c r="CZ118" s="29">
        <f>H2_retrieval!$J$25*h2_demand_kt/1000+(co2_liq_e_demand+co2_st_e_demand*2)*Storage!$K$12*co2_density/meoh_density/1000000</f>
        <v>251.05079059698966</v>
      </c>
      <c r="DA118" s="28" t="str">
        <f>IFERROR((((CO118+CQ118+CT118)*(1+H2_retrieval!$J$34)+CY118)*1000000/H2_retrieval!$J$8)+h2_regen_meoh,"")</f>
        <v/>
      </c>
      <c r="DB118" s="149">
        <f>(DBT_invest*(M118+1/DBT_lifetime)/DBT_prod+DBT_opex+DBT_e_demand*1000*$AU118/100+Carriers!$T$18/Carriers!$T$23*BD118)*(DD118+DBT_st_ab_losses)/1000000</f>
        <v>52153.896516802779</v>
      </c>
      <c r="DC118" s="28">
        <f>2*(DBT_st_nl_cost*DBT_st_nl_demand/1000000+(DBT_st_invest*(M118+1/DBT_st_lifetime+DBT_st_opex)/(Storage!$M$63/1000000)+DBT_st_e_demand*1000*$AU118/100)*(DD118+DBT_st_ab_losses)/1000000)+Carriers!$T$18/Carriers!$T$23*((DD118+DBT_st_ab_losses)/365.25*short_st_duration_hrs/24)*(h2_short_st_invest*(1/gh2_short_st_lifetime+$M118+h2_short_st_opex)+h2_short_st_e_demand*1000*$AU118/100)/1000000</f>
        <v>4462.2933694989379</v>
      </c>
      <c r="DD118" s="63">
        <f>Storage!$M$57/((1-Shipping!$N$37)^($F118/24/Shipping!$N$44+0.5*Shipping!$N$59))</f>
        <v>219354838.70967743</v>
      </c>
      <c r="DE118" s="28" t="str">
        <f>IF($E118="","No Port",IF(AND(ship_choice="VLCC",G118="Panama"),"Ship cannot pass through Panama",IF(ship_choice="VLCC",((F118/24/Shipping!$AD$44+F118/24/Shipping!$AD$50+Shipping!$AD$59+Shipping!$AD$64)*(Shipping!$AD$22+wacc_nl*Shipping!$AD$19/365.25*1000000+Shipping!$AD$35)+(F118/24/Shipping!$AD$44*Shipping!$AD$45+Shipping!$AD$64*Shipping!$AD$65)*IF(bunker_choice="HFO",$H118,IF(bunker_choice="hydrogen",$BD118*hfo_e_density_lhv/h2_e_density_lhv,(DB118+DC118)*1000000/DD118*hfo_e_density_lhv/DBT_e_density_lhv))+(F118/24/Shipping!$AD$50*Shipping!$AD$51+Shipping!$AD$59*Shipping!$AD$60)*IF(bunker_choice="HFO",bunker_price_ROT,IF(bunker_choice="hydrogen",$BD118*hfo_e_density_lhv/h2_e_density_lhv,(DB118+DC118)*1000000/DD118*hfo_e_density_lhv/DBT_e_density_lhv))+Shipping!$AD$73+IF(G118="Panama",Shipping!$AD$55,0)+IF(G118="Suez",Shipping!$AD$56,0))/Shipping!$AD$31*DD118/1000000+IF(inland_transport_to_port="hv dc grid",$BM118/100*1000*DG118,IF(inland_transport_to_port="pipeline",$BN118,0)),((F118/24/Shipping!$N$44+F118/24/Shipping!$N$50+Shipping!$N$59+Shipping!$N$64)*(Shipping!$N$22+wacc_nl*Shipping!$N$19/365.25*1000000+Shipping!$N$35)+(F118/24/Shipping!$N$44*Shipping!$N$45+Shipping!$N$64*Shipping!$N$65)*IF(bunker_choice="HFO",$H118,IF(bunker_choice="hydrogen",$BD118*hfo_e_density_lhv/h2_e_density_lhv,(DB118+DC118)*1000000/DD118*hfo_e_density_lhv/DBT_e_density_lhv))+(F118/24/Shipping!$N$50*Shipping!$N$51+Shipping!$N$59*Shipping!$N$60)*IF(bunker_choice="HFO",bunker_price_ROT,IF(bunker_choice="hydrogen",$BD118*hfo_e_density_lhv/h2_e_density_lhv,(DB118+DC118)*1000000/DD118*hfo_e_density_lhv/DBT_e_density_lhv))+Shipping!$N$73+IF(G118="Panama",Shipping!$N$55,0)+IF(G118="Suez",Shipping!$N$56,0))/Shipping!$N$31*Shipping!$N$86/1000000+IF(inland_transport_to_port="hv dc grid",$BM118/100*1000*DG118,IF(inland_transport_to_port="pipeline",$BN118,0)))))</f>
        <v>No Port</v>
      </c>
      <c r="DF118" s="28" t="str">
        <f t="shared" si="159"/>
        <v/>
      </c>
      <c r="DG118" s="29">
        <f>((Carriers!$T$18/Carriers!$T$23*alk_el_e_demand)+DBT_e_demand)*(DD118+DBT_st_ab_losses)/1000000+DBT_st_e_demand*DD118/1000000</f>
        <v>703.88335483870969</v>
      </c>
      <c r="DH118" s="29">
        <f t="shared" si="160"/>
        <v>0.21935483870967742</v>
      </c>
      <c r="DI118" s="28" t="str">
        <f>IFERROR(DF118*1000000/Storage!$M$12,"")</f>
        <v/>
      </c>
      <c r="DJ118" s="28" t="str">
        <f>IF($E118="","No Port",((F118/24/Shipping!$N$44+F118/24/Shipping!$N$50+Shipping!$N$59+Shipping!$N$64)*Carriers!$T$39*wacc_nl))</f>
        <v>No Port</v>
      </c>
      <c r="DK118" s="100">
        <f>H2_retrieval!$L$25*h2_demand_kt/1000+(co2_liq_e_demand+co2_st_e_demand*2)*Storage!$M$12*co2_density/DBT_density/1000000</f>
        <v>206.61934861671787</v>
      </c>
      <c r="DL118" s="28" t="str">
        <f>IFERROR(((DF118*(1+H2_retrieval!$L$34)+DJ118)*1000000/H2_retrieval!$L$8)+h2_regen_lohc,"")</f>
        <v/>
      </c>
      <c r="DM118" s="149">
        <f t="shared" si="175"/>
        <v>55148.663277075168</v>
      </c>
      <c r="DN118" s="16">
        <f>2*(nabh4_st_nl_cost*nabh4_st_nl_demand/1000000+(nabh4_st_invest*(M118+1/nabh4_st_lifetime+nabh4_st_opex)/(Storage!$O$63/1000000)+nabh4_st_e_demand*1000*$AU118/100)*(DO118+nabh4_st_ab_losses)/1000000)+(h2_demand_kt*1000/365.25*short_st_duration_hrs/24)*(h2_short_st_invest*(1/gh2_short_st_lifetime+$M118+h2_short_st_opex)+h2_short_st_e_demand*1000*$AU118/100)/1000000</f>
        <v>1516.991226947729</v>
      </c>
      <c r="DO118" s="63">
        <f>Storage!$O$57/((1-Shipping!$P$37)^($F118/24/Shipping!$P$44+0.5*Shipping!$P$59))</f>
        <v>63920000</v>
      </c>
      <c r="DP118" s="16" t="str">
        <f>IF($E118="","No Port",((F118/24/Shipping!$P$44+F118/24/Shipping!$P$50+Shipping!$P$59+Shipping!$P$64)*(Shipping!$P$22+wacc_nl*Shipping!$P$19/365.25*1000000+Shipping!$P$35)+(F118/24/Shipping!$P$44*Shipping!$P$45+Shipping!$P$64*Shipping!$P$65)*IF(bunker_choice="HFO",$H118,IF(bunker_choice="hydrogen",$BD118*hfo_e_density_lhv/h2_e_density_lhv,(DM118+DN118)*1000000/DO118*hfo_e_density_lhv/nabh4_e_density_lhv))+(F118/24/Shipping!$P$50*Shipping!$P$51+Shipping!$P$59*Shipping!$P$60)*IF(bunker_choice="HFO",bunker_price_ROT,IF(bunker_choice="hydrogen",$BD118*hfo_e_density_lhv/h2_e_density_lhv,(DM118+DN118)*1000000/DO118*hfo_e_density_lhv/nabh4_e_density_lhv))+Shipping!$P$73+IF(G118="Panama",Shipping!$P$55,0)+IF(G118="Suez",Shipping!$P$56,0))/Shipping!$P$31*(DO118+nabh4_st_ab_losses)/1000000+IF(inland_transport_to_port="hv dc grid",$BM118/100*1000*DR118,IF(inland_transport_to_port="pipeline",$BN118,0)))</f>
        <v>No Port</v>
      </c>
      <c r="DQ118" s="28" t="str">
        <f t="shared" si="146"/>
        <v/>
      </c>
      <c r="DR118" s="29">
        <f>((Carriers!$V$18/Carriers!$V$23*alk_el_e_demand)+nabh4_e_demand)*(DO118+nabh4_st_ab_losses)/1000000+nabh4_st_e_demand*DO118/1000000</f>
        <v>980.02139682539689</v>
      </c>
      <c r="DS118" s="28">
        <f t="shared" si="161"/>
        <v>3.1960000000000002</v>
      </c>
      <c r="DT118" s="28" t="str">
        <f>IFERROR(DQ118*1000000/Storage!$O$12,"")</f>
        <v/>
      </c>
      <c r="DU118" s="28" t="str">
        <f>IF($E118="","No Port",((F118/24/Shipping!$P$44+F118/24/Shipping!$P$50+Shipping!$P$59+Shipping!$P$64)*Carriers!$V$39*wacc_nl))</f>
        <v>No Port</v>
      </c>
      <c r="DV118" s="100">
        <f>H2_retrieval!$N$25*h2_demand_kt/1000+(co2_liq_e_demand+co2_st_e_demand*2)*Storage!$O$12*co2_density/nabh4_density/1000000</f>
        <v>18.783638728971958</v>
      </c>
      <c r="DW118" s="28" t="str">
        <f>IFERROR(((DQ118*(1+H2_retrieval!$N$34)+DU118)*1000000/H2_retrieval!$N$8)+h2_regen_nabh4,"")</f>
        <v/>
      </c>
      <c r="DX118" s="149">
        <f>(Dme_invest*(M118+1/Dme_lifetime)/Dme_prod+Dme_opex+Dme_e_demand*1000*$AU118/100+Carriers!$X$21/Carriers!$X$23*(CO118*1000000/CS118))*(EB118+Dme_st_ab_losses)/1000000</f>
        <v>109122.74136424209</v>
      </c>
      <c r="DY118" s="86">
        <f>(Dme_invest*(M118+1/Dme_lifetime)/Dme_prod+Dme_opex+Dme_e_demand*1000*$AU118/100+Carriers!$X$21/Carriers!$X$23*(CP118*1000000/CS118))*(EB118+Dme_st_ab_losses)/1000000</f>
        <v>133479.87028566352</v>
      </c>
      <c r="DZ118" s="63">
        <f>Dme_st_nl_cost*Dme_st_nl_demand/1000000+(Dme_st_invest*(M118+1/Dme_st_lifetime+Dme_st_opex)/(Storage!$Q$63/1000000)+Dme_st_e_demand*1000*$AU118/100)*(EB118+Dme_st_ab_losses)/1000000+co2_st_nl_cost*Storage!$Q$12*co2_density/Dme_density/1000000+(co2_st_opex_lev+co2_st_invest_lev+co2_st_e_demand*1000*$AU118/100)*Storage!$Q$12/1000000+co2_st_invest_lev*Storage!$Q$12*co2_st_lifetime*M118/1000000+(h2_demand_kt*1000/365.25*short_st_duration_hrs/24)*(h2_short_st_invest*(1/gh2_short_st_lifetime+$M118+h2_short_st_opex)+h2_short_st_e_demand*1000*$AU118/100)/1000000</f>
        <v>6310.3518486626999</v>
      </c>
      <c r="EA118" s="63">
        <f>Dme_st_nl_cost*Dme_st_nl_demand/1000000+(Dme_st_invest*(M118+1/Dme_st_lifetime+Dme_st_opex)/(Storage!$Q$63/1000000)+Dme_st_e_demand*1000*$AU118/100)*(EB118+Dme_st_ab_losses)/1000000+(h2_demand_kt*1000/365.25*short_st_duration_hrs/24)*(h2_short_st_invest*(1/gh2_short_st_lifetime+$M118+h2_short_st_opex)+h2_short_st_e_demand*1000*$AU118/100)/1000000</f>
        <v>3252.1855664113509</v>
      </c>
      <c r="EB118" s="63">
        <f>Storage!$Q$57/((1-Shipping!$R$37)^($F118/24/Shipping!$R$44+0.5*Shipping!$R$59))</f>
        <v>103547089.94708996</v>
      </c>
      <c r="EC118" s="153" t="str">
        <f>IF($E118="","No Port",IF(AND(ship_choice="VLCC",G118="Panama"),"Ship cannot pass through Panama",IF(ship_choice="VLCC",((F118/24/Shipping!$AD$44+F118/24/Shipping!$AD$50+Shipping!$AD$59+Shipping!$AD$64)*(Shipping!$AD$22+wacc_nl*Shipping!$AD$19/365.25*1000000+Shipping!$AD$35)+(F118/24/Shipping!$AD$44*Shipping!$AD$45+Shipping!$AD$64*Shipping!$AD$65)*IF(bunker_choice="HFO",$H118,IF(bunker_choice="hydrogen",$BD118*hfo_e_density_lhv/h2_e_density_lhv,(DX118+DZ118)*1000000/EB118*hfo_e_density_lhv/Dme_e_density_lhv))+(F118/24/Shipping!$AD$50*Shipping!$AD$51+Shipping!$AD$59*Shipping!$AD$60)*IF(bunker_choice="HFO",bunker_price_ROT,IF(bunker_choice="hydrogen",$BD118*hfo_e_density_lhv/h2_e_density_lhv,(DX118+DZ118)*1000000/EB118*hfo_e_density_lhv/Dme_e_density_lhv))+Shipping!$AD$73+IF(G118="Panama",Shipping!$AD$55,0)+IF(G118="Suez",Shipping!$AD$56,0))/Shipping!$AD$31*(EB118+Dme_st_ab_losses)/1000000+IF(inland_transport_to_port="hv dc grid",$BM118/100*1000*EE118,IF(inland_transport_to_port="pipeline",$BN118,0)),((F118/24/Shipping!$R$44+F118/24/Shipping!$R$50+Shipping!$R$59+Shipping!$R$64)*(Shipping!$R$22+wacc_nl*Shipping!$R$19/365.25*1000000+Shipping!$R$35)+(F118/24/Shipping!$R$44*Shipping!$R$45+Shipping!$R$64*Shipping!$R$65)*IF(bunker_choice="HFO",$H118,IF(bunker_choice="hydrogen",$BD118*hfo_e_density_lhv/h2_e_density_lhv,(DX118+DZ118)*1000000/EB118*hfo_e_density_lhv/Dme_e_density_lhv))+(F118/24/Shipping!$R$50*Shipping!$R$51+Shipping!$R$59*Shipping!$R$60)*IF(bunker_choice="HFO",bunker_price_ROT,IF(bunker_choice="hydrogen",$BD118*hfo_e_density_lhv/h2_e_density_lhv,(DX118+DZ118)*1000000/EB118*hfo_e_density_lhv/Dme_e_density_lhv))+Shipping!$R$73+IF(G118="Panama",Shipping!$R$55,0)+IF(G118="Suez",Shipping!$R$56,0))/Shipping!$R$31*(EB118+Dme_st_ab_losses)/1000000+IF(inland_transport_to_port="hv dc grid",$BM118/100*1000*EE118,IF(inland_transport_to_port="pipeline",$BN118,0)))))</f>
        <v>No Port</v>
      </c>
      <c r="ED118" s="28" t="str">
        <f t="shared" si="134"/>
        <v/>
      </c>
      <c r="EE118" s="29">
        <f>(Dme_e_demand)*(EB118+Dme_st_ab_losses)/1000000+Dme_st_e_demand*DZ118/1000000+$CV118*(Carriers!$X$21/Carriers!$X$23*EB118)/$CS118</f>
        <v>1550.2168232705744</v>
      </c>
      <c r="EF118" s="29">
        <f t="shared" si="162"/>
        <v>1.0354708994708997</v>
      </c>
      <c r="EG118" s="28" t="str">
        <f>IFERROR(ED118*1000000/Storage!$Q$12,"")</f>
        <v/>
      </c>
      <c r="EH118" s="28" t="str">
        <f>IF($E118="","No Port",((F118/24/Shipping!$R$44+F118/24/Shipping!$R$50+Shipping!$R$59+Shipping!$R$64)*Carriers!$X$39*wacc_nl))</f>
        <v>No Port</v>
      </c>
      <c r="EI118" s="100">
        <f>H2_retrieval!$P$25*h2_demand_kt/1000+(co2_liq_e_demand+co2_st_e_demand*2)*Storage!$Q$12*co2_density/Dme_density/1000000</f>
        <v>252.45335899349112</v>
      </c>
      <c r="EJ118" s="28" t="str">
        <f>IFERROR((((DX118+DZ118+EC118)*(1+H2_retrieval!$P$34)+EH118)*1000000/H2_retrieval!$P$8)+h2_regen_dme,"")</f>
        <v/>
      </c>
      <c r="EK118" s="149">
        <f>(ome_invest*(M118+1/ome_lifetime)/ome_prod+ome_opex+ome_e_demand*1000*$AU118/100+Carriers!$Z$21/Carriers!$Z$23*(CO118*1000000/CS118))*(EO118+ome_st_ab_losses)/1000000</f>
        <v>236557.51472020856</v>
      </c>
      <c r="EL118" s="86">
        <f>(ome_invest*(M118+1/ome_lifetime)/ome_prod+ome_opex+ome_e_demand*1000*$AU118/100+Carriers!$Z$21/Carriers!$Z$23*(CP118*1000000/CS118))*(EO118+ome_st_ab_losses)/1000000</f>
        <v>287687.86975887226</v>
      </c>
      <c r="EM118" s="63">
        <f>ome_st_nl_cost*ome_st_nl_demand/1000000+(ome_st_invest*(M118+1/ome_st_lifetime+ome_st_opex)/(Storage!$S$63/1000000)+ome_st_e_demand*1000*$AU118/100)*(EO118+ome_st_ab_losses)/1000000+co2_st_nl_cost*Storage!$S$12*co2_density/ome_density/1000000+(co2_st_opex_lev+co2_st_invest_lev+co2_st_e_demand*1000*$AU118/100)*Storage!$S$12/1000000+co2_st_invest_lev*Storage!$S$12*co2_st_lifetime*M118/1000000+(h2_demand_kt*1000/365.25*short_st_duration_hrs/24)*(h2_short_st_invest*(1/gh2_short_st_lifetime+$M118+h2_short_st_opex)+h2_short_st_e_demand*1000*$AU118/100)/1000000</f>
        <v>5413.5577665087676</v>
      </c>
      <c r="EN118" s="63">
        <f>ome_st_nl_cost*ome_st_nl_demand/1000000+(ome_st_invest*(M118+1/ome_st_lifetime+ome_st_opex)/(Storage!$S$63/1000000)+ome_st_e_demand*1000*$AU118/100)*(EO118+ome_st_ab_losses)/1000000+(h2_demand_kt*1000/365.25*short_st_duration_hrs/24)*(h2_short_st_invest*(1/gh2_short_st_lifetime+$M118+h2_short_st_opex)+h2_short_st_e_demand*1000*$AU118/100)/1000000</f>
        <v>1963.8209905207898</v>
      </c>
      <c r="EO118" s="63">
        <f>Storage!$S$57/((1-Shipping!$T$37)^($F118/24/Shipping!$T$44+0.5*Shipping!$T$59))</f>
        <v>128282539.68253967</v>
      </c>
      <c r="EP118" s="28" t="str">
        <f>IF($E118="","No Port",IF(AND(ship_choice="VLCC",G118="Panama"),"Ship cannot pass through Panama",IF(ship_choice="VLCC",((F118/24/Shipping!$AD$44+F118/24/Shipping!$AD$50+Shipping!$AD$59+Shipping!$AD$64)*(Shipping!$AD$22+wacc_nl*Shipping!$AD$19/365.25*1000000+Shipping!$AD$35)+(F118/24/Shipping!$AD$44*Shipping!$AD$45+Shipping!$AD$64*Shipping!$AD$65)*IF(bunker_choice="HFO",$H118,IF(bunker_choice="hydrogen",$BD118*hfo_e_density_lhv/h2_e_density_lhv,(EK118+EM118)*1000000/EO118*hfo_e_density_lhv/Dme_e_density_lhv))+(F118/24/Shipping!$AD$50*Shipping!$AD$51+Shipping!$AD$59*Shipping!$AD$60)*IF(bunker_choice="HFO",bunker_price_ROT,IF(bunker_choice="hydrogen",$BD118*hfo_e_density_lhv/h2_e_density_lhv,(EK118+EM118)*1000000/EO118*hfo_e_density_lhv/ome_e_density_lhv))+Shipping!$AD$73+IF(G118="Panama",Shipping!$AD$55,0)+IF(G118="Suez",Shipping!$AD$56,0))/Shipping!$AD$31*(EO118+ome_st_ab_losses)/1000000+IF(inland_transport_to_port="hv dc grid",$BM118/100*1000*ER118,IF(inland_transport_to_port="pipeline",$BN118,0)),((F118/24/Shipping!$T$44+F118/24/Shipping!$T$50+Shipping!$T$59+Shipping!$T$64)*(Shipping!$T$22+wacc_nl*Shipping!$T$19/365.25*1000000+Shipping!$T$35)+(F118/24/Shipping!$T$44*Shipping!$T$45+Shipping!$T$64*Shipping!$T$65)*IF(bunker_choice="HFO",$H118,IF(bunker_choice="hydrogen",$BD118*hfo_e_density_lhv/h2_e_density_lhv,(EK118+EM118)*1000000/EO118*hfo_e_density_lhv/Dme_e_density_lhv))+(F118/24/Shipping!$T$50*Shipping!$T$51+Shipping!$T$59*Shipping!$T$60)*IF(bunker_choice="HFO",bunker_price_ROT,IF(bunker_choice="hydrogen",$BD118*hfo_e_density_lhv/h2_e_density_lhv,(EK118+EM118)*1000000/EO118*hfo_e_density_lhv/ome_e_density_lhv))+Shipping!$T$73+IF(G118="Panama",Shipping!$T$55,0)+IF(G118="Suez",Shipping!$T$56,0))/Shipping!$T$31*(EO118+ome_st_ab_losses)/1000000+IF(inland_transport_to_port="hv dc grid",$BM118/100*1000*ER118,IF(inland_transport_to_port="pipeline",$BN118,0)))))</f>
        <v>No Port</v>
      </c>
      <c r="EQ118" s="28" t="str">
        <f t="shared" si="135"/>
        <v/>
      </c>
      <c r="ER118" s="29">
        <f>(ome_e_demand)*(EO118+ome_st_ab_losses)/1000000+ome_st_e_demand*EM118/1000000+$CV118*(Carriers!$Z$21/Carriers!$Z$23*EO118)/$CS118</f>
        <v>3352.0814582611201</v>
      </c>
      <c r="ES118" s="29">
        <f t="shared" si="163"/>
        <v>0.1924238095238095</v>
      </c>
      <c r="ET118" s="28" t="str">
        <f>IFERROR(EQ118*1000000/Storage!$S$12,"")</f>
        <v/>
      </c>
      <c r="EU118" s="28" t="str">
        <f>IF($E118="","No Port",((F118/24/Shipping!$T$44+F118/24/Shipping!$T$50+Shipping!$T$59+Shipping!$T$64)*Carriers!$Z$39*wacc_nl))</f>
        <v>No Port</v>
      </c>
      <c r="EV118" s="100">
        <f>H2_retrieval!$R$25*h2_demand_kt/1000+(co2_liq_e_demand+co2_st_e_demand*2)*Storage!$S$12*co2_density/ome_density/1000000</f>
        <v>254.51942895252085</v>
      </c>
      <c r="EW118" s="28" t="str">
        <f>IFERROR((((EK118+EM118+EP118)*(1+H2_retrieval!$R$34)+EU118)*1000000/H2_retrieval!$R$8)+h2_regen_ome,"")</f>
        <v/>
      </c>
      <c r="EX118" s="149">
        <f>(sng_invest*(M118+1/sng_lifetime)/sng_prod+lng_invest*(M118+1/lng_lifetime)/lng_prod+sng_opex+lng_opex+(sng_e_demand+lng_e_demand)*1000*$AU118/100+Carriers!$AB$18/Carriers!$AB$23*BD118+Carriers!$AB$20/Carriers!$AB$23*co2_liq_cost)*(FB118+lng_st_ab_losses)/1000000</f>
        <v>82770.664839999066</v>
      </c>
      <c r="EY118" s="86">
        <f>(sng_invest*(M118+1/sng_lifetime)/sng_prod+lng_invest*(M118+1/lng_lifetime)/lng_prod+sng_opex+lng_opex+(sng_e_demand+lng_e_demand)*1000*$AU118/100+Carriers!$AB$18/Carriers!$AB$23*BD118+Carriers!$AB$20/Carriers!$AB$23*BP118)*(FB118+lng_st_ab_losses)/1000000</f>
        <v>96046.409404147096</v>
      </c>
      <c r="EZ118" s="63">
        <f>lng_st_nl_cost*lng_st_nl_demand/1000000+(lng_st_invest*(M118+1/lng_st_lifetime+lng_st_opex)/(Storage!$U$63/1000000)+lng_st_e_demand*1000*$AU118/100)*(FB118+lng_st_ab_losses)/1000000+co2_st_nl_cost*Storage!$U$12*co2_density/lng_density/1000000+(co2_st_opex_lev+co2_st_invest_lev+co2_st_e_demand*1000*$AU118/100)*Storage!$U$12/1000000+co2_st_invest_lev*Storage!$U$12*co2_st_lifetime*M118/1000000+Carriers!$AB$18/Carriers!$AB$23*((FB118+lng_st_ab_losses)/365.25*short_st_duration_hrs/24)*(h2_short_st_invest*(1/gh2_short_st_lifetime+$M118+h2_short_st_opex)+h2_short_st_e_demand*1000*$AU118/100)/1000000+Carriers!$AB$20/Carriers!$AB$23*((FB118+lng_st_ab_losses)/365.25*short_st_duration_hrs/24)*(co2_short_st_invest*(1/co2_short_st_lifetime+$M118+co2_short_st_opex)+co2_short_st_e_demand*1000*$AU118/100)/1000000</f>
        <v>6684.5540708643275</v>
      </c>
      <c r="FA118" s="63">
        <f>lng_st_nl_cost*lng_st_nl_demand/1000000+(lng_st_invest*(M118+1/lng_st_lifetime+lng_st_opex)/(Storage!$U$63/1000000)+lng_st_e_demand*1000*$AU118/100)*(FB118+lng_st_ab_losses)/1000000+Carriers!$AB$18/Carriers!$AB$23*((FB118+lng_st_ab_losses)/365.25*short_st_duration_hrs/24)*(h2_short_st_invest*(1/gh2_short_st_lifetime+$M118+h2_short_st_opex)+h2_short_st_e_demand*1000*$AU118/100)/1000000+Carriers!$AB$20/Carriers!$AB$23*((FB118+lng_st_ab_losses)/365.25*short_st_duration_hrs/24)*(co2_short_st_invest*(1/co2_short_st_lifetime+$M118+co2_short_st_opex)+co2_short_st_e_demand*1000*$AU118/100)/1000000</f>
        <v>5048.2515604526261</v>
      </c>
      <c r="FB118" s="63">
        <f>Storage!$U$57/((1-Shipping!$V$37)^($F118/24/Shipping!$V$44+0.5*Shipping!$V$59))</f>
        <v>40707231.50721889</v>
      </c>
      <c r="FC118" s="28" t="str">
        <f>IF($E118="","No Port",IF(G118="Panama","Ship cannot pass through Panama",((F118/24/Shipping!$V$44+F118/24/Shipping!$V$50+Shipping!$V$59+Shipping!$V$64)*(Shipping!$V$22+wacc_nl*Shipping!$V$19/365.25*1000000+Shipping!$V$35)+(F118/24/Shipping!$V$44*Shipping!$V$45+Shipping!$V$64*Shipping!$V$65)*IF(bunker_choice="HFO",$H118,IF(bunker_choice="hydrogen",$BD118*hfo_e_density_lhv/h2_e_density_lhv,(EX118+EZ118)*1000000/FB118*hfo_e_density_lhv/lng_e_density_lhv))+(F118/24/Shipping!$V$50*Shipping!$V$51+Shipping!$V$59*Shipping!$V$60)*IF(bunker_choice="HFO",bunker_price_ROT,IF(bunker_choice="hydrogen",$BD118*hfo_e_density_lhv/h2_e_density_lhv,(EX118+EZ118)*1000000/FB118*hfo_e_density_lhv/lng_e_density_lhv))+Shipping!$V$73+IF(G118="Panama",Shipping!$V$55,0)+IF(G118="Suez",Shipping!$V$56,0))/Shipping!$V$31*(FB118+lng_st_ab_losses)/1000000)+IF(inland_transport_to_port="hv dc grid",$BM118/100*1000*FE118,IF(inland_transport_to_port="pipeline",$BN118,0)))</f>
        <v>No Port</v>
      </c>
      <c r="FD118" s="28" t="str">
        <f t="shared" si="136"/>
        <v/>
      </c>
      <c r="FE118" s="29">
        <f>((Carriers!$AB$18/Carriers!$AB$23*alk_el_e_demand)+sng_e_demand+lng_e_demand)*(FB118+lng_st_ab_losses)/1000000+lng_st_e_demand*EZ118/1000000</f>
        <v>1091.7518927197307</v>
      </c>
      <c r="FF118" s="29">
        <f t="shared" si="164"/>
        <v>0.8126185861001558</v>
      </c>
      <c r="FG118" s="28" t="str">
        <f>IFERROR(FD118*1000000/Storage!$U$12,"")</f>
        <v/>
      </c>
      <c r="FH118" s="28" t="str">
        <f>IF($E118="","No Port",((F118/24/Shipping!$V$44+F118/24/Shipping!$V$50+Shipping!$V$59+Shipping!$V$64)*Carriers!$AB$39*wacc_nl))</f>
        <v>No Port</v>
      </c>
      <c r="FI118" s="100">
        <f>H2_retrieval!$T$25*h2_demand_kt/1000+(co2_liq_e_demand+co2_st_e_demand*2)*Storage!$U$12*co2_density/lng_density/1000000</f>
        <v>236.51371749646054</v>
      </c>
      <c r="FJ118" s="28" t="str">
        <f>IFERROR((((EX118+EZ118+FC118)*(1+H2_retrieval!$T$34)+FH118)*1000000/H2_retrieval!$T$8)+h2_regen_lng,"")</f>
        <v/>
      </c>
      <c r="FK118" s="149">
        <f>(lh2_invest*(M118+1/lh2_lifetime)/lh2_prod+lh2_opex+lh2_e_demand*1000*$AU118/100+Carriers!$AD$18/Carriers!$AD$23*BD118)*(FM118+lh2_st_ab_losses)/1000000</f>
        <v>63617.731190658269</v>
      </c>
      <c r="FL118" s="28">
        <f>lh2_st_nl_cost*lh2_st_nl_demand/1000000+(lh2_st_invest*(M118+1/lh2_st_lifetime+lh2_st_opex)/(Storage!$Y$63/1000000)+lh2_st_e_demand*1000*$AU118/100)*(FM118+lh2_st_ab_losses)/1000000+((FM118+lh2_st_ab_losses)/365.25*short_st_duration_hrs/24)*(h2_short_st_invest*(1/gh2_short_st_lifetime+$M118+h2_short_st_opex)+h2_short_st_e_demand*1000*$AU118/100)/1000000</f>
        <v>58046.122610184917</v>
      </c>
      <c r="FM118" s="63">
        <f>Storage!$Y$57/((1-Shipping!$Z$37)^($F118/24/Shipping!$Z$44+0.5*Shipping!$Z$59))</f>
        <v>13659984.090217989</v>
      </c>
      <c r="FN118" s="28" t="str">
        <f>IF($E118="","No Port",IF(G118="Panama","Ship cannot pass through Panama",((F118/24/Shipping!$Z$44+F118/24/Shipping!$Z$50+Shipping!$Z$59+Shipping!$Z$64)*(Shipping!$Z$22+wacc_nl*Shipping!$Z$19/365.25*1000000+Shipping!$Z$35)+(F118/24/Shipping!$Z$44*Shipping!$Z$45+Shipping!$Z$64*Shipping!$Z$65)*IF(bunker_choice="HFO",$H118,IF(bunker_choice="hydrogen",$BD118*hfo_e_density_lhv/h2_e_density_lhv,(FK118+FL118)*1000000/FM118*hfo_e_density_lhv/lh2_e_density_lhv))+(F118/24/Shipping!$Z$50*Shipping!$Z$51+Shipping!$Z$59*Shipping!$Z$60)*IF(bunker_choice="HFO",bunker_price_ROT,IF(bunker_choice="hydrogen",$BD118*hfo_e_density_lhv/h2_e_density_lhv,(FK118+FL118)*1000000/FM118*hfo_e_density_lhv/lh2_e_density_lhv))+Shipping!$Z$73+IF(G118="Panama",Shipping!$Z$55,0)+IF(G118="Suez",Shipping!$Z$56,0))/Shipping!$Z$31*(FM118+lh2_st_ab_losses)/1000000)+IF(inland_transport_to_port="hv dc grid",$BM118/100*1000*FP118,IF(inland_transport_to_port="pipeline",$BN118,0)))</f>
        <v>No Port</v>
      </c>
      <c r="FO118" s="28" t="str">
        <f t="shared" si="128"/>
        <v/>
      </c>
      <c r="FP118" s="29">
        <f>((Carriers!$AD$18/Carriers!$AD$23*alk_el_e_demand)+lh2_e_demand)*(FM118+lh2_st_ab_losses)/1000000+lh2_st_e_demand*FM118/1000000</f>
        <v>791.60233245091877</v>
      </c>
      <c r="FQ118" s="100">
        <f t="shared" si="165"/>
        <v>1.361902463475859</v>
      </c>
      <c r="FR118" s="28" t="str">
        <f>IFERROR(FO118*1000000/Storage!$Y$12,"")</f>
        <v/>
      </c>
      <c r="FS118" s="100">
        <f>H2_retrieval!$V$25*h2_demand_kt/1000</f>
        <v>8.16</v>
      </c>
      <c r="FT118" s="28" t="str">
        <f>IFERROR(FR118*(1+H2_retrieval!$V$34)/Carrier_properties!$U$7+H2_retrieval!$V$38,"")</f>
        <v/>
      </c>
      <c r="FU118" s="12"/>
      <c r="FV118" s="24">
        <f t="shared" si="129"/>
        <v>2.8531989479668374</v>
      </c>
      <c r="FW118" s="24" t="str">
        <f t="shared" si="143"/>
        <v/>
      </c>
      <c r="FX118" s="24" t="str">
        <f t="shared" si="144"/>
        <v/>
      </c>
      <c r="FY118" s="24">
        <f t="shared" si="130"/>
        <v>2.8531989479668374</v>
      </c>
      <c r="FZ118" s="28">
        <f t="shared" si="145"/>
        <v>3576.0406579846554</v>
      </c>
      <c r="GA118" s="28">
        <f t="shared" si="137"/>
        <v>795.07362574785679</v>
      </c>
      <c r="GB118" s="28">
        <f t="shared" si="138"/>
        <v>490.40478078020067</v>
      </c>
      <c r="GC118" s="28">
        <f t="shared" si="139"/>
        <v>886.98658122482709</v>
      </c>
      <c r="GD118" s="28">
        <f t="shared" si="140"/>
        <v>1289.0740855572908</v>
      </c>
      <c r="GE118" s="28">
        <f t="shared" si="141"/>
        <v>2242.6112740737153</v>
      </c>
      <c r="GF118" s="28">
        <f t="shared" si="142"/>
        <v>2359.4434170035497</v>
      </c>
      <c r="GG118" s="12"/>
      <c r="GH118" s="12"/>
      <c r="GI118" s="12"/>
      <c r="GJ118" s="12"/>
      <c r="GK118" s="12"/>
      <c r="GL118" s="12"/>
      <c r="GM118" s="12"/>
      <c r="GN118" s="12"/>
      <c r="GO118" s="12"/>
      <c r="GP118" s="12"/>
      <c r="GQ118" s="12"/>
      <c r="GR118" s="12"/>
      <c r="GS118" s="12"/>
      <c r="GT118" s="12"/>
      <c r="GU118" s="12"/>
      <c r="GV118" s="12"/>
      <c r="GW118" s="12"/>
      <c r="GX118" s="12"/>
      <c r="GY118" s="12"/>
      <c r="GZ118" s="12"/>
      <c r="HA118" s="12"/>
      <c r="HB118" s="12"/>
      <c r="HC118" s="12"/>
      <c r="HD118" s="12"/>
      <c r="HE118" s="12"/>
      <c r="HF118" s="12"/>
    </row>
    <row r="119" spans="1:214" x14ac:dyDescent="0.2">
      <c r="A119" s="154" t="s">
        <v>120</v>
      </c>
      <c r="B119" s="12">
        <v>4595</v>
      </c>
      <c r="C119" s="12">
        <v>1</v>
      </c>
      <c r="D119" s="12">
        <f t="shared" si="111"/>
        <v>0</v>
      </c>
      <c r="E119" s="12" t="s">
        <v>773</v>
      </c>
      <c r="F119" s="12">
        <v>3997</v>
      </c>
      <c r="G119" s="12" t="s">
        <v>692</v>
      </c>
      <c r="H119" s="16">
        <f t="shared" si="166"/>
        <v>382.75862068965517</v>
      </c>
      <c r="I119" s="16">
        <v>2149690</v>
      </c>
      <c r="J119" s="16">
        <f t="shared" si="113"/>
        <v>827.20467795487775</v>
      </c>
      <c r="K119" s="16">
        <f t="shared" si="114"/>
        <v>992.64561354585328</v>
      </c>
      <c r="L119" s="103">
        <v>8.5999999999999993E-2</v>
      </c>
      <c r="M119" s="103">
        <f t="shared" si="167"/>
        <v>0.10224554305446122</v>
      </c>
      <c r="N119" s="122">
        <f t="shared" si="116"/>
        <v>0.75</v>
      </c>
      <c r="O119" s="46">
        <f t="shared" si="168"/>
        <v>40</v>
      </c>
      <c r="P119" s="70">
        <f t="array" ref="P119">SUMPRODUCT(IF(Solar_data!A$4:A$777=A119,Solar_data!C$4:C$777),IF(Solar_data!A$4:A$777=A119,Solar_data!I$4:I$777))/SUMIF(Solar_data!A$4:A$777,A119,Solar_data!I$4:I$777)</f>
        <v>2410.9320913881133</v>
      </c>
      <c r="Q119" s="16">
        <f t="array" ref="Q119">MAX(IF(Solar_data!$A$777:'Solar_data'!$A$4=Country_details!$A119,Solar_data!$C$4:'Solar_data'!$C$777))</f>
        <v>2646.25</v>
      </c>
      <c r="R119" s="16">
        <f t="array" ref="R119">MIN(IF(Solar_data!$A$777:'Solar_data'!$A$4=Country_details!A119,Solar_data!$C$4:'Solar_data'!$C$777))</f>
        <v>2098.75</v>
      </c>
      <c r="S119" s="24">
        <f t="shared" si="149"/>
        <v>1.9352074779924808</v>
      </c>
      <c r="T119" s="24">
        <f t="shared" si="150"/>
        <v>1.7631190598720183</v>
      </c>
      <c r="U119" s="24">
        <f t="shared" si="151"/>
        <v>2.2230631624473274</v>
      </c>
      <c r="V119" s="16">
        <f t="array" ref="V119">SUM(IF(Solar_data!$A$777:'Solar_data'!$A$4=Country_details!$A119,Solar_data!$I$4:'Solar_data'!$I$777))</f>
        <v>15674.489134056981</v>
      </c>
      <c r="W119" s="148"/>
      <c r="X119" s="16" t="str">
        <f>IFERROR(INDEX(Onshore_wind_data!$J$5:'Onshore_wind_data'!$J$221,MATCH(A119,Onshore_wind_data!$B$5:'Onshore_wind_data'!$B$221,0)),"")</f>
        <v/>
      </c>
      <c r="Y119" s="16" t="str">
        <f>IFERROR(INDEX(Onshore_wind_data!$K$5:'Onshore_wind_data'!$K$221,MATCH(A119,Onshore_wind_data!$B$5:'Onshore_wind_data'!$B$221,0)),"")</f>
        <v/>
      </c>
      <c r="Z119" s="16" t="str">
        <f>IFERROR(INDEX(Onshore_wind_data!$L$5:'Onshore_wind_data'!$L$221,MATCH(A119,Onshore_wind_data!$B$5:'Onshore_wind_data'!$B$221,0)),"")</f>
        <v/>
      </c>
      <c r="AA119" s="24" t="str">
        <f t="shared" si="169"/>
        <v/>
      </c>
      <c r="AB119" s="24" t="str">
        <f t="shared" si="170"/>
        <v/>
      </c>
      <c r="AC119" s="24" t="str">
        <f t="shared" si="171"/>
        <v/>
      </c>
      <c r="AD119" s="16">
        <f>IFERROR(INDEX(Onshore_wind_data!$I$5:'Onshore_wind_data'!$I$221,MATCH(A119,Onshore_wind_data!$B$5:'Onshore_wind_data'!$B$221,0)),"")</f>
        <v>0</v>
      </c>
      <c r="AE119" s="148"/>
      <c r="AF119" s="16">
        <f>INDEX(Offshore_wind_data!$AA$7:$AA$192,MATCH(Country_details!A119,Offshore_wind_data!$A$7:$A$192,0))</f>
        <v>3358.8673267326731</v>
      </c>
      <c r="AG119" s="16">
        <f>INDEX(Offshore_wind_data!$Y$7:$Y$192,MATCH(Country_details!A119,Offshore_wind_data!$A$7:$A$192,0))</f>
        <v>3504</v>
      </c>
      <c r="AH119" s="16">
        <f>INDEX(Offshore_wind_data!$Z$7:$Z$192,MATCH(Country_details!A119,Offshore_wind_data!$A$7:$A$192,0))</f>
        <v>3153.6</v>
      </c>
      <c r="AI119" s="24">
        <f t="shared" si="152"/>
        <v>7.1793178121988364</v>
      </c>
      <c r="AJ119" s="24">
        <f t="shared" si="153"/>
        <v>6.8819566288882905</v>
      </c>
      <c r="AK119" s="24">
        <f t="shared" si="154"/>
        <v>7.6466184765425451</v>
      </c>
      <c r="AL119" s="16">
        <f>INDEX(Offshore_wind_data!$W$7:$W$191,MATCH(A119,Offshore_wind_data!$A$7:$A$191,0))</f>
        <v>122.128416</v>
      </c>
      <c r="AM119" s="148"/>
      <c r="AN119" s="12">
        <v>32.9</v>
      </c>
      <c r="AO119" s="12">
        <v>45</v>
      </c>
      <c r="AP119" s="34">
        <f>6.363*11.63</f>
        <v>74.001690000000011</v>
      </c>
      <c r="AQ119" s="15">
        <f t="shared" si="155"/>
        <v>50</v>
      </c>
      <c r="AR119" s="12">
        <f t="shared" si="131"/>
        <v>2250</v>
      </c>
      <c r="AS119" s="16">
        <f t="shared" si="121"/>
        <v>13546.617550056981</v>
      </c>
      <c r="AT119" s="12"/>
      <c r="AU119" s="24">
        <f t="shared" si="147"/>
        <v>1.9352074779924808</v>
      </c>
      <c r="AV119" s="16">
        <f t="shared" si="148"/>
        <v>2410.9320913881133</v>
      </c>
      <c r="AW119" s="149">
        <f>HV_DC_Grid!$E$3/(1-AX119)*AU119/100*1000</f>
        <v>2148.0756919404866</v>
      </c>
      <c r="AX119" s="31">
        <f>(1-(1-HV_DC_Grid!$E$25)^(B119*C119*HV_DC_Grid!$E$8/1000))+(1-(1-HV_DC_Grid!$E$26)^(B119*D119*HV_DC_Grid!$E$8/1000))+HV_DC_Grid!$E$35*HV_DC_Grid!$E$28</f>
        <v>9.9097166243573773E-2</v>
      </c>
      <c r="AY119" s="28">
        <f>B119*nl_e_demand/IF(hv_dc_flh="electricity FLH",$AV119,hv_dc_custom)*1000*hv_dc_capacity_multiplier*hv_dc_length_multiplier*1000*(C119*hv_dc_overhead_invest*(hv_dc_overhead_opex+M119+1/hv_dc_lifetime)+D119*hv_dc_sea_invest*(hv_dc_sea_opex+M119+1/hv_dc_lifetime))/1000000+HV_DC_Grid!$E$10*1000*hv_dc_station_invest*hv_dc_station_number*(hv_dc_station_opex+M119+1/hv_dc_lifetime)/1000000</f>
        <v>3692.1247010338943</v>
      </c>
      <c r="AZ119" s="24">
        <f>(AW119+AY119)/(HV_DC_Grid!$E$3*1000)*100</f>
        <v>5.8402003929743804</v>
      </c>
      <c r="BA119" s="28">
        <f>MIN(((Carriers!$F$26+Carriers!$F$27)*(alk_el_opex+wacc_nl+1/alk_el_lifetime)+IF(hv_dc_flh="electricity FLH",$AV119,hv_dc_custom)*AZ119/100)/(IF(hv_dc_flh="electricity FLH",$AV119,hv_dc_custom)/alk_el_e_demand)*1000,((Carriers!$H$26+Carriers!$H$27)*(pem_el_opex+wacc_nl+1/pem_el_lifetime)+IF(hv_dc_flh="electricity FLH",$AV119,hv_dc_custom)*AZ119/100)/(IF(hv_dc_flh="electricity FLH",$AV119,hv_dc_custom)/pem_el_e_demand)*1000)</f>
        <v>3324.157351738083</v>
      </c>
      <c r="BB119" s="12"/>
      <c r="BC119" s="12"/>
      <c r="BD119" s="149">
        <f>MIN(((Carriers!$F$26+Carriers!$F$27)*(alk_el_opex+M119+1/alk_el_lifetime)+$AV119*$AU119/100)/($AV119/alk_el_e_demand)*1000,((Carriers!$H$26+Carriers!$H$27)*(pem_el_opex+M119+1/pem_el_lifetime)+$AV119*$AU119/100)/($AV119/pem_el_e_demand)*1000)</f>
        <v>2228.918761556854</v>
      </c>
      <c r="BE119" s="28">
        <f>Storage!$AC$50</f>
        <v>8.1664117557772418</v>
      </c>
      <c r="BF119" s="28">
        <f>((Pipeline!$D$22*Pipeline!$D$24*B119*(pipeline_opex+M119+1/pipeline_lifetime))*(Pipeline!$D$39/Pipeline!$D$3)+(Pipeline!$D$57*(pipeline_comp_opex+M119+1/pipeline_comp_lifetime)+Pipeline!$D$47*1000*Pipeline!$D$45*$AU119/100/1000000))*(Pipeline!$D$75/Pipeline!$D$45)</f>
        <v>9103.8487900577966</v>
      </c>
      <c r="BG119" s="28">
        <f>BD119+(BE119+BF119)/Storage!$AC$12*1000000</f>
        <v>2898.9198793372639</v>
      </c>
      <c r="BH119" s="28"/>
      <c r="BI119" s="28"/>
      <c r="BJ119" s="28">
        <f>IF($E119="","No Port",BK119*HV_DC_Grid!$E$3*$AU119/100*1000)</f>
        <v>63.918975339335326</v>
      </c>
      <c r="BK119" s="31">
        <f>IFERROR((1-(1-HV_DC_Grid!$E$25)^(K119*HV_DC_Grid!$E$8/1000))+HV_DC_Grid!$E$35*HV_DC_Grid!$E$28,"")</f>
        <v>3.3029520641188678E-2</v>
      </c>
      <c r="BL119" s="28">
        <f>IFERROR(K119*nl_e_demand/IF(hv_dc_flh="electricity FLH",$AV119,hv_dc_custom)*1000*hv_dc_capacity_multiplier*hv_dc_length_multiplier*1000*(hv_dc_overhead_invest*(hv_dc_overhead_opex+M119+1/hv_dc_lifetime))/1000000+HV_DC_Grid!$E$10*1000*hv_dc_station_invest*hv_dc_station_number*(hv_dc_station_opex+M119+1/hv_dc_lifetime)/1000000,"")</f>
        <v>1081.6552972841091</v>
      </c>
      <c r="BM119" s="29">
        <f>IFERROR((BJ119+BL119)/(HV_DC_Grid!$E$3*1000)*100,"")</f>
        <v>1.1455742726234444</v>
      </c>
      <c r="BN119" s="28">
        <f>IFERROR(((Pipeline!$D$22*Pipeline!$D$24*K119*(pipeline_opex+M119+1/pipeline_lifetime))*(Pipeline!$D$39/Pipeline!$D$3)+(Pipeline!$D$57*(pipeline_comp_opex+M119+1/pipeline_comp_lifetime)+Pipeline!$D$47*1000*Pipeline!$D$45*S119/100/1000000))*(Pipeline!$D$75/Pipeline!$D$45),"")</f>
        <v>2018.0601798253676</v>
      </c>
      <c r="BO119" s="28"/>
      <c r="BP119" s="150">
        <f t="shared" si="172"/>
        <v>98.26641265618926</v>
      </c>
      <c r="BQ119" s="34">
        <f t="shared" si="173"/>
        <v>29.524208302097026</v>
      </c>
      <c r="BR119" s="151">
        <f>(nh3_invest*(M119+1/nh3_lifetime)/nh3_prod+nh3_opex+nh3_e_demand*1000*$AU119/100+Carriers!$N$18/Carriers!$N$23*BD119+Carriers!$N$19/Carriers!$N$23*BQ119)*(BT119+nh3_st_ab_losses)/1000000</f>
        <v>41074.926890685747</v>
      </c>
      <c r="BS119" s="63">
        <f>nh3_st_nl_cost*nh3_st_nl_demand/1000000+(nh3_st_invest*(M119+1/nh3_st_lifetime+nh3_st_opex)/(Storage!$G$63/1000000)+nh3_st_e_demand*1000*$AU119/100)*(BT119+nh3_st_ab_losses)/1000000+Carriers!$N$18/Carriers!$N$23*((BT119+nh3_st_ab_losses)/365.25*short_st_duration_hrs/24)*(h2_short_st_invest*(1/gh2_short_st_lifetime+$M119+h2_short_st_opex)+h2_short_st_e_demand*1000*$AU119/100)/1000000+Carriers!$N$19/Carriers!$N$23*((BT119+nh3_st_ab_losses)/365.25*short_st_duration_hrs/24)*(n2_short_st_invest*(1/n2_short_st_lifetime+$M119+n2_short_st_opex)+n2_short_st_e_demand*1000*$AU119/100)/1000000</f>
        <v>3152.9063897395235</v>
      </c>
      <c r="BT119" s="63">
        <f>Storage!$G$57/((1-Shipping!$H$37)^(F119/24/Shipping!$H$44+0.5*Shipping!$H$59))</f>
        <v>78823261.348077074</v>
      </c>
      <c r="BU119" s="63">
        <f>IF($E119="","No Port",((F119/24/Shipping!$H$44+F119/24/Shipping!$H$50+Shipping!$H$59+Shipping!$H$64)*(Shipping!$H$22+wacc_nl*Shipping!$H$19/365.25*1000000+Shipping!$H$35)+(F119/24/Shipping!$H$44*Shipping!$H$45+Shipping!$H$64*Shipping!$H$65)*IF(bunker_choice="HFO",H119,IF(bunker_choice="hydrogen",BD119*hfo_e_density_lhv/h2_e_density_lhv,(BR119+BS119)*1000000/BT119*hfo_e_density_lhv/nh3_e_density_lhv))+(F119/24/Shipping!$H$50*Shipping!$H$51+Shipping!$H$59*Shipping!$H$60)*IF(bunker_choice="HFO",bunker_price_ROT,IF(bunker_choice="hydrogen",BD119*hfo_e_density_lhv/h2_e_density_lhv,(BR119+BS119)*1000000/BT119*hfo_e_density_lhv/nh3_e_density_lhv))+Shipping!$H$73+IF(G119="Panama",Shipping!$H$55,0)+IF(G119="Suez",Shipping!$H$56,0))/Shipping!$H$31*BT119/1000000+IF(inland_transport_to_port="hv dc grid",$BM119/100*1000*BW119,IF(inland_transport_to_port="pipeline",$BN119,0)))</f>
        <v>5040.1286856029192</v>
      </c>
      <c r="BV119" s="63">
        <f t="shared" si="174"/>
        <v>49267.96196602819</v>
      </c>
      <c r="BW119" s="33">
        <f>((Carriers!$N$18/Carriers!$N$23*alk_el_e_demand)+(Carriers!$N$19/Carriers!$N$23*n2_e_demand)+nh3_e_demand)*(BT119+nh3_st_ab_losses)/1000000+nh3_st_e_demand*BT119/1000000</f>
        <v>778.40131584067137</v>
      </c>
      <c r="BX119" s="33">
        <f t="shared" si="156"/>
        <v>0.76626754477640768</v>
      </c>
      <c r="BY119" s="63">
        <f>IFERROR(BV119*1000000/Storage!$G$12,"")</f>
        <v>643.4960202606236</v>
      </c>
      <c r="BZ119" s="63">
        <f>H2_retrieval!$F$25*h2_demand_kt/1000</f>
        <v>80</v>
      </c>
      <c r="CA119" s="63">
        <f>IFERROR(BY119*(1+H2_retrieval!$F$34)/Carrier_properties!$E$7+H2_retrieval!$F$38,"")</f>
        <v>4031.8702418516909</v>
      </c>
      <c r="CB119" s="149">
        <f>(FA_invest*(M119+1/FA_lifetime)/FA_prod+FA_opex+FA_e_demand*1000*$AU119/100+Carriers!$P$18/Carriers!$P$23*BD119+Carriers!$P$20/Carriers!$P$23*co2_liq_cost)*(CF119+FA_st_ab_losses)/1000000</f>
        <v>82867.658043212432</v>
      </c>
      <c r="CC119" s="86">
        <f>(FA_invest*(M119+1/FA_lifetime)/FA_prod+FA_opex+FA_e_demand*1000*$AU119/100+Carriers!$P$18/Carriers!$P$23*BD119+Carriers!$P$20/Carriers!$P$23*BP119)*(CF119+FA_st_ab_losses)/1000000</f>
        <v>106320.09339520216</v>
      </c>
      <c r="CD119" s="63">
        <f>FA_st_nl_cost*FA_st_nl_demand/1000000+(FA_st_invest*(M119+1/FA_st_lifetime+FA_st_opex)/(Storage!$I$63/1000000)+FA_st_e_demand*1000*$AU119/100)*(CF119+FA_st_ab_losses)/1000000+co2_st_nl_cost*Storage!$I$12*co2_density/FA_density/1000000+(co2_st_opex_lev+co2_st_invest_lev+co2_st_e_demand*1000*$AU119/100)*Storage!$I$12/1000000+co2_st_invest_lev*Storage!$I$12*co2_st_lifetime*M119/1000000+Carriers!$P$18/Carriers!$P$23*((CF119+FA_st_ab_losses)/365.25*short_st_duration_hrs/24)*(h2_short_st_invest*(1/gh2_short_st_lifetime+$M119+h2_short_st_opex)+h2_short_st_e_demand*1000*$AU119/100)/1000000+Carriers!$P$20/Carriers!$P$23*((CF119+FA_st_ab_losses)/365.25*short_st_duration_hrs/24)*(co2_short_st_invest*(1/co2_short_st_lifetime+$M119+co2_short_st_opex)+co2_short_st_e_demand*1000*$AU119/100)/1000000</f>
        <v>10811.017897810574</v>
      </c>
      <c r="CE119" s="63">
        <f>FA_st_nl_cost*FA_st_nl_demand/1000000+(FA_st_invest*(M119+1/FA_st_lifetime+FA_st_opex)/(Storage!$I$63/1000000)+FA_st_e_demand*1000*$AU119/100)*(CF119+FA_st_ab_losses)/1000000+Carriers!$P$18/Carriers!$P$23*((CF119+FA_st_ab_losses)/365.25*short_st_duration_hrs/24)*(h2_short_st_invest*(1/gh2_short_st_lifetime+$M119+h2_short_st_opex)+h2_short_st_e_demand*1000*$AU119/100)/1000000+Carriers!$P$20/Carriers!$P$23*((CF119+FA_st_ab_losses)/365.25*short_st_duration_hrs/24)*(co2_short_st_invest*(1/co2_short_st_lifetime+$M119+co2_short_st_opex)+co2_short_st_e_demand*1000*$AU119/100)/1000000</f>
        <v>4688.0740879431996</v>
      </c>
      <c r="CF119" s="63">
        <f>Storage!$I$57/((1-Shipping!$J$37)^($F119/24/Shipping!$J$44+0.5*Shipping!$J$59))</f>
        <v>310425396.82539684</v>
      </c>
      <c r="CG119" s="28">
        <f>IF($E119="","No Port",((F119/24/Shipping!$J$44+F119/24/Shipping!$J$50+Shipping!$J$59+Shipping!$J$64)*(Shipping!$J$22+wacc_nl*Shipping!$J$19/365.25*1000000+Shipping!$J$35)+(F119/24/Shipping!$J$44*Shipping!$J$45+Shipping!$J$64*Shipping!$J$65)*IF(bunker_choice="HFO",$H119,IF(bunker_choice="hydrogen",$BD119*hfo_e_density_lhv/h2_e_density_lhv,(CB119+CD119)*1000000/CF119*hfo_e_density_lhv/FA_e_density_lhv))+(F119/24/Shipping!$J$50*Shipping!$J$51+Shipping!$J$59*Shipping!$J$60)*IF(bunker_choice="HFO",bunker_price_ROT,IF(bunker_choice="hydrogen",$BD119*hfo_e_density_lhv/h2_e_density_lhv,(CB119+CD119)*1000000/CF119*hfo_e_density_lhv/FA_e_density_lhv))+Shipping!$J$73+IF(G119="Panama",Shipping!$J$55,0)+IF(G119="Suez",Shipping!$J$56,0))/Shipping!$J$31*CF119/1000000+IF(inland_transport_to_port="hv dc grid",$BM119/100*1000*CI119,IF(inland_transport_to_port="pipeline",$BN119,0)))</f>
        <v>14872.202868547303</v>
      </c>
      <c r="CH119" s="28">
        <f t="shared" si="132"/>
        <v>125880.37035169266</v>
      </c>
      <c r="CI119" s="29">
        <f>((Carriers!$P$18/Carriers!$P$23*alk_el_e_demand)+FA_e_demand)*(CF119+FA_st_ab_losses)/1000000+FA_st_e_demand*CF119/1000000</f>
        <v>1897.8881241622576</v>
      </c>
      <c r="CJ119" s="29">
        <f t="shared" si="157"/>
        <v>0.46563809523809524</v>
      </c>
      <c r="CK119" s="28">
        <f>IFERROR(CH119*1000000/Storage!$I$12,"")</f>
        <v>405.5092516238156</v>
      </c>
      <c r="CL119" s="28">
        <f>IF($E119="","No Port",((F119/24/Shipping!$J$44+F119/24/Shipping!$J$50+Shipping!$J$59+Shipping!$J$64)*Carriers!$P$39*wacc_nl))</f>
        <v>210.40403084026698</v>
      </c>
      <c r="CM119" s="29">
        <f>H2_retrieval!$H$25*h2_demand_kt/1000+(co2_liq_e_demand+co2_st_e_demand*2)*Storage!$I$12*co2_density/FA_density/1000000</f>
        <v>94.204253879484654</v>
      </c>
      <c r="CN119" s="28">
        <f>IFERROR((((CB119+CD119+CG119)*(1+H2_retrieval!$H$34)+CL119)*1000000/H2_retrieval!$H$8)+h2_regen_fa,"")</f>
        <v>8086.8405177971445</v>
      </c>
      <c r="CO119" s="149">
        <f>(meoh_invest*(M119+1/meoh_lifetime)/meoh_prod+meoh_opex+meoh_e_demand*1000*$AU119/100+Carriers!$R$18/Carriers!$R$23*BD119+Carriers!$R$20/Carriers!$R$23*co2_liq_cost)*(CS119+meoh_st_ab_losses)/1000000</f>
        <v>49170.979174618296</v>
      </c>
      <c r="CP119" s="86">
        <f>(meoh_invest*(M119+1/meoh_lifetime)/meoh_prod+meoh_opex+meoh_e_demand*1000*$AU119/100+Carriers!$R$18/Carriers!$R$23*BD119+Carriers!$R$20/Carriers!$R$23*BP119)*(CS119+meoh_st_ab_losses)/1000000</f>
        <v>62938.282745984368</v>
      </c>
      <c r="CQ119" s="63">
        <f>meoh_st_nl_cost*meoh_st_nl_demand/1000000+(meoh_st_invest*(M119+1/meoh_st_lifetime+meoh_st_opex)/(Storage!$K$63/1000000)+meoh_st_e_demand*1000*$AU119/100)*(CS119+meoh_st_ab_losses)/1000000+co2_st_nl_cost*Storage!$K$12*co2_density/meoh_density/1000000+(co2_st_opex_lev+co2_st_invest_lev+co2_st_e_demand*1000*IFERROR(MIN(S119,AA119,AI119),S119)/100)*Storage!$K$12/1000000+co2_st_invest_lev*Storage!$K$12*co2_st_lifetime*M119/1000000+Carriers!$R$18/Carriers!$R$23*((CS119+meoh_st_ab_losses)/365.25*short_st_duration_hrs/24)*(h2_short_st_invest*(1/gh2_short_st_lifetime+$M119+h2_short_st_opex)+h2_short_st_e_demand*1000*$AU119/100)/1000000+Carriers!$R$20/Carriers!$R$23*((CF119+meoh_st_ab_losses)/365.25*short_st_duration_hrs/24)*(co2_short_st_invest*(1/co2_short_st_lifetime+$M119+co2_short_st_opex)+co2_short_st_e_demand*1000*$AU119/100)/1000000</f>
        <v>4551.5686086413452</v>
      </c>
      <c r="CR119" s="63">
        <f>meoh_st_nl_cost*meoh_st_nl_demand/1000000+(meoh_st_invest*(M119+1/meoh_st_lifetime+meoh_st_opex)/(Storage!$K$63/1000000)+meoh_st_e_demand*1000*$AU119/100)*(CS119+meoh_st_ab_losses)/1000000+Carriers!$R$18/Carriers!$R$23*((CS119+meoh_st_ab_losses)/365.25*short_st_duration_hrs/24)*(h2_short_st_invest*(1/gh2_short_st_lifetime+$M119+h2_short_st_opex)+h2_short_st_e_demand*1000*$AU119/100)/1000000+Carriers!$R$20/Carriers!$R$23*((CF119+meoh_st_ab_losses)/365.25*short_st_duration_hrs/24)*(co2_short_st_invest*(1/co2_short_st_lifetime+$M119+co2_short_st_opex)+co2_short_st_e_demand*1000*$AU119/100)/1000000</f>
        <v>1821.4631199639202</v>
      </c>
      <c r="CS119" s="63">
        <f>Storage!$K$57/((1-Shipping!$L$37)^($F119/24/Shipping!$L$44+0.5*Shipping!$L$59))</f>
        <v>108044444.44444443</v>
      </c>
      <c r="CT119" s="28">
        <f>IF($E119="","No Port",IF(AND(ship_choice="VLCC",G119="Panama"),"Ship cannot pass through Panama",IF(ship_choice="VLCC",((F119/24/Shipping!$AD$44+F119/24/Shipping!$AD$50+Shipping!$AD$59+Shipping!$AD$64)*(Shipping!$AD$22+wacc_nl*Shipping!$AD$19/365.25*1000000+Shipping!$AD$35)+(F119/24/Shipping!$AD$44*Shipping!$AD$45+Shipping!$AD$64*Shipping!$AD$65)*IF(bunker_choice="HFO",$H119,IF(bunker_choice="hydrogen",$BD119*hfo_e_density_lhv/h2_e_density_lhv,(CO119+CQ119)*1000000/CS119*hfo_e_density_lhv/meoh_e_density_lhv))+(F119/24/Shipping!$AD$50*Shipping!$AD$51+Shipping!$AD$59*Shipping!$AD$60)*IF(bunker_choice="HFO",bunker_price_ROT,IF(bunker_choice="hydrogen",$BD119*hfo_e_density_lhv/h2_e_density_lhv,(CO119+CQ119)*1000000/CS119*hfo_e_density_lhv/meoh_e_density_lhv))+Shipping!$AD$73+IF(G119="Panama",Shipping!$AD$55,0)+IF(G119="Suez",Shipping!$AD$56,0))/Shipping!$AD$31*CS119/1000000+IF(inland_transport_to_port="hv dc grid",$BM119/100*1000*CV119,IF(inland_transport_to_port="pipeline",$BN119,0)),((F119/24/Shipping!$L$44+F119/24/Shipping!$L$50+Shipping!$L$59+Shipping!$L$64)*(Shipping!$L$22+wacc_nl*Shipping!$L$19/365.25*1000000+Shipping!$L$35)+(F119/24/Shipping!$L$44*Shipping!$L$45+Shipping!$L$64*Shipping!$L$65)*IF(bunker_choice="HFO",$H119,IF(bunker_choice="hydrogen",$BD119*hfo_e_density_lhv/h2_e_density_lhv,(CO119+CQ119)*1000000/CS119*hfo_e_density_lhv/meoh_e_density_lhv))+(F119/24/Shipping!$L$50*Shipping!$L$51+Shipping!$L$59*Shipping!$L$60)*IF(bunker_choice="HFO",bunker_price_ROT,IF(bunker_choice="hydrogen",$BD119*hfo_e_density_lhv/h2_e_density_lhv,(CO119+CQ119)*1000000/CS119*hfo_e_density_lhv/meoh_e_density_lhv))+Shipping!$L$73+IF(G119="Panama",Shipping!$L$55,0)+IF(G119="Suez",Shipping!$L$56,0))/Shipping!$L$31*CS119/1000000+IF(inland_transport_to_port="hv dc grid",$BM119/100*1000*CV119,IF(inland_transport_to_port="pipeline",$BN119,0)))))</f>
        <v>6315.0777583621202</v>
      </c>
      <c r="CU119" s="28">
        <f t="shared" si="133"/>
        <v>71074.823624310404</v>
      </c>
      <c r="CV119" s="29">
        <f>((Carriers!$R$18/Carriers!$R$23*alk_el_e_demand)+meoh_e_demand)*(CS119+meoh_st_ab_losses)/1000000+meoh_st_e_demand*CS119/1000000</f>
        <v>1119.9789871111109</v>
      </c>
      <c r="CW119" s="29">
        <f t="shared" si="158"/>
        <v>0.16206666666666666</v>
      </c>
      <c r="CX119" s="28">
        <f>IFERROR(CU119*1000000/Storage!$K$12,"")</f>
        <v>657.82950701233415</v>
      </c>
      <c r="CY119" s="28">
        <f>IF($E119="","No Port",((F119/24/Shipping!$L$44+F119/24/Shipping!$L$50+Shipping!$L$59+Shipping!$L$64)*Carriers!$R$39*wacc_nl))</f>
        <v>75.219777116633722</v>
      </c>
      <c r="CZ119" s="29">
        <f>H2_retrieval!$J$25*h2_demand_kt/1000+(co2_liq_e_demand+co2_st_e_demand*2)*Storage!$K$12*co2_density/meoh_density/1000000</f>
        <v>251.05079059698966</v>
      </c>
      <c r="DA119" s="28">
        <f>IFERROR((((CO119+CQ119+CT119)*(1+H2_retrieval!$J$34)+CY119)*1000000/H2_retrieval!$J$8)+h2_regen_meoh,"")</f>
        <v>5590.1906989857043</v>
      </c>
      <c r="DB119" s="149">
        <f>(DBT_invest*(M119+1/DBT_lifetime)/DBT_prod+DBT_opex+DBT_e_demand*1000*$AU119/100+Carriers!$T$18/Carriers!$T$23*BD119)*(DD119+DBT_st_ab_losses)/1000000</f>
        <v>33289.788756142916</v>
      </c>
      <c r="DC119" s="28">
        <f>2*(DBT_st_nl_cost*DBT_st_nl_demand/1000000+(DBT_st_invest*(M119+1/DBT_st_lifetime+DBT_st_opex)/(Storage!$M$63/1000000)+DBT_st_e_demand*1000*$AU119/100)*(DD119+DBT_st_ab_losses)/1000000)+Carriers!$T$18/Carriers!$T$23*((DD119+DBT_st_ab_losses)/365.25*short_st_duration_hrs/24)*(h2_short_st_invest*(1/gh2_short_st_lifetime+$M119+h2_short_st_opex)+h2_short_st_e_demand*1000*$AU119/100)/1000000</f>
        <v>3814.2734460597098</v>
      </c>
      <c r="DD119" s="63">
        <f>Storage!$M$57/((1-Shipping!$N$37)^($F119/24/Shipping!$N$44+0.5*Shipping!$N$59))</f>
        <v>219354838.70967743</v>
      </c>
      <c r="DE119" s="28">
        <f>IF($E119="","No Port",IF(AND(ship_choice="VLCC",G119="Panama"),"Ship cannot pass through Panama",IF(ship_choice="VLCC",((F119/24/Shipping!$AD$44+F119/24/Shipping!$AD$50+Shipping!$AD$59+Shipping!$AD$64)*(Shipping!$AD$22+wacc_nl*Shipping!$AD$19/365.25*1000000+Shipping!$AD$35)+(F119/24/Shipping!$AD$44*Shipping!$AD$45+Shipping!$AD$64*Shipping!$AD$65)*IF(bunker_choice="HFO",$H119,IF(bunker_choice="hydrogen",$BD119*hfo_e_density_lhv/h2_e_density_lhv,(DB119+DC119)*1000000/DD119*hfo_e_density_lhv/DBT_e_density_lhv))+(F119/24/Shipping!$AD$50*Shipping!$AD$51+Shipping!$AD$59*Shipping!$AD$60)*IF(bunker_choice="HFO",bunker_price_ROT,IF(bunker_choice="hydrogen",$BD119*hfo_e_density_lhv/h2_e_density_lhv,(DB119+DC119)*1000000/DD119*hfo_e_density_lhv/DBT_e_density_lhv))+Shipping!$AD$73+IF(G119="Panama",Shipping!$AD$55,0)+IF(G119="Suez",Shipping!$AD$56,0))/Shipping!$AD$31*DD119/1000000+IF(inland_transport_to_port="hv dc grid",$BM119/100*1000*DG119,IF(inland_transport_to_port="pipeline",$BN119,0)),((F119/24/Shipping!$N$44+F119/24/Shipping!$N$50+Shipping!$N$59+Shipping!$N$64)*(Shipping!$N$22+wacc_nl*Shipping!$N$19/365.25*1000000+Shipping!$N$35)+(F119/24/Shipping!$N$44*Shipping!$N$45+Shipping!$N$64*Shipping!$N$65)*IF(bunker_choice="HFO",$H119,IF(bunker_choice="hydrogen",$BD119*hfo_e_density_lhv/h2_e_density_lhv,(DB119+DC119)*1000000/DD119*hfo_e_density_lhv/DBT_e_density_lhv))+(F119/24/Shipping!$N$50*Shipping!$N$51+Shipping!$N$59*Shipping!$N$60)*IF(bunker_choice="HFO",bunker_price_ROT,IF(bunker_choice="hydrogen",$BD119*hfo_e_density_lhv/h2_e_density_lhv,(DB119+DC119)*1000000/DD119*hfo_e_density_lhv/DBT_e_density_lhv))+Shipping!$N$73+IF(G119="Panama",Shipping!$N$55,0)+IF(G119="Suez",Shipping!$N$56,0))/Shipping!$N$31*Shipping!$N$86/1000000+IF(inland_transport_to_port="hv dc grid",$BM119/100*1000*DG119,IF(inland_transport_to_port="pipeline",$BN119,0)))))</f>
        <v>10066.520585167833</v>
      </c>
      <c r="DF119" s="28">
        <f t="shared" si="159"/>
        <v>47170.582787370462</v>
      </c>
      <c r="DG119" s="29">
        <f>((Carriers!$T$18/Carriers!$T$23*alk_el_e_demand)+DBT_e_demand)*(DD119+DBT_st_ab_losses)/1000000+DBT_st_e_demand*DD119/1000000</f>
        <v>703.88335483870969</v>
      </c>
      <c r="DH119" s="29">
        <f t="shared" si="160"/>
        <v>0.21935483870967742</v>
      </c>
      <c r="DI119" s="28">
        <f>IFERROR(DF119*1000000/Storage!$M$12,"")</f>
        <v>215.04236270713002</v>
      </c>
      <c r="DJ119" s="28">
        <f>IF($E119="","No Port",((F119/24/Shipping!$N$44+F119/24/Shipping!$N$50+Shipping!$N$59+Shipping!$N$64)*Carriers!$T$39*wacc_nl))</f>
        <v>5478.5035110677563</v>
      </c>
      <c r="DK119" s="100">
        <f>H2_retrieval!$L$25*h2_demand_kt/1000+(co2_liq_e_demand+co2_st_e_demand*2)*Storage!$M$12*co2_density/DBT_density/1000000</f>
        <v>206.61934861671787</v>
      </c>
      <c r="DL119" s="28">
        <f>IFERROR(((DF119*(1+H2_retrieval!$L$34)+DJ119)*1000000/H2_retrieval!$L$8)+h2_regen_lohc,"")</f>
        <v>4341.9061261121933</v>
      </c>
      <c r="DM119" s="149">
        <f t="shared" si="175"/>
        <v>42420.993771948313</v>
      </c>
      <c r="DN119" s="16">
        <f>2*(nabh4_st_nl_cost*nabh4_st_nl_demand/1000000+(nabh4_st_invest*(M119+1/nabh4_st_lifetime+nabh4_st_opex)/(Storage!$O$63/1000000)+nabh4_st_e_demand*1000*$AU119/100)*(DO119+nabh4_st_ab_losses)/1000000)+(h2_demand_kt*1000/365.25*short_st_duration_hrs/24)*(h2_short_st_invest*(1/gh2_short_st_lifetime+$M119+h2_short_st_opex)+h2_short_st_e_demand*1000*$AU119/100)/1000000</f>
        <v>1268.1154557156526</v>
      </c>
      <c r="DO119" s="63">
        <f>Storage!$O$57/((1-Shipping!$P$37)^($F119/24/Shipping!$P$44+0.5*Shipping!$P$59))</f>
        <v>63920000</v>
      </c>
      <c r="DP119" s="16">
        <f>IF($E119="","No Port",((F119/24/Shipping!$P$44+F119/24/Shipping!$P$50+Shipping!$P$59+Shipping!$P$64)*(Shipping!$P$22+wacc_nl*Shipping!$P$19/365.25*1000000+Shipping!$P$35)+(F119/24/Shipping!$P$44*Shipping!$P$45+Shipping!$P$64*Shipping!$P$65)*IF(bunker_choice="HFO",$H119,IF(bunker_choice="hydrogen",$BD119*hfo_e_density_lhv/h2_e_density_lhv,(DM119+DN119)*1000000/DO119*hfo_e_density_lhv/nabh4_e_density_lhv))+(F119/24/Shipping!$P$50*Shipping!$P$51+Shipping!$P$59*Shipping!$P$60)*IF(bunker_choice="HFO",bunker_price_ROT,IF(bunker_choice="hydrogen",$BD119*hfo_e_density_lhv/h2_e_density_lhv,(DM119+DN119)*1000000/DO119*hfo_e_density_lhv/nabh4_e_density_lhv))+Shipping!$P$73+IF(G119="Panama",Shipping!$P$55,0)+IF(G119="Suez",Shipping!$P$56,0))/Shipping!$P$31*(DO119+nabh4_st_ab_losses)/1000000+IF(inland_transport_to_port="hv dc grid",$BM119/100*1000*DR119,IF(inland_transport_to_port="pipeline",$BN119,0)))</f>
        <v>3884.2173128848844</v>
      </c>
      <c r="DQ119" s="28">
        <f t="shared" si="146"/>
        <v>47573.326540548849</v>
      </c>
      <c r="DR119" s="29">
        <f>((Carriers!$V$18/Carriers!$V$23*alk_el_e_demand)+nabh4_e_demand)*(DO119+nabh4_st_ab_losses)/1000000+nabh4_st_e_demand*DO119/1000000</f>
        <v>980.02139682539689</v>
      </c>
      <c r="DS119" s="28">
        <f t="shared" si="161"/>
        <v>3.1960000000000002</v>
      </c>
      <c r="DT119" s="28">
        <f>IFERROR(DQ119*1000000/Storage!$O$12,"")</f>
        <v>744.26355664187815</v>
      </c>
      <c r="DU119" s="28">
        <f>IF($E119="","No Port",((F119/24/Shipping!$P$44+F119/24/Shipping!$P$50+Shipping!$P$59+Shipping!$P$64)*Carriers!$V$39*wacc_nl))</f>
        <v>512.8457610090785</v>
      </c>
      <c r="DV119" s="100">
        <f>H2_retrieval!$N$25*h2_demand_kt/1000+(co2_liq_e_demand+co2_st_e_demand*2)*Storage!$O$12*co2_density/nabh4_density/1000000</f>
        <v>18.783638728971958</v>
      </c>
      <c r="DW119" s="28">
        <f>IFERROR(((DQ119*(1+H2_retrieval!$N$34)+DU119)*1000000/H2_retrieval!$N$8)+h2_regen_nabh4,"")</f>
        <v>3612.5829481248234</v>
      </c>
      <c r="DX119" s="149">
        <f>(Dme_invest*(M119+1/Dme_lifetime)/Dme_prod+Dme_opex+Dme_e_demand*1000*$AU119/100+Carriers!$X$21/Carriers!$X$23*(CO119*1000000/CS119))*(EB119+Dme_st_ab_losses)/1000000</f>
        <v>69372.379454127135</v>
      </c>
      <c r="DY119" s="86">
        <f>(Dme_invest*(M119+1/Dme_lifetime)/Dme_prod+Dme_opex+Dme_e_demand*1000*$AU119/100+Carriers!$X$21/Carriers!$X$23*(CP119*1000000/CS119))*(EB119+Dme_st_ab_losses)/1000000</f>
        <v>88049.984751166528</v>
      </c>
      <c r="DZ119" s="63">
        <f>Dme_st_nl_cost*Dme_st_nl_demand/1000000+(Dme_st_invest*(M119+1/Dme_st_lifetime+Dme_st_opex)/(Storage!$Q$63/1000000)+Dme_st_e_demand*1000*$AU119/100)*(EB119+Dme_st_ab_losses)/1000000+co2_st_nl_cost*Storage!$Q$12*co2_density/Dme_density/1000000+(co2_st_opex_lev+co2_st_invest_lev+co2_st_e_demand*1000*$AU119/100)*Storage!$Q$12/1000000+co2_st_invest_lev*Storage!$Q$12*co2_st_lifetime*M119/1000000+(h2_demand_kt*1000/365.25*short_st_duration_hrs/24)*(h2_short_st_invest*(1/gh2_short_st_lifetime+$M119+h2_short_st_opex)+h2_short_st_e_demand*1000*$AU119/100)/1000000</f>
        <v>5511.0120416862974</v>
      </c>
      <c r="EA119" s="63">
        <f>Dme_st_nl_cost*Dme_st_nl_demand/1000000+(Dme_st_invest*(M119+1/Dme_st_lifetime+Dme_st_opex)/(Storage!$Q$63/1000000)+Dme_st_e_demand*1000*$AU119/100)*(EB119+Dme_st_ab_losses)/1000000+(h2_demand_kt*1000/365.25*short_st_duration_hrs/24)*(h2_short_st_invest*(1/gh2_short_st_lifetime+$M119+h2_short_st_opex)+h2_short_st_e_demand*1000*$AU119/100)/1000000</f>
        <v>2767.6466126422843</v>
      </c>
      <c r="EB119" s="63">
        <f>Storage!$Q$57/((1-Shipping!$R$37)^($F119/24/Shipping!$R$44+0.5*Shipping!$R$59))</f>
        <v>103547089.94708996</v>
      </c>
      <c r="EC119" s="153">
        <f>IF($E119="","No Port",IF(AND(ship_choice="VLCC",G119="Panama"),"Ship cannot pass through Panama",IF(ship_choice="VLCC",((F119/24/Shipping!$AD$44+F119/24/Shipping!$AD$50+Shipping!$AD$59+Shipping!$AD$64)*(Shipping!$AD$22+wacc_nl*Shipping!$AD$19/365.25*1000000+Shipping!$AD$35)+(F119/24/Shipping!$AD$44*Shipping!$AD$45+Shipping!$AD$64*Shipping!$AD$65)*IF(bunker_choice="HFO",$H119,IF(bunker_choice="hydrogen",$BD119*hfo_e_density_lhv/h2_e_density_lhv,(DX119+DZ119)*1000000/EB119*hfo_e_density_lhv/Dme_e_density_lhv))+(F119/24/Shipping!$AD$50*Shipping!$AD$51+Shipping!$AD$59*Shipping!$AD$60)*IF(bunker_choice="HFO",bunker_price_ROT,IF(bunker_choice="hydrogen",$BD119*hfo_e_density_lhv/h2_e_density_lhv,(DX119+DZ119)*1000000/EB119*hfo_e_density_lhv/Dme_e_density_lhv))+Shipping!$AD$73+IF(G119="Panama",Shipping!$AD$55,0)+IF(G119="Suez",Shipping!$AD$56,0))/Shipping!$AD$31*(EB119+Dme_st_ab_losses)/1000000+IF(inland_transport_to_port="hv dc grid",$BM119/100*1000*EE119,IF(inland_transport_to_port="pipeline",$BN119,0)),((F119/24/Shipping!$R$44+F119/24/Shipping!$R$50+Shipping!$R$59+Shipping!$R$64)*(Shipping!$R$22+wacc_nl*Shipping!$R$19/365.25*1000000+Shipping!$R$35)+(F119/24/Shipping!$R$44*Shipping!$R$45+Shipping!$R$64*Shipping!$R$65)*IF(bunker_choice="HFO",$H119,IF(bunker_choice="hydrogen",$BD119*hfo_e_density_lhv/h2_e_density_lhv,(DX119+DZ119)*1000000/EB119*hfo_e_density_lhv/Dme_e_density_lhv))+(F119/24/Shipping!$R$50*Shipping!$R$51+Shipping!$R$59*Shipping!$R$60)*IF(bunker_choice="HFO",bunker_price_ROT,IF(bunker_choice="hydrogen",$BD119*hfo_e_density_lhv/h2_e_density_lhv,(DX119+DZ119)*1000000/EB119*hfo_e_density_lhv/Dme_e_density_lhv))+Shipping!$R$73+IF(G119="Panama",Shipping!$R$55,0)+IF(G119="Suez",Shipping!$R$56,0))/Shipping!$R$31*(EB119+Dme_st_ab_losses)/1000000+IF(inland_transport_to_port="hv dc grid",$BM119/100*1000*EE119,IF(inland_transport_to_port="pipeline",$BN119,0)))))</f>
        <v>6337.0723969274513</v>
      </c>
      <c r="ED119" s="28">
        <f t="shared" si="134"/>
        <v>97154.703760736273</v>
      </c>
      <c r="EE119" s="29">
        <f>(Dme_e_demand)*(EB119+Dme_st_ab_losses)/1000000+Dme_st_e_demand*DZ119/1000000+$CV119*(Carriers!$X$21/Carriers!$X$23*EB119)/$CS119</f>
        <v>1550.2168152771762</v>
      </c>
      <c r="EF119" s="29">
        <f t="shared" si="162"/>
        <v>1.0354708994708997</v>
      </c>
      <c r="EG119" s="28">
        <f>IFERROR(ED119*1000000/Storage!$Q$12,"")</f>
        <v>938.26590211641837</v>
      </c>
      <c r="EH119" s="28">
        <f>IF($E119="","No Port",((F119/24/Shipping!$R$44+F119/24/Shipping!$R$50+Shipping!$R$59+Shipping!$R$64)*Carriers!$X$39*wacc_nl))</f>
        <v>77.780602209826753</v>
      </c>
      <c r="EI119" s="100">
        <f>H2_retrieval!$P$25*h2_demand_kt/1000+(co2_liq_e_demand+co2_st_e_demand*2)*Storage!$Q$12*co2_density/Dme_density/1000000</f>
        <v>252.45335899349112</v>
      </c>
      <c r="EJ119" s="28">
        <f>IFERROR((((DX119+DZ119+EC119)*(1+H2_retrieval!$P$34)+EH119)*1000000/H2_retrieval!$P$8)+h2_regen_dme,"")</f>
        <v>7147.9406384130789</v>
      </c>
      <c r="EK119" s="149">
        <f>(ome_invest*(M119+1/ome_lifetime)/ome_prod+ome_opex+ome_e_demand*1000*$AU119/100+Carriers!$Z$21/Carriers!$Z$23*(CO119*1000000/CS119))*(EO119+ome_st_ab_losses)/1000000</f>
        <v>151290.32003820065</v>
      </c>
      <c r="EL119" s="86">
        <f>(ome_invest*(M119+1/ome_lifetime)/ome_prod+ome_opex+ome_e_demand*1000*$AU119/100+Carriers!$Z$21/Carriers!$Z$23*(CP119*1000000/CS119))*(EO119+ome_st_ab_losses)/1000000</f>
        <v>190498.24939598955</v>
      </c>
      <c r="EM119" s="63">
        <f>ome_st_nl_cost*ome_st_nl_demand/1000000+(ome_st_invest*(M119+1/ome_st_lifetime+ome_st_opex)/(Storage!$S$63/1000000)+ome_st_e_demand*1000*$AU119/100)*(EO119+ome_st_ab_losses)/1000000+co2_st_nl_cost*Storage!$S$12*co2_density/ome_density/1000000+(co2_st_opex_lev+co2_st_invest_lev+co2_st_e_demand*1000*$AU119/100)*Storage!$S$12/1000000+co2_st_invest_lev*Storage!$S$12*co2_st_lifetime*M119/1000000+(h2_demand_kt*1000/365.25*short_st_duration_hrs/24)*(h2_short_st_invest*(1/gh2_short_st_lifetime+$M119+h2_short_st_opex)+h2_short_st_e_demand*1000*$AU119/100)/1000000</f>
        <v>4711.7896815745335</v>
      </c>
      <c r="EN119" s="63">
        <f>ome_st_nl_cost*ome_st_nl_demand/1000000+(ome_st_invest*(M119+1/ome_st_lifetime+ome_st_opex)/(Storage!$S$63/1000000)+ome_st_e_demand*1000*$AU119/100)*(EO119+ome_st_ab_losses)/1000000+(h2_demand_kt*1000/365.25*short_st_duration_hrs/24)*(h2_short_st_invest*(1/gh2_short_st_lifetime+$M119+h2_short_st_opex)+h2_short_st_e_demand*1000*$AU119/100)/1000000</f>
        <v>1652.053754130945</v>
      </c>
      <c r="EO119" s="63">
        <f>Storage!$S$57/((1-Shipping!$T$37)^($F119/24/Shipping!$T$44+0.5*Shipping!$T$59))</f>
        <v>128282539.68253967</v>
      </c>
      <c r="EP119" s="28">
        <f>IF($E119="","No Port",IF(AND(ship_choice="VLCC",G119="Panama"),"Ship cannot pass through Panama",IF(ship_choice="VLCC",((F119/24/Shipping!$AD$44+F119/24/Shipping!$AD$50+Shipping!$AD$59+Shipping!$AD$64)*(Shipping!$AD$22+wacc_nl*Shipping!$AD$19/365.25*1000000+Shipping!$AD$35)+(F119/24/Shipping!$AD$44*Shipping!$AD$45+Shipping!$AD$64*Shipping!$AD$65)*IF(bunker_choice="HFO",$H119,IF(bunker_choice="hydrogen",$BD119*hfo_e_density_lhv/h2_e_density_lhv,(EK119+EM119)*1000000/EO119*hfo_e_density_lhv/Dme_e_density_lhv))+(F119/24/Shipping!$AD$50*Shipping!$AD$51+Shipping!$AD$59*Shipping!$AD$60)*IF(bunker_choice="HFO",bunker_price_ROT,IF(bunker_choice="hydrogen",$BD119*hfo_e_density_lhv/h2_e_density_lhv,(EK119+EM119)*1000000/EO119*hfo_e_density_lhv/ome_e_density_lhv))+Shipping!$AD$73+IF(G119="Panama",Shipping!$AD$55,0)+IF(G119="Suez",Shipping!$AD$56,0))/Shipping!$AD$31*(EO119+ome_st_ab_losses)/1000000+IF(inland_transport_to_port="hv dc grid",$BM119/100*1000*ER119,IF(inland_transport_to_port="pipeline",$BN119,0)),((F119/24/Shipping!$T$44+F119/24/Shipping!$T$50+Shipping!$T$59+Shipping!$T$64)*(Shipping!$T$22+wacc_nl*Shipping!$T$19/365.25*1000000+Shipping!$T$35)+(F119/24/Shipping!$T$44*Shipping!$T$45+Shipping!$T$64*Shipping!$T$65)*IF(bunker_choice="HFO",$H119,IF(bunker_choice="hydrogen",$BD119*hfo_e_density_lhv/h2_e_density_lhv,(EK119+EM119)*1000000/EO119*hfo_e_density_lhv/Dme_e_density_lhv))+(F119/24/Shipping!$T$50*Shipping!$T$51+Shipping!$T$59*Shipping!$T$60)*IF(bunker_choice="HFO",bunker_price_ROT,IF(bunker_choice="hydrogen",$BD119*hfo_e_density_lhv/h2_e_density_lhv,(EK119+EM119)*1000000/EO119*hfo_e_density_lhv/ome_e_density_lhv))+Shipping!$T$73+IF(G119="Panama",Shipping!$T$55,0)+IF(G119="Suez",Shipping!$T$56,0))/Shipping!$T$31*(EO119+ome_st_ab_losses)/1000000+IF(inland_transport_to_port="hv dc grid",$BM119/100*1000*ER119,IF(inland_transport_to_port="pipeline",$BN119,0)))))</f>
        <v>6806.8886290975279</v>
      </c>
      <c r="EQ119" s="28">
        <f t="shared" si="135"/>
        <v>198957.191779218</v>
      </c>
      <c r="ER119" s="29">
        <f>(ome_e_demand)*(EO119+ome_st_ab_losses)/1000000+ome_st_e_demand*EM119/1000000+$CV119*(Carriers!$Z$21/Carriers!$Z$23*EO119)/$CS119</f>
        <v>3352.0814572084678</v>
      </c>
      <c r="ES119" s="29">
        <f t="shared" si="163"/>
        <v>0.1924238095238095</v>
      </c>
      <c r="ET119" s="28">
        <f>IFERROR(EQ119*1000000/Storage!$S$12,"")</f>
        <v>1550.929629796671</v>
      </c>
      <c r="EU119" s="28">
        <f>IF($E119="","No Port",((F119/24/Shipping!$T$44+F119/24/Shipping!$T$50+Shipping!$T$59+Shipping!$T$64)*Carriers!$Z$39*wacc_nl))</f>
        <v>89.309395707411767</v>
      </c>
      <c r="EV119" s="100">
        <f>H2_retrieval!$R$25*h2_demand_kt/1000+(co2_liq_e_demand+co2_st_e_demand*2)*Storage!$S$12*co2_density/ome_density/1000000</f>
        <v>254.51942895252085</v>
      </c>
      <c r="EW119" s="28">
        <f>IFERROR((((EK119+EM119+EP119)*(1+H2_retrieval!$R$34)+EU119)*1000000/H2_retrieval!$R$8)+h2_regen_ome,"")</f>
        <v>13147.945289121122</v>
      </c>
      <c r="EX119" s="149">
        <f>(sng_invest*(M119+1/sng_lifetime)/sng_prod+lng_invest*(M119+1/lng_lifetime)/lng_prod+sng_opex+lng_opex+(sng_e_demand+lng_e_demand)*1000*$AU119/100+Carriers!$AB$18/Carriers!$AB$23*BD119+Carriers!$AB$20/Carriers!$AB$23*co2_liq_cost)*(FB119+lng_st_ab_losses)/1000000</f>
        <v>54046.317901997114</v>
      </c>
      <c r="EY119" s="86">
        <f>(sng_invest*(M119+1/sng_lifetime)/sng_prod+lng_invest*(M119+1/lng_lifetime)/lng_prod+sng_opex+lng_opex+(sng_e_demand+lng_e_demand)*1000*$AU119/100+Carriers!$AB$18/Carriers!$AB$23*BD119+Carriers!$AB$20/Carriers!$AB$23*BP119)*(FB119+lng_st_ab_losses)/1000000</f>
        <v>64358.058493230317</v>
      </c>
      <c r="EZ119" s="63">
        <f>lng_st_nl_cost*lng_st_nl_demand/1000000+(lng_st_invest*(M119+1/lng_st_lifetime+lng_st_opex)/(Storage!$U$63/1000000)+lng_st_e_demand*1000*$AU119/100)*(FB119+lng_st_ab_losses)/1000000+co2_st_nl_cost*Storage!$U$12*co2_density/lng_density/1000000+(co2_st_opex_lev+co2_st_invest_lev+co2_st_e_demand*1000*$AU119/100)*Storage!$U$12/1000000+co2_st_invest_lev*Storage!$U$12*co2_st_lifetime*M119/1000000+Carriers!$AB$18/Carriers!$AB$23*((FB119+lng_st_ab_losses)/365.25*short_st_duration_hrs/24)*(h2_short_st_invest*(1/gh2_short_st_lifetime+$M119+h2_short_st_opex)+h2_short_st_e_demand*1000*$AU119/100)/1000000+Carriers!$AB$20/Carriers!$AB$23*((FB119+lng_st_ab_losses)/365.25*short_st_duration_hrs/24)*(co2_short_st_invest*(1/co2_short_st_lifetime+$M119+co2_short_st_opex)+co2_short_st_e_demand*1000*$AU119/100)/1000000</f>
        <v>5848.3211360810574</v>
      </c>
      <c r="FA119" s="63">
        <f>lng_st_nl_cost*lng_st_nl_demand/1000000+(lng_st_invest*(M119+1/lng_st_lifetime+lng_st_opex)/(Storage!$U$63/1000000)+lng_st_e_demand*1000*$AU119/100)*(FB119+lng_st_ab_losses)/1000000+Carriers!$AB$18/Carriers!$AB$23*((FB119+lng_st_ab_losses)/365.25*short_st_duration_hrs/24)*(h2_short_st_invest*(1/gh2_short_st_lifetime+$M119+h2_short_st_opex)+h2_short_st_e_demand*1000*$AU119/100)/1000000+Carriers!$AB$20/Carriers!$AB$23*((FB119+lng_st_ab_losses)/365.25*short_st_duration_hrs/24)*(co2_short_st_invest*(1/co2_short_st_lifetime+$M119+co2_short_st_opex)+co2_short_st_e_demand*1000*$AU119/100)/1000000</f>
        <v>4335.4013089278251</v>
      </c>
      <c r="FB119" s="63">
        <f>Storage!$U$57/((1-Shipping!$V$37)^($F119/24/Shipping!$V$44+0.5*Shipping!$V$59))</f>
        <v>41234044.190195926</v>
      </c>
      <c r="FC119" s="28">
        <f>IF($E119="","No Port",IF(G119="Panama","Ship cannot pass through Panama",((F119/24/Shipping!$V$44+F119/24/Shipping!$V$50+Shipping!$V$59+Shipping!$V$64)*(Shipping!$V$22+wacc_nl*Shipping!$V$19/365.25*1000000+Shipping!$V$35)+(F119/24/Shipping!$V$44*Shipping!$V$45+Shipping!$V$64*Shipping!$V$65)*IF(bunker_choice="HFO",$H119,IF(bunker_choice="hydrogen",$BD119*hfo_e_density_lhv/h2_e_density_lhv,(EX119+EZ119)*1000000/FB119*hfo_e_density_lhv/lng_e_density_lhv))+(F119/24/Shipping!$V$50*Shipping!$V$51+Shipping!$V$59*Shipping!$V$60)*IF(bunker_choice="HFO",bunker_price_ROT,IF(bunker_choice="hydrogen",$BD119*hfo_e_density_lhv/h2_e_density_lhv,(EX119+EZ119)*1000000/FB119*hfo_e_density_lhv/lng_e_density_lhv))+Shipping!$V$73+IF(G119="Panama",Shipping!$V$55,0)+IF(G119="Suez",Shipping!$V$56,0))/Shipping!$V$31*(FB119+lng_st_ab_losses)/1000000)+IF(inland_transport_to_port="hv dc grid",$BM119/100*1000*FE119,IF(inland_transport_to_port="pipeline",$BN119,0)))</f>
        <v>3565.9566360341996</v>
      </c>
      <c r="FD119" s="28">
        <f t="shared" si="136"/>
        <v>72259.416438192347</v>
      </c>
      <c r="FE119" s="29">
        <f>((Carriers!$AB$18/Carriers!$AB$23*alk_el_e_demand)+sng_e_demand+lng_e_demand)*(FB119+lng_st_ab_losses)/1000000+lng_st_e_demand*EZ119/1000000</f>
        <v>1105.8645568586339</v>
      </c>
      <c r="FF119" s="29">
        <f t="shared" si="164"/>
        <v>0.8126185861001558</v>
      </c>
      <c r="FG119" s="28">
        <f>IFERROR(FD119*1000000/Storage!$U$12,"")</f>
        <v>1780.4846822614668</v>
      </c>
      <c r="FH119" s="28">
        <f>IF($E119="","No Port",((F119/24/Shipping!$V$44+F119/24/Shipping!$V$50+Shipping!$V$59+Shipping!$V$64)*Carriers!$AB$39*wacc_nl))</f>
        <v>26.433215760332409</v>
      </c>
      <c r="FI119" s="100">
        <f>H2_retrieval!$T$25*h2_demand_kt/1000+(co2_liq_e_demand+co2_st_e_demand*2)*Storage!$U$12*co2_density/lng_density/1000000</f>
        <v>236.51371749646054</v>
      </c>
      <c r="FJ119" s="28">
        <f>IFERROR((((EX119+EZ119+FC119)*(1+H2_retrieval!$T$34)+FH119)*1000000/H2_retrieval!$T$8)+h2_regen_lng,"")</f>
        <v>5838.2924321573446</v>
      </c>
      <c r="FK119" s="149">
        <f>(lh2_invest*(M119+1/lh2_lifetime)/lh2_prod+lh2_opex+lh2_e_demand*1000*$AU119/100+Carriers!$AD$18/Carriers!$AD$23*BD119)*(FM119+lh2_st_ab_losses)/1000000</f>
        <v>42634.725060479148</v>
      </c>
      <c r="FL119" s="28">
        <f>lh2_st_nl_cost*lh2_st_nl_demand/1000000+(lh2_st_invest*(M119+1/lh2_st_lifetime+lh2_st_opex)/(Storage!$Y$63/1000000)+lh2_st_e_demand*1000*$AU119/100)*(FM119+lh2_st_ab_losses)/1000000+((FM119+lh2_st_ab_losses)/365.25*short_st_duration_hrs/24)*(h2_short_st_invest*(1/gh2_short_st_lifetime+$M119+h2_short_st_opex)+h2_short_st_e_demand*1000*$AU119/100)/1000000</f>
        <v>50832.896250552541</v>
      </c>
      <c r="FM119" s="63">
        <f>Storage!$Y$57/((1-Shipping!$Z$37)^($F119/24/Shipping!$Z$44+0.5*Shipping!$Z$59))</f>
        <v>13944037.216156587</v>
      </c>
      <c r="FN119" s="28">
        <f>IF($E119="","No Port",IF(G119="Panama","Ship cannot pass through Panama",((F119/24/Shipping!$Z$44+F119/24/Shipping!$Z$50+Shipping!$Z$59+Shipping!$Z$64)*(Shipping!$Z$22+wacc_nl*Shipping!$Z$19/365.25*1000000+Shipping!$Z$35)+(F119/24/Shipping!$Z$44*Shipping!$Z$45+Shipping!$Z$64*Shipping!$Z$65)*IF(bunker_choice="HFO",$H119,IF(bunker_choice="hydrogen",$BD119*hfo_e_density_lhv/h2_e_density_lhv,(FK119+FL119)*1000000/FM119*hfo_e_density_lhv/lh2_e_density_lhv))+(F119/24/Shipping!$Z$50*Shipping!$Z$51+Shipping!$Z$59*Shipping!$Z$60)*IF(bunker_choice="HFO",bunker_price_ROT,IF(bunker_choice="hydrogen",$BD119*hfo_e_density_lhv/h2_e_density_lhv,(FK119+FL119)*1000000/FM119*hfo_e_density_lhv/lh2_e_density_lhv))+Shipping!$Z$73+IF(G119="Panama",Shipping!$Z$55,0)+IF(G119="Suez",Shipping!$Z$56,0))/Shipping!$Z$31*(FM119+lh2_st_ab_losses)/1000000)+IF(inland_transport_to_port="hv dc grid",$BM119/100*1000*FP119,IF(inland_transport_to_port="pipeline",$BN119,0)))</f>
        <v>4991.7139665947798</v>
      </c>
      <c r="FO119" s="28">
        <f t="shared" si="128"/>
        <v>98459.335277626466</v>
      </c>
      <c r="FP119" s="29">
        <f>((Carriers!$AD$18/Carriers!$AD$23*alk_el_e_demand)+lh2_e_demand)*(FM119+lh2_st_ab_losses)/1000000+lh2_st_e_demand*FM119/1000000</f>
        <v>808.04048684898532</v>
      </c>
      <c r="FQ119" s="100">
        <f t="shared" si="165"/>
        <v>1.361902463475859</v>
      </c>
      <c r="FR119" s="28">
        <f>IFERROR(FO119*1000000/Storage!$Y$12,"")</f>
        <v>7239.6570057078279</v>
      </c>
      <c r="FS119" s="100">
        <f>H2_retrieval!$V$25*h2_demand_kt/1000</f>
        <v>8.16</v>
      </c>
      <c r="FT119" s="28">
        <f>IFERROR(FR119*(1+H2_retrieval!$V$34)/Carrier_properties!$U$7+H2_retrieval!$V$38,"")</f>
        <v>7271.625731576295</v>
      </c>
      <c r="FU119" s="12"/>
      <c r="FV119" s="24">
        <f t="shared" si="129"/>
        <v>1.9352074779924808</v>
      </c>
      <c r="FW119" s="24" t="str">
        <f t="shared" si="143"/>
        <v/>
      </c>
      <c r="FX119" s="24">
        <f t="shared" si="144"/>
        <v>7.1793178121988364</v>
      </c>
      <c r="FY119" s="24">
        <f t="shared" si="130"/>
        <v>1.9352074779924808</v>
      </c>
      <c r="FZ119" s="28">
        <f t="shared" si="145"/>
        <v>2228.918761556854</v>
      </c>
      <c r="GA119" s="28">
        <f t="shared" si="137"/>
        <v>521.10159092887852</v>
      </c>
      <c r="GB119" s="28">
        <f t="shared" si="138"/>
        <v>342.49805100516119</v>
      </c>
      <c r="GC119" s="28">
        <f t="shared" si="139"/>
        <v>582.52215622568838</v>
      </c>
      <c r="GD119" s="28">
        <f t="shared" si="140"/>
        <v>850.33760771218135</v>
      </c>
      <c r="GE119" s="28">
        <f t="shared" si="141"/>
        <v>1484.9896943685001</v>
      </c>
      <c r="GF119" s="28">
        <f t="shared" si="142"/>
        <v>1560.7990862204224</v>
      </c>
      <c r="GG119" s="12"/>
      <c r="GH119" s="12"/>
      <c r="GI119" s="12"/>
      <c r="GJ119" s="12"/>
      <c r="GK119" s="12"/>
      <c r="GL119" s="12"/>
      <c r="GM119" s="12"/>
      <c r="GN119" s="12"/>
      <c r="GO119" s="12"/>
      <c r="GP119" s="12"/>
      <c r="GQ119" s="12"/>
      <c r="GR119" s="12"/>
      <c r="GS119" s="12"/>
      <c r="GT119" s="12"/>
      <c r="GU119" s="12"/>
      <c r="GV119" s="12"/>
      <c r="GW119" s="12"/>
      <c r="GX119" s="12"/>
      <c r="GY119" s="12"/>
      <c r="GZ119" s="12"/>
      <c r="HA119" s="12"/>
      <c r="HB119" s="12"/>
      <c r="HC119" s="12"/>
      <c r="HD119" s="12"/>
      <c r="HE119" s="12"/>
      <c r="HF119" s="12"/>
    </row>
    <row r="120" spans="1:214" x14ac:dyDescent="0.2">
      <c r="A120" s="154" t="s">
        <v>121</v>
      </c>
      <c r="B120" s="12">
        <v>4537</v>
      </c>
      <c r="C120" s="12">
        <v>0.9</v>
      </c>
      <c r="D120" s="12">
        <f t="shared" si="111"/>
        <v>9.9999999999999978E-2</v>
      </c>
      <c r="E120" s="12" t="s">
        <v>774</v>
      </c>
      <c r="F120" s="12">
        <v>2582</v>
      </c>
      <c r="G120" s="12"/>
      <c r="H120" s="16">
        <f t="shared" si="166"/>
        <v>382.75862068965517</v>
      </c>
      <c r="I120" s="16">
        <v>192530</v>
      </c>
      <c r="J120" s="16">
        <f t="shared" si="113"/>
        <v>247.556463028064</v>
      </c>
      <c r="K120" s="16">
        <f t="shared" si="114"/>
        <v>297.06775563367677</v>
      </c>
      <c r="L120" s="103">
        <v>0.15</v>
      </c>
      <c r="M120" s="103">
        <f t="shared" si="167"/>
        <v>0.14750037705040026</v>
      </c>
      <c r="N120" s="122">
        <f t="shared" si="116"/>
        <v>0.85</v>
      </c>
      <c r="O120" s="46">
        <f t="shared" si="168"/>
        <v>40</v>
      </c>
      <c r="P120" s="70">
        <f t="array" ref="P120">SUMPRODUCT(IF(Solar_data!A$4:A$777=A120,Solar_data!C$4:C$777),IF(Solar_data!A$4:A$777=A120,Solar_data!I$4:I$777))/SUMIF(Solar_data!A$4:A$777,A120,Solar_data!I$4:I$777)</f>
        <v>2124.7996101686745</v>
      </c>
      <c r="Q120" s="16">
        <f t="array" ref="Q120">MAX(IF(Solar_data!$A$777:'Solar_data'!$A$4=Country_details!$A120,Solar_data!$C$4:'Solar_data'!$C$777))</f>
        <v>2281.25</v>
      </c>
      <c r="R120" s="16">
        <f t="array" ref="R120">MIN(IF(Solar_data!$A$777:'Solar_data'!$A$4=Country_details!A120,Solar_data!$C$4:'Solar_data'!$C$777))</f>
        <v>1916.25</v>
      </c>
      <c r="S120" s="24">
        <f t="shared" si="149"/>
        <v>2.5538791867938513</v>
      </c>
      <c r="T120" s="24">
        <f t="shared" si="150"/>
        <v>2.3787316166651902</v>
      </c>
      <c r="U120" s="24">
        <f t="shared" si="151"/>
        <v>2.8318233531728456</v>
      </c>
      <c r="V120" s="16">
        <f t="array" ref="V120">SUM(IF(Solar_data!$A$777:'Solar_data'!$A$4=Country_details!$A120,Solar_data!$I$4:'Solar_data'!$I$777))</f>
        <v>1595.8185363801001</v>
      </c>
      <c r="W120" s="148"/>
      <c r="X120" s="16" t="str">
        <f>IFERROR(INDEX(Onshore_wind_data!$J$5:'Onshore_wind_data'!$J$221,MATCH(A120,Onshore_wind_data!$B$5:'Onshore_wind_data'!$B$221,0)),"")</f>
        <v/>
      </c>
      <c r="Y120" s="16" t="str">
        <f>IFERROR(INDEX(Onshore_wind_data!$K$5:'Onshore_wind_data'!$K$221,MATCH(A120,Onshore_wind_data!$B$5:'Onshore_wind_data'!$B$221,0)),"")</f>
        <v/>
      </c>
      <c r="Z120" s="16" t="str">
        <f>IFERROR(INDEX(Onshore_wind_data!$L$5:'Onshore_wind_data'!$L$221,MATCH(A120,Onshore_wind_data!$B$5:'Onshore_wind_data'!$B$221,0)),"")</f>
        <v/>
      </c>
      <c r="AA120" s="24" t="str">
        <f t="shared" si="169"/>
        <v/>
      </c>
      <c r="AB120" s="24" t="str">
        <f t="shared" si="170"/>
        <v/>
      </c>
      <c r="AC120" s="24" t="str">
        <f t="shared" si="171"/>
        <v/>
      </c>
      <c r="AD120" s="16">
        <f>IFERROR(INDEX(Onshore_wind_data!$I$5:'Onshore_wind_data'!$I$221,MATCH(A120,Onshore_wind_data!$B$5:'Onshore_wind_data'!$B$221,0)),"")</f>
        <v>0</v>
      </c>
      <c r="AE120" s="148"/>
      <c r="AF120" s="16" t="str">
        <f>INDEX(Offshore_wind_data!$AA$7:$AA$192,MATCH(Country_details!A120,Offshore_wind_data!$A$7:$A$192,0))</f>
        <v/>
      </c>
      <c r="AG120" s="16" t="str">
        <f>INDEX(Offshore_wind_data!$Y$7:$Y$192,MATCH(Country_details!A120,Offshore_wind_data!$A$7:$A$192,0))</f>
        <v/>
      </c>
      <c r="AH120" s="16" t="str">
        <f>INDEX(Offshore_wind_data!$Z$7:$Z$192,MATCH(Country_details!A120,Offshore_wind_data!$A$7:$A$192,0))</f>
        <v/>
      </c>
      <c r="AI120" s="24" t="str">
        <f t="shared" si="152"/>
        <v/>
      </c>
      <c r="AJ120" s="24" t="str">
        <f t="shared" si="153"/>
        <v/>
      </c>
      <c r="AK120" s="24" t="str">
        <f t="shared" si="154"/>
        <v/>
      </c>
      <c r="AL120" s="16">
        <f>INDEX(Offshore_wind_data!$W$7:$W$191,MATCH(A120,Offshore_wind_data!$A$7:$A$191,0))</f>
        <v>0</v>
      </c>
      <c r="AM120" s="148"/>
      <c r="AN120" s="12">
        <v>15.9</v>
      </c>
      <c r="AO120" s="12">
        <v>34</v>
      </c>
      <c r="AP120" s="34">
        <f>0.261*11.63</f>
        <v>3.0354300000000003</v>
      </c>
      <c r="AQ120" s="15">
        <f t="shared" si="155"/>
        <v>50</v>
      </c>
      <c r="AR120" s="12">
        <f t="shared" si="131"/>
        <v>1700</v>
      </c>
      <c r="AS120" s="16">
        <f t="shared" si="121"/>
        <v>-104.18146361989989</v>
      </c>
      <c r="AT120" s="12"/>
      <c r="AU120" s="24">
        <f t="shared" si="147"/>
        <v>2.5538791867938513</v>
      </c>
      <c r="AV120" s="16">
        <f t="shared" si="148"/>
        <v>2124.7996101686745</v>
      </c>
      <c r="AW120" s="149">
        <f>HV_DC_Grid!$E$3/(1-AX120)*AU120/100*1000</f>
        <v>2833.6572336466802</v>
      </c>
      <c r="AX120" s="31">
        <f>(1-(1-HV_DC_Grid!$E$25)^(B120*C120*HV_DC_Grid!$E$8/1000))+(1-(1-HV_DC_Grid!$E$26)^(B120*D120*HV_DC_Grid!$E$8/1000))+HV_DC_Grid!$E$35*HV_DC_Grid!$E$28</f>
        <v>9.8733905968146449E-2</v>
      </c>
      <c r="AY120" s="28">
        <f>B120*nl_e_demand/IF(hv_dc_flh="electricity FLH",$AV120,hv_dc_custom)*1000*hv_dc_capacity_multiplier*hv_dc_length_multiplier*1000*(C120*hv_dc_overhead_invest*(hv_dc_overhead_opex+M120+1/hv_dc_lifetime)+D120*hv_dc_sea_invest*(hv_dc_sea_opex+M120+1/hv_dc_lifetime))/1000000+HV_DC_Grid!$E$10*1000*hv_dc_station_invest*hv_dc_station_number*(hv_dc_station_opex+M120+1/hv_dc_lifetime)/1000000</f>
        <v>5801.8983353460171</v>
      </c>
      <c r="AZ120" s="24">
        <f>(AW120+AY120)/(HV_DC_Grid!$E$3*1000)*100</f>
        <v>8.6355555689926966</v>
      </c>
      <c r="BA120" s="28">
        <f>MIN(((Carriers!$F$26+Carriers!$F$27)*(alk_el_opex+wacc_nl+1/alk_el_lifetime)+IF(hv_dc_flh="electricity FLH",$AV120,hv_dc_custom)*AZ120/100)/(IF(hv_dc_flh="electricity FLH",$AV120,hv_dc_custom)/alk_el_e_demand)*1000,((Carriers!$H$26+Carriers!$H$27)*(pem_el_opex+wacc_nl+1/pem_el_lifetime)+IF(hv_dc_flh="electricity FLH",$AV120,hv_dc_custom)*AZ120/100)/(IF(hv_dc_flh="electricity FLH",$AV120,hv_dc_custom)/pem_el_e_demand)*1000)</f>
        <v>4760.1313056586914</v>
      </c>
      <c r="BB120" s="12"/>
      <c r="BC120" s="12"/>
      <c r="BD120" s="149">
        <f>MIN(((Carriers!$F$26+Carriers!$F$27)*(alk_el_opex+M120+1/alk_el_lifetime)+$AV120*$AU120/100)/($AV120/alk_el_e_demand)*1000,((Carriers!$H$26+Carriers!$H$27)*(pem_el_opex+M120+1/pem_el_lifetime)+$AV120*$AU120/100)/($AV120/pem_el_e_demand)*1000)</f>
        <v>3095.9475948595236</v>
      </c>
      <c r="BE120" s="28">
        <f>Storage!$AC$50</f>
        <v>8.1664117557772418</v>
      </c>
      <c r="BF120" s="28">
        <f>((Pipeline!$D$22*Pipeline!$D$24*B120*(pipeline_opex+M120+1/pipeline_lifetime))*(Pipeline!$D$39/Pipeline!$D$3)+(Pipeline!$D$57*(pipeline_comp_opex+M120+1/pipeline_comp_lifetime)+Pipeline!$D$47*1000*Pipeline!$D$45*$AU120/100/1000000))*(Pipeline!$D$75/Pipeline!$D$45)</f>
        <v>11424.650396827668</v>
      </c>
      <c r="BG120" s="28">
        <f>BD120+(BE120+BF120)/Storage!$AC$12*1000000</f>
        <v>3936.5958896083066</v>
      </c>
      <c r="BH120" s="28"/>
      <c r="BI120" s="28"/>
      <c r="BJ120" s="28">
        <f>IF($E120="","No Port",BK120*HV_DC_Grid!$E$3*$AU120/100*1000)</f>
        <v>50.396526856974305</v>
      </c>
      <c r="BK120" s="31">
        <f>IFERROR((1-(1-HV_DC_Grid!$E$25)^(K120*HV_DC_Grid!$E$8/1000))+HV_DC_Grid!$E$35*HV_DC_Grid!$E$28,"")</f>
        <v>1.9733324550971529E-2</v>
      </c>
      <c r="BL120" s="28">
        <f>IFERROR(K120*nl_e_demand/IF(hv_dc_flh="electricity FLH",$AV120,hv_dc_custom)*1000*hv_dc_capacity_multiplier*hv_dc_length_multiplier*1000*(hv_dc_overhead_invest*(hv_dc_overhead_opex+M120+1/hv_dc_lifetime))/1000000+HV_DC_Grid!$E$10*1000*hv_dc_station_invest*hv_dc_station_number*(hv_dc_station_opex+M120+1/hv_dc_lifetime)/1000000,"")</f>
        <v>768.05607615191298</v>
      </c>
      <c r="BM120" s="29">
        <f>IFERROR((BJ120+BL120)/(HV_DC_Grid!$E$3*1000)*100,"")</f>
        <v>0.81845260300888734</v>
      </c>
      <c r="BN120" s="28">
        <f>IFERROR(((Pipeline!$D$22*Pipeline!$D$24*K120*(pipeline_opex+M120+1/pipeline_lifetime))*(Pipeline!$D$39/Pipeline!$D$3)+(Pipeline!$D$57*(pipeline_comp_opex+M120+1/pipeline_comp_lifetime)+Pipeline!$D$47*1000*Pipeline!$D$45*S120/100/1000000))*(Pipeline!$D$75/Pipeline!$D$45),"")</f>
        <v>828.06785402483638</v>
      </c>
      <c r="BO120" s="28"/>
      <c r="BP120" s="150">
        <f t="shared" si="172"/>
        <v>124.29652405256631</v>
      </c>
      <c r="BQ120" s="34">
        <f t="shared" si="173"/>
        <v>37.29736987508516</v>
      </c>
      <c r="BR120" s="151">
        <f>(nh3_invest*(M120+1/nh3_lifetime)/nh3_prod+nh3_opex+nh3_e_demand*1000*$AU120/100+Carriers!$N$18/Carriers!$N$23*BD120+Carriers!$N$19/Carriers!$N$23*BQ120)*(BT120+nh3_st_ab_losses)/1000000</f>
        <v>55271.652661214946</v>
      </c>
      <c r="BS120" s="63">
        <f>nh3_st_nl_cost*nh3_st_nl_demand/1000000+(nh3_st_invest*(M120+1/nh3_st_lifetime+nh3_st_opex)/(Storage!$G$63/1000000)+nh3_st_e_demand*1000*$AU120/100)*(BT120+nh3_st_ab_losses)/1000000+Carriers!$N$18/Carriers!$N$23*((BT120+nh3_st_ab_losses)/365.25*short_st_duration_hrs/24)*(h2_short_st_invest*(1/gh2_short_st_lifetime+$M120+h2_short_st_opex)+h2_short_st_e_demand*1000*$AU120/100)/1000000+Carriers!$N$19/Carriers!$N$23*((BT120+nh3_st_ab_losses)/365.25*short_st_duration_hrs/24)*(n2_short_st_invest*(1/n2_short_st_lifetime+$M120+n2_short_st_opex)+n2_short_st_e_demand*1000*$AU120/100)/1000000</f>
        <v>3673.9104515607251</v>
      </c>
      <c r="BT120" s="63">
        <f>Storage!$G$57/((1-Shipping!$H$37)^(F120/24/Shipping!$H$44+0.5*Shipping!$H$59))</f>
        <v>78121563.685017049</v>
      </c>
      <c r="BU120" s="63">
        <f>IF($E120="","No Port",((F120/24/Shipping!$H$44+F120/24/Shipping!$H$50+Shipping!$H$59+Shipping!$H$64)*(Shipping!$H$22+wacc_nl*Shipping!$H$19/365.25*1000000+Shipping!$H$35)+(F120/24/Shipping!$H$44*Shipping!$H$45+Shipping!$H$64*Shipping!$H$65)*IF(bunker_choice="HFO",H120,IF(bunker_choice="hydrogen",BD120*hfo_e_density_lhv/h2_e_density_lhv,(BR120+BS120)*1000000/BT120*hfo_e_density_lhv/nh3_e_density_lhv))+(F120/24/Shipping!$H$50*Shipping!$H$51+Shipping!$H$59*Shipping!$H$60)*IF(bunker_choice="HFO",bunker_price_ROT,IF(bunker_choice="hydrogen",BD120*hfo_e_density_lhv/h2_e_density_lhv,(BR120+BS120)*1000000/BT120*hfo_e_density_lhv/nh3_e_density_lhv))+Shipping!$H$73+IF(G120="Panama",Shipping!$H$55,0)+IF(G120="Suez",Shipping!$H$56,0))/Shipping!$H$31*BT120/1000000+IF(inland_transport_to_port="hv dc grid",$BM120/100*1000*BW120,IF(inland_transport_to_port="pipeline",$BN120,0)))</f>
        <v>2781.56713232125</v>
      </c>
      <c r="BV120" s="63">
        <f t="shared" si="174"/>
        <v>61727.130245096923</v>
      </c>
      <c r="BW120" s="33">
        <f>((Carriers!$N$18/Carriers!$N$23*alk_el_e_demand)+(Carriers!$N$19/Carriers!$N$23*n2_e_demand)+nh3_e_demand)*(BT120+nh3_st_ab_losses)/1000000+nh3_st_e_demand*BT120/1000000</f>
        <v>771.4774568289514</v>
      </c>
      <c r="BX120" s="33">
        <f t="shared" si="156"/>
        <v>0.76626754477640768</v>
      </c>
      <c r="BY120" s="63">
        <f>IFERROR(BV120*1000000/Storage!$G$12,"")</f>
        <v>806.22703009753138</v>
      </c>
      <c r="BZ120" s="63">
        <f>H2_retrieval!$F$25*h2_demand_kt/1000</f>
        <v>80</v>
      </c>
      <c r="CA120" s="63">
        <f>IFERROR(BY120*(1+H2_retrieval!$F$34)/Carrier_properties!$E$7+H2_retrieval!$F$38,"")</f>
        <v>4947.9855564890977</v>
      </c>
      <c r="CB120" s="149">
        <f>(FA_invest*(M120+1/FA_lifetime)/FA_prod+FA_opex+FA_e_demand*1000*$AU120/100+Carriers!$P$18/Carriers!$P$23*BD120+Carriers!$P$20/Carriers!$P$23*co2_liq_cost)*(CF120+FA_st_ab_losses)/1000000</f>
        <v>109978.79908741602</v>
      </c>
      <c r="CC120" s="86">
        <f>(FA_invest*(M120+1/FA_lifetime)/FA_prod+FA_opex+FA_e_demand*1000*$AU120/100+Carriers!$P$18/Carriers!$P$23*BD120+Carriers!$P$20/Carriers!$P$23*BP120)*(CF120+FA_st_ab_losses)/1000000</f>
        <v>140138.50092811795</v>
      </c>
      <c r="CD120" s="63">
        <f>FA_st_nl_cost*FA_st_nl_demand/1000000+(FA_st_invest*(M120+1/FA_st_lifetime+FA_st_opex)/(Storage!$I$63/1000000)+FA_st_e_demand*1000*$AU120/100)*(CF120+FA_st_ab_losses)/1000000+co2_st_nl_cost*Storage!$I$12*co2_density/FA_density/1000000+(co2_st_opex_lev+co2_st_invest_lev+co2_st_e_demand*1000*$AU120/100)*Storage!$I$12/1000000+co2_st_invest_lev*Storage!$I$12*co2_st_lifetime*M120/1000000+Carriers!$P$18/Carriers!$P$23*((CF120+FA_st_ab_losses)/365.25*short_st_duration_hrs/24)*(h2_short_st_invest*(1/gh2_short_st_lifetime+$M120+h2_short_st_opex)+h2_short_st_e_demand*1000*$AU120/100)/1000000+Carriers!$P$20/Carriers!$P$23*((CF120+FA_st_ab_losses)/365.25*short_st_duration_hrs/24)*(co2_short_st_invest*(1/co2_short_st_lifetime+$M120+co2_short_st_opex)+co2_short_st_e_demand*1000*$AU120/100)/1000000</f>
        <v>12463.935525684896</v>
      </c>
      <c r="CE120" s="63">
        <f>FA_st_nl_cost*FA_st_nl_demand/1000000+(FA_st_invest*(M120+1/FA_st_lifetime+FA_st_opex)/(Storage!$I$63/1000000)+FA_st_e_demand*1000*$AU120/100)*(CF120+FA_st_ab_losses)/1000000+Carriers!$P$18/Carriers!$P$23*((CF120+FA_st_ab_losses)/365.25*short_st_duration_hrs/24)*(h2_short_st_invest*(1/gh2_short_st_lifetime+$M120+h2_short_st_opex)+h2_short_st_e_demand*1000*$AU120/100)/1000000+Carriers!$P$20/Carriers!$P$23*((CF120+FA_st_ab_losses)/365.25*short_st_duration_hrs/24)*(co2_short_st_invest*(1/co2_short_st_lifetime+$M120+co2_short_st_opex)+co2_short_st_e_demand*1000*$AU120/100)/1000000</f>
        <v>5490.1619027037204</v>
      </c>
      <c r="CF120" s="63">
        <f>Storage!$I$57/((1-Shipping!$J$37)^($F120/24/Shipping!$J$44+0.5*Shipping!$J$59))</f>
        <v>310425396.82539684</v>
      </c>
      <c r="CG120" s="28">
        <f>IF($E120="","No Port",((F120/24/Shipping!$J$44+F120/24/Shipping!$J$50+Shipping!$J$59+Shipping!$J$64)*(Shipping!$J$22+wacc_nl*Shipping!$J$19/365.25*1000000+Shipping!$J$35)+(F120/24/Shipping!$J$44*Shipping!$J$45+Shipping!$J$64*Shipping!$J$65)*IF(bunker_choice="HFO",$H120,IF(bunker_choice="hydrogen",$BD120*hfo_e_density_lhv/h2_e_density_lhv,(CB120+CD120)*1000000/CF120*hfo_e_density_lhv/FA_e_density_lhv))+(F120/24/Shipping!$J$50*Shipping!$J$51+Shipping!$J$59*Shipping!$J$60)*IF(bunker_choice="HFO",bunker_price_ROT,IF(bunker_choice="hydrogen",$BD120*hfo_e_density_lhv/h2_e_density_lhv,(CB120+CD120)*1000000/CF120*hfo_e_density_lhv/FA_e_density_lhv))+Shipping!$J$73+IF(G120="Panama",Shipping!$J$55,0)+IF(G120="Suez",Shipping!$J$56,0))/Shipping!$J$31*CF120/1000000+IF(inland_transport_to_port="hv dc grid",$BM120/100*1000*CI120,IF(inland_transport_to_port="pipeline",$BN120,0)))</f>
        <v>9386.8443253326441</v>
      </c>
      <c r="CH120" s="28">
        <f t="shared" si="132"/>
        <v>155015.50715615432</v>
      </c>
      <c r="CI120" s="29">
        <f>((Carriers!$P$18/Carriers!$P$23*alk_el_e_demand)+FA_e_demand)*(CF120+FA_st_ab_losses)/1000000+FA_st_e_demand*CF120/1000000</f>
        <v>1897.8881241622576</v>
      </c>
      <c r="CJ120" s="29">
        <f t="shared" si="157"/>
        <v>0.46563809523809524</v>
      </c>
      <c r="CK120" s="28">
        <f>IFERROR(CH120*1000000/Storage!$I$12,"")</f>
        <v>499.36477086423764</v>
      </c>
      <c r="CL120" s="28">
        <f>IF($E120="","No Port",((F120/24/Shipping!$J$44+F120/24/Shipping!$J$50+Shipping!$J$59+Shipping!$J$64)*Carriers!$P$39*wacc_nl))</f>
        <v>151.76276559721441</v>
      </c>
      <c r="CM120" s="29">
        <f>H2_retrieval!$H$25*h2_demand_kt/1000+(co2_liq_e_demand+co2_st_e_demand*2)*Storage!$I$12*co2_density/FA_density/1000000</f>
        <v>94.204253879484654</v>
      </c>
      <c r="CN120" s="28">
        <f>IFERROR((((CB120+CD120+CG120)*(1+H2_retrieval!$H$34)+CL120)*1000000/H2_retrieval!$H$8)+h2_regen_fa,"")</f>
        <v>9794.1977871809813</v>
      </c>
      <c r="CO120" s="149">
        <f>(meoh_invest*(M120+1/meoh_lifetime)/meoh_prod+meoh_opex+meoh_e_demand*1000*$AU120/100+Carriers!$R$18/Carriers!$R$23*BD120+Carriers!$R$20/Carriers!$R$23*co2_liq_cost)*(CS120+meoh_st_ab_losses)/1000000</f>
        <v>67723.572377703502</v>
      </c>
      <c r="CP120" s="86">
        <f>(meoh_invest*(M120+1/meoh_lifetime)/meoh_prod+meoh_opex+meoh_e_demand*1000*$AU120/100+Carriers!$R$18/Carriers!$R$23*BD120+Carriers!$R$20/Carriers!$R$23*BP120)*(CS120+meoh_st_ab_losses)/1000000</f>
        <v>85428.24844357754</v>
      </c>
      <c r="CQ120" s="63">
        <f>meoh_st_nl_cost*meoh_st_nl_demand/1000000+(meoh_st_invest*(M120+1/meoh_st_lifetime+meoh_st_opex)/(Storage!$K$63/1000000)+meoh_st_e_demand*1000*$AU120/100)*(CS120+meoh_st_ab_losses)/1000000+co2_st_nl_cost*Storage!$K$12*co2_density/meoh_density/1000000+(co2_st_opex_lev+co2_st_invest_lev+co2_st_e_demand*1000*IFERROR(MIN(S120,AA120,AI120),S120)/100)*Storage!$K$12/1000000+co2_st_invest_lev*Storage!$K$12*co2_st_lifetime*M120/1000000+Carriers!$R$18/Carriers!$R$23*((CS120+meoh_st_ab_losses)/365.25*short_st_duration_hrs/24)*(h2_short_st_invest*(1/gh2_short_st_lifetime+$M120+h2_short_st_opex)+h2_short_st_e_demand*1000*$AU120/100)/1000000+Carriers!$R$20/Carriers!$R$23*((CF120+meoh_st_ab_losses)/365.25*short_st_duration_hrs/24)*(co2_short_st_invest*(1/co2_short_st_lifetime+$M120+co2_short_st_opex)+co2_short_st_e_demand*1000*$AU120/100)/1000000</f>
        <v>5215.1202373197957</v>
      </c>
      <c r="CR120" s="63">
        <f>meoh_st_nl_cost*meoh_st_nl_demand/1000000+(meoh_st_invest*(M120+1/meoh_st_lifetime+meoh_st_opex)/(Storage!$K$63/1000000)+meoh_st_e_demand*1000*$AU120/100)*(CS120+meoh_st_ab_losses)/1000000+Carriers!$R$18/Carriers!$R$23*((CS120+meoh_st_ab_losses)/365.25*short_st_duration_hrs/24)*(h2_short_st_invest*(1/gh2_short_st_lifetime+$M120+h2_short_st_opex)+h2_short_st_e_demand*1000*$AU120/100)/1000000+Carriers!$R$20/Carriers!$R$23*((CF120+meoh_st_ab_losses)/365.25*short_st_duration_hrs/24)*(co2_short_st_invest*(1/co2_short_st_lifetime+$M120+co2_short_st_opex)+co2_short_st_e_demand*1000*$AU120/100)/1000000</f>
        <v>2188.881006317295</v>
      </c>
      <c r="CS120" s="63">
        <f>Storage!$K$57/((1-Shipping!$L$37)^($F120/24/Shipping!$L$44+0.5*Shipping!$L$59))</f>
        <v>108044444.44444443</v>
      </c>
      <c r="CT120" s="28">
        <f>IF($E120="","No Port",IF(AND(ship_choice="VLCC",G120="Panama"),"Ship cannot pass through Panama",IF(ship_choice="VLCC",((F120/24/Shipping!$AD$44+F120/24/Shipping!$AD$50+Shipping!$AD$59+Shipping!$AD$64)*(Shipping!$AD$22+wacc_nl*Shipping!$AD$19/365.25*1000000+Shipping!$AD$35)+(F120/24/Shipping!$AD$44*Shipping!$AD$45+Shipping!$AD$64*Shipping!$AD$65)*IF(bunker_choice="HFO",$H120,IF(bunker_choice="hydrogen",$BD120*hfo_e_density_lhv/h2_e_density_lhv,(CO120+CQ120)*1000000/CS120*hfo_e_density_lhv/meoh_e_density_lhv))+(F120/24/Shipping!$AD$50*Shipping!$AD$51+Shipping!$AD$59*Shipping!$AD$60)*IF(bunker_choice="HFO",bunker_price_ROT,IF(bunker_choice="hydrogen",$BD120*hfo_e_density_lhv/h2_e_density_lhv,(CO120+CQ120)*1000000/CS120*hfo_e_density_lhv/meoh_e_density_lhv))+Shipping!$AD$73+IF(G120="Panama",Shipping!$AD$55,0)+IF(G120="Suez",Shipping!$AD$56,0))/Shipping!$AD$31*CS120/1000000+IF(inland_transport_to_port="hv dc grid",$BM120/100*1000*CV120,IF(inland_transport_to_port="pipeline",$BN120,0)),((F120/24/Shipping!$L$44+F120/24/Shipping!$L$50+Shipping!$L$59+Shipping!$L$64)*(Shipping!$L$22+wacc_nl*Shipping!$L$19/365.25*1000000+Shipping!$L$35)+(F120/24/Shipping!$L$44*Shipping!$L$45+Shipping!$L$64*Shipping!$L$65)*IF(bunker_choice="HFO",$H120,IF(bunker_choice="hydrogen",$BD120*hfo_e_density_lhv/h2_e_density_lhv,(CO120+CQ120)*1000000/CS120*hfo_e_density_lhv/meoh_e_density_lhv))+(F120/24/Shipping!$L$50*Shipping!$L$51+Shipping!$L$59*Shipping!$L$60)*IF(bunker_choice="HFO",bunker_price_ROT,IF(bunker_choice="hydrogen",$BD120*hfo_e_density_lhv/h2_e_density_lhv,(CO120+CQ120)*1000000/CS120*hfo_e_density_lhv/meoh_e_density_lhv))+Shipping!$L$73+IF(G120="Panama",Shipping!$L$55,0)+IF(G120="Suez",Shipping!$L$56,0))/Shipping!$L$31*CS120/1000000+IF(inland_transport_to_port="hv dc grid",$BM120/100*1000*CV120,IF(inland_transport_to_port="pipeline",$BN120,0)))))</f>
        <v>3630.3852209098459</v>
      </c>
      <c r="CU120" s="28">
        <f t="shared" si="133"/>
        <v>91247.514670804681</v>
      </c>
      <c r="CV120" s="29">
        <f>((Carriers!$R$18/Carriers!$R$23*alk_el_e_demand)+meoh_e_demand)*(CS120+meoh_st_ab_losses)/1000000+meoh_st_e_demand*CS120/1000000</f>
        <v>1119.9789871111109</v>
      </c>
      <c r="CW120" s="29">
        <f t="shared" si="158"/>
        <v>0.16206666666666666</v>
      </c>
      <c r="CX120" s="28">
        <f>IFERROR(CU120*1000000/Storage!$K$12,"")</f>
        <v>844.53684907161892</v>
      </c>
      <c r="CY120" s="28">
        <f>IF($E120="","No Port",((F120/24/Shipping!$L$44+F120/24/Shipping!$L$50+Shipping!$L$59+Shipping!$L$64)*Carriers!$R$39*wacc_nl))</f>
        <v>54.105715497900007</v>
      </c>
      <c r="CZ120" s="29">
        <f>H2_retrieval!$J$25*h2_demand_kt/1000+(co2_liq_e_demand+co2_st_e_demand*2)*Storage!$K$12*co2_density/meoh_density/1000000</f>
        <v>251.05079059698966</v>
      </c>
      <c r="DA120" s="28">
        <f>IFERROR((((CO120+CQ120+CT120)*(1+H2_retrieval!$J$34)+CY120)*1000000/H2_retrieval!$J$8)+h2_regen_meoh,"")</f>
        <v>6804.1861572719272</v>
      </c>
      <c r="DB120" s="149">
        <f>(DBT_invest*(M120+1/DBT_lifetime)/DBT_prod+DBT_opex+DBT_e_demand*1000*$AU120/100+Carriers!$T$18/Carriers!$T$23*BD120)*(DD120+DBT_st_ab_losses)/1000000</f>
        <v>45609.569087918768</v>
      </c>
      <c r="DC120" s="28">
        <f>2*(DBT_st_nl_cost*DBT_st_nl_demand/1000000+(DBT_st_invest*(M120+1/DBT_st_lifetime+DBT_st_opex)/(Storage!$M$63/1000000)+DBT_st_e_demand*1000*$AU120/100)*(DD120+DBT_st_ab_losses)/1000000)+Carriers!$T$18/Carriers!$T$23*((DD120+DBT_st_ab_losses)/365.25*short_st_duration_hrs/24)*(h2_short_st_invest*(1/gh2_short_st_lifetime+$M120+h2_short_st_opex)+h2_short_st_e_demand*1000*$AU120/100)/1000000</f>
        <v>4460.9765097060181</v>
      </c>
      <c r="DD120" s="63">
        <f>Storage!$M$57/((1-Shipping!$N$37)^($F120/24/Shipping!$N$44+0.5*Shipping!$N$59))</f>
        <v>219354838.70967743</v>
      </c>
      <c r="DE120" s="28">
        <f>IF($E120="","No Port",IF(AND(ship_choice="VLCC",G120="Panama"),"Ship cannot pass through Panama",IF(ship_choice="VLCC",((F120/24/Shipping!$AD$44+F120/24/Shipping!$AD$50+Shipping!$AD$59+Shipping!$AD$64)*(Shipping!$AD$22+wacc_nl*Shipping!$AD$19/365.25*1000000+Shipping!$AD$35)+(F120/24/Shipping!$AD$44*Shipping!$AD$45+Shipping!$AD$64*Shipping!$AD$65)*IF(bunker_choice="HFO",$H120,IF(bunker_choice="hydrogen",$BD120*hfo_e_density_lhv/h2_e_density_lhv,(DB120+DC120)*1000000/DD120*hfo_e_density_lhv/DBT_e_density_lhv))+(F120/24/Shipping!$AD$50*Shipping!$AD$51+Shipping!$AD$59*Shipping!$AD$60)*IF(bunker_choice="HFO",bunker_price_ROT,IF(bunker_choice="hydrogen",$BD120*hfo_e_density_lhv/h2_e_density_lhv,(DB120+DC120)*1000000/DD120*hfo_e_density_lhv/DBT_e_density_lhv))+Shipping!$AD$73+IF(G120="Panama",Shipping!$AD$55,0)+IF(G120="Suez",Shipping!$AD$56,0))/Shipping!$AD$31*DD120/1000000+IF(inland_transport_to_port="hv dc grid",$BM120/100*1000*DG120,IF(inland_transport_to_port="pipeline",$BN120,0)),((F120/24/Shipping!$N$44+F120/24/Shipping!$N$50+Shipping!$N$59+Shipping!$N$64)*(Shipping!$N$22+wacc_nl*Shipping!$N$19/365.25*1000000+Shipping!$N$35)+(F120/24/Shipping!$N$44*Shipping!$N$45+Shipping!$N$64*Shipping!$N$65)*IF(bunker_choice="HFO",$H120,IF(bunker_choice="hydrogen",$BD120*hfo_e_density_lhv/h2_e_density_lhv,(DB120+DC120)*1000000/DD120*hfo_e_density_lhv/DBT_e_density_lhv))+(F120/24/Shipping!$N$50*Shipping!$N$51+Shipping!$N$59*Shipping!$N$60)*IF(bunker_choice="HFO",bunker_price_ROT,IF(bunker_choice="hydrogen",$BD120*hfo_e_density_lhv/h2_e_density_lhv,(DB120+DC120)*1000000/DD120*hfo_e_density_lhv/DBT_e_density_lhv))+Shipping!$N$73+IF(G120="Panama",Shipping!$N$55,0)+IF(G120="Suez",Shipping!$N$56,0))/Shipping!$N$31*Shipping!$N$86/1000000+IF(inland_transport_to_port="hv dc grid",$BM120/100*1000*DG120,IF(inland_transport_to_port="pipeline",$BN120,0)))))</f>
        <v>6098.0154069515038</v>
      </c>
      <c r="DF120" s="28">
        <f t="shared" si="159"/>
        <v>56168.561004576288</v>
      </c>
      <c r="DG120" s="29">
        <f>((Carriers!$T$18/Carriers!$T$23*alk_el_e_demand)+DBT_e_demand)*(DD120+DBT_st_ab_losses)/1000000+DBT_st_e_demand*DD120/1000000</f>
        <v>703.88335483870969</v>
      </c>
      <c r="DH120" s="29">
        <f t="shared" si="160"/>
        <v>0.21935483870967742</v>
      </c>
      <c r="DI120" s="28">
        <f>IFERROR(DF120*1000000/Storage!$M$12,"")</f>
        <v>256.06255752086247</v>
      </c>
      <c r="DJ120" s="28">
        <f>IF($E120="","No Port",((F120/24/Shipping!$N$44+F120/24/Shipping!$N$50+Shipping!$N$59+Shipping!$N$64)*Carriers!$T$39*wacc_nl))</f>
        <v>3940.6970305756172</v>
      </c>
      <c r="DK120" s="100">
        <f>H2_retrieval!$L$25*h2_demand_kt/1000+(co2_liq_e_demand+co2_st_e_demand*2)*Storage!$M$12*co2_density/DBT_density/1000000</f>
        <v>206.61934861671787</v>
      </c>
      <c r="DL120" s="28">
        <f>IFERROR(((DF120*(1+H2_retrieval!$L$34)+DJ120)*1000000/H2_retrieval!$L$8)+h2_regen_lohc,"")</f>
        <v>4890.4481655764357</v>
      </c>
      <c r="DM120" s="149">
        <f t="shared" si="175"/>
        <v>52224.831832220312</v>
      </c>
      <c r="DN120" s="16">
        <f>2*(nabh4_st_nl_cost*nabh4_st_nl_demand/1000000+(nabh4_st_invest*(M120+1/nabh4_st_lifetime+nabh4_st_opex)/(Storage!$O$63/1000000)+nabh4_st_e_demand*1000*$AU120/100)*(DO120+nabh4_st_ab_losses)/1000000)+(h2_demand_kt*1000/365.25*short_st_duration_hrs/24)*(h2_short_st_invest*(1/gh2_short_st_lifetime+$M120+h2_short_st_opex)+h2_short_st_e_demand*1000*$AU120/100)/1000000</f>
        <v>1497.8549927793269</v>
      </c>
      <c r="DO120" s="63">
        <f>Storage!$O$57/((1-Shipping!$P$37)^($F120/24/Shipping!$P$44+0.5*Shipping!$P$59))</f>
        <v>63920000</v>
      </c>
      <c r="DP120" s="16">
        <f>IF($E120="","No Port",((F120/24/Shipping!$P$44+F120/24/Shipping!$P$50+Shipping!$P$59+Shipping!$P$64)*(Shipping!$P$22+wacc_nl*Shipping!$P$19/365.25*1000000+Shipping!$P$35)+(F120/24/Shipping!$P$44*Shipping!$P$45+Shipping!$P$64*Shipping!$P$65)*IF(bunker_choice="HFO",$H120,IF(bunker_choice="hydrogen",$BD120*hfo_e_density_lhv/h2_e_density_lhv,(DM120+DN120)*1000000/DO120*hfo_e_density_lhv/nabh4_e_density_lhv))+(F120/24/Shipping!$P$50*Shipping!$P$51+Shipping!$P$59*Shipping!$P$60)*IF(bunker_choice="HFO",bunker_price_ROT,IF(bunker_choice="hydrogen",$BD120*hfo_e_density_lhv/h2_e_density_lhv,(DM120+DN120)*1000000/DO120*hfo_e_density_lhv/nabh4_e_density_lhv))+Shipping!$P$73+IF(G120="Panama",Shipping!$P$55,0)+IF(G120="Suez",Shipping!$P$56,0))/Shipping!$P$31*(DO120+nabh4_st_ab_losses)/1000000+IF(inland_transport_to_port="hv dc grid",$BM120/100*1000*DR120,IF(inland_transport_to_port="pipeline",$BN120,0)))</f>
        <v>2181.5169903643614</v>
      </c>
      <c r="DQ120" s="28">
        <f t="shared" si="146"/>
        <v>55904.203815364002</v>
      </c>
      <c r="DR120" s="29">
        <f>((Carriers!$V$18/Carriers!$V$23*alk_el_e_demand)+nabh4_e_demand)*(DO120+nabh4_st_ab_losses)/1000000+nabh4_st_e_demand*DO120/1000000</f>
        <v>980.02139682539689</v>
      </c>
      <c r="DS120" s="28">
        <f t="shared" si="161"/>
        <v>3.1960000000000002</v>
      </c>
      <c r="DT120" s="28">
        <f>IFERROR(DQ120*1000000/Storage!$O$12,"")</f>
        <v>874.59643015275356</v>
      </c>
      <c r="DU120" s="28">
        <f>IF($E120="","No Port",((F120/24/Shipping!$P$44+F120/24/Shipping!$P$50+Shipping!$P$59+Shipping!$P$64)*Carriers!$V$39*wacc_nl))</f>
        <v>375.18275842383622</v>
      </c>
      <c r="DV120" s="100">
        <f>H2_retrieval!$N$25*h2_demand_kt/1000+(co2_liq_e_demand+co2_st_e_demand*2)*Storage!$O$12*co2_density/nabh4_density/1000000</f>
        <v>18.783638728971958</v>
      </c>
      <c r="DW120" s="28">
        <f>IFERROR(((DQ120*(1+H2_retrieval!$N$34)+DU120)*1000000/H2_retrieval!$N$8)+h2_regen_nabh4,"")</f>
        <v>4227.2764641341037</v>
      </c>
      <c r="DX120" s="149">
        <f>(Dme_invest*(M120+1/Dme_lifetime)/Dme_prod+Dme_opex+Dme_e_demand*1000*$AU120/100+Carriers!$X$21/Carriers!$X$23*(CO120*1000000/CS120))*(EB120+Dme_st_ab_losses)/1000000</f>
        <v>95247.709370705197</v>
      </c>
      <c r="DY120" s="86">
        <f>(Dme_invest*(M120+1/Dme_lifetime)/Dme_prod+Dme_opex+Dme_e_demand*1000*$AU120/100+Carriers!$X$21/Carriers!$X$23*(CP120*1000000/CS120))*(EB120+Dme_st_ab_losses)/1000000</f>
        <v>119267.0062327358</v>
      </c>
      <c r="DZ120" s="63">
        <f>Dme_st_nl_cost*Dme_st_nl_demand/1000000+(Dme_st_invest*(M120+1/Dme_st_lifetime+Dme_st_opex)/(Storage!$Q$63/1000000)+Dme_st_e_demand*1000*$AU120/100)*(EB120+Dme_st_ab_losses)/1000000+co2_st_nl_cost*Storage!$Q$12*co2_density/Dme_density/1000000+(co2_st_opex_lev+co2_st_invest_lev+co2_st_e_demand*1000*$AU120/100)*Storage!$Q$12/1000000+co2_st_invest_lev*Storage!$Q$12*co2_st_lifetime*M120/1000000+(h2_demand_kt*1000/365.25*short_st_duration_hrs/24)*(h2_short_st_invest*(1/gh2_short_st_lifetime+$M120+h2_short_st_opex)+h2_short_st_e_demand*1000*$AU120/100)/1000000</f>
        <v>6276.2525798303623</v>
      </c>
      <c r="EA120" s="63">
        <f>Dme_st_nl_cost*Dme_st_nl_demand/1000000+(Dme_st_invest*(M120+1/Dme_st_lifetime+Dme_st_opex)/(Storage!$Q$63/1000000)+Dme_st_e_demand*1000*$AU120/100)*(EB120+Dme_st_ab_losses)/1000000+(h2_demand_kt*1000/365.25*short_st_duration_hrs/24)*(h2_short_st_invest*(1/gh2_short_st_lifetime+$M120+h2_short_st_opex)+h2_short_st_e_demand*1000*$AU120/100)/1000000</f>
        <v>3249.0799878121343</v>
      </c>
      <c r="EB120" s="63">
        <f>Storage!$Q$57/((1-Shipping!$R$37)^($F120/24/Shipping!$R$44+0.5*Shipping!$R$59))</f>
        <v>103547089.94708996</v>
      </c>
      <c r="EC120" s="153">
        <f>IF($E120="","No Port",IF(AND(ship_choice="VLCC",G120="Panama"),"Ship cannot pass through Panama",IF(ship_choice="VLCC",((F120/24/Shipping!$AD$44+F120/24/Shipping!$AD$50+Shipping!$AD$59+Shipping!$AD$64)*(Shipping!$AD$22+wacc_nl*Shipping!$AD$19/365.25*1000000+Shipping!$AD$35)+(F120/24/Shipping!$AD$44*Shipping!$AD$45+Shipping!$AD$64*Shipping!$AD$65)*IF(bunker_choice="HFO",$H120,IF(bunker_choice="hydrogen",$BD120*hfo_e_density_lhv/h2_e_density_lhv,(DX120+DZ120)*1000000/EB120*hfo_e_density_lhv/Dme_e_density_lhv))+(F120/24/Shipping!$AD$50*Shipping!$AD$51+Shipping!$AD$59*Shipping!$AD$60)*IF(bunker_choice="HFO",bunker_price_ROT,IF(bunker_choice="hydrogen",$BD120*hfo_e_density_lhv/h2_e_density_lhv,(DX120+DZ120)*1000000/EB120*hfo_e_density_lhv/Dme_e_density_lhv))+Shipping!$AD$73+IF(G120="Panama",Shipping!$AD$55,0)+IF(G120="Suez",Shipping!$AD$56,0))/Shipping!$AD$31*(EB120+Dme_st_ab_losses)/1000000+IF(inland_transport_to_port="hv dc grid",$BM120/100*1000*EE120,IF(inland_transport_to_port="pipeline",$BN120,0)),((F120/24/Shipping!$R$44+F120/24/Shipping!$R$50+Shipping!$R$59+Shipping!$R$64)*(Shipping!$R$22+wacc_nl*Shipping!$R$19/365.25*1000000+Shipping!$R$35)+(F120/24/Shipping!$R$44*Shipping!$R$45+Shipping!$R$64*Shipping!$R$65)*IF(bunker_choice="HFO",$H120,IF(bunker_choice="hydrogen",$BD120*hfo_e_density_lhv/h2_e_density_lhv,(DX120+DZ120)*1000000/EB120*hfo_e_density_lhv/Dme_e_density_lhv))+(F120/24/Shipping!$R$50*Shipping!$R$51+Shipping!$R$59*Shipping!$R$60)*IF(bunker_choice="HFO",bunker_price_ROT,IF(bunker_choice="hydrogen",$BD120*hfo_e_density_lhv/h2_e_density_lhv,(DX120+DZ120)*1000000/EB120*hfo_e_density_lhv/Dme_e_density_lhv))+Shipping!$R$73+IF(G120="Panama",Shipping!$R$55,0)+IF(G120="Suez",Shipping!$R$56,0))/Shipping!$R$31*(EB120+Dme_st_ab_losses)/1000000+IF(inland_transport_to_port="hv dc grid",$BM120/100*1000*EE120,IF(inland_transport_to_port="pipeline",$BN120,0)))))</f>
        <v>3662.4828273224689</v>
      </c>
      <c r="ED120" s="28">
        <f t="shared" si="134"/>
        <v>126178.56904787041</v>
      </c>
      <c r="EE120" s="29">
        <f>(Dme_e_demand)*(EB120+Dme_st_ab_losses)/1000000+Dme_st_e_demand*DZ120/1000000+$CV120*(Carriers!$X$21/Carriers!$X$23*EB120)/$CS120</f>
        <v>1550.2168229295817</v>
      </c>
      <c r="EF120" s="29">
        <f t="shared" si="162"/>
        <v>1.0354708994708997</v>
      </c>
      <c r="EG120" s="28">
        <f>IFERROR(ED120*1000000/Storage!$Q$12,"")</f>
        <v>1218.5621934169717</v>
      </c>
      <c r="EH120" s="28">
        <f>IF($E120="","No Port",((F120/24/Shipping!$R$44+F120/24/Shipping!$R$50+Shipping!$R$59+Shipping!$R$64)*Carriers!$X$39*wacc_nl))</f>
        <v>55.534664519948272</v>
      </c>
      <c r="EI120" s="100">
        <f>H2_retrieval!$P$25*h2_demand_kt/1000+(co2_liq_e_demand+co2_st_e_demand*2)*Storage!$Q$12*co2_density/Dme_density/1000000</f>
        <v>252.45335899349112</v>
      </c>
      <c r="EJ120" s="28">
        <f>IFERROR((((DX120+DZ120+EC120)*(1+H2_retrieval!$P$34)+EH120)*1000000/H2_retrieval!$P$8)+h2_regen_dme,"")</f>
        <v>8908.5093845474366</v>
      </c>
      <c r="EK120" s="149">
        <f>(ome_invest*(M120+1/ome_lifetime)/ome_prod+ome_opex+ome_e_demand*1000*$AU120/100+Carriers!$Z$21/Carriers!$Z$23*(CO120*1000000/CS120))*(EO120+ome_st_ab_losses)/1000000</f>
        <v>207145.84111731141</v>
      </c>
      <c r="EL120" s="86">
        <f>(ome_invest*(M120+1/ome_lifetime)/ome_prod+ome_opex+ome_e_demand*1000*$AU120/100+Carriers!$Z$21/Carriers!$Z$23*(CP120*1000000/CS120))*(EO120+ome_st_ab_losses)/1000000</f>
        <v>257567.02089990024</v>
      </c>
      <c r="EM120" s="63">
        <f>ome_st_nl_cost*ome_st_nl_demand/1000000+(ome_st_invest*(M120+1/ome_st_lifetime+ome_st_opex)/(Storage!$S$63/1000000)+ome_st_e_demand*1000*$AU120/100)*(EO120+ome_st_ab_losses)/1000000+co2_st_nl_cost*Storage!$S$12*co2_density/ome_density/1000000+(co2_st_opex_lev+co2_st_invest_lev+co2_st_e_demand*1000*$AU120/100)*Storage!$S$12/1000000+co2_st_invest_lev*Storage!$S$12*co2_st_lifetime*M120/1000000+(h2_demand_kt*1000/365.25*short_st_duration_hrs/24)*(h2_short_st_invest*(1/gh2_short_st_lifetime+$M120+h2_short_st_opex)+h2_short_st_e_demand*1000*$AU120/100)/1000000</f>
        <v>5374.5805898469935</v>
      </c>
      <c r="EN120" s="63">
        <f>ome_st_nl_cost*ome_st_nl_demand/1000000+(ome_st_invest*(M120+1/ome_st_lifetime+ome_st_opex)/(Storage!$S$63/1000000)+ome_st_e_demand*1000*$AU120/100)*(EO120+ome_st_ab_losses)/1000000+(h2_demand_kt*1000/365.25*short_st_duration_hrs/24)*(h2_short_st_invest*(1/gh2_short_st_lifetime+$M120+h2_short_st_opex)+h2_short_st_e_demand*1000*$AU120/100)/1000000</f>
        <v>1963.2413129994584</v>
      </c>
      <c r="EO120" s="63">
        <f>Storage!$S$57/((1-Shipping!$T$37)^($F120/24/Shipping!$T$44+0.5*Shipping!$T$59))</f>
        <v>128282539.68253967</v>
      </c>
      <c r="EP120" s="28">
        <f>IF($E120="","No Port",IF(AND(ship_choice="VLCC",G120="Panama"),"Ship cannot pass through Panama",IF(ship_choice="VLCC",((F120/24/Shipping!$AD$44+F120/24/Shipping!$AD$50+Shipping!$AD$59+Shipping!$AD$64)*(Shipping!$AD$22+wacc_nl*Shipping!$AD$19/365.25*1000000+Shipping!$AD$35)+(F120/24/Shipping!$AD$44*Shipping!$AD$45+Shipping!$AD$64*Shipping!$AD$65)*IF(bunker_choice="HFO",$H120,IF(bunker_choice="hydrogen",$BD120*hfo_e_density_lhv/h2_e_density_lhv,(EK120+EM120)*1000000/EO120*hfo_e_density_lhv/Dme_e_density_lhv))+(F120/24/Shipping!$AD$50*Shipping!$AD$51+Shipping!$AD$59*Shipping!$AD$60)*IF(bunker_choice="HFO",bunker_price_ROT,IF(bunker_choice="hydrogen",$BD120*hfo_e_density_lhv/h2_e_density_lhv,(EK120+EM120)*1000000/EO120*hfo_e_density_lhv/ome_e_density_lhv))+Shipping!$AD$73+IF(G120="Panama",Shipping!$AD$55,0)+IF(G120="Suez",Shipping!$AD$56,0))/Shipping!$AD$31*(EO120+ome_st_ab_losses)/1000000+IF(inland_transport_to_port="hv dc grid",$BM120/100*1000*ER120,IF(inland_transport_to_port="pipeline",$BN120,0)),((F120/24/Shipping!$T$44+F120/24/Shipping!$T$50+Shipping!$T$59+Shipping!$T$64)*(Shipping!$T$22+wacc_nl*Shipping!$T$19/365.25*1000000+Shipping!$T$35)+(F120/24/Shipping!$T$44*Shipping!$T$45+Shipping!$T$64*Shipping!$T$65)*IF(bunker_choice="HFO",$H120,IF(bunker_choice="hydrogen",$BD120*hfo_e_density_lhv/h2_e_density_lhv,(EK120+EM120)*1000000/EO120*hfo_e_density_lhv/Dme_e_density_lhv))+(F120/24/Shipping!$T$50*Shipping!$T$51+Shipping!$T$59*Shipping!$T$60)*IF(bunker_choice="HFO",bunker_price_ROT,IF(bunker_choice="hydrogen",$BD120*hfo_e_density_lhv/h2_e_density_lhv,(EK120+EM120)*1000000/EO120*hfo_e_density_lhv/ome_e_density_lhv))+Shipping!$T$73+IF(G120="Panama",Shipping!$T$55,0)+IF(G120="Suez",Shipping!$T$56,0))/Shipping!$T$31*(EO120+ome_st_ab_losses)/1000000+IF(inland_transport_to_port="hv dc grid",$BM120/100*1000*ER120,IF(inland_transport_to_port="pipeline",$BN120,0)))))</f>
        <v>3968.9707339699912</v>
      </c>
      <c r="EQ120" s="28">
        <f t="shared" si="135"/>
        <v>263499.23294686968</v>
      </c>
      <c r="ER120" s="29">
        <f>(ome_e_demand)*(EO120+ome_st_ab_losses)/1000000+ome_st_e_demand*EM120/1000000+$CV120*(Carriers!$Z$21/Carriers!$Z$23*EO120)/$CS120</f>
        <v>3352.0814582026542</v>
      </c>
      <c r="ES120" s="29">
        <f t="shared" si="163"/>
        <v>0.1924238095238095</v>
      </c>
      <c r="ET120" s="28">
        <f>IFERROR(EQ120*1000000/Storage!$S$12,"")</f>
        <v>2054.0537597630223</v>
      </c>
      <c r="EU120" s="28">
        <f>IF($E120="","No Port",((F120/24/Shipping!$T$44+F120/24/Shipping!$T$50+Shipping!$T$59+Shipping!$T$64)*Carriers!$Z$39*wacc_nl))</f>
        <v>64.240402466787373</v>
      </c>
      <c r="EV120" s="100">
        <f>H2_retrieval!$R$25*h2_demand_kt/1000+(co2_liq_e_demand+co2_st_e_demand*2)*Storage!$S$12*co2_density/ome_density/1000000</f>
        <v>254.51942895252085</v>
      </c>
      <c r="EW120" s="28">
        <f>IFERROR((((EK120+EM120+EP120)*(1+H2_retrieval!$R$34)+EU120)*1000000/H2_retrieval!$R$8)+h2_regen_ome,"")</f>
        <v>17093.189781695764</v>
      </c>
      <c r="EX120" s="149">
        <f>(sng_invest*(M120+1/sng_lifetime)/sng_prod+lng_invest*(M120+1/lng_lifetime)/lng_prod+sng_opex+lng_opex+(sng_e_demand+lng_e_demand)*1000*$AU120/100+Carriers!$AB$18/Carriers!$AB$23*BD120+Carriers!$AB$20/Carriers!$AB$23*co2_liq_cost)*(FB120+lng_st_ab_losses)/1000000</f>
        <v>73419.97103789894</v>
      </c>
      <c r="EY120" s="86">
        <f>(sng_invest*(M120+1/sng_lifetime)/sng_prod+lng_invest*(M120+1/lng_lifetime)/lng_prod+sng_opex+lng_opex+(sng_e_demand+lng_e_demand)*1000*$AU120/100+Carriers!$AB$18/Carriers!$AB$23*BD120+Carriers!$AB$20/Carriers!$AB$23*BP120)*(FB120+lng_st_ab_losses)/1000000</f>
        <v>86620.653064795333</v>
      </c>
      <c r="EZ120" s="63">
        <f>lng_st_nl_cost*lng_st_nl_demand/1000000+(lng_st_invest*(M120+1/lng_st_lifetime+lng_st_opex)/(Storage!$U$63/1000000)+lng_st_e_demand*1000*$AU120/100)*(FB120+lng_st_ab_losses)/1000000+co2_st_nl_cost*Storage!$U$12*co2_density/lng_density/1000000+(co2_st_opex_lev+co2_st_invest_lev+co2_st_e_demand*1000*$AU120/100)*Storage!$U$12/1000000+co2_st_invest_lev*Storage!$U$12*co2_st_lifetime*M120/1000000+Carriers!$AB$18/Carriers!$AB$23*((FB120+lng_st_ab_losses)/365.25*short_st_duration_hrs/24)*(h2_short_st_invest*(1/gh2_short_st_lifetime+$M120+h2_short_st_opex)+h2_short_st_e_demand*1000*$AU120/100)/1000000+Carriers!$AB$20/Carriers!$AB$23*((FB120+lng_st_ab_losses)/365.25*short_st_duration_hrs/24)*(co2_short_st_invest*(1/co2_short_st_lifetime+$M120+co2_short_st_opex)+co2_short_st_e_demand*1000*$AU120/100)/1000000</f>
        <v>6698.3783405710947</v>
      </c>
      <c r="FA120" s="63">
        <f>lng_st_nl_cost*lng_st_nl_demand/1000000+(lng_st_invest*(M120+1/lng_st_lifetime+lng_st_opex)/(Storage!$U$63/1000000)+lng_st_e_demand*1000*$AU120/100)*(FB120+lng_st_ab_losses)/1000000+Carriers!$AB$18/Carriers!$AB$23*((FB120+lng_st_ab_losses)/365.25*short_st_duration_hrs/24)*(h2_short_st_invest*(1/gh2_short_st_lifetime+$M120+h2_short_st_opex)+h2_short_st_e_demand*1000*$AU120/100)/1000000+Carriers!$AB$20/Carriers!$AB$23*((FB120+lng_st_ab_losses)/365.25*short_st_duration_hrs/24)*(co2_short_st_invest*(1/co2_short_st_lifetime+$M120+co2_short_st_opex)+co2_short_st_e_demand*1000*$AU120/100)/1000000</f>
        <v>5074.2234613556966</v>
      </c>
      <c r="FB120" s="63">
        <f>Storage!$U$57/((1-Shipping!$V$37)^($F120/24/Shipping!$V$44+0.5*Shipping!$V$59))</f>
        <v>41046769.277523644</v>
      </c>
      <c r="FC120" s="28">
        <f>IF($E120="","No Port",IF(G120="Panama","Ship cannot pass through Panama",((F120/24/Shipping!$V$44+F120/24/Shipping!$V$50+Shipping!$V$59+Shipping!$V$64)*(Shipping!$V$22+wacc_nl*Shipping!$V$19/365.25*1000000+Shipping!$V$35)+(F120/24/Shipping!$V$44*Shipping!$V$45+Shipping!$V$64*Shipping!$V$65)*IF(bunker_choice="HFO",$H120,IF(bunker_choice="hydrogen",$BD120*hfo_e_density_lhv/h2_e_density_lhv,(EX120+EZ120)*1000000/FB120*hfo_e_density_lhv/lng_e_density_lhv))+(F120/24/Shipping!$V$50*Shipping!$V$51+Shipping!$V$59*Shipping!$V$60)*IF(bunker_choice="HFO",bunker_price_ROT,IF(bunker_choice="hydrogen",$BD120*hfo_e_density_lhv/h2_e_density_lhv,(EX120+EZ120)*1000000/FB120*hfo_e_density_lhv/lng_e_density_lhv))+Shipping!$V$73+IF(G120="Panama",Shipping!$V$55,0)+IF(G120="Suez",Shipping!$V$56,0))/Shipping!$V$31*(FB120+lng_st_ab_losses)/1000000)+IF(inland_transport_to_port="hv dc grid",$BM120/100*1000*FE120,IF(inland_transport_to_port="pipeline",$BN120,0)))</f>
        <v>1885.2316774693661</v>
      </c>
      <c r="FD120" s="28">
        <f t="shared" si="136"/>
        <v>93580.108203620388</v>
      </c>
      <c r="FE120" s="29">
        <f>((Carriers!$AB$18/Carriers!$AB$23*alk_el_e_demand)+sng_e_demand+lng_e_demand)*(FB120+lng_st_ab_losses)/1000000+lng_st_e_demand*EZ120/1000000</f>
        <v>1100.8477032306203</v>
      </c>
      <c r="FF120" s="29">
        <f t="shared" si="164"/>
        <v>0.8126185861001558</v>
      </c>
      <c r="FG120" s="28">
        <f>IFERROR(FD120*1000000/Storage!$U$12,"")</f>
        <v>2305.8302631524111</v>
      </c>
      <c r="FH120" s="28">
        <f>IF($E120="","No Port",((F120/24/Shipping!$V$44+F120/24/Shipping!$V$50+Shipping!$V$59+Shipping!$V$64)*Carriers!$AB$39*wacc_nl))</f>
        <v>19.189345384055081</v>
      </c>
      <c r="FI120" s="100">
        <f>H2_retrieval!$T$25*h2_demand_kt/1000+(co2_liq_e_demand+co2_st_e_demand*2)*Storage!$U$12*co2_density/lng_density/1000000</f>
        <v>236.51371749646054</v>
      </c>
      <c r="FJ120" s="28">
        <f>IFERROR((((EX120+EZ120+FC120)*(1+H2_retrieval!$T$34)+FH120)*1000000/H2_retrieval!$T$8)+h2_regen_lng,"")</f>
        <v>7201.2146021169583</v>
      </c>
      <c r="FK120" s="149">
        <f>(lh2_invest*(M120+1/lh2_lifetime)/lh2_prod+lh2_opex+lh2_e_demand*1000*$AU120/100+Carriers!$AD$18/Carriers!$AD$23*BD120)*(FM120+lh2_st_ab_losses)/1000000</f>
        <v>57547.490758490028</v>
      </c>
      <c r="FL120" s="28">
        <f>lh2_st_nl_cost*lh2_st_nl_demand/1000000+(lh2_st_invest*(M120+1/lh2_st_lifetime+lh2_st_opex)/(Storage!$Y$63/1000000)+lh2_st_e_demand*1000*$AU120/100)*(FM120+lh2_st_ab_losses)/1000000+((FM120+lh2_st_ab_losses)/365.25*short_st_duration_hrs/24)*(h2_short_st_invest*(1/gh2_short_st_lifetime+$M120+h2_short_st_opex)+h2_short_st_e_demand*1000*$AU120/100)/1000000</f>
        <v>58515.356209238264</v>
      </c>
      <c r="FM120" s="63">
        <f>Storage!$Y$57/((1-Shipping!$Z$37)^($F120/24/Shipping!$Z$44+0.5*Shipping!$Z$59))</f>
        <v>13842808.862307839</v>
      </c>
      <c r="FN120" s="28">
        <f>IF($E120="","No Port",IF(G120="Panama","Ship cannot pass through Panama",((F120/24/Shipping!$Z$44+F120/24/Shipping!$Z$50+Shipping!$Z$59+Shipping!$Z$64)*(Shipping!$Z$22+wacc_nl*Shipping!$Z$19/365.25*1000000+Shipping!$Z$35)+(F120/24/Shipping!$Z$44*Shipping!$Z$45+Shipping!$Z$64*Shipping!$Z$65)*IF(bunker_choice="HFO",$H120,IF(bunker_choice="hydrogen",$BD120*hfo_e_density_lhv/h2_e_density_lhv,(FK120+FL120)*1000000/FM120*hfo_e_density_lhv/lh2_e_density_lhv))+(F120/24/Shipping!$Z$50*Shipping!$Z$51+Shipping!$Z$59*Shipping!$Z$60)*IF(bunker_choice="HFO",bunker_price_ROT,IF(bunker_choice="hydrogen",$BD120*hfo_e_density_lhv/h2_e_density_lhv,(FK120+FL120)*1000000/FM120*hfo_e_density_lhv/lh2_e_density_lhv))+Shipping!$Z$73+IF(G120="Panama",Shipping!$Z$55,0)+IF(G120="Suez",Shipping!$Z$56,0))/Shipping!$Z$31*(FM120+lh2_st_ab_losses)/1000000)+IF(inland_transport_to_port="hv dc grid",$BM120/100*1000*FP120,IF(inland_transport_to_port="pipeline",$BN120,0)))</f>
        <v>2731.5371352409138</v>
      </c>
      <c r="FO120" s="28">
        <f t="shared" si="128"/>
        <v>118794.3841029692</v>
      </c>
      <c r="FP120" s="29">
        <f>((Carriers!$AD$18/Carriers!$AD$23*alk_el_e_demand)+lh2_e_demand)*(FM120+lh2_st_ab_losses)/1000000+lh2_st_e_demand*FM120/1000000</f>
        <v>802.18240201175831</v>
      </c>
      <c r="FQ120" s="100">
        <f t="shared" si="165"/>
        <v>1.361902463475859</v>
      </c>
      <c r="FR120" s="28">
        <f>IFERROR(FO120*1000000/Storage!$Y$12,"")</f>
        <v>8734.881184041853</v>
      </c>
      <c r="FS120" s="100">
        <f>H2_retrieval!$V$25*h2_demand_kt/1000</f>
        <v>8.16</v>
      </c>
      <c r="FT120" s="28">
        <f>IFERROR(FR120*(1+H2_retrieval!$V$34)/Carrier_properties!$U$7+H2_retrieval!$V$38,"")</f>
        <v>8766.849909910321</v>
      </c>
      <c r="FU120" s="12"/>
      <c r="FV120" s="24">
        <f t="shared" si="129"/>
        <v>2.5538791867938513</v>
      </c>
      <c r="FW120" s="24" t="str">
        <f t="shared" si="143"/>
        <v/>
      </c>
      <c r="FX120" s="24" t="str">
        <f t="shared" si="144"/>
        <v/>
      </c>
      <c r="FY120" s="24">
        <f t="shared" si="130"/>
        <v>2.5538791867938513</v>
      </c>
      <c r="FZ120" s="28">
        <f t="shared" si="145"/>
        <v>3095.9475948595236</v>
      </c>
      <c r="GA120" s="28">
        <f t="shared" si="137"/>
        <v>707.50827369595402</v>
      </c>
      <c r="GB120" s="28">
        <f t="shared" si="138"/>
        <v>451.44019259139691</v>
      </c>
      <c r="GC120" s="28">
        <f t="shared" si="139"/>
        <v>790.67691895536609</v>
      </c>
      <c r="GD120" s="28">
        <f t="shared" si="140"/>
        <v>1151.8141774305618</v>
      </c>
      <c r="GE120" s="28">
        <f t="shared" si="141"/>
        <v>2007.8104279608151</v>
      </c>
      <c r="GF120" s="28">
        <f t="shared" si="142"/>
        <v>2110.2916158672442</v>
      </c>
      <c r="GG120" s="12"/>
      <c r="GH120" s="12"/>
      <c r="GI120" s="12"/>
      <c r="GJ120" s="12"/>
      <c r="GK120" s="12"/>
      <c r="GL120" s="12"/>
      <c r="GM120" s="12"/>
      <c r="GN120" s="12"/>
      <c r="GO120" s="12"/>
      <c r="GP120" s="12"/>
      <c r="GQ120" s="12"/>
      <c r="GR120" s="12"/>
      <c r="GS120" s="12"/>
      <c r="GT120" s="12"/>
      <c r="GU120" s="12"/>
      <c r="GV120" s="12"/>
      <c r="GW120" s="12"/>
      <c r="GX120" s="12"/>
      <c r="GY120" s="12"/>
      <c r="GZ120" s="12"/>
      <c r="HA120" s="12"/>
      <c r="HB120" s="12"/>
      <c r="HC120" s="12"/>
      <c r="HD120" s="12"/>
      <c r="HE120" s="12"/>
      <c r="HF120" s="12"/>
    </row>
    <row r="121" spans="1:214" x14ac:dyDescent="0.2">
      <c r="A121" s="154" t="s">
        <v>122</v>
      </c>
      <c r="B121" s="12">
        <v>1470</v>
      </c>
      <c r="C121" s="12">
        <v>1</v>
      </c>
      <c r="D121" s="12">
        <f t="shared" si="111"/>
        <v>0</v>
      </c>
      <c r="E121" s="12" t="s">
        <v>775</v>
      </c>
      <c r="F121" s="12">
        <v>2719</v>
      </c>
      <c r="G121" s="12"/>
      <c r="H121" s="16">
        <f t="shared" si="166"/>
        <v>382.75862068965517</v>
      </c>
      <c r="I121" s="16">
        <v>87460</v>
      </c>
      <c r="J121" s="16">
        <f t="shared" si="113"/>
        <v>166.85137891439297</v>
      </c>
      <c r="K121" s="16">
        <f t="shared" si="114"/>
        <v>200.22165469727156</v>
      </c>
      <c r="L121" s="103">
        <v>0.13400000000000001</v>
      </c>
      <c r="M121" s="103">
        <f t="shared" si="167"/>
        <v>0.13618666855141551</v>
      </c>
      <c r="N121" s="122">
        <f t="shared" si="116"/>
        <v>0.9</v>
      </c>
      <c r="O121" s="46">
        <f t="shared" si="168"/>
        <v>40</v>
      </c>
      <c r="P121" s="70">
        <f t="array" ref="P121">SUMPRODUCT(IF(Solar_data!A$4:A$777=A121,Solar_data!C$4:C$777),IF(Solar_data!A$4:A$777=A121,Solar_data!I$4:I$777))/SUMIF(Solar_data!A$4:A$777,A121,Solar_data!I$4:I$777)</f>
        <v>1544.9031870310469</v>
      </c>
      <c r="Q121" s="16">
        <f t="array" ref="Q121">MAX(IF(Solar_data!$A$777:'Solar_data'!$A$4=Country_details!$A121,Solar_data!$C$4:'Solar_data'!$C$777))</f>
        <v>1733.75</v>
      </c>
      <c r="R121" s="16">
        <f t="array" ref="R121">MIN(IF(Solar_data!$A$777:'Solar_data'!$A$4=Country_details!A121,Solar_data!$C$4:'Solar_data'!$C$777))</f>
        <v>1368.75</v>
      </c>
      <c r="S121" s="24">
        <f t="shared" si="149"/>
        <v>3.1171978806388316</v>
      </c>
      <c r="T121" s="24">
        <f t="shared" si="150"/>
        <v>2.7776605279915536</v>
      </c>
      <c r="U121" s="24">
        <f t="shared" si="151"/>
        <v>3.5183700021226345</v>
      </c>
      <c r="V121" s="16">
        <f t="array" ref="V121">SUM(IF(Solar_data!$A$777:'Solar_data'!$A$4=Country_details!$A121,Solar_data!$I$4:'Solar_data'!$I$777))</f>
        <v>552.16911834919119</v>
      </c>
      <c r="W121" s="148"/>
      <c r="X121" s="16" t="str">
        <f>IFERROR(INDEX(Onshore_wind_data!$J$5:'Onshore_wind_data'!$J$221,MATCH(A121,Onshore_wind_data!$B$5:'Onshore_wind_data'!$B$221,0)),"")</f>
        <v/>
      </c>
      <c r="Y121" s="16" t="str">
        <f>IFERROR(INDEX(Onshore_wind_data!$K$5:'Onshore_wind_data'!$K$221,MATCH(A121,Onshore_wind_data!$B$5:'Onshore_wind_data'!$B$221,0)),"")</f>
        <v/>
      </c>
      <c r="Z121" s="16" t="str">
        <f>IFERROR(INDEX(Onshore_wind_data!$L$5:'Onshore_wind_data'!$L$221,MATCH(A121,Onshore_wind_data!$B$5:'Onshore_wind_data'!$B$221,0)),"")</f>
        <v/>
      </c>
      <c r="AA121" s="24" t="str">
        <f t="shared" si="169"/>
        <v/>
      </c>
      <c r="AB121" s="24" t="str">
        <f t="shared" si="170"/>
        <v/>
      </c>
      <c r="AC121" s="24" t="str">
        <f t="shared" si="171"/>
        <v/>
      </c>
      <c r="AD121" s="16">
        <f>IFERROR(INDEX(Onshore_wind_data!$I$5:'Onshore_wind_data'!$I$221,MATCH(A121,Onshore_wind_data!$B$5:'Onshore_wind_data'!$B$221,0)),"")</f>
        <v>0</v>
      </c>
      <c r="AE121" s="148"/>
      <c r="AF121" s="16" t="e">
        <f>INDEX(Offshore_wind_data!$AA$7:$AA$192,MATCH(Country_details!A121,Offshore_wind_data!$A$7:$A$192,0))</f>
        <v>#N/A</v>
      </c>
      <c r="AG121" s="16" t="e">
        <f>INDEX(Offshore_wind_data!$Y$7:$Y$192,MATCH(Country_details!A121,Offshore_wind_data!$A$7:$A$192,0))</f>
        <v>#N/A</v>
      </c>
      <c r="AH121" s="16" t="e">
        <f>INDEX(Offshore_wind_data!$Z$7:$Z$192,MATCH(Country_details!A121,Offshore_wind_data!$A$7:$A$192,0))</f>
        <v>#N/A</v>
      </c>
      <c r="AI121" s="24" t="e">
        <f t="shared" si="152"/>
        <v>#N/A</v>
      </c>
      <c r="AJ121" s="24" t="e">
        <f t="shared" si="153"/>
        <v>#N/A</v>
      </c>
      <c r="AK121" s="24" t="e">
        <f t="shared" si="154"/>
        <v>#N/A</v>
      </c>
      <c r="AL121" s="16" t="e">
        <f>INDEX(Offshore_wind_data!$W$7:$W$191,MATCH(A121,Offshore_wind_data!$A$7:$A$191,0))</f>
        <v>#N/A</v>
      </c>
      <c r="AM121" s="148"/>
      <c r="AN121" s="12">
        <v>8.8000000000000007</v>
      </c>
      <c r="AO121" s="12">
        <v>7.4</v>
      </c>
      <c r="AP121" s="34">
        <f>2.0178*11.63</f>
        <v>23.467013999999999</v>
      </c>
      <c r="AQ121" s="15">
        <f t="shared" si="155"/>
        <v>50</v>
      </c>
      <c r="AR121" s="12">
        <f t="shared" si="131"/>
        <v>370</v>
      </c>
      <c r="AS121" s="16">
        <f t="shared" si="121"/>
        <v>182.16911834919119</v>
      </c>
      <c r="AT121" s="12"/>
      <c r="AU121" s="24">
        <f t="shared" si="147"/>
        <v>3.1171978806388316</v>
      </c>
      <c r="AV121" s="16">
        <f t="shared" si="148"/>
        <v>1544.9031870310469</v>
      </c>
      <c r="AW121" s="149">
        <f>HV_DC_Grid!$E$3/(1-AX121)*AU121/100*1000</f>
        <v>3254.0341720115835</v>
      </c>
      <c r="AX121" s="31">
        <f>(1-(1-HV_DC_Grid!$E$25)^(B121*C121*HV_DC_Grid!$E$8/1000))+(1-(1-HV_DC_Grid!$E$26)^(B121*D121*HV_DC_Grid!$E$8/1000))+HV_DC_Grid!$E$35*HV_DC_Grid!$E$28</f>
        <v>4.2051276704375126E-2</v>
      </c>
      <c r="AY121" s="28">
        <f>B121*nl_e_demand/IF(hv_dc_flh="electricity FLH",$AV121,hv_dc_custom)*1000*hv_dc_capacity_multiplier*hv_dc_length_multiplier*1000*(C121*hv_dc_overhead_invest*(hv_dc_overhead_opex+M121+1/hv_dc_lifetime)+D121*hv_dc_sea_invest*(hv_dc_sea_opex+M121+1/hv_dc_lifetime))/1000000+HV_DC_Grid!$E$10*1000*hv_dc_station_invest*hv_dc_station_number*(hv_dc_station_opex+M121+1/hv_dc_lifetime)/1000000</f>
        <v>1780.6152516044035</v>
      </c>
      <c r="AZ121" s="24">
        <f>(AW121+AY121)/(HV_DC_Grid!$E$3*1000)*100</f>
        <v>5.0346494236159867</v>
      </c>
      <c r="BA121" s="28">
        <f>MIN(((Carriers!$F$26+Carriers!$F$27)*(alk_el_opex+wacc_nl+1/alk_el_lifetime)+IF(hv_dc_flh="electricity FLH",$AV121,hv_dc_custom)*AZ121/100)/(IF(hv_dc_flh="electricity FLH",$AV121,hv_dc_custom)/alk_el_e_demand)*1000,((Carriers!$H$26+Carriers!$H$27)*(pem_el_opex+wacc_nl+1/pem_el_lifetime)+IF(hv_dc_flh="electricity FLH",$AV121,hv_dc_custom)*AZ121/100)/(IF(hv_dc_flh="electricity FLH",$AV121,hv_dc_custom)/pem_el_e_demand)*1000)</f>
        <v>2910.3458187786759</v>
      </c>
      <c r="BB121" s="12"/>
      <c r="BC121" s="12"/>
      <c r="BD121" s="149">
        <f>MIN(((Carriers!$F$26+Carriers!$F$27)*(alk_el_opex+M121+1/alk_el_lifetime)+$AV121*$AU121/100)/($AV121/alk_el_e_demand)*1000,((Carriers!$H$26+Carriers!$H$27)*(pem_el_opex+M121+1/pem_el_lifetime)+$AV121*$AU121/100)/($AV121/pem_el_e_demand)*1000)</f>
        <v>3923.3075764580358</v>
      </c>
      <c r="BE121" s="28">
        <f>Storage!$AC$50</f>
        <v>8.1664117557772418</v>
      </c>
      <c r="BF121" s="28">
        <f>((Pipeline!$D$22*Pipeline!$D$24*B121*(pipeline_opex+M121+1/pipeline_lifetime))*(Pipeline!$D$39/Pipeline!$D$3)+(Pipeline!$D$57*(pipeline_comp_opex+M121+1/pipeline_comp_lifetime)+Pipeline!$D$47*1000*Pipeline!$D$45*$AU121/100/1000000))*(Pipeline!$D$75/Pipeline!$D$45)</f>
        <v>3578.7022316410744</v>
      </c>
      <c r="BG121" s="28">
        <f>BD121+(BE121+BF121)/Storage!$AC$12*1000000</f>
        <v>4187.0479178842752</v>
      </c>
      <c r="BH121" s="28"/>
      <c r="BI121" s="28"/>
      <c r="BJ121" s="28">
        <f>IF($E121="","No Port",BK121*HV_DC_Grid!$E$3*$AU121/100*1000)</f>
        <v>55.697600462882612</v>
      </c>
      <c r="BK121" s="31">
        <f>IFERROR((1-(1-HV_DC_Grid!$E$25)^(K121*HV_DC_Grid!$E$8/1000))+HV_DC_Grid!$E$35*HV_DC_Grid!$E$28,"")</f>
        <v>1.7867842400646081E-2</v>
      </c>
      <c r="BL121" s="28">
        <f>IFERROR(K121*nl_e_demand/IF(hv_dc_flh="electricity FLH",$AV121,hv_dc_custom)*1000*hv_dc_capacity_multiplier*hv_dc_length_multiplier*1000*(hv_dc_overhead_invest*(hv_dc_overhead_opex+M121+1/hv_dc_lifetime))/1000000+HV_DC_Grid!$E$10*1000*hv_dc_station_invest*hv_dc_station_number*(hv_dc_station_opex+M121+1/hv_dc_lifetime)/1000000,"")</f>
        <v>632.90627302417977</v>
      </c>
      <c r="BM121" s="29">
        <f>IFERROR((BJ121+BL121)/(HV_DC_Grid!$E$3*1000)*100,"")</f>
        <v>0.68860387348706242</v>
      </c>
      <c r="BN121" s="28">
        <f>IFERROR(((Pipeline!$D$22*Pipeline!$D$24*K121*(pipeline_opex+M121+1/pipeline_lifetime))*(Pipeline!$D$39/Pipeline!$D$3)+(Pipeline!$D$57*(pipeline_comp_opex+M121+1/pipeline_comp_lifetime)+Pipeline!$D$47*1000*Pipeline!$D$45*S121/100/1000000))*(Pipeline!$D$75/Pipeline!$D$45),"")</f>
        <v>574.18762578298288</v>
      </c>
      <c r="BO121" s="28"/>
      <c r="BP121" s="150">
        <f t="shared" si="172"/>
        <v>121.73792261922134</v>
      </c>
      <c r="BQ121" s="34">
        <f t="shared" si="173"/>
        <v>36.13079723386317</v>
      </c>
      <c r="BR121" s="151">
        <f>(nh3_invest*(M121+1/nh3_lifetime)/nh3_prod+nh3_opex+nh3_e_demand*1000*$AU121/100+Carriers!$N$18/Carriers!$N$23*BD121+Carriers!$N$19/Carriers!$N$23*BQ121)*(BT121+nh3_st_ab_losses)/1000000</f>
        <v>66602.589199469148</v>
      </c>
      <c r="BS121" s="63">
        <f>nh3_st_nl_cost*nh3_st_nl_demand/1000000+(nh3_st_invest*(M121+1/nh3_st_lifetime+nh3_st_opex)/(Storage!$G$63/1000000)+nh3_st_e_demand*1000*$AU121/100)*(BT121+nh3_st_ab_losses)/1000000+Carriers!$N$18/Carriers!$N$23*((BT121+nh3_st_ab_losses)/365.25*short_st_duration_hrs/24)*(h2_short_st_invest*(1/gh2_short_st_lifetime+$M121+h2_short_st_opex)+h2_short_st_e_demand*1000*$AU121/100)/1000000+Carriers!$N$19/Carriers!$N$23*((BT121+nh3_st_ab_losses)/365.25*short_st_duration_hrs/24)*(n2_short_st_invest*(1/n2_short_st_lifetime+$M121+n2_short_st_opex)+n2_short_st_e_demand*1000*$AU121/100)/1000000</f>
        <v>3547.0219713086517</v>
      </c>
      <c r="BT121" s="63">
        <f>Storage!$G$57/((1-Shipping!$H$37)^(F121/24/Shipping!$H$44+0.5*Shipping!$H$59))</f>
        <v>78189227.890449524</v>
      </c>
      <c r="BU121" s="63">
        <f>IF($E121="","No Port",((F121/24/Shipping!$H$44+F121/24/Shipping!$H$50+Shipping!$H$59+Shipping!$H$64)*(Shipping!$H$22+wacc_nl*Shipping!$H$19/365.25*1000000+Shipping!$H$35)+(F121/24/Shipping!$H$44*Shipping!$H$45+Shipping!$H$64*Shipping!$H$65)*IF(bunker_choice="HFO",H121,IF(bunker_choice="hydrogen",BD121*hfo_e_density_lhv/h2_e_density_lhv,(BR121+BS121)*1000000/BT121*hfo_e_density_lhv/nh3_e_density_lhv))+(F121/24/Shipping!$H$50*Shipping!$H$51+Shipping!$H$59*Shipping!$H$60)*IF(bunker_choice="HFO",bunker_price_ROT,IF(bunker_choice="hydrogen",BD121*hfo_e_density_lhv/h2_e_density_lhv,(BR121+BS121)*1000000/BT121*hfo_e_density_lhv/nh3_e_density_lhv))+Shipping!$H$73+IF(G121="Panama",Shipping!$H$55,0)+IF(G121="Suez",Shipping!$H$56,0))/Shipping!$H$31*BT121/1000000+IF(inland_transport_to_port="hv dc grid",$BM121/100*1000*BW121,IF(inland_transport_to_port="pipeline",$BN121,0)))</f>
        <v>2806.604855571175</v>
      </c>
      <c r="BV121" s="63">
        <f t="shared" si="174"/>
        <v>72956.216026348979</v>
      </c>
      <c r="BW121" s="33">
        <f>((Carriers!$N$18/Carriers!$N$23*alk_el_e_demand)+(Carriers!$N$19/Carriers!$N$23*n2_e_demand)+nh3_e_demand)*(BT121+nh3_st_ab_losses)/1000000+nh3_st_e_demand*BT121/1000000</f>
        <v>772.145119617668</v>
      </c>
      <c r="BX121" s="33">
        <f t="shared" si="156"/>
        <v>0.76626754477640768</v>
      </c>
      <c r="BY121" s="63">
        <f>IFERROR(BV121*1000000/Storage!$G$12,"")</f>
        <v>952.89175344012301</v>
      </c>
      <c r="BZ121" s="63">
        <f>H2_retrieval!$F$25*h2_demand_kt/1000</f>
        <v>80</v>
      </c>
      <c r="CA121" s="63">
        <f>IFERROR(BY121*(1+H2_retrieval!$F$34)/Carrier_properties!$E$7+H2_retrieval!$F$38,"")</f>
        <v>5773.6536286399842</v>
      </c>
      <c r="CB121" s="149">
        <f>(FA_invest*(M121+1/FA_lifetime)/FA_prod+FA_opex+FA_e_demand*1000*$AU121/100+Carriers!$P$18/Carriers!$P$23*BD121+Carriers!$P$20/Carriers!$P$23*co2_liq_cost)*(CF121+FA_st_ab_losses)/1000000</f>
        <v>129223.72221925833</v>
      </c>
      <c r="CC121" s="86">
        <f>(FA_invest*(M121+1/FA_lifetime)/FA_prod+FA_opex+FA_e_demand*1000*$AU121/100+Carriers!$P$18/Carriers!$P$23*BD121+Carriers!$P$20/Carriers!$P$23*BP121)*(CF121+FA_st_ab_losses)/1000000</f>
        <v>158724.14060970832</v>
      </c>
      <c r="CD121" s="63">
        <f>FA_st_nl_cost*FA_st_nl_demand/1000000+(FA_st_invest*(M121+1/FA_st_lifetime+FA_st_opex)/(Storage!$I$63/1000000)+FA_st_e_demand*1000*$AU121/100)*(CF121+FA_st_ab_losses)/1000000+co2_st_nl_cost*Storage!$I$12*co2_density/FA_density/1000000+(co2_st_opex_lev+co2_st_invest_lev+co2_st_e_demand*1000*$AU121/100)*Storage!$I$12/1000000+co2_st_invest_lev*Storage!$I$12*co2_st_lifetime*M121/1000000+Carriers!$P$18/Carriers!$P$23*((CF121+FA_st_ab_losses)/365.25*short_st_duration_hrs/24)*(h2_short_st_invest*(1/gh2_short_st_lifetime+$M121+h2_short_st_opex)+h2_short_st_e_demand*1000*$AU121/100)/1000000+Carriers!$P$20/Carriers!$P$23*((CF121+FA_st_ab_losses)/365.25*short_st_duration_hrs/24)*(co2_short_st_invest*(1/co2_short_st_lifetime+$M121+co2_short_st_opex)+co2_short_st_e_demand*1000*$AU121/100)/1000000</f>
        <v>12277.111490817917</v>
      </c>
      <c r="CE121" s="63">
        <f>FA_st_nl_cost*FA_st_nl_demand/1000000+(FA_st_invest*(M121+1/FA_st_lifetime+FA_st_opex)/(Storage!$I$63/1000000)+FA_st_e_demand*1000*$AU121/100)*(CF121+FA_st_ab_losses)/1000000+Carriers!$P$18/Carriers!$P$23*((CF121+FA_st_ab_losses)/365.25*short_st_duration_hrs/24)*(h2_short_st_invest*(1/gh2_short_st_lifetime+$M121+h2_short_st_opex)+h2_short_st_e_demand*1000*$AU121/100)/1000000+Carriers!$P$20/Carriers!$P$23*((CF121+FA_st_ab_losses)/365.25*short_st_duration_hrs/24)*(co2_short_st_invest*(1/co2_short_st_lifetime+$M121+co2_short_st_opex)+co2_short_st_e_demand*1000*$AU121/100)/1000000</f>
        <v>5293.1640393618727</v>
      </c>
      <c r="CF121" s="63">
        <f>Storage!$I$57/((1-Shipping!$J$37)^($F121/24/Shipping!$J$44+0.5*Shipping!$J$59))</f>
        <v>310425396.82539684</v>
      </c>
      <c r="CG121" s="28">
        <f>IF($E121="","No Port",((F121/24/Shipping!$J$44+F121/24/Shipping!$J$50+Shipping!$J$59+Shipping!$J$64)*(Shipping!$J$22+wacc_nl*Shipping!$J$19/365.25*1000000+Shipping!$J$35)+(F121/24/Shipping!$J$44*Shipping!$J$45+Shipping!$J$64*Shipping!$J$65)*IF(bunker_choice="HFO",$H121,IF(bunker_choice="hydrogen",$BD121*hfo_e_density_lhv/h2_e_density_lhv,(CB121+CD121)*1000000/CF121*hfo_e_density_lhv/FA_e_density_lhv))+(F121/24/Shipping!$J$50*Shipping!$J$51+Shipping!$J$59*Shipping!$J$60)*IF(bunker_choice="HFO",bunker_price_ROT,IF(bunker_choice="hydrogen",$BD121*hfo_e_density_lhv/h2_e_density_lhv,(CB121+CD121)*1000000/CF121*hfo_e_density_lhv/FA_e_density_lhv))+Shipping!$J$73+IF(G121="Panama",Shipping!$J$55,0)+IF(G121="Suez",Shipping!$J$56,0))/Shipping!$J$31*CF121/1000000+IF(inland_transport_to_port="hv dc grid",$BM121/100*1000*CI121,IF(inland_transport_to_port="pipeline",$BN121,0)))</f>
        <v>10690.556446198145</v>
      </c>
      <c r="CH121" s="28">
        <f t="shared" si="132"/>
        <v>174707.86109526834</v>
      </c>
      <c r="CI121" s="29">
        <f>((Carriers!$P$18/Carriers!$P$23*alk_el_e_demand)+FA_e_demand)*(CF121+FA_st_ab_losses)/1000000+FA_st_e_demand*CF121/1000000</f>
        <v>1897.8881241622576</v>
      </c>
      <c r="CJ121" s="29">
        <f t="shared" si="157"/>
        <v>0.46563809523809524</v>
      </c>
      <c r="CK121" s="28">
        <f>IFERROR(CH121*1000000/Storage!$I$12,"")</f>
        <v>562.80144241398921</v>
      </c>
      <c r="CL121" s="28">
        <f>IF($E121="","No Port",((F121/24/Shipping!$J$44+F121/24/Shipping!$J$50+Shipping!$J$59+Shipping!$J$64)*Carriers!$P$39*wacc_nl))</f>
        <v>157.4404004652697</v>
      </c>
      <c r="CM121" s="29">
        <f>H2_retrieval!$H$25*h2_demand_kt/1000+(co2_liq_e_demand+co2_st_e_demand*2)*Storage!$I$12*co2_density/FA_density/1000000</f>
        <v>94.204253879484654</v>
      </c>
      <c r="CN121" s="28">
        <f>IFERROR((((CB121+CD121+CG121)*(1+H2_retrieval!$H$34)+CL121)*1000000/H2_retrieval!$H$8)+h2_regen_fa,"")</f>
        <v>11291.807261644874</v>
      </c>
      <c r="CO121" s="149">
        <f>(meoh_invest*(M121+1/meoh_lifetime)/meoh_prod+meoh_opex+meoh_e_demand*1000*$AU121/100+Carriers!$R$18/Carriers!$R$23*BD121+Carriers!$R$20/Carriers!$R$23*co2_liq_cost)*(CS121+meoh_st_ab_losses)/1000000</f>
        <v>85207.04408409317</v>
      </c>
      <c r="CP121" s="86">
        <f>(meoh_invest*(M121+1/meoh_lifetime)/meoh_prod+meoh_opex+meoh_e_demand*1000*$AU121/100+Carriers!$R$18/Carriers!$R$23*BD121+Carriers!$R$20/Carriers!$R$23*BP121)*(CS121+meoh_st_ab_losses)/1000000</f>
        <v>102524.70041137849</v>
      </c>
      <c r="CQ121" s="63">
        <f>meoh_st_nl_cost*meoh_st_nl_demand/1000000+(meoh_st_invest*(M121+1/meoh_st_lifetime+meoh_st_opex)/(Storage!$K$63/1000000)+meoh_st_e_demand*1000*$AU121/100)*(CS121+meoh_st_ab_losses)/1000000+co2_st_nl_cost*Storage!$K$12*co2_density/meoh_density/1000000+(co2_st_opex_lev+co2_st_invest_lev+co2_st_e_demand*1000*IFERROR(MIN(S121,AA121,AI121),S121)/100)*Storage!$K$12/1000000+co2_st_invest_lev*Storage!$K$12*co2_st_lifetime*M121/1000000+Carriers!$R$18/Carriers!$R$23*((CS121+meoh_st_ab_losses)/365.25*short_st_duration_hrs/24)*(h2_short_st_invest*(1/gh2_short_st_lifetime+$M121+h2_short_st_opex)+h2_short_st_e_demand*1000*$AU121/100)/1000000+Carriers!$R$20/Carriers!$R$23*((CF121+meoh_st_ab_losses)/365.25*short_st_duration_hrs/24)*(co2_short_st_invest*(1/co2_short_st_lifetime+$M121+co2_short_st_opex)+co2_short_st_e_demand*1000*$AU121/100)/1000000</f>
        <v>5128.2688436303806</v>
      </c>
      <c r="CR121" s="63">
        <f>meoh_st_nl_cost*meoh_st_nl_demand/1000000+(meoh_st_invest*(M121+1/meoh_st_lifetime+meoh_st_opex)/(Storage!$K$63/1000000)+meoh_st_e_demand*1000*$AU121/100)*(CS121+meoh_st_ab_losses)/1000000+Carriers!$R$18/Carriers!$R$23*((CS121+meoh_st_ab_losses)/365.25*short_st_duration_hrs/24)*(h2_short_st_invest*(1/gh2_short_st_lifetime+$M121+h2_short_st_opex)+h2_short_st_e_demand*1000*$AU121/100)/1000000+Carriers!$R$20/Carriers!$R$23*((CF121+meoh_st_ab_losses)/365.25*short_st_duration_hrs/24)*(co2_short_st_invest*(1/co2_short_st_lifetime+$M121+co2_short_st_opex)+co2_short_st_e_demand*1000*$AU121/100)/1000000</f>
        <v>2098.4885826197628</v>
      </c>
      <c r="CS121" s="63">
        <f>Storage!$K$57/((1-Shipping!$L$37)^($F121/24/Shipping!$L$44+0.5*Shipping!$L$59))</f>
        <v>108044444.44444443</v>
      </c>
      <c r="CT121" s="28">
        <f>IF($E121="","No Port",IF(AND(ship_choice="VLCC",G121="Panama"),"Ship cannot pass through Panama",IF(ship_choice="VLCC",((F121/24/Shipping!$AD$44+F121/24/Shipping!$AD$50+Shipping!$AD$59+Shipping!$AD$64)*(Shipping!$AD$22+wacc_nl*Shipping!$AD$19/365.25*1000000+Shipping!$AD$35)+(F121/24/Shipping!$AD$44*Shipping!$AD$45+Shipping!$AD$64*Shipping!$AD$65)*IF(bunker_choice="HFO",$H121,IF(bunker_choice="hydrogen",$BD121*hfo_e_density_lhv/h2_e_density_lhv,(CO121+CQ121)*1000000/CS121*hfo_e_density_lhv/meoh_e_density_lhv))+(F121/24/Shipping!$AD$50*Shipping!$AD$51+Shipping!$AD$59*Shipping!$AD$60)*IF(bunker_choice="HFO",bunker_price_ROT,IF(bunker_choice="hydrogen",$BD121*hfo_e_density_lhv/h2_e_density_lhv,(CO121+CQ121)*1000000/CS121*hfo_e_density_lhv/meoh_e_density_lhv))+Shipping!$AD$73+IF(G121="Panama",Shipping!$AD$55,0)+IF(G121="Suez",Shipping!$AD$56,0))/Shipping!$AD$31*CS121/1000000+IF(inland_transport_to_port="hv dc grid",$BM121/100*1000*CV121,IF(inland_transport_to_port="pipeline",$BN121,0)),((F121/24/Shipping!$L$44+F121/24/Shipping!$L$50+Shipping!$L$59+Shipping!$L$64)*(Shipping!$L$22+wacc_nl*Shipping!$L$19/365.25*1000000+Shipping!$L$35)+(F121/24/Shipping!$L$44*Shipping!$L$45+Shipping!$L$64*Shipping!$L$65)*IF(bunker_choice="HFO",$H121,IF(bunker_choice="hydrogen",$BD121*hfo_e_density_lhv/h2_e_density_lhv,(CO121+CQ121)*1000000/CS121*hfo_e_density_lhv/meoh_e_density_lhv))+(F121/24/Shipping!$L$50*Shipping!$L$51+Shipping!$L$59*Shipping!$L$60)*IF(bunker_choice="HFO",bunker_price_ROT,IF(bunker_choice="hydrogen",$BD121*hfo_e_density_lhv/h2_e_density_lhv,(CO121+CQ121)*1000000/CS121*hfo_e_density_lhv/meoh_e_density_lhv))+Shipping!$L$73+IF(G121="Panama",Shipping!$L$55,0)+IF(G121="Suez",Shipping!$L$56,0))/Shipping!$L$31*CS121/1000000+IF(inland_transport_to_port="hv dc grid",$BM121/100*1000*CV121,IF(inland_transport_to_port="pipeline",$BN121,0)))))</f>
        <v>3895.142167720729</v>
      </c>
      <c r="CU121" s="28">
        <f t="shared" si="133"/>
        <v>108518.33116171898</v>
      </c>
      <c r="CV121" s="29">
        <f>((Carriers!$R$18/Carriers!$R$23*alk_el_e_demand)+meoh_e_demand)*(CS121+meoh_st_ab_losses)/1000000+meoh_st_e_demand*CS121/1000000</f>
        <v>1119.9789871111109</v>
      </c>
      <c r="CW121" s="29">
        <f t="shared" si="158"/>
        <v>0.16206666666666666</v>
      </c>
      <c r="CX121" s="28">
        <f>IFERROR(CU121*1000000/Storage!$K$12,"")</f>
        <v>1004.3860350220804</v>
      </c>
      <c r="CY121" s="28">
        <f>IF($E121="","No Port",((F121/24/Shipping!$L$44+F121/24/Shipping!$L$50+Shipping!$L$59+Shipping!$L$64)*Carriers!$R$39*wacc_nl))</f>
        <v>56.149974467346311</v>
      </c>
      <c r="CZ121" s="29">
        <f>H2_retrieval!$J$25*h2_demand_kt/1000+(co2_liq_e_demand+co2_st_e_demand*2)*Storage!$K$12*co2_density/meoh_density/1000000</f>
        <v>251.05079059698966</v>
      </c>
      <c r="DA121" s="28">
        <f>IFERROR((((CO121+CQ121+CT121)*(1+H2_retrieval!$J$34)+CY121)*1000000/H2_retrieval!$J$8)+h2_regen_meoh,"")</f>
        <v>8102.9671512778541</v>
      </c>
      <c r="DB121" s="149">
        <f>(DBT_invest*(M121+1/DBT_lifetime)/DBT_prod+DBT_opex+DBT_e_demand*1000*$AU121/100+Carriers!$T$18/Carriers!$T$23*BD121)*(DD121+DBT_st_ab_losses)/1000000</f>
        <v>56765.746874714649</v>
      </c>
      <c r="DC121" s="28">
        <f>2*(DBT_st_nl_cost*DBT_st_nl_demand/1000000+(DBT_st_invest*(M121+1/DBT_st_lifetime+DBT_st_opex)/(Storage!$M$63/1000000)+DBT_st_e_demand*1000*$AU121/100)*(DD121+DBT_st_ab_losses)/1000000)+Carriers!$T$18/Carriers!$T$23*((DD121+DBT_st_ab_losses)/365.25*short_st_duration_hrs/24)*(h2_short_st_invest*(1/gh2_short_st_lifetime+$M121+h2_short_st_opex)+h2_short_st_e_demand*1000*$AU121/100)/1000000</f>
        <v>4302.4595319392783</v>
      </c>
      <c r="DD121" s="63">
        <f>Storage!$M$57/((1-Shipping!$N$37)^($F121/24/Shipping!$N$44+0.5*Shipping!$N$59))</f>
        <v>219354838.70967743</v>
      </c>
      <c r="DE121" s="28">
        <f>IF($E121="","No Port",IF(AND(ship_choice="VLCC",G121="Panama"),"Ship cannot pass through Panama",IF(ship_choice="VLCC",((F121/24/Shipping!$AD$44+F121/24/Shipping!$AD$50+Shipping!$AD$59+Shipping!$AD$64)*(Shipping!$AD$22+wacc_nl*Shipping!$AD$19/365.25*1000000+Shipping!$AD$35)+(F121/24/Shipping!$AD$44*Shipping!$AD$45+Shipping!$AD$64*Shipping!$AD$65)*IF(bunker_choice="HFO",$H121,IF(bunker_choice="hydrogen",$BD121*hfo_e_density_lhv/h2_e_density_lhv,(DB121+DC121)*1000000/DD121*hfo_e_density_lhv/DBT_e_density_lhv))+(F121/24/Shipping!$AD$50*Shipping!$AD$51+Shipping!$AD$59*Shipping!$AD$60)*IF(bunker_choice="HFO",bunker_price_ROT,IF(bunker_choice="hydrogen",$BD121*hfo_e_density_lhv/h2_e_density_lhv,(DB121+DC121)*1000000/DD121*hfo_e_density_lhv/DBT_e_density_lhv))+Shipping!$AD$73+IF(G121="Panama",Shipping!$AD$55,0)+IF(G121="Suez",Shipping!$AD$56,0))/Shipping!$AD$31*DD121/1000000+IF(inland_transport_to_port="hv dc grid",$BM121/100*1000*DG121,IF(inland_transport_to_port="pipeline",$BN121,0)),((F121/24/Shipping!$N$44+F121/24/Shipping!$N$50+Shipping!$N$59+Shipping!$N$64)*(Shipping!$N$22+wacc_nl*Shipping!$N$19/365.25*1000000+Shipping!$N$35)+(F121/24/Shipping!$N$44*Shipping!$N$45+Shipping!$N$64*Shipping!$N$65)*IF(bunker_choice="HFO",$H121,IF(bunker_choice="hydrogen",$BD121*hfo_e_density_lhv/h2_e_density_lhv,(DB121+DC121)*1000000/DD121*hfo_e_density_lhv/DBT_e_density_lhv))+(F121/24/Shipping!$N$50*Shipping!$N$51+Shipping!$N$59*Shipping!$N$60)*IF(bunker_choice="HFO",bunker_price_ROT,IF(bunker_choice="hydrogen",$BD121*hfo_e_density_lhv/h2_e_density_lhv,(DB121+DC121)*1000000/DD121*hfo_e_density_lhv/DBT_e_density_lhv))+Shipping!$N$73+IF(G121="Panama",Shipping!$N$55,0)+IF(G121="Suez",Shipping!$N$56,0))/Shipping!$N$31*Shipping!$N$86/1000000+IF(inland_transport_to_port="hv dc grid",$BM121/100*1000*DG121,IF(inland_transport_to_port="pipeline",$BN121,0)))))</f>
        <v>6850.1346659962319</v>
      </c>
      <c r="DF121" s="28">
        <f t="shared" si="159"/>
        <v>67918.341072650161</v>
      </c>
      <c r="DG121" s="29">
        <f>((Carriers!$T$18/Carriers!$T$23*alk_el_e_demand)+DBT_e_demand)*(DD121+DBT_st_ab_losses)/1000000+DBT_st_e_demand*DD121/1000000</f>
        <v>703.88335483870969</v>
      </c>
      <c r="DH121" s="29">
        <f t="shared" si="160"/>
        <v>0.21935483870967742</v>
      </c>
      <c r="DI121" s="28">
        <f>IFERROR(DF121*1000000/Storage!$M$12,"")</f>
        <v>309.62773136061099</v>
      </c>
      <c r="DJ121" s="28">
        <f>IF($E121="","No Port",((F121/24/Shipping!$N$44+F121/24/Shipping!$N$50+Shipping!$N$59+Shipping!$N$64)*Carriers!$T$39*wacc_nl))</f>
        <v>4089.5871279801563</v>
      </c>
      <c r="DK121" s="100">
        <f>H2_retrieval!$L$25*h2_demand_kt/1000+(co2_liq_e_demand+co2_st_e_demand*2)*Storage!$M$12*co2_density/DBT_density/1000000</f>
        <v>206.61934861671787</v>
      </c>
      <c r="DL121" s="28">
        <f>IFERROR(((DF121*(1+H2_retrieval!$L$34)+DJ121)*1000000/H2_retrieval!$L$8)+h2_regen_lohc,"")</f>
        <v>5765.350383626318</v>
      </c>
      <c r="DM121" s="149">
        <f t="shared" si="175"/>
        <v>56787.347977331556</v>
      </c>
      <c r="DN121" s="16">
        <f>2*(nabh4_st_nl_cost*nabh4_st_nl_demand/1000000+(nabh4_st_invest*(M121+1/nabh4_st_lifetime+nabh4_st_opex)/(Storage!$O$63/1000000)+nabh4_st_e_demand*1000*$AU121/100)*(DO121+nabh4_st_ab_losses)/1000000)+(h2_demand_kt*1000/365.25*short_st_duration_hrs/24)*(h2_short_st_invest*(1/gh2_short_st_lifetime+$M121+h2_short_st_opex)+h2_short_st_e_demand*1000*$AU121/100)/1000000</f>
        <v>1486.3227246863603</v>
      </c>
      <c r="DO121" s="63">
        <f>Storage!$O$57/((1-Shipping!$P$37)^($F121/24/Shipping!$P$44+0.5*Shipping!$P$59))</f>
        <v>63920000</v>
      </c>
      <c r="DP121" s="16">
        <f>IF($E121="","No Port",((F121/24/Shipping!$P$44+F121/24/Shipping!$P$50+Shipping!$P$59+Shipping!$P$64)*(Shipping!$P$22+wacc_nl*Shipping!$P$19/365.25*1000000+Shipping!$P$35)+(F121/24/Shipping!$P$44*Shipping!$P$45+Shipping!$P$64*Shipping!$P$65)*IF(bunker_choice="HFO",$H121,IF(bunker_choice="hydrogen",$BD121*hfo_e_density_lhv/h2_e_density_lhv,(DM121+DN121)*1000000/DO121*hfo_e_density_lhv/nabh4_e_density_lhv))+(F121/24/Shipping!$P$50*Shipping!$P$51+Shipping!$P$59*Shipping!$P$60)*IF(bunker_choice="HFO",bunker_price_ROT,IF(bunker_choice="hydrogen",$BD121*hfo_e_density_lhv/h2_e_density_lhv,(DM121+DN121)*1000000/DO121*hfo_e_density_lhv/nabh4_e_density_lhv))+Shipping!$P$73+IF(G121="Panama",Shipping!$P$55,0)+IF(G121="Suez",Shipping!$P$56,0))/Shipping!$P$31*(DO121+nabh4_st_ab_losses)/1000000+IF(inland_transport_to_port="hv dc grid",$BM121/100*1000*DR121,IF(inland_transport_to_port="pipeline",$BN121,0)))</f>
        <v>2223.1133639933387</v>
      </c>
      <c r="DQ121" s="28">
        <f t="shared" si="146"/>
        <v>60496.784066011256</v>
      </c>
      <c r="DR121" s="29">
        <f>((Carriers!$V$18/Carriers!$V$23*alk_el_e_demand)+nabh4_e_demand)*(DO121+nabh4_st_ab_losses)/1000000+nabh4_st_e_demand*DO121/1000000</f>
        <v>980.02139682539689</v>
      </c>
      <c r="DS121" s="28">
        <f t="shared" si="161"/>
        <v>3.1960000000000002</v>
      </c>
      <c r="DT121" s="28">
        <f>IFERROR(DQ121*1000000/Storage!$O$12,"")</f>
        <v>946.44530766600838</v>
      </c>
      <c r="DU121" s="28">
        <f>IF($E121="","No Port",((F121/24/Shipping!$P$44+F121/24/Shipping!$P$50+Shipping!$P$59+Shipping!$P$64)*Carriers!$V$39*wacc_nl))</f>
        <v>388.51126114763719</v>
      </c>
      <c r="DV121" s="100">
        <f>H2_retrieval!$N$25*h2_demand_kt/1000+(co2_liq_e_demand+co2_st_e_demand*2)*Storage!$O$12*co2_density/nabh4_density/1000000</f>
        <v>18.783638728971958</v>
      </c>
      <c r="DW121" s="28">
        <f>IFERROR(((DQ121*(1+H2_retrieval!$N$34)+DU121)*1000000/H2_retrieval!$N$8)+h2_regen_nabh4,"")</f>
        <v>4572.700019897633</v>
      </c>
      <c r="DX121" s="149">
        <f>(Dme_invest*(M121+1/Dme_lifetime)/Dme_prod+Dme_opex+Dme_e_demand*1000*$AU121/100+Carriers!$X$21/Carriers!$X$23*(CO121*1000000/CS121))*(EB121+Dme_st_ab_losses)/1000000</f>
        <v>119020.26359929447</v>
      </c>
      <c r="DY121" s="86">
        <f>(Dme_invest*(M121+1/Dme_lifetime)/Dme_prod+Dme_opex+Dme_e_demand*1000*$AU121/100+Carriers!$X$21/Carriers!$X$23*(CP121*1000000/CS121))*(EB121+Dme_st_ab_losses)/1000000</f>
        <v>142514.50471006247</v>
      </c>
      <c r="DZ121" s="63">
        <f>Dme_st_nl_cost*Dme_st_nl_demand/1000000+(Dme_st_invest*(M121+1/Dme_st_lifetime+Dme_st_opex)/(Storage!$Q$63/1000000)+Dme_st_e_demand*1000*$AU121/100)*(EB121+Dme_st_ab_losses)/1000000+co2_st_nl_cost*Storage!$Q$12*co2_density/Dme_density/1000000+(co2_st_opex_lev+co2_st_invest_lev+co2_st_e_demand*1000*$AU121/100)*Storage!$Q$12/1000000+co2_st_invest_lev*Storage!$Q$12*co2_st_lifetime*M121/1000000+(h2_demand_kt*1000/365.25*short_st_duration_hrs/24)*(h2_short_st_invest*(1/gh2_short_st_lifetime+$M121+h2_short_st_opex)+h2_short_st_e_demand*1000*$AU121/100)/1000000</f>
        <v>6166.7373081296673</v>
      </c>
      <c r="EA121" s="63">
        <f>Dme_st_nl_cost*Dme_st_nl_demand/1000000+(Dme_st_invest*(M121+1/Dme_st_lifetime+Dme_st_opex)/(Storage!$Q$63/1000000)+Dme_st_e_demand*1000*$AU121/100)*(EB121+Dme_st_ab_losses)/1000000+(h2_demand_kt*1000/365.25*short_st_duration_hrs/24)*(h2_short_st_invest*(1/gh2_short_st_lifetime+$M121+h2_short_st_opex)+h2_short_st_e_demand*1000*$AU121/100)/1000000</f>
        <v>3136.171081624806</v>
      </c>
      <c r="EB121" s="63">
        <f>Storage!$Q$57/((1-Shipping!$R$37)^($F121/24/Shipping!$R$44+0.5*Shipping!$R$59))</f>
        <v>103547089.94708996</v>
      </c>
      <c r="EC121" s="153">
        <f>IF($E121="","No Port",IF(AND(ship_choice="VLCC",G121="Panama"),"Ship cannot pass through Panama",IF(ship_choice="VLCC",((F121/24/Shipping!$AD$44+F121/24/Shipping!$AD$50+Shipping!$AD$59+Shipping!$AD$64)*(Shipping!$AD$22+wacc_nl*Shipping!$AD$19/365.25*1000000+Shipping!$AD$35)+(F121/24/Shipping!$AD$44*Shipping!$AD$45+Shipping!$AD$64*Shipping!$AD$65)*IF(bunker_choice="HFO",$H121,IF(bunker_choice="hydrogen",$BD121*hfo_e_density_lhv/h2_e_density_lhv,(DX121+DZ121)*1000000/EB121*hfo_e_density_lhv/Dme_e_density_lhv))+(F121/24/Shipping!$AD$50*Shipping!$AD$51+Shipping!$AD$59*Shipping!$AD$60)*IF(bunker_choice="HFO",bunker_price_ROT,IF(bunker_choice="hydrogen",$BD121*hfo_e_density_lhv/h2_e_density_lhv,(DX121+DZ121)*1000000/EB121*hfo_e_density_lhv/Dme_e_density_lhv))+Shipping!$AD$73+IF(G121="Panama",Shipping!$AD$55,0)+IF(G121="Suez",Shipping!$AD$56,0))/Shipping!$AD$31*(EB121+Dme_st_ab_losses)/1000000+IF(inland_transport_to_port="hv dc grid",$BM121/100*1000*EE121,IF(inland_transport_to_port="pipeline",$BN121,0)),((F121/24/Shipping!$R$44+F121/24/Shipping!$R$50+Shipping!$R$59+Shipping!$R$64)*(Shipping!$R$22+wacc_nl*Shipping!$R$19/365.25*1000000+Shipping!$R$35)+(F121/24/Shipping!$R$44*Shipping!$R$45+Shipping!$R$64*Shipping!$R$65)*IF(bunker_choice="HFO",$H121,IF(bunker_choice="hydrogen",$BD121*hfo_e_density_lhv/h2_e_density_lhv,(DX121+DZ121)*1000000/EB121*hfo_e_density_lhv/Dme_e_density_lhv))+(F121/24/Shipping!$R$50*Shipping!$R$51+Shipping!$R$59*Shipping!$R$60)*IF(bunker_choice="HFO",bunker_price_ROT,IF(bunker_choice="hydrogen",$BD121*hfo_e_density_lhv/h2_e_density_lhv,(DX121+DZ121)*1000000/EB121*hfo_e_density_lhv/Dme_e_density_lhv))+Shipping!$R$73+IF(G121="Panama",Shipping!$R$55,0)+IF(G121="Suez",Shipping!$R$56,0))/Shipping!$R$31*(EB121+Dme_st_ab_losses)/1000000+IF(inland_transport_to_port="hv dc grid",$BM121/100*1000*EE121,IF(inland_transport_to_port="pipeline",$BN121,0)))))</f>
        <v>3856.7451424953679</v>
      </c>
      <c r="ED121" s="28">
        <f t="shared" si="134"/>
        <v>149507.42093418265</v>
      </c>
      <c r="EE121" s="29">
        <f>(Dme_e_demand)*(EB121+Dme_st_ab_losses)/1000000+Dme_st_e_demand*DZ121/1000000+$CV121*(Carriers!$X$21/Carriers!$X$23*EB121)/$CS121</f>
        <v>1550.2168218344289</v>
      </c>
      <c r="EF121" s="29">
        <f t="shared" si="162"/>
        <v>1.0354708994708997</v>
      </c>
      <c r="EG121" s="28">
        <f>IFERROR(ED121*1000000/Storage!$Q$12,"")</f>
        <v>1443.8592239586578</v>
      </c>
      <c r="EH121" s="28">
        <f>IF($E121="","No Port",((F121/24/Shipping!$R$44+F121/24/Shipping!$R$50+Shipping!$R$59+Shipping!$R$64)*Carriers!$X$39*wacc_nl))</f>
        <v>57.688511490629089</v>
      </c>
      <c r="EI121" s="100">
        <f>H2_retrieval!$P$25*h2_demand_kt/1000+(co2_liq_e_demand+co2_st_e_demand*2)*Storage!$Q$12*co2_density/Dme_density/1000000</f>
        <v>252.45335899349112</v>
      </c>
      <c r="EJ121" s="28">
        <f>IFERROR((((DX121+DZ121+EC121)*(1+H2_retrieval!$P$34)+EH121)*1000000/H2_retrieval!$P$8)+h2_regen_dme,"")</f>
        <v>10662.881084476272</v>
      </c>
      <c r="EK121" s="149">
        <f>(ome_invest*(M121+1/ome_lifetime)/ome_prod+ome_opex+ome_e_demand*1000*$AU121/100+Carriers!$Z$21/Carriers!$Z$23*(CO121*1000000/CS121))*(EO121+ome_st_ab_losses)/1000000</f>
        <v>257348.82866500184</v>
      </c>
      <c r="EL121" s="86">
        <f>(ome_invest*(M121+1/ome_lifetime)/ome_prod+ome_opex+ome_e_demand*1000*$AU121/100+Carriers!$Z$21/Carriers!$Z$23*(CP121*1000000/CS121))*(EO121+ome_st_ab_losses)/1000000</f>
        <v>306667.81421674526</v>
      </c>
      <c r="EM121" s="63">
        <f>ome_st_nl_cost*ome_st_nl_demand/1000000+(ome_st_invest*(M121+1/ome_st_lifetime+ome_st_opex)/(Storage!$S$63/1000000)+ome_st_e_demand*1000*$AU121/100)*(EO121+ome_st_ab_losses)/1000000+co2_st_nl_cost*Storage!$S$12*co2_density/ome_density/1000000+(co2_st_opex_lev+co2_st_invest_lev+co2_st_e_demand*1000*$AU121/100)*Storage!$S$12/1000000+co2_st_invest_lev*Storage!$S$12*co2_st_lifetime*M121/1000000+(h2_demand_kt*1000/365.25*short_st_duration_hrs/24)*(h2_short_st_invest*(1/gh2_short_st_lifetime+$M121+h2_short_st_opex)+h2_short_st_e_demand*1000*$AU121/100)/1000000</f>
        <v>5302.378498548479</v>
      </c>
      <c r="EN121" s="63">
        <f>ome_st_nl_cost*ome_st_nl_demand/1000000+(ome_st_invest*(M121+1/ome_st_lifetime+ome_st_opex)/(Storage!$S$63/1000000)+ome_st_e_demand*1000*$AU121/100)*(EO121+ome_st_ab_losses)/1000000+(h2_demand_kt*1000/365.25*short_st_duration_hrs/24)*(h2_short_st_invest*(1/gh2_short_st_lifetime+$M121+h2_short_st_opex)+h2_short_st_e_demand*1000*$AU121/100)/1000000</f>
        <v>1886.834911846151</v>
      </c>
      <c r="EO121" s="63">
        <f>Storage!$S$57/((1-Shipping!$T$37)^($F121/24/Shipping!$T$44+0.5*Shipping!$T$59))</f>
        <v>128282539.68253967</v>
      </c>
      <c r="EP121" s="28">
        <f>IF($E121="","No Port",IF(AND(ship_choice="VLCC",G121="Panama"),"Ship cannot pass through Panama",IF(ship_choice="VLCC",((F121/24/Shipping!$AD$44+F121/24/Shipping!$AD$50+Shipping!$AD$59+Shipping!$AD$64)*(Shipping!$AD$22+wacc_nl*Shipping!$AD$19/365.25*1000000+Shipping!$AD$35)+(F121/24/Shipping!$AD$44*Shipping!$AD$45+Shipping!$AD$64*Shipping!$AD$65)*IF(bunker_choice="HFO",$H121,IF(bunker_choice="hydrogen",$BD121*hfo_e_density_lhv/h2_e_density_lhv,(EK121+EM121)*1000000/EO121*hfo_e_density_lhv/Dme_e_density_lhv))+(F121/24/Shipping!$AD$50*Shipping!$AD$51+Shipping!$AD$59*Shipping!$AD$60)*IF(bunker_choice="HFO",bunker_price_ROT,IF(bunker_choice="hydrogen",$BD121*hfo_e_density_lhv/h2_e_density_lhv,(EK121+EM121)*1000000/EO121*hfo_e_density_lhv/ome_e_density_lhv))+Shipping!$AD$73+IF(G121="Panama",Shipping!$AD$55,0)+IF(G121="Suez",Shipping!$AD$56,0))/Shipping!$AD$31*(EO121+ome_st_ab_losses)/1000000+IF(inland_transport_to_port="hv dc grid",$BM121/100*1000*ER121,IF(inland_transport_to_port="pipeline",$BN121,0)),((F121/24/Shipping!$T$44+F121/24/Shipping!$T$50+Shipping!$T$59+Shipping!$T$64)*(Shipping!$T$22+wacc_nl*Shipping!$T$19/365.25*1000000+Shipping!$T$35)+(F121/24/Shipping!$T$44*Shipping!$T$45+Shipping!$T$64*Shipping!$T$65)*IF(bunker_choice="HFO",$H121,IF(bunker_choice="hydrogen",$BD121*hfo_e_density_lhv/h2_e_density_lhv,(EK121+EM121)*1000000/EO121*hfo_e_density_lhv/Dme_e_density_lhv))+(F121/24/Shipping!$T$50*Shipping!$T$51+Shipping!$T$59*Shipping!$T$60)*IF(bunker_choice="HFO",bunker_price_ROT,IF(bunker_choice="hydrogen",$BD121*hfo_e_density_lhv/h2_e_density_lhv,(EK121+EM121)*1000000/EO121*hfo_e_density_lhv/ome_e_density_lhv))+Shipping!$T$73+IF(G121="Panama",Shipping!$T$55,0)+IF(G121="Suez",Shipping!$T$56,0))/Shipping!$T$31*(EO121+ome_st_ab_losses)/1000000+IF(inland_transport_to_port="hv dc grid",$BM121/100*1000*ER121,IF(inland_transport_to_port="pipeline",$BN121,0)))))</f>
        <v>4305.643691326949</v>
      </c>
      <c r="EQ121" s="28">
        <f t="shared" si="135"/>
        <v>312860.29281991837</v>
      </c>
      <c r="ER121" s="29">
        <f>(ome_e_demand)*(EO121+ome_st_ab_losses)/1000000+ome_st_e_demand*EM121/1000000+$CV121*(Carriers!$Z$21/Carriers!$Z$23*EO121)/$CS121</f>
        <v>3352.0814580943511</v>
      </c>
      <c r="ES121" s="29">
        <f t="shared" si="163"/>
        <v>0.1924238095238095</v>
      </c>
      <c r="ET121" s="28">
        <f>IFERROR(EQ121*1000000/Storage!$S$12,"")</f>
        <v>2438.8376905707714</v>
      </c>
      <c r="EU121" s="28">
        <f>IF($E121="","No Port",((F121/24/Shipping!$T$44+F121/24/Shipping!$T$50+Shipping!$T$59+Shipping!$T$64)*Carriers!$Z$39*wacc_nl))</f>
        <v>66.667577077363731</v>
      </c>
      <c r="EV121" s="100">
        <f>H2_retrieval!$R$25*h2_demand_kt/1000+(co2_liq_e_demand+co2_st_e_demand*2)*Storage!$S$12*co2_density/ome_density/1000000</f>
        <v>254.51942895252085</v>
      </c>
      <c r="EW121" s="28">
        <f>IFERROR((((EK121+EM121+EP121)*(1+H2_retrieval!$R$34)+EU121)*1000000/H2_retrieval!$R$8)+h2_regen_ome,"")</f>
        <v>20804.210780839836</v>
      </c>
      <c r="EX121" s="149">
        <f>(sng_invest*(M121+1/sng_lifetime)/sng_prod+lng_invest*(M121+1/lng_lifetime)/lng_prod+sng_opex+lng_opex+(sng_e_demand+lng_e_demand)*1000*$AU121/100+Carriers!$AB$18/Carriers!$AB$23*BD121+Carriers!$AB$20/Carriers!$AB$23*co2_liq_cost)*(FB121+lng_st_ab_losses)/1000000</f>
        <v>90417.065595613909</v>
      </c>
      <c r="EY121" s="86">
        <f>(sng_invest*(M121+1/sng_lifetime)/sng_prod+lng_invest*(M121+1/lng_lifetime)/lng_prod+sng_opex+lng_opex+(sng_e_demand+lng_e_demand)*1000*$AU121/100+Carriers!$AB$18/Carriers!$AB$23*BD121+Carriers!$AB$20/Carriers!$AB$23*BP121)*(FB121+lng_st_ab_losses)/1000000</f>
        <v>103334.8696263403</v>
      </c>
      <c r="EZ121" s="63">
        <f>lng_st_nl_cost*lng_st_nl_demand/1000000+(lng_st_invest*(M121+1/lng_st_lifetime+lng_st_opex)/(Storage!$U$63/1000000)+lng_st_e_demand*1000*$AU121/100)*(FB121+lng_st_ab_losses)/1000000+co2_st_nl_cost*Storage!$U$12*co2_density/lng_density/1000000+(co2_st_opex_lev+co2_st_invest_lev+co2_st_e_demand*1000*$AU121/100)*Storage!$U$12/1000000+co2_st_invest_lev*Storage!$U$12*co2_st_lifetime*M121/1000000+Carriers!$AB$18/Carriers!$AB$23*((FB121+lng_st_ab_losses)/365.25*short_st_duration_hrs/24)*(h2_short_st_invest*(1/gh2_short_st_lifetime+$M121+h2_short_st_opex)+h2_short_st_e_demand*1000*$AU121/100)/1000000+Carriers!$AB$20/Carriers!$AB$23*((FB121+lng_st_ab_losses)/365.25*short_st_duration_hrs/24)*(co2_short_st_invest*(1/co2_short_st_lifetime+$M121+co2_short_st_opex)+co2_short_st_e_demand*1000*$AU121/100)/1000000</f>
        <v>6519.3603473436842</v>
      </c>
      <c r="FA121" s="63">
        <f>lng_st_nl_cost*lng_st_nl_demand/1000000+(lng_st_invest*(M121+1/lng_st_lifetime+lng_st_opex)/(Storage!$U$63/1000000)+lng_st_e_demand*1000*$AU121/100)*(FB121+lng_st_ab_losses)/1000000+Carriers!$AB$18/Carriers!$AB$23*((FB121+lng_st_ab_losses)/365.25*short_st_duration_hrs/24)*(h2_short_st_invest*(1/gh2_short_st_lifetime+$M121+h2_short_st_opex)+h2_short_st_e_demand*1000*$AU121/100)/1000000+Carriers!$AB$20/Carriers!$AB$23*((FB121+lng_st_ab_losses)/365.25*short_st_duration_hrs/24)*(co2_short_st_invest*(1/co2_short_st_lifetime+$M121+co2_short_st_opex)+co2_short_st_e_demand*1000*$AU121/100)/1000000</f>
        <v>4893.87537094242</v>
      </c>
      <c r="FB121" s="63">
        <f>Storage!$U$57/((1-Shipping!$V$37)^($F121/24/Shipping!$V$44+0.5*Shipping!$V$59))</f>
        <v>41064863.944193959</v>
      </c>
      <c r="FC121" s="28">
        <f>IF($E121="","No Port",IF(G121="Panama","Ship cannot pass through Panama",((F121/24/Shipping!$V$44+F121/24/Shipping!$V$50+Shipping!$V$59+Shipping!$V$64)*(Shipping!$V$22+wacc_nl*Shipping!$V$19/365.25*1000000+Shipping!$V$35)+(F121/24/Shipping!$V$44*Shipping!$V$45+Shipping!$V$64*Shipping!$V$65)*IF(bunker_choice="HFO",$H121,IF(bunker_choice="hydrogen",$BD121*hfo_e_density_lhv/h2_e_density_lhv,(EX121+EZ121)*1000000/FB121*hfo_e_density_lhv/lng_e_density_lhv))+(F121/24/Shipping!$V$50*Shipping!$V$51+Shipping!$V$59*Shipping!$V$60)*IF(bunker_choice="HFO",bunker_price_ROT,IF(bunker_choice="hydrogen",$BD121*hfo_e_density_lhv/h2_e_density_lhv,(EX121+EZ121)*1000000/FB121*hfo_e_density_lhv/lng_e_density_lhv))+Shipping!$V$73+IF(G121="Panama",Shipping!$V$55,0)+IF(G121="Suez",Shipping!$V$56,0))/Shipping!$V$31*(FB121+lng_st_ab_losses)/1000000)+IF(inland_transport_to_port="hv dc grid",$BM121/100*1000*FE121,IF(inland_transport_to_port="pipeline",$BN121,0)))</f>
        <v>1819.9931920004806</v>
      </c>
      <c r="FD121" s="28">
        <f t="shared" si="136"/>
        <v>110048.73818928319</v>
      </c>
      <c r="FE121" s="29">
        <f>((Carriers!$AB$18/Carriers!$AB$23*alk_el_e_demand)+sng_e_demand+lng_e_demand)*(FB121+lng_st_ab_losses)/1000000+lng_st_e_demand*EZ121/1000000</f>
        <v>1101.3324341000987</v>
      </c>
      <c r="FF121" s="29">
        <f t="shared" si="164"/>
        <v>0.8126185861001558</v>
      </c>
      <c r="FG121" s="28">
        <f>IFERROR(FD121*1000000/Storage!$U$12,"")</f>
        <v>2711.6201916164114</v>
      </c>
      <c r="FH121" s="28">
        <f>IF($E121="","No Port",((F121/24/Shipping!$V$44+F121/24/Shipping!$V$50+Shipping!$V$59+Shipping!$V$64)*Carriers!$AB$39*wacc_nl))</f>
        <v>19.890695378083347</v>
      </c>
      <c r="FI121" s="100">
        <f>H2_retrieval!$T$25*h2_demand_kt/1000+(co2_liq_e_demand+co2_st_e_demand*2)*Storage!$U$12*co2_density/lng_density/1000000</f>
        <v>236.51371749646054</v>
      </c>
      <c r="FJ121" s="28">
        <f>IFERROR((((EX121+EZ121+FC121)*(1+H2_retrieval!$T$34)+FH121)*1000000/H2_retrieval!$T$8)+h2_regen_lng,"")</f>
        <v>8433.0925013090673</v>
      </c>
      <c r="FK121" s="149">
        <f>(lh2_invest*(M121+1/lh2_lifetime)/lh2_prod+lh2_opex+lh2_e_demand*1000*$AU121/100+Carriers!$AD$18/Carriers!$AD$23*BD121)*(FM121+lh2_st_ab_losses)/1000000</f>
        <v>68900.894115197734</v>
      </c>
      <c r="FL121" s="28">
        <f>lh2_st_nl_cost*lh2_st_nl_demand/1000000+(lh2_st_invest*(M121+1/lh2_st_lifetime+lh2_st_opex)/(Storage!$Y$63/1000000)+lh2_st_e_demand*1000*$AU121/100)*(FM121+lh2_st_ab_losses)/1000000+((FM121+lh2_st_ab_losses)/365.25*short_st_duration_hrs/24)*(h2_short_st_invest*(1/gh2_short_st_lifetime+$M121+h2_short_st_opex)+h2_short_st_e_demand*1000*$AU121/100)/1000000</f>
        <v>56577.490570872586</v>
      </c>
      <c r="FM121" s="63">
        <f>Storage!$Y$57/((1-Shipping!$Z$37)^($F121/24/Shipping!$Z$44+0.5*Shipping!$Z$59))</f>
        <v>13852577.553449856</v>
      </c>
      <c r="FN121" s="28">
        <f>IF($E121="","No Port",IF(G121="Panama","Ship cannot pass through Panama",((F121/24/Shipping!$Z$44+F121/24/Shipping!$Z$50+Shipping!$Z$59+Shipping!$Z$64)*(Shipping!$Z$22+wacc_nl*Shipping!$Z$19/365.25*1000000+Shipping!$Z$35)+(F121/24/Shipping!$Z$44*Shipping!$Z$45+Shipping!$Z$64*Shipping!$Z$65)*IF(bunker_choice="HFO",$H121,IF(bunker_choice="hydrogen",$BD121*hfo_e_density_lhv/h2_e_density_lhv,(FK121+FL121)*1000000/FM121*hfo_e_density_lhv/lh2_e_density_lhv))+(F121/24/Shipping!$Z$50*Shipping!$Z$51+Shipping!$Z$59*Shipping!$Z$60)*IF(bunker_choice="HFO",bunker_price_ROT,IF(bunker_choice="hydrogen",$BD121*hfo_e_density_lhv/h2_e_density_lhv,(FK121+FL121)*1000000/FM121*hfo_e_density_lhv/lh2_e_density_lhv))+Shipping!$Z$73+IF(G121="Panama",Shipping!$Z$55,0)+IF(G121="Suez",Shipping!$Z$56,0))/Shipping!$Z$31*(FM121+lh2_st_ab_losses)/1000000)+IF(inland_transport_to_port="hv dc grid",$BM121/100*1000*FP121,IF(inland_transport_to_port="pipeline",$BN121,0)))</f>
        <v>2727.0959718186405</v>
      </c>
      <c r="FO121" s="28">
        <f t="shared" si="128"/>
        <v>128205.48065788895</v>
      </c>
      <c r="FP121" s="29">
        <f>((Carriers!$AD$18/Carriers!$AD$23*alk_el_e_demand)+lh2_e_demand)*(FM121+lh2_st_ab_losses)/1000000+lh2_st_e_demand*FM121/1000000</f>
        <v>802.74771616814689</v>
      </c>
      <c r="FQ121" s="100">
        <f t="shared" si="165"/>
        <v>1.361902463475859</v>
      </c>
      <c r="FR121" s="28">
        <f>IFERROR(FO121*1000000/Storage!$Y$12,"")</f>
        <v>9426.8735777859529</v>
      </c>
      <c r="FS121" s="100">
        <f>H2_retrieval!$V$25*h2_demand_kt/1000</f>
        <v>8.16</v>
      </c>
      <c r="FT121" s="28">
        <f>IFERROR(FR121*(1+H2_retrieval!$V$34)/Carrier_properties!$U$7+H2_retrieval!$V$38,"")</f>
        <v>9458.8423036544209</v>
      </c>
      <c r="FU121" s="12"/>
      <c r="FV121" s="24">
        <f t="shared" si="129"/>
        <v>3.1171978806388316</v>
      </c>
      <c r="FW121" s="24" t="str">
        <f t="shared" si="143"/>
        <v/>
      </c>
      <c r="FX121" s="24" t="e">
        <f t="shared" si="144"/>
        <v>#N/A</v>
      </c>
      <c r="FY121" s="24" t="e">
        <f t="shared" si="130"/>
        <v>#N/A</v>
      </c>
      <c r="FZ121" s="28">
        <f t="shared" si="145"/>
        <v>3923.3075764580358</v>
      </c>
      <c r="GA121" s="28">
        <f t="shared" si="137"/>
        <v>851.81285192872929</v>
      </c>
      <c r="GB121" s="28">
        <f t="shared" si="138"/>
        <v>511.31171042356743</v>
      </c>
      <c r="GC121" s="28">
        <f t="shared" si="139"/>
        <v>948.91228270506633</v>
      </c>
      <c r="GD121" s="28">
        <f t="shared" si="140"/>
        <v>1376.3255421555923</v>
      </c>
      <c r="GE121" s="28">
        <f t="shared" si="141"/>
        <v>2390.565504671602</v>
      </c>
      <c r="GF121" s="28">
        <f t="shared" si="142"/>
        <v>2516.3816387354796</v>
      </c>
      <c r="GG121" s="12"/>
      <c r="GH121" s="12"/>
      <c r="GI121" s="12"/>
      <c r="GJ121" s="12"/>
      <c r="GK121" s="12"/>
      <c r="GL121" s="12"/>
      <c r="GM121" s="12"/>
      <c r="GN121" s="12"/>
      <c r="GO121" s="12"/>
      <c r="GP121" s="12"/>
      <c r="GQ121" s="12"/>
      <c r="GR121" s="12"/>
      <c r="GS121" s="12"/>
      <c r="GT121" s="12"/>
      <c r="GU121" s="12"/>
      <c r="GV121" s="12"/>
      <c r="GW121" s="12"/>
      <c r="GX121" s="12"/>
      <c r="GY121" s="12"/>
      <c r="GZ121" s="12"/>
      <c r="HA121" s="12"/>
      <c r="HB121" s="12"/>
      <c r="HC121" s="12"/>
      <c r="HD121" s="12"/>
      <c r="HE121" s="12"/>
      <c r="HF121" s="12"/>
    </row>
    <row r="122" spans="1:214" x14ac:dyDescent="0.2">
      <c r="A122" s="154" t="s">
        <v>123</v>
      </c>
      <c r="B122" s="12">
        <v>7884</v>
      </c>
      <c r="C122" s="12">
        <v>0.8</v>
      </c>
      <c r="D122" s="12">
        <f t="shared" si="111"/>
        <v>0.19999999999999996</v>
      </c>
      <c r="E122" s="12" t="s">
        <v>776</v>
      </c>
      <c r="F122" s="12">
        <v>6061</v>
      </c>
      <c r="G122" s="12" t="s">
        <v>692</v>
      </c>
      <c r="H122" s="16">
        <f t="shared" si="166"/>
        <v>382.75862068965517</v>
      </c>
      <c r="I122" s="16">
        <v>460</v>
      </c>
      <c r="J122" s="16">
        <f t="shared" si="113"/>
        <v>12.100518486599809</v>
      </c>
      <c r="K122" s="16">
        <f t="shared" si="114"/>
        <v>14.52062218391977</v>
      </c>
      <c r="L122" s="103">
        <v>0.112</v>
      </c>
      <c r="M122" s="103">
        <f t="shared" si="167"/>
        <v>0.12063031936531146</v>
      </c>
      <c r="N122" s="122">
        <f t="shared" si="116"/>
        <v>0.9</v>
      </c>
      <c r="O122" s="46">
        <f t="shared" si="168"/>
        <v>40</v>
      </c>
      <c r="P122" s="70">
        <f t="array" ref="P122">SUMPRODUCT(IF(Solar_data!A$4:A$777=A122,Solar_data!C$4:C$777),IF(Solar_data!A$4:A$777=A122,Solar_data!I$4:I$777))/SUMIF(Solar_data!A$4:A$777,A122,Solar_data!I$4:I$777)</f>
        <v>1916.25</v>
      </c>
      <c r="Q122" s="16">
        <f t="array" ref="Q122">MAX(IF(Solar_data!$A$777:'Solar_data'!$A$4=Country_details!$A122,Solar_data!$C$4:'Solar_data'!$C$777))</f>
        <v>1916.25</v>
      </c>
      <c r="R122" s="16">
        <f t="array" ref="R122">MIN(IF(Solar_data!$A$777:'Solar_data'!$A$4=Country_details!A122,Solar_data!$C$4:'Solar_data'!$C$777))</f>
        <v>1916.25</v>
      </c>
      <c r="S122" s="24">
        <f t="shared" si="149"/>
        <v>2.2912261253238597</v>
      </c>
      <c r="T122" s="24">
        <f t="shared" si="150"/>
        <v>2.2912261253238597</v>
      </c>
      <c r="U122" s="24">
        <f t="shared" si="151"/>
        <v>2.2912261253238597</v>
      </c>
      <c r="V122" s="16">
        <f t="array" ref="V122">SUM(IF(Solar_data!$A$777:'Solar_data'!$A$4=Country_details!$A122,Solar_data!$I$4:'Solar_data'!$I$777))</f>
        <v>1.65662035258095</v>
      </c>
      <c r="W122" s="148"/>
      <c r="X122" s="16" t="str">
        <f>IFERROR(INDEX(Onshore_wind_data!$J$5:'Onshore_wind_data'!$J$221,MATCH(A122,Onshore_wind_data!$B$5:'Onshore_wind_data'!$B$221,0)),"")</f>
        <v/>
      </c>
      <c r="Y122" s="16">
        <f>IFERROR(INDEX(Onshore_wind_data!$K$5:'Onshore_wind_data'!$K$221,MATCH(A122,Onshore_wind_data!$B$5:'Onshore_wind_data'!$B$221,0)),"")</f>
        <v>3971</v>
      </c>
      <c r="Z122" s="16" t="str">
        <f>IFERROR(INDEX(Onshore_wind_data!$L$5:'Onshore_wind_data'!$L$221,MATCH(A122,Onshore_wind_data!$B$5:'Onshore_wind_data'!$B$221,0)),"")</f>
        <v/>
      </c>
      <c r="AA122" s="24" t="str">
        <f t="shared" si="169"/>
        <v/>
      </c>
      <c r="AB122" s="24">
        <f t="shared" si="170"/>
        <v>3.5434655952046747</v>
      </c>
      <c r="AC122" s="24" t="str">
        <f t="shared" si="171"/>
        <v/>
      </c>
      <c r="AD122" s="16" t="str">
        <f>IFERROR(INDEX(Onshore_wind_data!$I$5:'Onshore_wind_data'!$I$221,MATCH(A122,Onshore_wind_data!$B$5:'Onshore_wind_data'!$B$221,0)),"")</f>
        <v/>
      </c>
      <c r="AE122" s="148"/>
      <c r="AF122" s="16" t="e">
        <f>INDEX(Offshore_wind_data!$AA$7:$AA$192,MATCH(Country_details!A122,Offshore_wind_data!$A$7:$A$192,0))</f>
        <v>#N/A</v>
      </c>
      <c r="AG122" s="16" t="e">
        <f>INDEX(Offshore_wind_data!$Y$7:$Y$192,MATCH(Country_details!A122,Offshore_wind_data!$A$7:$A$192,0))</f>
        <v>#N/A</v>
      </c>
      <c r="AH122" s="16" t="e">
        <f>INDEX(Offshore_wind_data!$Z$7:$Z$192,MATCH(Country_details!A122,Offshore_wind_data!$A$7:$A$192,0))</f>
        <v>#N/A</v>
      </c>
      <c r="AI122" s="24" t="e">
        <f t="shared" si="152"/>
        <v>#N/A</v>
      </c>
      <c r="AJ122" s="24" t="e">
        <f t="shared" si="153"/>
        <v>#N/A</v>
      </c>
      <c r="AK122" s="24" t="e">
        <f t="shared" si="154"/>
        <v>#N/A</v>
      </c>
      <c r="AL122" s="16" t="e">
        <f>INDEX(Offshore_wind_data!$W$7:$W$191,MATCH(A122,Offshore_wind_data!$A$7:$A$191,0))</f>
        <v>#N/A</v>
      </c>
      <c r="AM122" s="148"/>
      <c r="AN122" s="12">
        <v>0.1</v>
      </c>
      <c r="AO122" s="12">
        <v>0.1</v>
      </c>
      <c r="AP122" s="34"/>
      <c r="AQ122" s="15">
        <f t="shared" si="155"/>
        <v>50</v>
      </c>
      <c r="AR122" s="12">
        <f t="shared" si="131"/>
        <v>5</v>
      </c>
      <c r="AS122" s="16">
        <f t="shared" si="121"/>
        <v>-3.34337964741905</v>
      </c>
      <c r="AT122" s="12"/>
      <c r="AU122" s="24">
        <f t="shared" si="147"/>
        <v>2.2912261253238597</v>
      </c>
      <c r="AV122" s="16">
        <f t="shared" si="148"/>
        <v>1916.25</v>
      </c>
      <c r="AW122" s="149">
        <f>HV_DC_Grid!$E$3/(1-AX122)*AU122/100*1000</f>
        <v>2724.3373936491503</v>
      </c>
      <c r="AX122" s="31">
        <f>(1-(1-HV_DC_Grid!$E$25)^(B122*C122*HV_DC_Grid!$E$8/1000))+(1-(1-HV_DC_Grid!$E$26)^(B122*D122*HV_DC_Grid!$E$8/1000))+HV_DC_Grid!$E$35*HV_DC_Grid!$E$28</f>
        <v>0.15897857194007603</v>
      </c>
      <c r="AY122" s="28">
        <f>B122*nl_e_demand/IF(hv_dc_flh="electricity FLH",$AV122,hv_dc_custom)*1000*hv_dc_capacity_multiplier*hv_dc_length_multiplier*1000*(C122*hv_dc_overhead_invest*(hv_dc_overhead_opex+M122+1/hv_dc_lifetime)+D122*hv_dc_sea_invest*(hv_dc_sea_opex+M122+1/hv_dc_lifetime))/1000000+HV_DC_Grid!$E$10*1000*hv_dc_station_invest*hv_dc_station_number*(hv_dc_station_opex+M122+1/hv_dc_lifetime)/1000000</f>
        <v>9662.9051300370611</v>
      </c>
      <c r="AZ122" s="24">
        <f>(AW122+AY122)/(HV_DC_Grid!$E$3*1000)*100</f>
        <v>12.387242523686211</v>
      </c>
      <c r="BA122" s="28">
        <f>MIN(((Carriers!$F$26+Carriers!$F$27)*(alk_el_opex+wacc_nl+1/alk_el_lifetime)+IF(hv_dc_flh="electricity FLH",$AV122,hv_dc_custom)*AZ122/100)/(IF(hv_dc_flh="electricity FLH",$AV122,hv_dc_custom)/alk_el_e_demand)*1000,((Carriers!$H$26+Carriers!$H$27)*(pem_el_opex+wacc_nl+1/pem_el_lifetime)+IF(hv_dc_flh="electricity FLH",$AV122,hv_dc_custom)*AZ122/100)/(IF(hv_dc_flh="electricity FLH",$AV122,hv_dc_custom)/pem_el_e_demand)*1000)</f>
        <v>6687.3728942847501</v>
      </c>
      <c r="BB122" s="12"/>
      <c r="BC122" s="12"/>
      <c r="BD122" s="149">
        <f>MIN(((Carriers!$F$26+Carriers!$F$27)*(alk_el_opex+M122+1/alk_el_lifetime)+$AV122*$AU122/100)/($AV122/alk_el_e_demand)*1000,((Carriers!$H$26+Carriers!$H$27)*(pem_el_opex+M122+1/pem_el_lifetime)+$AV122*$AU122/100)/($AV122/pem_el_e_demand)*1000)</f>
        <v>2903.0691325659682</v>
      </c>
      <c r="BE122" s="28">
        <f>Storage!$AC$50</f>
        <v>8.1664117557772418</v>
      </c>
      <c r="BF122" s="28">
        <f>((Pipeline!$D$22*Pipeline!$D$24*B122*(pipeline_opex+M122+1/pipeline_lifetime))*(Pipeline!$D$39/Pipeline!$D$3)+(Pipeline!$D$57*(pipeline_comp_opex+M122+1/pipeline_comp_lifetime)+Pipeline!$D$47*1000*Pipeline!$D$45*$AU122/100/1000000))*(Pipeline!$D$75/Pipeline!$D$45)</f>
        <v>17289.040771776505</v>
      </c>
      <c r="BG122" s="28">
        <f>BD122+(BE122+BF122)/Storage!$AC$12*1000000</f>
        <v>4174.9226019433418</v>
      </c>
      <c r="BH122" s="28"/>
      <c r="BI122" s="28"/>
      <c r="BJ122" s="28">
        <f>IF($E122="","No Port",BK122*HV_DC_Grid!$E$3*$AU122/100*1000)</f>
        <v>32.721025275418292</v>
      </c>
      <c r="BK122" s="31">
        <f>IFERROR((1-(1-HV_DC_Grid!$E$25)^(K122*HV_DC_Grid!$E$8/1000))+HV_DC_Grid!$E$35*HV_DC_Grid!$E$28,"")</f>
        <v>1.4281010902314694E-2</v>
      </c>
      <c r="BL122" s="28">
        <f>IFERROR(K122*nl_e_demand/IF(hv_dc_flh="electricity FLH",$AV122,hv_dc_custom)*1000*hv_dc_capacity_multiplier*hv_dc_length_multiplier*1000*(hv_dc_overhead_invest*(hv_dc_overhead_opex+M122+1/hv_dc_lifetime))/1000000+HV_DC_Grid!$E$10*1000*hv_dc_station_invest*hv_dc_station_number*(hv_dc_station_opex+M122+1/hv_dc_lifetime)/1000000,"")</f>
        <v>422.79604620275717</v>
      </c>
      <c r="BM122" s="29">
        <f>IFERROR((BJ122+BL122)/(HV_DC_Grid!$E$3*1000)*100,"")</f>
        <v>0.45551707147817544</v>
      </c>
      <c r="BN122" s="28">
        <f>IFERROR(((Pipeline!$D$22*Pipeline!$D$24*K122*(pipeline_opex+M122+1/pipeline_lifetime))*(Pipeline!$D$39/Pipeline!$D$3)+(Pipeline!$D$57*(pipeline_comp_opex+M122+1/pipeline_comp_lifetime)+Pipeline!$D$47*1000*Pipeline!$D$45*S122/100/1000000))*(Pipeline!$D$75/Pipeline!$D$45),"")</f>
        <v>108.29080767340167</v>
      </c>
      <c r="BO122" s="28"/>
      <c r="BP122" s="150">
        <f t="shared" si="172"/>
        <v>109.41690337193697</v>
      </c>
      <c r="BQ122" s="34">
        <f t="shared" si="173"/>
        <v>32.795301522422832</v>
      </c>
      <c r="BR122" s="151">
        <f>(nh3_invest*(M122+1/nh3_lifetime)/nh3_prod+nh3_opex+nh3_e_demand*1000*$AU122/100+Carriers!$N$18/Carriers!$N$23*BD122+Carriers!$N$19/Carriers!$N$23*BQ122)*(BT122+nh3_st_ab_losses)/1000000</f>
        <v>52293.207886469427</v>
      </c>
      <c r="BS122" s="63">
        <f>nh3_st_nl_cost*nh3_st_nl_demand/1000000+(nh3_st_invest*(M122+1/nh3_st_lifetime+nh3_st_opex)/(Storage!$G$63/1000000)+nh3_st_e_demand*1000*$AU122/100)*(BT122+nh3_st_ab_losses)/1000000+Carriers!$N$18/Carriers!$N$23*((BT122+nh3_st_ab_losses)/365.25*short_st_duration_hrs/24)*(h2_short_st_invest*(1/gh2_short_st_lifetime+$M122+h2_short_st_opex)+h2_short_st_e_demand*1000*$AU122/100)/1000000+Carriers!$N$19/Carriers!$N$23*((BT122+nh3_st_ab_losses)/365.25*short_st_duration_hrs/24)*(n2_short_st_invest*(1/n2_short_st_lifetime+$M122+n2_short_st_opex)+n2_short_st_e_demand*1000*$AU122/100)/1000000</f>
        <v>3402.8055403274916</v>
      </c>
      <c r="BT122" s="63">
        <f>Storage!$G$57/((1-Shipping!$H$37)^(F122/24/Shipping!$H$44+0.5*Shipping!$H$59))</f>
        <v>79858115.100486621</v>
      </c>
      <c r="BU122" s="63">
        <f>IF($E122="","No Port",((F122/24/Shipping!$H$44+F122/24/Shipping!$H$50+Shipping!$H$59+Shipping!$H$64)*(Shipping!$H$22+wacc_nl*Shipping!$H$19/365.25*1000000+Shipping!$H$35)+(F122/24/Shipping!$H$44*Shipping!$H$45+Shipping!$H$64*Shipping!$H$65)*IF(bunker_choice="HFO",H122,IF(bunker_choice="hydrogen",BD122*hfo_e_density_lhv/h2_e_density_lhv,(BR122+BS122)*1000000/BT122*hfo_e_density_lhv/nh3_e_density_lhv))+(F122/24/Shipping!$H$50*Shipping!$H$51+Shipping!$H$59*Shipping!$H$60)*IF(bunker_choice="HFO",bunker_price_ROT,IF(bunker_choice="hydrogen",BD122*hfo_e_density_lhv/h2_e_density_lhv,(BR122+BS122)*1000000/BT122*hfo_e_density_lhv/nh3_e_density_lhv))+Shipping!$H$73+IF(G122="Panama",Shipping!$H$55,0)+IF(G122="Suez",Shipping!$H$56,0))/Shipping!$H$31*BT122/1000000+IF(inland_transport_to_port="hv dc grid",$BM122/100*1000*BW122,IF(inland_transport_to_port="pipeline",$BN122,0)))</f>
        <v>4600.2812527398974</v>
      </c>
      <c r="BV122" s="63">
        <f t="shared" si="174"/>
        <v>60296.294679536819</v>
      </c>
      <c r="BW122" s="33">
        <f>((Carriers!$N$18/Carriers!$N$23*alk_el_e_demand)+(Carriers!$N$19/Carriers!$N$23*n2_e_demand)+nh3_e_demand)*(BT122+nh3_st_ab_losses)/1000000+nh3_st_e_demand*BT122/1000000</f>
        <v>788.61252482230975</v>
      </c>
      <c r="BX122" s="33">
        <f t="shared" si="156"/>
        <v>0.76626754477640768</v>
      </c>
      <c r="BY122" s="63">
        <f>IFERROR(BV122*1000000/Storage!$G$12,"")</f>
        <v>787.53867857367163</v>
      </c>
      <c r="BZ122" s="63">
        <f>H2_retrieval!$F$25*h2_demand_kt/1000</f>
        <v>80</v>
      </c>
      <c r="CA122" s="63">
        <f>IFERROR(BY122*(1+H2_retrieval!$F$34)/Carrier_properties!$E$7+H2_retrieval!$F$38,"")</f>
        <v>4842.7770590214423</v>
      </c>
      <c r="CB122" s="149">
        <f>(FA_invest*(M122+1/FA_lifetime)/FA_prod+FA_opex+FA_e_demand*1000*$AU122/100+Carriers!$P$18/Carriers!$P$23*BD122+Carriers!$P$20/Carriers!$P$23*co2_liq_cost)*(CF122+FA_st_ab_losses)/1000000</f>
        <v>100791.44176262659</v>
      </c>
      <c r="CC122" s="86">
        <f>(FA_invest*(M122+1/FA_lifetime)/FA_prod+FA_opex+FA_e_demand*1000*$AU122/100+Carriers!$P$18/Carriers!$P$23*BD122+Carriers!$P$20/Carriers!$P$23*BP122)*(CF122+FA_st_ab_losses)/1000000</f>
        <v>127117.0616189608</v>
      </c>
      <c r="CD122" s="63">
        <f>FA_st_nl_cost*FA_st_nl_demand/1000000+(FA_st_invest*(M122+1/FA_st_lifetime+FA_st_opex)/(Storage!$I$63/1000000)+FA_st_e_demand*1000*$AU122/100)*(CF122+FA_st_ab_losses)/1000000+co2_st_nl_cost*Storage!$I$12*co2_density/FA_density/1000000+(co2_st_opex_lev+co2_st_invest_lev+co2_st_e_demand*1000*$AU122/100)*Storage!$I$12/1000000+co2_st_invest_lev*Storage!$I$12*co2_st_lifetime*M122/1000000+Carriers!$P$18/Carriers!$P$23*((CF122+FA_st_ab_losses)/365.25*short_st_duration_hrs/24)*(h2_short_st_invest*(1/gh2_short_st_lifetime+$M122+h2_short_st_opex)+h2_short_st_e_demand*1000*$AU122/100)/1000000+Carriers!$P$20/Carriers!$P$23*((CF122+FA_st_ab_losses)/365.25*short_st_duration_hrs/24)*(co2_short_st_invest*(1/co2_short_st_lifetime+$M122+co2_short_st_opex)+co2_short_st_e_demand*1000*$AU122/100)/1000000</f>
        <v>11515.525844788279</v>
      </c>
      <c r="CE122" s="63">
        <f>FA_st_nl_cost*FA_st_nl_demand/1000000+(FA_st_invest*(M122+1/FA_st_lifetime+FA_st_opex)/(Storage!$I$63/1000000)+FA_st_e_demand*1000*$AU122/100)*(CF122+FA_st_ab_losses)/1000000+Carriers!$P$18/Carriers!$P$23*((CF122+FA_st_ab_losses)/365.25*short_st_duration_hrs/24)*(h2_short_st_invest*(1/gh2_short_st_lifetime+$M122+h2_short_st_opex)+h2_short_st_e_demand*1000*$AU122/100)/1000000+Carriers!$P$20/Carriers!$P$23*((CF122+FA_st_ab_losses)/365.25*short_st_duration_hrs/24)*(co2_short_st_invest*(1/co2_short_st_lifetime+$M122+co2_short_st_opex)+co2_short_st_e_demand*1000*$AU122/100)/1000000</f>
        <v>5014.4360790689962</v>
      </c>
      <c r="CF122" s="63">
        <f>Storage!$I$57/((1-Shipping!$J$37)^($F122/24/Shipping!$J$44+0.5*Shipping!$J$59))</f>
        <v>310425396.82539684</v>
      </c>
      <c r="CG122" s="28">
        <f>IF($E122="","No Port",((F122/24/Shipping!$J$44+F122/24/Shipping!$J$50+Shipping!$J$59+Shipping!$J$64)*(Shipping!$J$22+wacc_nl*Shipping!$J$19/365.25*1000000+Shipping!$J$35)+(F122/24/Shipping!$J$44*Shipping!$J$45+Shipping!$J$64*Shipping!$J$65)*IF(bunker_choice="HFO",$H122,IF(bunker_choice="hydrogen",$BD122*hfo_e_density_lhv/h2_e_density_lhv,(CB122+CD122)*1000000/CF122*hfo_e_density_lhv/FA_e_density_lhv))+(F122/24/Shipping!$J$50*Shipping!$J$51+Shipping!$J$59*Shipping!$J$60)*IF(bunker_choice="HFO",bunker_price_ROT,IF(bunker_choice="hydrogen",$BD122*hfo_e_density_lhv/h2_e_density_lhv,(CB122+CD122)*1000000/CF122*hfo_e_density_lhv/FA_e_density_lhv))+Shipping!$J$73+IF(G122="Panama",Shipping!$J$55,0)+IF(G122="Suez",Shipping!$J$56,0))/Shipping!$J$31*CF122/1000000+IF(inland_transport_to_port="hv dc grid",$BM122/100*1000*CI122,IF(inland_transport_to_port="pipeline",$BN122,0)))</f>
        <v>19628.127840228401</v>
      </c>
      <c r="CH122" s="28">
        <f t="shared" si="132"/>
        <v>151759.6255382582</v>
      </c>
      <c r="CI122" s="29">
        <f>((Carriers!$P$18/Carriers!$P$23*alk_el_e_demand)+FA_e_demand)*(CF122+FA_st_ab_losses)/1000000+FA_st_e_demand*CF122/1000000</f>
        <v>1897.8881241622576</v>
      </c>
      <c r="CJ122" s="29">
        <f t="shared" si="157"/>
        <v>0.46563809523809524</v>
      </c>
      <c r="CK122" s="28">
        <f>IFERROR(CH122*1000000/Storage!$I$12,"")</f>
        <v>488.87631968984022</v>
      </c>
      <c r="CL122" s="28">
        <f>IF($E122="","No Port",((F122/24/Shipping!$J$44+F122/24/Shipping!$J$50+Shipping!$J$59+Shipping!$J$64)*Carriers!$P$39*wacc_nl))</f>
        <v>295.94153717359598</v>
      </c>
      <c r="CM122" s="29">
        <f>H2_retrieval!$H$25*h2_demand_kt/1000+(co2_liq_e_demand+co2_st_e_demand*2)*Storage!$I$12*co2_density/FA_density/1000000</f>
        <v>94.204253879484654</v>
      </c>
      <c r="CN122" s="28">
        <f>IFERROR((((CB122+CD122+CG122)*(1+H2_retrieval!$H$34)+CL122)*1000000/H2_retrieval!$H$8)+h2_regen_fa,"")</f>
        <v>9812.5577342976103</v>
      </c>
      <c r="CO122" s="149">
        <f>(meoh_invest*(M122+1/meoh_lifetime)/meoh_prod+meoh_opex+meoh_e_demand*1000*$AU122/100+Carriers!$R$18/Carriers!$R$23*BD122+Carriers!$R$20/Carriers!$R$23*co2_liq_cost)*(CS122+meoh_st_ab_losses)/1000000</f>
        <v>63471.727076061099</v>
      </c>
      <c r="CP122" s="86">
        <f>(meoh_invest*(M122+1/meoh_lifetime)/meoh_prod+meoh_opex+meoh_e_demand*1000*$AU122/100+Carriers!$R$18/Carriers!$R$23*BD122+Carriers!$R$20/Carriers!$R$23*BP122)*(CS122+meoh_st_ab_losses)/1000000</f>
        <v>78925.678651959417</v>
      </c>
      <c r="CQ122" s="63">
        <f>meoh_st_nl_cost*meoh_st_nl_demand/1000000+(meoh_st_invest*(M122+1/meoh_st_lifetime+meoh_st_opex)/(Storage!$K$63/1000000)+meoh_st_e_demand*1000*$AU122/100)*(CS122+meoh_st_ab_losses)/1000000+co2_st_nl_cost*Storage!$K$12*co2_density/meoh_density/1000000+(co2_st_opex_lev+co2_st_invest_lev+co2_st_e_demand*1000*IFERROR(MIN(S122,AA122,AI122),S122)/100)*Storage!$K$12/1000000+co2_st_invest_lev*Storage!$K$12*co2_st_lifetime*M122/1000000+Carriers!$R$18/Carriers!$R$23*((CS122+meoh_st_ab_losses)/365.25*short_st_duration_hrs/24)*(h2_short_st_invest*(1/gh2_short_st_lifetime+$M122+h2_short_st_opex)+h2_short_st_e_demand*1000*$AU122/100)/1000000+Carriers!$R$20/Carriers!$R$23*((CF122+meoh_st_ab_losses)/365.25*short_st_duration_hrs/24)*(co2_short_st_invest*(1/co2_short_st_lifetime+$M122+co2_short_st_opex)+co2_short_st_e_demand*1000*$AU122/100)/1000000</f>
        <v>4832.6600713143671</v>
      </c>
      <c r="CR122" s="63">
        <f>meoh_st_nl_cost*meoh_st_nl_demand/1000000+(meoh_st_invest*(M122+1/meoh_st_lifetime+meoh_st_opex)/(Storage!$K$63/1000000)+meoh_st_e_demand*1000*$AU122/100)*(CS122+meoh_st_ab_losses)/1000000+Carriers!$R$18/Carriers!$R$23*((CS122+meoh_st_ab_losses)/365.25*short_st_duration_hrs/24)*(h2_short_st_invest*(1/gh2_short_st_lifetime+$M122+h2_short_st_opex)+h2_short_st_e_demand*1000*$AU122/100)/1000000+Carriers!$R$20/Carriers!$R$23*((CF122+meoh_st_ab_losses)/365.25*short_st_duration_hrs/24)*(co2_short_st_invest*(1/co2_short_st_lifetime+$M122+co2_short_st_opex)+co2_short_st_e_demand*1000*$AU122/100)/1000000</f>
        <v>1970.9398045396683</v>
      </c>
      <c r="CS122" s="63">
        <f>Storage!$K$57/((1-Shipping!$L$37)^($F122/24/Shipping!$L$44+0.5*Shipping!$L$59))</f>
        <v>108044444.44444443</v>
      </c>
      <c r="CT122" s="28">
        <f>IF($E122="","No Port",IF(AND(ship_choice="VLCC",G122="Panama"),"Ship cannot pass through Panama",IF(ship_choice="VLCC",((F122/24/Shipping!$AD$44+F122/24/Shipping!$AD$50+Shipping!$AD$59+Shipping!$AD$64)*(Shipping!$AD$22+wacc_nl*Shipping!$AD$19/365.25*1000000+Shipping!$AD$35)+(F122/24/Shipping!$AD$44*Shipping!$AD$45+Shipping!$AD$64*Shipping!$AD$65)*IF(bunker_choice="HFO",$H122,IF(bunker_choice="hydrogen",$BD122*hfo_e_density_lhv/h2_e_density_lhv,(CO122+CQ122)*1000000/CS122*hfo_e_density_lhv/meoh_e_density_lhv))+(F122/24/Shipping!$AD$50*Shipping!$AD$51+Shipping!$AD$59*Shipping!$AD$60)*IF(bunker_choice="HFO",bunker_price_ROT,IF(bunker_choice="hydrogen",$BD122*hfo_e_density_lhv/h2_e_density_lhv,(CO122+CQ122)*1000000/CS122*hfo_e_density_lhv/meoh_e_density_lhv))+Shipping!$AD$73+IF(G122="Panama",Shipping!$AD$55,0)+IF(G122="Suez",Shipping!$AD$56,0))/Shipping!$AD$31*CS122/1000000+IF(inland_transport_to_port="hv dc grid",$BM122/100*1000*CV122,IF(inland_transport_to_port="pipeline",$BN122,0)),((F122/24/Shipping!$L$44+F122/24/Shipping!$L$50+Shipping!$L$59+Shipping!$L$64)*(Shipping!$L$22+wacc_nl*Shipping!$L$19/365.25*1000000+Shipping!$L$35)+(F122/24/Shipping!$L$44*Shipping!$L$45+Shipping!$L$64*Shipping!$L$65)*IF(bunker_choice="HFO",$H122,IF(bunker_choice="hydrogen",$BD122*hfo_e_density_lhv/h2_e_density_lhv,(CO122+CQ122)*1000000/CS122*hfo_e_density_lhv/meoh_e_density_lhv))+(F122/24/Shipping!$L$50*Shipping!$L$51+Shipping!$L$59*Shipping!$L$60)*IF(bunker_choice="HFO",bunker_price_ROT,IF(bunker_choice="hydrogen",$BD122*hfo_e_density_lhv/h2_e_density_lhv,(CO122+CQ122)*1000000/CS122*hfo_e_density_lhv/meoh_e_density_lhv))+Shipping!$L$73+IF(G122="Panama",Shipping!$L$55,0)+IF(G122="Suez",Shipping!$L$56,0))/Shipping!$L$31*CS122/1000000+IF(inland_transport_to_port="hv dc grid",$BM122/100*1000*CV122,IF(inland_transport_to_port="pipeline",$BN122,0)))))</f>
        <v>6600.9359497185997</v>
      </c>
      <c r="CU122" s="28">
        <f t="shared" si="133"/>
        <v>87497.554406217678</v>
      </c>
      <c r="CV122" s="29">
        <f>((Carriers!$R$18/Carriers!$R$23*alk_el_e_demand)+meoh_e_demand)*(CS122+meoh_st_ab_losses)/1000000+meoh_st_e_demand*CS122/1000000</f>
        <v>1119.9789871111109</v>
      </c>
      <c r="CW122" s="29">
        <f t="shared" si="158"/>
        <v>0.16206666666666666</v>
      </c>
      <c r="CX122" s="28">
        <f>IFERROR(CU122*1000000/Storage!$K$12,"")</f>
        <v>809.82927772106052</v>
      </c>
      <c r="CY122" s="28">
        <f>IF($E122="","No Port",((F122/24/Shipping!$L$44+F122/24/Shipping!$L$50+Shipping!$L$59+Shipping!$L$64)*Carriers!$R$39*wacc_nl))</f>
        <v>106.01795604318244</v>
      </c>
      <c r="CZ122" s="29">
        <f>H2_retrieval!$J$25*h2_demand_kt/1000+(co2_liq_e_demand+co2_st_e_demand*2)*Storage!$K$12*co2_density/meoh_density/1000000</f>
        <v>251.05079059698966</v>
      </c>
      <c r="DA122" s="28">
        <f>IFERROR((((CO122+CQ122+CT122)*(1+H2_retrieval!$J$34)+CY122)*1000000/H2_retrieval!$J$8)+h2_regen_meoh,"")</f>
        <v>6685.6683265150314</v>
      </c>
      <c r="DB122" s="149">
        <f>(DBT_invest*(M122+1/DBT_lifetime)/DBT_prod+DBT_opex+DBT_e_demand*1000*$AU122/100+Carriers!$T$18/Carriers!$T$23*BD122)*(DD122+DBT_st_ab_losses)/1000000</f>
        <v>42678.077919580101</v>
      </c>
      <c r="DC122" s="28">
        <f>2*(DBT_st_nl_cost*DBT_st_nl_demand/1000000+(DBT_st_invest*(M122+1/DBT_st_lifetime+DBT_st_opex)/(Storage!$M$63/1000000)+DBT_st_e_demand*1000*$AU122/100)*(DD122+DBT_st_ab_losses)/1000000)+Carriers!$T$18/Carriers!$T$23*((DD122+DBT_st_ab_losses)/365.25*short_st_duration_hrs/24)*(h2_short_st_invest*(1/gh2_short_st_lifetime+$M122+h2_short_st_opex)+h2_short_st_e_demand*1000*$AU122/100)/1000000</f>
        <v>4077.4571205687812</v>
      </c>
      <c r="DD122" s="63">
        <f>Storage!$M$57/((1-Shipping!$N$37)^($F122/24/Shipping!$N$44+0.5*Shipping!$N$59))</f>
        <v>219354838.70967743</v>
      </c>
      <c r="DE122" s="28">
        <f>IF($E122="","No Port",IF(AND(ship_choice="VLCC",G122="Panama"),"Ship cannot pass through Panama",IF(ship_choice="VLCC",((F122/24/Shipping!$AD$44+F122/24/Shipping!$AD$50+Shipping!$AD$59+Shipping!$AD$64)*(Shipping!$AD$22+wacc_nl*Shipping!$AD$19/365.25*1000000+Shipping!$AD$35)+(F122/24/Shipping!$AD$44*Shipping!$AD$45+Shipping!$AD$64*Shipping!$AD$65)*IF(bunker_choice="HFO",$H122,IF(bunker_choice="hydrogen",$BD122*hfo_e_density_lhv/h2_e_density_lhv,(DB122+DC122)*1000000/DD122*hfo_e_density_lhv/DBT_e_density_lhv))+(F122/24/Shipping!$AD$50*Shipping!$AD$51+Shipping!$AD$59*Shipping!$AD$60)*IF(bunker_choice="HFO",bunker_price_ROT,IF(bunker_choice="hydrogen",$BD122*hfo_e_density_lhv/h2_e_density_lhv,(DB122+DC122)*1000000/DD122*hfo_e_density_lhv/DBT_e_density_lhv))+Shipping!$AD$73+IF(G122="Panama",Shipping!$AD$55,0)+IF(G122="Suez",Shipping!$AD$56,0))/Shipping!$AD$31*DD122/1000000+IF(inland_transport_to_port="hv dc grid",$BM122/100*1000*DG122,IF(inland_transport_to_port="pipeline",$BN122,0)),((F122/24/Shipping!$N$44+F122/24/Shipping!$N$50+Shipping!$N$59+Shipping!$N$64)*(Shipping!$N$22+wacc_nl*Shipping!$N$19/365.25*1000000+Shipping!$N$35)+(F122/24/Shipping!$N$44*Shipping!$N$45+Shipping!$N$64*Shipping!$N$65)*IF(bunker_choice="HFO",$H122,IF(bunker_choice="hydrogen",$BD122*hfo_e_density_lhv/h2_e_density_lhv,(DB122+DC122)*1000000/DD122*hfo_e_density_lhv/DBT_e_density_lhv))+(F122/24/Shipping!$N$50*Shipping!$N$51+Shipping!$N$59*Shipping!$N$60)*IF(bunker_choice="HFO",bunker_price_ROT,IF(bunker_choice="hydrogen",$BD122*hfo_e_density_lhv/h2_e_density_lhv,(DB122+DC122)*1000000/DD122*hfo_e_density_lhv/DBT_e_density_lhv))+Shipping!$N$73+IF(G122="Panama",Shipping!$N$55,0)+IF(G122="Suez",Shipping!$N$56,0))/Shipping!$N$31*Shipping!$N$86/1000000+IF(inland_transport_to_port="hv dc grid",$BM122/100*1000*DG122,IF(inland_transport_to_port="pipeline",$BN122,0)))))</f>
        <v>12336.410783675996</v>
      </c>
      <c r="DF122" s="28">
        <f t="shared" si="159"/>
        <v>59091.945823824877</v>
      </c>
      <c r="DG122" s="29">
        <f>((Carriers!$T$18/Carriers!$T$23*alk_el_e_demand)+DBT_e_demand)*(DD122+DBT_st_ab_losses)/1000000+DBT_st_e_demand*DD122/1000000</f>
        <v>703.88335483870969</v>
      </c>
      <c r="DH122" s="29">
        <f t="shared" si="160"/>
        <v>0.21935483870967742</v>
      </c>
      <c r="DI122" s="28">
        <f>IFERROR(DF122*1000000/Storage!$M$12,"")</f>
        <v>269.38975302037812</v>
      </c>
      <c r="DJ122" s="28">
        <f>IF($E122="","No Port",((F122/24/Shipping!$N$44+F122/24/Shipping!$N$50+Shipping!$N$59+Shipping!$N$64)*Carriers!$T$39*wacc_nl))</f>
        <v>7721.6360734251948</v>
      </c>
      <c r="DK122" s="100">
        <f>H2_retrieval!$L$25*h2_demand_kt/1000+(co2_liq_e_demand+co2_st_e_demand*2)*Storage!$M$12*co2_density/DBT_density/1000000</f>
        <v>206.61934861671787</v>
      </c>
      <c r="DL122" s="28">
        <f>IFERROR(((DF122*(1+H2_retrieval!$L$34)+DJ122)*1000000/H2_retrieval!$L$8)+h2_regen_lohc,"")</f>
        <v>5383.413155436594</v>
      </c>
      <c r="DM122" s="149">
        <f t="shared" si="175"/>
        <v>47426.375708841879</v>
      </c>
      <c r="DN122" s="16">
        <f>2*(nabh4_st_nl_cost*nabh4_st_nl_demand/1000000+(nabh4_st_invest*(M122+1/nabh4_st_lifetime+nabh4_st_opex)/(Storage!$O$63/1000000)+nabh4_st_e_demand*1000*$AU122/100)*(DO122+nabh4_st_ab_losses)/1000000)+(h2_demand_kt*1000/365.25*short_st_duration_hrs/24)*(h2_short_st_invest*(1/gh2_short_st_lifetime+$M122+h2_short_st_opex)+h2_short_st_e_demand*1000*$AU122/100)/1000000</f>
        <v>1368.1397962726901</v>
      </c>
      <c r="DO122" s="63">
        <f>Storage!$O$57/((1-Shipping!$P$37)^($F122/24/Shipping!$P$44+0.5*Shipping!$P$59))</f>
        <v>63920000</v>
      </c>
      <c r="DP122" s="16">
        <f>IF($E122="","No Port",((F122/24/Shipping!$P$44+F122/24/Shipping!$P$50+Shipping!$P$59+Shipping!$P$64)*(Shipping!$P$22+wacc_nl*Shipping!$P$19/365.25*1000000+Shipping!$P$35)+(F122/24/Shipping!$P$44*Shipping!$P$45+Shipping!$P$64*Shipping!$P$65)*IF(bunker_choice="HFO",$H122,IF(bunker_choice="hydrogen",$BD122*hfo_e_density_lhv/h2_e_density_lhv,(DM122+DN122)*1000000/DO122*hfo_e_density_lhv/nabh4_e_density_lhv))+(F122/24/Shipping!$P$50*Shipping!$P$51+Shipping!$P$59*Shipping!$P$60)*IF(bunker_choice="HFO",bunker_price_ROT,IF(bunker_choice="hydrogen",$BD122*hfo_e_density_lhv/h2_e_density_lhv,(DM122+DN122)*1000000/DO122*hfo_e_density_lhv/nabh4_e_density_lhv))+Shipping!$P$73+IF(G122="Panama",Shipping!$P$55,0)+IF(G122="Suez",Shipping!$P$56,0))/Shipping!$P$31*(DO122+nabh4_st_ab_losses)/1000000+IF(inland_transport_to_port="hv dc grid",$BM122/100*1000*DR122,IF(inland_transport_to_port="pipeline",$BN122,0)))</f>
        <v>3080.1978047918515</v>
      </c>
      <c r="DQ122" s="28">
        <f t="shared" si="146"/>
        <v>51874.713309906423</v>
      </c>
      <c r="DR122" s="29">
        <f>((Carriers!$V$18/Carriers!$V$23*alk_el_e_demand)+nabh4_e_demand)*(DO122+nabh4_st_ab_losses)/1000000+nabh4_st_e_demand*DO122/1000000</f>
        <v>980.02139682539689</v>
      </c>
      <c r="DS122" s="28">
        <f t="shared" si="161"/>
        <v>3.1960000000000002</v>
      </c>
      <c r="DT122" s="28">
        <f>IFERROR(DQ122*1000000/Storage!$O$12,"")</f>
        <v>811.55684151918683</v>
      </c>
      <c r="DU122" s="28">
        <f>IF($E122="","No Port",((F122/24/Shipping!$P$44+F122/24/Shipping!$P$50+Shipping!$P$59+Shipping!$P$64)*Carriers!$V$39*wacc_nl))</f>
        <v>713.64889693553812</v>
      </c>
      <c r="DV122" s="100">
        <f>H2_retrieval!$N$25*h2_demand_kt/1000+(co2_liq_e_demand+co2_st_e_demand*2)*Storage!$O$12*co2_density/nabh4_density/1000000</f>
        <v>18.783638728971958</v>
      </c>
      <c r="DW122" s="28">
        <f>IFERROR(((DQ122*(1+H2_retrieval!$N$34)+DU122)*1000000/H2_retrieval!$N$8)+h2_regen_nabh4,"")</f>
        <v>3949.9518922918223</v>
      </c>
      <c r="DX122" s="149">
        <f>(Dme_invest*(M122+1/Dme_lifetime)/Dme_prod+Dme_opex+Dme_e_demand*1000*$AU122/100+Carriers!$X$21/Carriers!$X$23*(CO122*1000000/CS122))*(EB122+Dme_st_ab_losses)/1000000</f>
        <v>89093.880146719443</v>
      </c>
      <c r="DY122" s="86">
        <f>(Dme_invest*(M122+1/Dme_lifetime)/Dme_prod+Dme_opex+Dme_e_demand*1000*$AU122/100+Carriers!$X$21/Carriers!$X$23*(CP122*1000000/CS122))*(EB122+Dme_st_ab_losses)/1000000</f>
        <v>110059.70009235661</v>
      </c>
      <c r="DZ122" s="63">
        <f>Dme_st_nl_cost*Dme_st_nl_demand/1000000+(Dme_st_invest*(M122+1/Dme_st_lifetime+Dme_st_opex)/(Storage!$Q$63/1000000)+Dme_st_e_demand*1000*$AU122/100)*(EB122+Dme_st_ab_losses)/1000000+co2_st_nl_cost*Storage!$Q$12*co2_density/Dme_density/1000000+(co2_st_opex_lev+co2_st_invest_lev+co2_st_e_demand*1000*$AU122/100)*Storage!$Q$12/1000000+co2_st_invest_lev*Storage!$Q$12*co2_st_lifetime*M122/1000000+(h2_demand_kt*1000/365.25*short_st_duration_hrs/24)*(h2_short_st_invest*(1/gh2_short_st_lifetime+$M122+h2_short_st_opex)+h2_short_st_e_demand*1000*$AU122/100)/1000000</f>
        <v>5833.8167943016842</v>
      </c>
      <c r="EA122" s="63">
        <f>Dme_st_nl_cost*Dme_st_nl_demand/1000000+(Dme_st_invest*(M122+1/Dme_st_lifetime+Dme_st_opex)/(Storage!$Q$63/1000000)+Dme_st_e_demand*1000*$AU122/100)*(EB122+Dme_st_ab_losses)/1000000+(h2_demand_kt*1000/365.25*short_st_duration_hrs/24)*(h2_short_st_invest*(1/gh2_short_st_lifetime+$M122+h2_short_st_opex)+h2_short_st_e_demand*1000*$AU122/100)/1000000</f>
        <v>2964.3150577771657</v>
      </c>
      <c r="EB122" s="63">
        <f>Storage!$Q$57/((1-Shipping!$R$37)^($F122/24/Shipping!$R$44+0.5*Shipping!$R$59))</f>
        <v>103547089.94708996</v>
      </c>
      <c r="EC122" s="153">
        <f>IF($E122="","No Port",IF(AND(ship_choice="VLCC",G122="Panama"),"Ship cannot pass through Panama",IF(ship_choice="VLCC",((F122/24/Shipping!$AD$44+F122/24/Shipping!$AD$50+Shipping!$AD$59+Shipping!$AD$64)*(Shipping!$AD$22+wacc_nl*Shipping!$AD$19/365.25*1000000+Shipping!$AD$35)+(F122/24/Shipping!$AD$44*Shipping!$AD$45+Shipping!$AD$64*Shipping!$AD$65)*IF(bunker_choice="HFO",$H122,IF(bunker_choice="hydrogen",$BD122*hfo_e_density_lhv/h2_e_density_lhv,(DX122+DZ122)*1000000/EB122*hfo_e_density_lhv/Dme_e_density_lhv))+(F122/24/Shipping!$AD$50*Shipping!$AD$51+Shipping!$AD$59*Shipping!$AD$60)*IF(bunker_choice="HFO",bunker_price_ROT,IF(bunker_choice="hydrogen",$BD122*hfo_e_density_lhv/h2_e_density_lhv,(DX122+DZ122)*1000000/EB122*hfo_e_density_lhv/Dme_e_density_lhv))+Shipping!$AD$73+IF(G122="Panama",Shipping!$AD$55,0)+IF(G122="Suez",Shipping!$AD$56,0))/Shipping!$AD$31*(EB122+Dme_st_ab_losses)/1000000+IF(inland_transport_to_port="hv dc grid",$BM122/100*1000*EE122,IF(inland_transport_to_port="pipeline",$BN122,0)),((F122/24/Shipping!$R$44+F122/24/Shipping!$R$50+Shipping!$R$59+Shipping!$R$64)*(Shipping!$R$22+wacc_nl*Shipping!$R$19/365.25*1000000+Shipping!$R$35)+(F122/24/Shipping!$R$44*Shipping!$R$45+Shipping!$R$64*Shipping!$R$65)*IF(bunker_choice="HFO",$H122,IF(bunker_choice="hydrogen",$BD122*hfo_e_density_lhv/h2_e_density_lhv,(DX122+DZ122)*1000000/EB122*hfo_e_density_lhv/Dme_e_density_lhv))+(F122/24/Shipping!$R$50*Shipping!$R$51+Shipping!$R$59*Shipping!$R$60)*IF(bunker_choice="HFO",bunker_price_ROT,IF(bunker_choice="hydrogen",$BD122*hfo_e_density_lhv/h2_e_density_lhv,(DX122+DZ122)*1000000/EB122*hfo_e_density_lhv/Dme_e_density_lhv))+Shipping!$R$73+IF(G122="Panama",Shipping!$R$55,0)+IF(G122="Suez",Shipping!$R$56,0))/Shipping!$R$31*(EB122+Dme_st_ab_losses)/1000000+IF(inland_transport_to_port="hv dc grid",$BM122/100*1000*EE122,IF(inland_transport_to_port="pipeline",$BN122,0)))))</f>
        <v>6539.9168947357284</v>
      </c>
      <c r="ED122" s="28">
        <f t="shared" si="134"/>
        <v>119563.93204486949</v>
      </c>
      <c r="EE122" s="29">
        <f>(Dme_e_demand)*(EB122+Dme_st_ab_losses)/1000000+Dme_st_e_demand*DZ122/1000000+$CV122*(Carriers!$X$21/Carriers!$X$23*EB122)/$CS122</f>
        <v>1550.2168185052237</v>
      </c>
      <c r="EF122" s="29">
        <f t="shared" si="162"/>
        <v>1.0354708994708997</v>
      </c>
      <c r="EG122" s="28">
        <f>IFERROR(ED122*1000000/Storage!$Q$12,"")</f>
        <v>1154.6817211952914</v>
      </c>
      <c r="EH122" s="28">
        <f>IF($E122="","No Port",((F122/24/Shipping!$R$44+F122/24/Shipping!$R$50+Shipping!$R$59+Shipping!$R$64)*Carriers!$X$39*wacc_nl))</f>
        <v>110.22980036665307</v>
      </c>
      <c r="EI122" s="100">
        <f>H2_retrieval!$P$25*h2_demand_kt/1000+(co2_liq_e_demand+co2_st_e_demand*2)*Storage!$Q$12*co2_density/Dme_density/1000000</f>
        <v>252.45335899349112</v>
      </c>
      <c r="EJ122" s="28">
        <f>IFERROR((((DX122+DZ122+EC122)*(1+H2_retrieval!$P$34)+EH122)*1000000/H2_retrieval!$P$8)+h2_regen_dme,"")</f>
        <v>8639.0876340875493</v>
      </c>
      <c r="EK122" s="149">
        <f>(ome_invest*(M122+1/ome_lifetime)/ome_prod+ome_opex+ome_e_demand*1000*$AU122/100+Carriers!$Z$21/Carriers!$Z$23*(CO122*1000000/CS122))*(EO122+ome_st_ab_losses)/1000000</f>
        <v>193414.24243671412</v>
      </c>
      <c r="EL122" s="86">
        <f>(ome_invest*(M122+1/ome_lifetime)/ome_prod+ome_opex+ome_e_demand*1000*$AU122/100+Carriers!$Z$21/Carriers!$Z$23*(CP122*1000000/CS122))*(EO122+ome_st_ab_losses)/1000000</f>
        <v>237425.57977271423</v>
      </c>
      <c r="EM122" s="63">
        <f>ome_st_nl_cost*ome_st_nl_demand/1000000+(ome_st_invest*(M122+1/ome_st_lifetime+ome_st_opex)/(Storage!$S$63/1000000)+ome_st_e_demand*1000*$AU122/100)*(EO122+ome_st_ab_losses)/1000000+co2_st_nl_cost*Storage!$S$12*co2_density/ome_density/1000000+(co2_st_opex_lev+co2_st_invest_lev+co2_st_e_demand*1000*$AU122/100)*Storage!$S$12/1000000+co2_st_invest_lev*Storage!$S$12*co2_st_lifetime*M122/1000000+(h2_demand_kt*1000/365.25*short_st_duration_hrs/24)*(h2_short_st_invest*(1/gh2_short_st_lifetime+$M122+h2_short_st_opex)+h2_short_st_e_demand*1000*$AU122/100)/1000000</f>
        <v>4994.6802580510621</v>
      </c>
      <c r="EN122" s="63">
        <f>ome_st_nl_cost*ome_st_nl_demand/1000000+(ome_st_invest*(M122+1/ome_st_lifetime+ome_st_opex)/(Storage!$S$63/1000000)+ome_st_e_demand*1000*$AU122/100)*(EO122+ome_st_ab_losses)/1000000+(h2_demand_kt*1000/365.25*short_st_duration_hrs/24)*(h2_short_st_invest*(1/gh2_short_st_lifetime+$M122+h2_short_st_opex)+h2_short_st_e_demand*1000*$AU122/100)/1000000</f>
        <v>1778.6764347347369</v>
      </c>
      <c r="EO122" s="63">
        <f>Storage!$S$57/((1-Shipping!$T$37)^($F122/24/Shipping!$T$44+0.5*Shipping!$T$59))</f>
        <v>128282539.68253967</v>
      </c>
      <c r="EP122" s="28">
        <f>IF($E122="","No Port",IF(AND(ship_choice="VLCC",G122="Panama"),"Ship cannot pass through Panama",IF(ship_choice="VLCC",((F122/24/Shipping!$AD$44+F122/24/Shipping!$AD$50+Shipping!$AD$59+Shipping!$AD$64)*(Shipping!$AD$22+wacc_nl*Shipping!$AD$19/365.25*1000000+Shipping!$AD$35)+(F122/24/Shipping!$AD$44*Shipping!$AD$45+Shipping!$AD$64*Shipping!$AD$65)*IF(bunker_choice="HFO",$H122,IF(bunker_choice="hydrogen",$BD122*hfo_e_density_lhv/h2_e_density_lhv,(EK122+EM122)*1000000/EO122*hfo_e_density_lhv/Dme_e_density_lhv))+(F122/24/Shipping!$AD$50*Shipping!$AD$51+Shipping!$AD$59*Shipping!$AD$60)*IF(bunker_choice="HFO",bunker_price_ROT,IF(bunker_choice="hydrogen",$BD122*hfo_e_density_lhv/h2_e_density_lhv,(EK122+EM122)*1000000/EO122*hfo_e_density_lhv/ome_e_density_lhv))+Shipping!$AD$73+IF(G122="Panama",Shipping!$AD$55,0)+IF(G122="Suez",Shipping!$AD$56,0))/Shipping!$AD$31*(EO122+ome_st_ab_losses)/1000000+IF(inland_transport_to_port="hv dc grid",$BM122/100*1000*ER122,IF(inland_transport_to_port="pipeline",$BN122,0)),((F122/24/Shipping!$T$44+F122/24/Shipping!$T$50+Shipping!$T$59+Shipping!$T$64)*(Shipping!$T$22+wacc_nl*Shipping!$T$19/365.25*1000000+Shipping!$T$35)+(F122/24/Shipping!$T$44*Shipping!$T$45+Shipping!$T$64*Shipping!$T$65)*IF(bunker_choice="HFO",$H122,IF(bunker_choice="hydrogen",$BD122*hfo_e_density_lhv/h2_e_density_lhv,(EK122+EM122)*1000000/EO122*hfo_e_density_lhv/Dme_e_density_lhv))+(F122/24/Shipping!$T$50*Shipping!$T$51+Shipping!$T$59*Shipping!$T$60)*IF(bunker_choice="HFO",bunker_price_ROT,IF(bunker_choice="hydrogen",$BD122*hfo_e_density_lhv/h2_e_density_lhv,(EK122+EM122)*1000000/EO122*hfo_e_density_lhv/ome_e_density_lhv))+Shipping!$T$73+IF(G122="Panama",Shipping!$T$55,0)+IF(G122="Suez",Shipping!$T$56,0))/Shipping!$T$31*(EO122+ome_st_ab_losses)/1000000+IF(inland_transport_to_port="hv dc grid",$BM122/100*1000*ER122,IF(inland_transport_to_port="pipeline",$BN122,0)))))</f>
        <v>7375.0102646758096</v>
      </c>
      <c r="EQ122" s="28">
        <f t="shared" si="135"/>
        <v>246579.26647212479</v>
      </c>
      <c r="ER122" s="29">
        <f>(ome_e_demand)*(EO122+ome_st_ab_losses)/1000000+ome_st_e_demand*EM122/1000000+$CV122*(Carriers!$Z$21/Carriers!$Z$23*EO122)/$CS122</f>
        <v>3352.0814576328039</v>
      </c>
      <c r="ES122" s="29">
        <f t="shared" si="163"/>
        <v>0.1924238095238095</v>
      </c>
      <c r="ET122" s="28">
        <f>IFERROR(EQ122*1000000/Storage!$S$12,"")</f>
        <v>1922.1576613803686</v>
      </c>
      <c r="EU122" s="28">
        <f>IF($E122="","No Port",((F122/24/Shipping!$T$44+F122/24/Shipping!$T$50+Shipping!$T$59+Shipping!$T$64)*Carriers!$Z$39*wacc_nl))</f>
        <v>125.87646429302929</v>
      </c>
      <c r="EV122" s="100">
        <f>H2_retrieval!$R$25*h2_demand_kt/1000+(co2_liq_e_demand+co2_st_e_demand*2)*Storage!$S$12*co2_density/ome_density/1000000</f>
        <v>254.51942895252085</v>
      </c>
      <c r="EW122" s="28">
        <f>IFERROR((((EK122+EM122+EP122)*(1+H2_retrieval!$R$34)+EU122)*1000000/H2_retrieval!$R$8)+h2_regen_ome,"")</f>
        <v>16310.555706705969</v>
      </c>
      <c r="EX122" s="149">
        <f>(sng_invest*(M122+1/sng_lifetime)/sng_prod+lng_invest*(M122+1/lng_lifetime)/lng_prod+sng_opex+lng_opex+(sng_e_demand+lng_e_demand)*1000*$AU122/100+Carriers!$AB$18/Carriers!$AB$23*BD122+Carriers!$AB$20/Carriers!$AB$23*co2_liq_cost)*(FB122+lng_st_ab_losses)/1000000</f>
        <v>69235.882311847599</v>
      </c>
      <c r="EY122" s="86">
        <f>(sng_invest*(M122+1/sng_lifetime)/sng_prod+lng_invest*(M122+1/lng_lifetime)/lng_prod+sng_opex+lng_opex+(sng_e_demand+lng_e_demand)*1000*$AU122/100+Carriers!$AB$18/Carriers!$AB$23*BD122+Carriers!$AB$20/Carriers!$AB$23*BP122)*(FB122+lng_st_ab_losses)/1000000</f>
        <v>80887.952013561458</v>
      </c>
      <c r="EZ122" s="63">
        <f>lng_st_nl_cost*lng_st_nl_demand/1000000+(lng_st_invest*(M122+1/lng_st_lifetime+lng_st_opex)/(Storage!$U$63/1000000)+lng_st_e_demand*1000*$AU122/100)*(FB122+lng_st_ab_losses)/1000000+co2_st_nl_cost*Storage!$U$12*co2_density/lng_density/1000000+(co2_st_opex_lev+co2_st_invest_lev+co2_st_e_demand*1000*$AU122/100)*Storage!$U$12/1000000+co2_st_invest_lev*Storage!$U$12*co2_st_lifetime*M122/1000000+Carriers!$AB$18/Carriers!$AB$23*((FB122+lng_st_ab_losses)/365.25*short_st_duration_hrs/24)*(h2_short_st_invest*(1/gh2_short_st_lifetime+$M122+h2_short_st_opex)+h2_short_st_e_demand*1000*$AU122/100)/1000000+Carriers!$AB$20/Carriers!$AB$23*((FB122+lng_st_ab_losses)/365.25*short_st_duration_hrs/24)*(co2_short_st_invest*(1/co2_short_st_lifetime+$M122+co2_short_st_opex)+co2_short_st_e_demand*1000*$AU122/100)/1000000</f>
        <v>6225.1970876882688</v>
      </c>
      <c r="FA122" s="63">
        <f>lng_st_nl_cost*lng_st_nl_demand/1000000+(lng_st_invest*(M122+1/lng_st_lifetime+lng_st_opex)/(Storage!$U$63/1000000)+lng_st_e_demand*1000*$AU122/100)*(FB122+lng_st_ab_losses)/1000000+Carriers!$AB$18/Carriers!$AB$23*((FB122+lng_st_ab_losses)/365.25*short_st_duration_hrs/24)*(h2_short_st_invest*(1/gh2_short_st_lifetime+$M122+h2_short_st_opex)+h2_short_st_e_demand*1000*$AU122/100)/1000000+Carriers!$AB$20/Carriers!$AB$23*((FB122+lng_st_ab_losses)/365.25*short_st_duration_hrs/24)*(co2_short_st_invest*(1/co2_short_st_lifetime+$M122+co2_short_st_opex)+co2_short_st_e_demand*1000*$AU122/100)/1000000</f>
        <v>4662.8395416893072</v>
      </c>
      <c r="FB122" s="63">
        <f>Storage!$U$57/((1-Shipping!$V$37)^($F122/24/Shipping!$V$44+0.5*Shipping!$V$59))</f>
        <v>41508747.316883996</v>
      </c>
      <c r="FC122" s="28">
        <f>IF($E122="","No Port",IF(G122="Panama","Ship cannot pass through Panama",((F122/24/Shipping!$V$44+F122/24/Shipping!$V$50+Shipping!$V$59+Shipping!$V$64)*(Shipping!$V$22+wacc_nl*Shipping!$V$19/365.25*1000000+Shipping!$V$35)+(F122/24/Shipping!$V$44*Shipping!$V$45+Shipping!$V$64*Shipping!$V$65)*IF(bunker_choice="HFO",$H122,IF(bunker_choice="hydrogen",$BD122*hfo_e_density_lhv/h2_e_density_lhv,(EX122+EZ122)*1000000/FB122*hfo_e_density_lhv/lng_e_density_lhv))+(F122/24/Shipping!$V$50*Shipping!$V$51+Shipping!$V$59*Shipping!$V$60)*IF(bunker_choice="HFO",bunker_price_ROT,IF(bunker_choice="hydrogen",$BD122*hfo_e_density_lhv/h2_e_density_lhv,(EX122+EZ122)*1000000/FB122*hfo_e_density_lhv/lng_e_density_lhv))+Shipping!$V$73+IF(G122="Panama",Shipping!$V$55,0)+IF(G122="Suez",Shipping!$V$56,0))/Shipping!$V$31*(FB122+lng_st_ab_losses)/1000000)+IF(inland_transport_to_port="hv dc grid",$BM122/100*1000*FE122,IF(inland_transport_to_port="pipeline",$BN122,0)))</f>
        <v>2471.810466822546</v>
      </c>
      <c r="FD122" s="28">
        <f t="shared" si="136"/>
        <v>88022.602022073304</v>
      </c>
      <c r="FE122" s="29">
        <f>((Carriers!$AB$18/Carriers!$AB$23*alk_el_e_demand)+sng_e_demand+lng_e_demand)*(FB122+lng_st_ab_losses)/1000000+lng_st_e_demand*EZ122/1000000</f>
        <v>1113.223532174346</v>
      </c>
      <c r="FF122" s="29">
        <f t="shared" si="164"/>
        <v>0.8126185861001558</v>
      </c>
      <c r="FG122" s="28">
        <f>IFERROR(FD122*1000000/Storage!$U$12,"")</f>
        <v>2168.8923370582829</v>
      </c>
      <c r="FH122" s="28">
        <f>IF($E122="","No Port",((F122/24/Shipping!$V$44+F122/24/Shipping!$V$50+Shipping!$V$59+Shipping!$V$64)*Carriers!$AB$39*wacc_nl))</f>
        <v>36.999539757955311</v>
      </c>
      <c r="FI122" s="100">
        <f>H2_retrieval!$T$25*h2_demand_kt/1000+(co2_liq_e_demand+co2_st_e_demand*2)*Storage!$U$12*co2_density/lng_density/1000000</f>
        <v>236.51371749646054</v>
      </c>
      <c r="FJ122" s="28">
        <f>IFERROR((((EX122+EZ122+FC122)*(1+H2_retrieval!$T$34)+FH122)*1000000/H2_retrieval!$T$8)+h2_regen_lng,"")</f>
        <v>6903.2086465870261</v>
      </c>
      <c r="FK122" s="149">
        <f>(lh2_invest*(M122+1/lh2_lifetime)/lh2_prod+lh2_opex+lh2_e_demand*1000*$AU122/100+Carriers!$AD$18/Carriers!$AD$23*BD122)*(FM122+lh2_st_ab_losses)/1000000</f>
        <v>54022.636942375626</v>
      </c>
      <c r="FL122" s="28">
        <f>lh2_st_nl_cost*lh2_st_nl_demand/1000000+(lh2_st_invest*(M122+1/lh2_st_lifetime+lh2_st_opex)/(Storage!$Y$63/1000000)+lh2_st_e_demand*1000*$AU122/100)*(FM122+lh2_st_ab_losses)/1000000+((FM122+lh2_st_ab_losses)/365.25*short_st_duration_hrs/24)*(h2_short_st_invest*(1/gh2_short_st_lifetime+$M122+h2_short_st_opex)+h2_short_st_e_demand*1000*$AU122/100)/1000000</f>
        <v>54397.237036729566</v>
      </c>
      <c r="FM122" s="63">
        <f>Storage!$Y$57/((1-Shipping!$Z$37)^($F122/24/Shipping!$Z$44+0.5*Shipping!$Z$59))</f>
        <v>14093023.569009012</v>
      </c>
      <c r="FN122" s="28">
        <f>IF($E122="","No Port",IF(G122="Panama","Ship cannot pass through Panama",((F122/24/Shipping!$Z$44+F122/24/Shipping!$Z$50+Shipping!$Z$59+Shipping!$Z$64)*(Shipping!$Z$22+wacc_nl*Shipping!$Z$19/365.25*1000000+Shipping!$Z$35)+(F122/24/Shipping!$Z$44*Shipping!$Z$45+Shipping!$Z$64*Shipping!$Z$65)*IF(bunker_choice="HFO",$H122,IF(bunker_choice="hydrogen",$BD122*hfo_e_density_lhv/h2_e_density_lhv,(FK122+FL122)*1000000/FM122*hfo_e_density_lhv/lh2_e_density_lhv))+(F122/24/Shipping!$Z$50*Shipping!$Z$51+Shipping!$Z$59*Shipping!$Z$60)*IF(bunker_choice="HFO",bunker_price_ROT,IF(bunker_choice="hydrogen",$BD122*hfo_e_density_lhv/h2_e_density_lhv,(FK122+FL122)*1000000/FM122*hfo_e_density_lhv/lh2_e_density_lhv))+Shipping!$Z$73+IF(G122="Panama",Shipping!$Z$55,0)+IF(G122="Suez",Shipping!$Z$56,0))/Shipping!$Z$31*(FM122+lh2_st_ab_losses)/1000000)+IF(inland_transport_to_port="hv dc grid",$BM122/100*1000*FP122,IF(inland_transport_to_port="pipeline",$BN122,0)))</f>
        <v>4442.9675204142904</v>
      </c>
      <c r="FO122" s="28">
        <f t="shared" si="128"/>
        <v>112862.84149951948</v>
      </c>
      <c r="FP122" s="29">
        <f>((Carriers!$AD$18/Carriers!$AD$23*alk_el_e_demand)+lh2_e_demand)*(FM122+lh2_st_ab_losses)/1000000+lh2_st_e_demand*FM122/1000000</f>
        <v>816.66232708855512</v>
      </c>
      <c r="FQ122" s="100">
        <f t="shared" si="165"/>
        <v>1.361902463475859</v>
      </c>
      <c r="FR122" s="28">
        <f>IFERROR(FO122*1000000/Storage!$Y$12,"")</f>
        <v>8298.7383455529016</v>
      </c>
      <c r="FS122" s="100">
        <f>H2_retrieval!$V$25*h2_demand_kt/1000</f>
        <v>8.16</v>
      </c>
      <c r="FT122" s="28">
        <f>IFERROR(FR122*(1+H2_retrieval!$V$34)/Carrier_properties!$U$7+H2_retrieval!$V$38,"")</f>
        <v>8330.7070714213696</v>
      </c>
      <c r="FU122" s="12"/>
      <c r="FV122" s="24">
        <f t="shared" si="129"/>
        <v>2.2912261253238597</v>
      </c>
      <c r="FW122" s="24" t="str">
        <f t="shared" si="143"/>
        <v/>
      </c>
      <c r="FX122" s="24" t="e">
        <f t="shared" si="144"/>
        <v>#N/A</v>
      </c>
      <c r="FY122" s="24" t="e">
        <f t="shared" si="130"/>
        <v>#N/A</v>
      </c>
      <c r="FZ122" s="28">
        <f t="shared" si="145"/>
        <v>2903.0691325659682</v>
      </c>
      <c r="GA122" s="28">
        <f t="shared" si="137"/>
        <v>654.82647343564429</v>
      </c>
      <c r="GB122" s="28">
        <f t="shared" si="138"/>
        <v>409.49311144944625</v>
      </c>
      <c r="GC122" s="28">
        <f t="shared" si="139"/>
        <v>730.49270656893748</v>
      </c>
      <c r="GD122" s="28">
        <f t="shared" si="140"/>
        <v>1062.8951537758758</v>
      </c>
      <c r="GE122" s="28">
        <f t="shared" si="141"/>
        <v>1850.8019903587069</v>
      </c>
      <c r="GF122" s="28">
        <f t="shared" si="142"/>
        <v>1948.696533673992</v>
      </c>
      <c r="GG122" s="12"/>
      <c r="GH122" s="12"/>
      <c r="GI122" s="12"/>
      <c r="GJ122" s="12"/>
      <c r="GK122" s="12"/>
      <c r="GL122" s="12"/>
      <c r="GM122" s="12"/>
      <c r="GN122" s="12"/>
      <c r="GO122" s="12"/>
      <c r="GP122" s="12"/>
      <c r="GQ122" s="12"/>
      <c r="GR122" s="12"/>
      <c r="GS122" s="12"/>
      <c r="GT122" s="12"/>
      <c r="GU122" s="12"/>
      <c r="GV122" s="12"/>
      <c r="GW122" s="12"/>
      <c r="GX122" s="12"/>
      <c r="GY122" s="12"/>
      <c r="GZ122" s="12"/>
      <c r="HA122" s="12"/>
      <c r="HB122" s="12"/>
      <c r="HC122" s="12"/>
      <c r="HD122" s="12"/>
      <c r="HE122" s="12"/>
      <c r="HF122" s="12"/>
    </row>
    <row r="123" spans="1:214" x14ac:dyDescent="0.2">
      <c r="A123" s="154" t="s">
        <v>124</v>
      </c>
      <c r="B123" s="12">
        <v>5098</v>
      </c>
      <c r="C123" s="12">
        <v>0.9</v>
      </c>
      <c r="D123" s="12">
        <f t="shared" si="111"/>
        <v>9.9999999999999978E-2</v>
      </c>
      <c r="E123" s="12" t="s">
        <v>777</v>
      </c>
      <c r="F123" s="12">
        <v>3070</v>
      </c>
      <c r="G123" s="12"/>
      <c r="H123" s="16">
        <f t="shared" si="166"/>
        <v>382.75862068965517</v>
      </c>
      <c r="I123" s="16">
        <v>72180</v>
      </c>
      <c r="J123" s="16">
        <f t="shared" si="113"/>
        <v>151.57706813613336</v>
      </c>
      <c r="K123" s="16">
        <f t="shared" si="114"/>
        <v>181.89248176336002</v>
      </c>
      <c r="L123" s="103">
        <v>0.187</v>
      </c>
      <c r="M123" s="103">
        <f t="shared" si="167"/>
        <v>0.17366332795430253</v>
      </c>
      <c r="N123" s="122">
        <f t="shared" si="116"/>
        <v>0.9</v>
      </c>
      <c r="O123" s="46">
        <f t="shared" si="168"/>
        <v>40</v>
      </c>
      <c r="P123" s="70">
        <f t="array" ref="P123">SUMPRODUCT(IF(Solar_data!A$4:A$777=A123,Solar_data!C$4:C$777),IF(Solar_data!A$4:A$777=A123,Solar_data!I$4:I$777))/SUMIF(Solar_data!A$4:A$777,A123,Solar_data!I$4:I$777)</f>
        <v>1806.2257883676798</v>
      </c>
      <c r="Q123" s="16">
        <f t="array" ref="Q123">MAX(IF(Solar_data!$A$777:'Solar_data'!$A$4=Country_details!$A123,Solar_data!$C$4:'Solar_data'!$C$777))</f>
        <v>1916.25</v>
      </c>
      <c r="R123" s="16">
        <f t="array" ref="R123">MIN(IF(Solar_data!$A$777:'Solar_data'!$A$4=Country_details!A123,Solar_data!$C$4:'Solar_data'!$C$777))</f>
        <v>1733.75</v>
      </c>
      <c r="S123" s="24">
        <f t="shared" si="149"/>
        <v>3.233333839930447</v>
      </c>
      <c r="T123" s="24">
        <f t="shared" si="150"/>
        <v>3.0476873915638714</v>
      </c>
      <c r="U123" s="24">
        <f t="shared" si="151"/>
        <v>3.3684965906758575</v>
      </c>
      <c r="V123" s="16">
        <f t="array" ref="V123">SUM(IF(Solar_data!$A$777:'Solar_data'!$A$4=Country_details!$A123,Solar_data!$I$4:'Solar_data'!$I$777))</f>
        <v>532.24989097197169</v>
      </c>
      <c r="W123" s="148"/>
      <c r="X123" s="16" t="str">
        <f>IFERROR(INDEX(Onshore_wind_data!$J$5:'Onshore_wind_data'!$J$221,MATCH(A123,Onshore_wind_data!$B$5:'Onshore_wind_data'!$B$221,0)),"")</f>
        <v/>
      </c>
      <c r="Y123" s="16" t="str">
        <f>IFERROR(INDEX(Onshore_wind_data!$K$5:'Onshore_wind_data'!$K$221,MATCH(A123,Onshore_wind_data!$B$5:'Onshore_wind_data'!$B$221,0)),"")</f>
        <v/>
      </c>
      <c r="Z123" s="16" t="str">
        <f>IFERROR(INDEX(Onshore_wind_data!$L$5:'Onshore_wind_data'!$L$221,MATCH(A123,Onshore_wind_data!$B$5:'Onshore_wind_data'!$B$221,0)),"")</f>
        <v/>
      </c>
      <c r="AA123" s="24" t="str">
        <f t="shared" si="169"/>
        <v/>
      </c>
      <c r="AB123" s="24" t="str">
        <f t="shared" si="170"/>
        <v/>
      </c>
      <c r="AC123" s="24" t="str">
        <f t="shared" si="171"/>
        <v/>
      </c>
      <c r="AD123" s="16">
        <f>IFERROR(INDEX(Onshore_wind_data!$I$5:'Onshore_wind_data'!$I$221,MATCH(A123,Onshore_wind_data!$B$5:'Onshore_wind_data'!$B$221,0)),"")</f>
        <v>0</v>
      </c>
      <c r="AE123" s="148"/>
      <c r="AF123" s="16" t="str">
        <f>INDEX(Offshore_wind_data!$AA$7:$AA$192,MATCH(Country_details!A123,Offshore_wind_data!$A$7:$A$192,0))</f>
        <v/>
      </c>
      <c r="AG123" s="16" t="str">
        <f>INDEX(Offshore_wind_data!$Y$7:$Y$192,MATCH(Country_details!A123,Offshore_wind_data!$A$7:$A$192,0))</f>
        <v/>
      </c>
      <c r="AH123" s="16" t="str">
        <f>INDEX(Offshore_wind_data!$Z$7:$Z$192,MATCH(Country_details!A123,Offshore_wind_data!$A$7:$A$192,0))</f>
        <v/>
      </c>
      <c r="AI123" s="24" t="str">
        <f t="shared" si="152"/>
        <v/>
      </c>
      <c r="AJ123" s="24" t="str">
        <f t="shared" si="153"/>
        <v/>
      </c>
      <c r="AK123" s="24" t="str">
        <f t="shared" si="154"/>
        <v/>
      </c>
      <c r="AL123" s="16">
        <f>INDEX(Offshore_wind_data!$W$7:$W$191,MATCH(A123,Offshore_wind_data!$A$7:$A$191,0))</f>
        <v>0</v>
      </c>
      <c r="AM123" s="148"/>
      <c r="AN123" s="12">
        <v>7.6</v>
      </c>
      <c r="AO123" s="12">
        <v>13</v>
      </c>
      <c r="AP123" s="34"/>
      <c r="AQ123" s="15">
        <f t="shared" si="155"/>
        <v>50</v>
      </c>
      <c r="AR123" s="12">
        <f t="shared" si="131"/>
        <v>650</v>
      </c>
      <c r="AS123" s="16">
        <f t="shared" si="121"/>
        <v>-117.75010902802831</v>
      </c>
      <c r="AT123" s="12"/>
      <c r="AU123" s="24">
        <f t="shared" si="147"/>
        <v>3.233333839930447</v>
      </c>
      <c r="AV123" s="16">
        <f t="shared" si="148"/>
        <v>1806.2257883676798</v>
      </c>
      <c r="AW123" s="149">
        <f>HV_DC_Grid!$E$3/(1-AX123)*AU123/100*1000</f>
        <v>3628.0494018020577</v>
      </c>
      <c r="AX123" s="31">
        <f>(1-(1-HV_DC_Grid!$E$25)^(B123*C123*HV_DC_Grid!$E$8/1000))+(1-(1-HV_DC_Grid!$E$26)^(B123*D123*HV_DC_Grid!$E$8/1000))+HV_DC_Grid!$E$35*HV_DC_Grid!$E$28</f>
        <v>0.10879553119523543</v>
      </c>
      <c r="AY123" s="28">
        <f>B123*nl_e_demand/IF(hv_dc_flh="electricity FLH",$AV123,hv_dc_custom)*1000*hv_dc_capacity_multiplier*hv_dc_length_multiplier*1000*(C123*hv_dc_overhead_invest*(hv_dc_overhead_opex+M123+1/hv_dc_lifetime)+D123*hv_dc_sea_invest*(hv_dc_sea_opex+M123+1/hv_dc_lifetime))/1000000+HV_DC_Grid!$E$10*1000*hv_dc_station_invest*hv_dc_station_number*(hv_dc_station_opex+M123+1/hv_dc_lifetime)/1000000</f>
        <v>7397.3607519720126</v>
      </c>
      <c r="AZ123" s="24">
        <f>(AW123+AY123)/(HV_DC_Grid!$E$3*1000)*100</f>
        <v>11.02541015377407</v>
      </c>
      <c r="BA123" s="28">
        <f>MIN(((Carriers!$F$26+Carriers!$F$27)*(alk_el_opex+wacc_nl+1/alk_el_lifetime)+IF(hv_dc_flh="electricity FLH",$AV123,hv_dc_custom)*AZ123/100)/(IF(hv_dc_flh="electricity FLH",$AV123,hv_dc_custom)/alk_el_e_demand)*1000,((Carriers!$H$26+Carriers!$H$27)*(pem_el_opex+wacc_nl+1/pem_el_lifetime)+IF(hv_dc_flh="electricity FLH",$AV123,hv_dc_custom)*AZ123/100)/(IF(hv_dc_flh="electricity FLH",$AV123,hv_dc_custom)/pem_el_e_demand)*1000)</f>
        <v>5987.7996058608824</v>
      </c>
      <c r="BB123" s="12"/>
      <c r="BC123" s="12"/>
      <c r="BD123" s="149">
        <f>MIN(((Carriers!$F$26+Carriers!$F$27)*(alk_el_opex+M123+1/alk_el_lifetime)+$AV123*$AU123/100)/($AV123/alk_el_e_demand)*1000,((Carriers!$H$26+Carriers!$H$27)*(pem_el_opex+M123+1/pem_el_lifetime)+$AV123*$AU123/100)/($AV123/pem_el_e_demand)*1000)</f>
        <v>4020.071463176916</v>
      </c>
      <c r="BE123" s="28">
        <f>Storage!$AC$50</f>
        <v>8.1664117557772418</v>
      </c>
      <c r="BF123" s="28">
        <f>((Pipeline!$D$22*Pipeline!$D$24*B123*(pipeline_opex+M123+1/pipeline_lifetime))*(Pipeline!$D$39/Pipeline!$D$3)+(Pipeline!$D$57*(pipeline_comp_opex+M123+1/pipeline_comp_lifetime)+Pipeline!$D$47*1000*Pipeline!$D$45*$AU123/100/1000000))*(Pipeline!$D$75/Pipeline!$D$45)</f>
        <v>14415.896837520271</v>
      </c>
      <c r="BG123" s="28">
        <f>BD123+(BE123+BF123)/Storage!$AC$12*1000000</f>
        <v>5080.6643491530958</v>
      </c>
      <c r="BH123" s="28"/>
      <c r="BI123" s="28"/>
      <c r="BJ123" s="28">
        <f>IF($E123="","No Port",BK123*HV_DC_Grid!$E$3*$AU123/100*1000)</f>
        <v>56.629856968079409</v>
      </c>
      <c r="BK123" s="31">
        <f>IFERROR((1-(1-HV_DC_Grid!$E$25)^(K123*HV_DC_Grid!$E$8/1000))+HV_DC_Grid!$E$35*HV_DC_Grid!$E$28,"")</f>
        <v>1.7514386008868663E-2</v>
      </c>
      <c r="BL123" s="28">
        <f>IFERROR(K123*nl_e_demand/IF(hv_dc_flh="electricity FLH",$AV123,hv_dc_custom)*1000*hv_dc_capacity_multiplier*hv_dc_length_multiplier*1000*(hv_dc_overhead_invest*(hv_dc_overhead_opex+M123+1/hv_dc_lifetime))/1000000+HV_DC_Grid!$E$10*1000*hv_dc_station_invest*hv_dc_station_number*(hv_dc_station_opex+M123+1/hv_dc_lifetime)/1000000,"")</f>
        <v>751.26984003329949</v>
      </c>
      <c r="BM123" s="29">
        <f>IFERROR((BJ123+BL123)/(HV_DC_Grid!$E$3*1000)*100,"")</f>
        <v>0.80789969700137876</v>
      </c>
      <c r="BN123" s="28">
        <f>IFERROR(((Pipeline!$D$22*Pipeline!$D$24*K123*(pipeline_opex+M123+1/pipeline_lifetime))*(Pipeline!$D$39/Pipeline!$D$3)+(Pipeline!$D$57*(pipeline_comp_opex+M123+1/pipeline_comp_lifetime)+Pipeline!$D$47*1000*Pipeline!$D$45*S123/100/1000000))*(Pipeline!$D$75/Pipeline!$D$45),"")</f>
        <v>616.68541128550032</v>
      </c>
      <c r="BO123" s="28"/>
      <c r="BP123" s="150">
        <f t="shared" si="172"/>
        <v>141.11500009676871</v>
      </c>
      <c r="BQ123" s="34">
        <f t="shared" si="173"/>
        <v>42.139335921540805</v>
      </c>
      <c r="BR123" s="151">
        <f>(nh3_invest*(M123+1/nh3_lifetime)/nh3_prod+nh3_opex+nh3_e_demand*1000*$AU123/100+Carriers!$N$18/Carriers!$N$23*BD123+Carriers!$N$19/Carriers!$N$23*BQ123)*(BT123+nh3_st_ab_losses)/1000000</f>
        <v>69963.509067755454</v>
      </c>
      <c r="BS123" s="63">
        <f>nh3_st_nl_cost*nh3_st_nl_demand/1000000+(nh3_st_invest*(M123+1/nh3_st_lifetime+nh3_st_opex)/(Storage!$G$63/1000000)+nh3_st_e_demand*1000*$AU123/100)*(BT123+nh3_st_ab_losses)/1000000+Carriers!$N$18/Carriers!$N$23*((BT123+nh3_st_ab_losses)/365.25*short_st_duration_hrs/24)*(h2_short_st_invest*(1/gh2_short_st_lifetime+$M123+h2_short_st_opex)+h2_short_st_e_demand*1000*$AU123/100)/1000000+Carriers!$N$19/Carriers!$N$23*((BT123+nh3_st_ab_losses)/365.25*short_st_duration_hrs/24)*(n2_short_st_invest*(1/n2_short_st_lifetime+$M123+n2_short_st_opex)+n2_short_st_e_demand*1000*$AU123/100)/1000000</f>
        <v>3996.2337270509156</v>
      </c>
      <c r="BT123" s="63">
        <f>Storage!$G$57/((1-Shipping!$H$37)^(F123/24/Shipping!$H$44+0.5*Shipping!$H$59))</f>
        <v>78362854.094305262</v>
      </c>
      <c r="BU123" s="63">
        <f>IF($E123="","No Port",((F123/24/Shipping!$H$44+F123/24/Shipping!$H$50+Shipping!$H$59+Shipping!$H$64)*(Shipping!$H$22+wacc_nl*Shipping!$H$19/365.25*1000000+Shipping!$H$35)+(F123/24/Shipping!$H$44*Shipping!$H$45+Shipping!$H$64*Shipping!$H$65)*IF(bunker_choice="HFO",H123,IF(bunker_choice="hydrogen",BD123*hfo_e_density_lhv/h2_e_density_lhv,(BR123+BS123)*1000000/BT123*hfo_e_density_lhv/nh3_e_density_lhv))+(F123/24/Shipping!$H$50*Shipping!$H$51+Shipping!$H$59*Shipping!$H$60)*IF(bunker_choice="HFO",bunker_price_ROT,IF(bunker_choice="hydrogen",BD123*hfo_e_density_lhv/h2_e_density_lhv,(BR123+BS123)*1000000/BT123*hfo_e_density_lhv/nh3_e_density_lhv))+Shipping!$H$73+IF(G123="Panama",Shipping!$H$55,0)+IF(G123="Suez",Shipping!$H$56,0))/Shipping!$H$31*BT123/1000000+IF(inland_transport_to_port="hv dc grid",$BM123/100*1000*BW123,IF(inland_transport_to_port="pipeline",$BN123,0)))</f>
        <v>3109.335022426917</v>
      </c>
      <c r="BV123" s="63">
        <f t="shared" si="174"/>
        <v>77069.077817233294</v>
      </c>
      <c r="BW123" s="33">
        <f>((Carriers!$N$18/Carriers!$N$23*alk_el_e_demand)+(Carriers!$N$19/Carriers!$N$23*n2_e_demand)+nh3_e_demand)*(BT123+nh3_st_ab_losses)/1000000+nh3_st_e_demand*BT123/1000000</f>
        <v>773.85834088021966</v>
      </c>
      <c r="BX123" s="33">
        <f t="shared" si="156"/>
        <v>0.76626754477640768</v>
      </c>
      <c r="BY123" s="63">
        <f>IFERROR(BV123*1000000/Storage!$G$12,"")</f>
        <v>1006.6104397568201</v>
      </c>
      <c r="BZ123" s="63">
        <f>H2_retrieval!$F$25*h2_demand_kt/1000</f>
        <v>80</v>
      </c>
      <c r="CA123" s="63">
        <f>IFERROR(BY123*(1+H2_retrieval!$F$34)/Carrier_properties!$E$7+H2_retrieval!$F$38,"")</f>
        <v>6076.0699367932421</v>
      </c>
      <c r="CB123" s="149">
        <f>(FA_invest*(M123+1/FA_lifetime)/FA_prod+FA_opex+FA_e_demand*1000*$AU123/100+Carriers!$P$18/Carriers!$P$23*BD123+Carriers!$P$20/Carriers!$P$23*co2_liq_cost)*(CF123+FA_st_ab_losses)/1000000</f>
        <v>136487.52292906449</v>
      </c>
      <c r="CC123" s="86">
        <f>(FA_invest*(M123+1/FA_lifetime)/FA_prod+FA_opex+FA_e_demand*1000*$AU123/100+Carriers!$P$18/Carriers!$P$23*BD123+Carriers!$P$20/Carriers!$P$23*BP123)*(CF123+FA_st_ab_losses)/1000000</f>
        <v>170980.89814690713</v>
      </c>
      <c r="CD123" s="63">
        <f>FA_st_nl_cost*FA_st_nl_demand/1000000+(FA_st_invest*(M123+1/FA_st_lifetime+FA_st_opex)/(Storage!$I$63/1000000)+FA_st_e_demand*1000*$AU123/100)*(CF123+FA_st_ab_losses)/1000000+co2_st_nl_cost*Storage!$I$12*co2_density/FA_density/1000000+(co2_st_opex_lev+co2_st_invest_lev+co2_st_e_demand*1000*$AU123/100)*Storage!$I$12/1000000+co2_st_invest_lev*Storage!$I$12*co2_st_lifetime*M123/1000000+Carriers!$P$18/Carriers!$P$23*((CF123+FA_st_ab_losses)/365.25*short_st_duration_hrs/24)*(h2_short_st_invest*(1/gh2_short_st_lifetime+$M123+h2_short_st_opex)+h2_short_st_e_demand*1000*$AU123/100)/1000000+Carriers!$P$20/Carriers!$P$23*((CF123+FA_st_ab_losses)/365.25*short_st_duration_hrs/24)*(co2_short_st_invest*(1/co2_short_st_lifetime+$M123+co2_short_st_opex)+co2_short_st_e_demand*1000*$AU123/100)/1000000</f>
        <v>13520.998203958043</v>
      </c>
      <c r="CE123" s="63">
        <f>FA_st_nl_cost*FA_st_nl_demand/1000000+(FA_st_invest*(M123+1/FA_st_lifetime+FA_st_opex)/(Storage!$I$63/1000000)+FA_st_e_demand*1000*$AU123/100)*(CF123+FA_st_ab_losses)/1000000+Carriers!$P$18/Carriers!$P$23*((CF123+FA_st_ab_losses)/365.25*short_st_duration_hrs/24)*(h2_short_st_invest*(1/gh2_short_st_lifetime+$M123+h2_short_st_opex)+h2_short_st_e_demand*1000*$AU123/100)/1000000+Carriers!$P$20/Carriers!$P$23*((CF123+FA_st_ab_losses)/365.25*short_st_duration_hrs/24)*(co2_short_st_invest*(1/co2_short_st_lifetime+$M123+co2_short_st_opex)+co2_short_st_e_demand*1000*$AU123/100)/1000000</f>
        <v>5955.4483367619805</v>
      </c>
      <c r="CF123" s="63">
        <f>Storage!$I$57/((1-Shipping!$J$37)^($F123/24/Shipping!$J$44+0.5*Shipping!$J$59))</f>
        <v>310425396.82539684</v>
      </c>
      <c r="CG123" s="28">
        <f>IF($E123="","No Port",((F123/24/Shipping!$J$44+F123/24/Shipping!$J$50+Shipping!$J$59+Shipping!$J$64)*(Shipping!$J$22+wacc_nl*Shipping!$J$19/365.25*1000000+Shipping!$J$35)+(F123/24/Shipping!$J$44*Shipping!$J$45+Shipping!$J$64*Shipping!$J$65)*IF(bunker_choice="HFO",$H123,IF(bunker_choice="hydrogen",$BD123*hfo_e_density_lhv/h2_e_density_lhv,(CB123+CD123)*1000000/CF123*hfo_e_density_lhv/FA_e_density_lhv))+(F123/24/Shipping!$J$50*Shipping!$J$51+Shipping!$J$59*Shipping!$J$60)*IF(bunker_choice="HFO",bunker_price_ROT,IF(bunker_choice="hydrogen",$BD123*hfo_e_density_lhv/h2_e_density_lhv,(CB123+CD123)*1000000/CF123*hfo_e_density_lhv/FA_e_density_lhv))+Shipping!$J$73+IF(G123="Panama",Shipping!$J$55,0)+IF(G123="Suez",Shipping!$J$56,0))/Shipping!$J$31*CF123/1000000+IF(inland_transport_to_port="hv dc grid",$BM123/100*1000*CI123,IF(inland_transport_to_port="pipeline",$BN123,0)))</f>
        <v>11966.283881634843</v>
      </c>
      <c r="CH123" s="28">
        <f t="shared" si="132"/>
        <v>188902.63036530395</v>
      </c>
      <c r="CI123" s="29">
        <f>((Carriers!$P$18/Carriers!$P$23*alk_el_e_demand)+FA_e_demand)*(CF123+FA_st_ab_losses)/1000000+FA_st_e_demand*CF123/1000000</f>
        <v>1897.8881241622576</v>
      </c>
      <c r="CJ123" s="29">
        <f t="shared" si="157"/>
        <v>0.46563809523809524</v>
      </c>
      <c r="CK123" s="28">
        <f>IFERROR(CH123*1000000/Storage!$I$12,"")</f>
        <v>608.52827216181322</v>
      </c>
      <c r="CL123" s="28">
        <f>IF($E123="","No Port",((F123/24/Shipping!$J$44+F123/24/Shipping!$J$50+Shipping!$J$59+Shipping!$J$64)*Carriers!$P$39*wacc_nl))</f>
        <v>171.98674965276899</v>
      </c>
      <c r="CM123" s="29">
        <f>H2_retrieval!$H$25*h2_demand_kt/1000+(co2_liq_e_demand+co2_st_e_demand*2)*Storage!$I$12*co2_density/FA_density/1000000</f>
        <v>94.204253879484654</v>
      </c>
      <c r="CN123" s="28">
        <f>IFERROR((((CB123+CD123+CG123)*(1+H2_retrieval!$H$34)+CL123)*1000000/H2_retrieval!$H$8)+h2_regen_fa,"")</f>
        <v>12012.245585730938</v>
      </c>
      <c r="CO123" s="149">
        <f>(meoh_invest*(M123+1/meoh_lifetime)/meoh_prod+meoh_opex+meoh_e_demand*1000*$AU123/100+Carriers!$R$18/Carriers!$R$23*BD123+Carriers!$R$20/Carriers!$R$23*co2_liq_cost)*(CS123+meoh_st_ab_losses)/1000000</f>
        <v>87423.73067890259</v>
      </c>
      <c r="CP123" s="86">
        <f>(meoh_invest*(M123+1/meoh_lifetime)/meoh_prod+meoh_opex+meoh_e_demand*1000*$AU123/100+Carriers!$R$18/Carriers!$R$23*BD123+Carriers!$R$20/Carriers!$R$23*BP123)*(CS123+meoh_st_ab_losses)/1000000</f>
        <v>107672.40680561391</v>
      </c>
      <c r="CQ123" s="63">
        <f>meoh_st_nl_cost*meoh_st_nl_demand/1000000+(meoh_st_invest*(M123+1/meoh_st_lifetime+meoh_st_opex)/(Storage!$K$63/1000000)+meoh_st_e_demand*1000*$AU123/100)*(CS123+meoh_st_ab_losses)/1000000+co2_st_nl_cost*Storage!$K$12*co2_density/meoh_density/1000000+(co2_st_opex_lev+co2_st_invest_lev+co2_st_e_demand*1000*IFERROR(MIN(S123,AA123,AI123),S123)/100)*Storage!$K$12/1000000+co2_st_invest_lev*Storage!$K$12*co2_st_lifetime*M123/1000000+Carriers!$R$18/Carriers!$R$23*((CS123+meoh_st_ab_losses)/365.25*short_st_duration_hrs/24)*(h2_short_st_invest*(1/gh2_short_st_lifetime+$M123+h2_short_st_opex)+h2_short_st_e_demand*1000*$AU123/100)/1000000+Carriers!$R$20/Carriers!$R$23*((CF123+meoh_st_ab_losses)/365.25*short_st_duration_hrs/24)*(co2_short_st_invest*(1/co2_short_st_lifetime+$M123+co2_short_st_opex)+co2_short_st_e_demand*1000*$AU123/100)/1000000</f>
        <v>5634.1583681288676</v>
      </c>
      <c r="CR123" s="63">
        <f>meoh_st_nl_cost*meoh_st_nl_demand/1000000+(meoh_st_invest*(M123+1/meoh_st_lifetime+meoh_st_opex)/(Storage!$K$63/1000000)+meoh_st_e_demand*1000*$AU123/100)*(CS123+meoh_st_ab_losses)/1000000+Carriers!$R$18/Carriers!$R$23*((CS123+meoh_st_ab_losses)/365.25*short_st_duration_hrs/24)*(h2_short_st_invest*(1/gh2_short_st_lifetime+$M123+h2_short_st_opex)+h2_short_st_e_demand*1000*$AU123/100)/1000000+Carriers!$R$20/Carriers!$R$23*((CF123+meoh_st_ab_losses)/365.25*short_st_duration_hrs/24)*(co2_short_st_invest*(1/co2_short_st_lifetime+$M123+co2_short_st_opex)+co2_short_st_e_demand*1000*$AU123/100)/1000000</f>
        <v>2401.9497280654841</v>
      </c>
      <c r="CS123" s="63">
        <f>Storage!$K$57/((1-Shipping!$L$37)^($F123/24/Shipping!$L$44+0.5*Shipping!$L$59))</f>
        <v>108044444.44444443</v>
      </c>
      <c r="CT123" s="28">
        <f>IF($E123="","No Port",IF(AND(ship_choice="VLCC",G123="Panama"),"Ship cannot pass through Panama",IF(ship_choice="VLCC",((F123/24/Shipping!$AD$44+F123/24/Shipping!$AD$50+Shipping!$AD$59+Shipping!$AD$64)*(Shipping!$AD$22+wacc_nl*Shipping!$AD$19/365.25*1000000+Shipping!$AD$35)+(F123/24/Shipping!$AD$44*Shipping!$AD$45+Shipping!$AD$64*Shipping!$AD$65)*IF(bunker_choice="HFO",$H123,IF(bunker_choice="hydrogen",$BD123*hfo_e_density_lhv/h2_e_density_lhv,(CO123+CQ123)*1000000/CS123*hfo_e_density_lhv/meoh_e_density_lhv))+(F123/24/Shipping!$AD$50*Shipping!$AD$51+Shipping!$AD$59*Shipping!$AD$60)*IF(bunker_choice="HFO",bunker_price_ROT,IF(bunker_choice="hydrogen",$BD123*hfo_e_density_lhv/h2_e_density_lhv,(CO123+CQ123)*1000000/CS123*hfo_e_density_lhv/meoh_e_density_lhv))+Shipping!$AD$73+IF(G123="Panama",Shipping!$AD$55,0)+IF(G123="Suez",Shipping!$AD$56,0))/Shipping!$AD$31*CS123/1000000+IF(inland_transport_to_port="hv dc grid",$BM123/100*1000*CV123,IF(inland_transport_to_port="pipeline",$BN123,0)),((F123/24/Shipping!$L$44+F123/24/Shipping!$L$50+Shipping!$L$59+Shipping!$L$64)*(Shipping!$L$22+wacc_nl*Shipping!$L$19/365.25*1000000+Shipping!$L$35)+(F123/24/Shipping!$L$44*Shipping!$L$45+Shipping!$L$64*Shipping!$L$65)*IF(bunker_choice="HFO",$H123,IF(bunker_choice="hydrogen",$BD123*hfo_e_density_lhv/h2_e_density_lhv,(CO123+CQ123)*1000000/CS123*hfo_e_density_lhv/meoh_e_density_lhv))+(F123/24/Shipping!$L$50*Shipping!$L$51+Shipping!$L$59*Shipping!$L$60)*IF(bunker_choice="HFO",bunker_price_ROT,IF(bunker_choice="hydrogen",$BD123*hfo_e_density_lhv/h2_e_density_lhv,(CO123+CQ123)*1000000/CS123*hfo_e_density_lhv/meoh_e_density_lhv))+Shipping!$L$73+IF(G123="Panama",Shipping!$L$55,0)+IF(G123="Suez",Shipping!$L$56,0))/Shipping!$L$31*CS123/1000000+IF(inland_transport_to_port="hv dc grid",$BM123/100*1000*CV123,IF(inland_transport_to_port="pipeline",$BN123,0)))))</f>
        <v>4344.4088768000875</v>
      </c>
      <c r="CU123" s="28">
        <f t="shared" si="133"/>
        <v>114418.76541047948</v>
      </c>
      <c r="CV123" s="29">
        <f>((Carriers!$R$18/Carriers!$R$23*alk_el_e_demand)+meoh_e_demand)*(CS123+meoh_st_ab_losses)/1000000+meoh_st_e_demand*CS123/1000000</f>
        <v>1119.9789871111109</v>
      </c>
      <c r="CW123" s="29">
        <f t="shared" si="158"/>
        <v>0.16206666666666666</v>
      </c>
      <c r="CX123" s="28">
        <f>IFERROR(CU123*1000000/Storage!$K$12,"")</f>
        <v>1058.9972117382922</v>
      </c>
      <c r="CY123" s="28">
        <f>IF($E123="","No Port",((F123/24/Shipping!$L$44+F123/24/Shipping!$L$50+Shipping!$L$59+Shipping!$L$64)*Carriers!$R$39*wacc_nl))</f>
        <v>61.387455476657649</v>
      </c>
      <c r="CZ123" s="29">
        <f>H2_retrieval!$J$25*h2_demand_kt/1000+(co2_liq_e_demand+co2_st_e_demand*2)*Storage!$K$12*co2_density/meoh_density/1000000</f>
        <v>251.05079059698966</v>
      </c>
      <c r="DA123" s="28">
        <f>IFERROR((((CO123+CQ123+CT123)*(1+H2_retrieval!$J$34)+CY123)*1000000/H2_retrieval!$J$8)+h2_regen_meoh,"")</f>
        <v>8336.5759975570109</v>
      </c>
      <c r="DB123" s="149">
        <f>(DBT_invest*(M123+1/DBT_lifetime)/DBT_prod+DBT_opex+DBT_e_demand*1000*$AU123/100+Carriers!$T$18/Carriers!$T$23*BD123)*(DD123+DBT_st_ab_losses)/1000000</f>
        <v>58499.204724298143</v>
      </c>
      <c r="DC123" s="28">
        <f>2*(DBT_st_nl_cost*DBT_st_nl_demand/1000000+(DBT_st_invest*(M123+1/DBT_st_lifetime+DBT_st_opex)/(Storage!$M$63/1000000)+DBT_st_e_demand*1000*$AU123/100)*(DD123+DBT_st_ab_losses)/1000000)+Carriers!$T$18/Carriers!$T$23*((DD123+DBT_st_ab_losses)/365.25*short_st_duration_hrs/24)*(h2_short_st_invest*(1/gh2_short_st_lifetime+$M123+h2_short_st_opex)+h2_short_st_e_demand*1000*$AU123/100)/1000000</f>
        <v>4836.2674144900911</v>
      </c>
      <c r="DD123" s="63">
        <f>Storage!$M$57/((1-Shipping!$N$37)^($F123/24/Shipping!$N$44+0.5*Shipping!$N$59))</f>
        <v>219354838.70967743</v>
      </c>
      <c r="DE123" s="28">
        <f>IF($E123="","No Port",IF(AND(ship_choice="VLCC",G123="Panama"),"Ship cannot pass through Panama",IF(ship_choice="VLCC",((F123/24/Shipping!$AD$44+F123/24/Shipping!$AD$50+Shipping!$AD$59+Shipping!$AD$64)*(Shipping!$AD$22+wacc_nl*Shipping!$AD$19/365.25*1000000+Shipping!$AD$35)+(F123/24/Shipping!$AD$44*Shipping!$AD$45+Shipping!$AD$64*Shipping!$AD$65)*IF(bunker_choice="HFO",$H123,IF(bunker_choice="hydrogen",$BD123*hfo_e_density_lhv/h2_e_density_lhv,(DB123+DC123)*1000000/DD123*hfo_e_density_lhv/DBT_e_density_lhv))+(F123/24/Shipping!$AD$50*Shipping!$AD$51+Shipping!$AD$59*Shipping!$AD$60)*IF(bunker_choice="HFO",bunker_price_ROT,IF(bunker_choice="hydrogen",$BD123*hfo_e_density_lhv/h2_e_density_lhv,(DB123+DC123)*1000000/DD123*hfo_e_density_lhv/DBT_e_density_lhv))+Shipping!$AD$73+IF(G123="Panama",Shipping!$AD$55,0)+IF(G123="Suez",Shipping!$AD$56,0))/Shipping!$AD$31*DD123/1000000+IF(inland_transport_to_port="hv dc grid",$BM123/100*1000*DG123,IF(inland_transport_to_port="pipeline",$BN123,0)),((F123/24/Shipping!$N$44+F123/24/Shipping!$N$50+Shipping!$N$59+Shipping!$N$64)*(Shipping!$N$22+wacc_nl*Shipping!$N$19/365.25*1000000+Shipping!$N$35)+(F123/24/Shipping!$N$44*Shipping!$N$45+Shipping!$N$64*Shipping!$N$65)*IF(bunker_choice="HFO",$H123,IF(bunker_choice="hydrogen",$BD123*hfo_e_density_lhv/h2_e_density_lhv,(DB123+DC123)*1000000/DD123*hfo_e_density_lhv/DBT_e_density_lhv))+(F123/24/Shipping!$N$50*Shipping!$N$51+Shipping!$N$59*Shipping!$N$60)*IF(bunker_choice="HFO",bunker_price_ROT,IF(bunker_choice="hydrogen",$BD123*hfo_e_density_lhv/h2_e_density_lhv,(DB123+DC123)*1000000/DD123*hfo_e_density_lhv/DBT_e_density_lhv))+Shipping!$N$73+IF(G123="Panama",Shipping!$N$55,0)+IF(G123="Suez",Shipping!$N$56,0))/Shipping!$N$31*Shipping!$N$86/1000000+IF(inland_transport_to_port="hv dc grid",$BM123/100*1000*DG123,IF(inland_transport_to_port="pipeline",$BN123,0)))))</f>
        <v>7668.6442041965038</v>
      </c>
      <c r="DF123" s="28">
        <f t="shared" si="159"/>
        <v>71004.116342984737</v>
      </c>
      <c r="DG123" s="29">
        <f>((Carriers!$T$18/Carriers!$T$23*alk_el_e_demand)+DBT_e_demand)*(DD123+DBT_st_ab_losses)/1000000+DBT_st_e_demand*DD123/1000000</f>
        <v>703.88335483870969</v>
      </c>
      <c r="DH123" s="29">
        <f t="shared" si="160"/>
        <v>0.21935483870967742</v>
      </c>
      <c r="DI123" s="28">
        <f>IFERROR(DF123*1000000/Storage!$M$12,"")</f>
        <v>323.69523626948927</v>
      </c>
      <c r="DJ123" s="28">
        <f>IF($E123="","No Port",((F123/24/Shipping!$N$44+F123/24/Shipping!$N$50+Shipping!$N$59+Shipping!$N$64)*Carriers!$T$39*wacc_nl))</f>
        <v>4471.0500782647796</v>
      </c>
      <c r="DK123" s="100">
        <f>H2_retrieval!$L$25*h2_demand_kt/1000+(co2_liq_e_demand+co2_st_e_demand*2)*Storage!$M$12*co2_density/DBT_density/1000000</f>
        <v>206.61934861671787</v>
      </c>
      <c r="DL123" s="28">
        <f>IFERROR(((DF123*(1+H2_retrieval!$L$34)+DJ123)*1000000/H2_retrieval!$L$8)+h2_regen_lohc,"")</f>
        <v>6020.2943704365534</v>
      </c>
      <c r="DM123" s="149">
        <f t="shared" si="175"/>
        <v>61035.95401228116</v>
      </c>
      <c r="DN123" s="16">
        <f>2*(nabh4_st_nl_cost*nabh4_st_nl_demand/1000000+(nabh4_st_invest*(M123+1/nabh4_st_lifetime+nabh4_st_opex)/(Storage!$O$63/1000000)+nabh4_st_e_demand*1000*$AU123/100)*(DO123+nabh4_st_ab_losses)/1000000)+(h2_demand_kt*1000/365.25*short_st_duration_hrs/24)*(h2_short_st_invest*(1/gh2_short_st_lifetime+$M123+h2_short_st_opex)+h2_short_st_e_demand*1000*$AU123/100)/1000000</f>
        <v>1651.2456582780874</v>
      </c>
      <c r="DO123" s="63">
        <f>Storage!$O$57/((1-Shipping!$P$37)^($F123/24/Shipping!$P$44+0.5*Shipping!$P$59))</f>
        <v>63920000</v>
      </c>
      <c r="DP123" s="16">
        <f>IF($E123="","No Port",((F123/24/Shipping!$P$44+F123/24/Shipping!$P$50+Shipping!$P$59+Shipping!$P$64)*(Shipping!$P$22+wacc_nl*Shipping!$P$19/365.25*1000000+Shipping!$P$35)+(F123/24/Shipping!$P$44*Shipping!$P$45+Shipping!$P$64*Shipping!$P$65)*IF(bunker_choice="HFO",$H123,IF(bunker_choice="hydrogen",$BD123*hfo_e_density_lhv/h2_e_density_lhv,(DM123+DN123)*1000000/DO123*hfo_e_density_lhv/nabh4_e_density_lhv))+(F123/24/Shipping!$P$50*Shipping!$P$51+Shipping!$P$59*Shipping!$P$60)*IF(bunker_choice="HFO",bunker_price_ROT,IF(bunker_choice="hydrogen",$BD123*hfo_e_density_lhv/h2_e_density_lhv,(DM123+DN123)*1000000/DO123*hfo_e_density_lhv/nabh4_e_density_lhv))+Shipping!$P$73+IF(G123="Panama",Shipping!$P$55,0)+IF(G123="Suez",Shipping!$P$56,0))/Shipping!$P$31*(DO123+nabh4_st_ab_losses)/1000000+IF(inland_transport_to_port="hv dc grid",$BM123/100*1000*DR123,IF(inland_transport_to_port="pipeline",$BN123,0)))</f>
        <v>2473.3303272090666</v>
      </c>
      <c r="DQ123" s="28">
        <f t="shared" si="146"/>
        <v>65160.52999776831</v>
      </c>
      <c r="DR123" s="29">
        <f>((Carriers!$V$18/Carriers!$V$23*alk_el_e_demand)+nabh4_e_demand)*(DO123+nabh4_st_ab_losses)/1000000+nabh4_st_e_demand*DO123/1000000</f>
        <v>980.02139682539689</v>
      </c>
      <c r="DS123" s="28">
        <f t="shared" si="161"/>
        <v>3.1960000000000002</v>
      </c>
      <c r="DT123" s="28">
        <f>IFERROR(DQ123*1000000/Storage!$O$12,"")</f>
        <v>1019.407540640931</v>
      </c>
      <c r="DU123" s="28">
        <f>IF($E123="","No Port",((F123/24/Shipping!$P$44+F123/24/Shipping!$P$50+Shipping!$P$59+Shipping!$P$64)*Carriers!$V$39*wacc_nl))</f>
        <v>422.65946885606121</v>
      </c>
      <c r="DV123" s="100">
        <f>H2_retrieval!$N$25*h2_demand_kt/1000+(co2_liq_e_demand+co2_st_e_demand*2)*Storage!$O$12*co2_density/nabh4_density/1000000</f>
        <v>18.783638728971958</v>
      </c>
      <c r="DW123" s="28">
        <f>IFERROR(((DQ123*(1+H2_retrieval!$N$34)+DU123)*1000000/H2_retrieval!$N$8)+h2_regen_nabh4,"")</f>
        <v>4924.9918624050315</v>
      </c>
      <c r="DX123" s="149">
        <f>(Dme_invest*(M123+1/Dme_lifetime)/Dme_prod+Dme_opex+Dme_e_demand*1000*$AU123/100+Carriers!$X$21/Carriers!$X$23*(CO123*1000000/CS123))*(EB123+Dme_st_ab_losses)/1000000</f>
        <v>122485.16727116449</v>
      </c>
      <c r="DY123" s="86">
        <f>(Dme_invest*(M123+1/Dme_lifetime)/Dme_prod+Dme_opex+Dme_e_demand*1000*$AU123/100+Carriers!$X$21/Carriers!$X$23*(CP123*1000000/CS123))*(EB123+Dme_st_ab_losses)/1000000</f>
        <v>149955.81746216421</v>
      </c>
      <c r="DZ123" s="63">
        <f>Dme_st_nl_cost*Dme_st_nl_demand/1000000+(Dme_st_invest*(M123+1/Dme_st_lifetime+Dme_st_opex)/(Storage!$Q$63/1000000)+Dme_st_e_demand*1000*$AU123/100)*(EB123+Dme_st_ab_losses)/1000000+co2_st_nl_cost*Storage!$Q$12*co2_density/Dme_density/1000000+(co2_st_opex_lev+co2_st_invest_lev+co2_st_e_demand*1000*$AU123/100)*Storage!$Q$12/1000000+co2_st_invest_lev*Storage!$Q$12*co2_st_lifetime*M123/1000000+(h2_demand_kt*1000/365.25*short_st_duration_hrs/24)*(h2_short_st_invest*(1/gh2_short_st_lifetime+$M123+h2_short_st_opex)+h2_short_st_e_demand*1000*$AU123/100)/1000000</f>
        <v>6755.315840092584</v>
      </c>
      <c r="EA123" s="63">
        <f>Dme_st_nl_cost*Dme_st_nl_demand/1000000+(Dme_st_invest*(M123+1/Dme_st_lifetime+Dme_st_opex)/(Storage!$Q$63/1000000)+Dme_st_e_demand*1000*$AU123/100)*(EB123+Dme_st_ab_losses)/1000000+(h2_demand_kt*1000/365.25*short_st_duration_hrs/24)*(h2_short_st_invest*(1/gh2_short_st_lifetime+$M123+h2_short_st_opex)+h2_short_st_e_demand*1000*$AU123/100)/1000000</f>
        <v>3530.7473242391175</v>
      </c>
      <c r="EB123" s="63">
        <f>Storage!$Q$57/((1-Shipping!$R$37)^($F123/24/Shipping!$R$44+0.5*Shipping!$R$59))</f>
        <v>103547089.94708996</v>
      </c>
      <c r="EC123" s="153">
        <f>IF($E123="","No Port",IF(AND(ship_choice="VLCC",G123="Panama"),"Ship cannot pass through Panama",IF(ship_choice="VLCC",((F123/24/Shipping!$AD$44+F123/24/Shipping!$AD$50+Shipping!$AD$59+Shipping!$AD$64)*(Shipping!$AD$22+wacc_nl*Shipping!$AD$19/365.25*1000000+Shipping!$AD$35)+(F123/24/Shipping!$AD$44*Shipping!$AD$45+Shipping!$AD$64*Shipping!$AD$65)*IF(bunker_choice="HFO",$H123,IF(bunker_choice="hydrogen",$BD123*hfo_e_density_lhv/h2_e_density_lhv,(DX123+DZ123)*1000000/EB123*hfo_e_density_lhv/Dme_e_density_lhv))+(F123/24/Shipping!$AD$50*Shipping!$AD$51+Shipping!$AD$59*Shipping!$AD$60)*IF(bunker_choice="HFO",bunker_price_ROT,IF(bunker_choice="hydrogen",$BD123*hfo_e_density_lhv/h2_e_density_lhv,(DX123+DZ123)*1000000/EB123*hfo_e_density_lhv/Dme_e_density_lhv))+Shipping!$AD$73+IF(G123="Panama",Shipping!$AD$55,0)+IF(G123="Suez",Shipping!$AD$56,0))/Shipping!$AD$31*(EB123+Dme_st_ab_losses)/1000000+IF(inland_transport_to_port="hv dc grid",$BM123/100*1000*EE123,IF(inland_transport_to_port="pipeline",$BN123,0)),((F123/24/Shipping!$R$44+F123/24/Shipping!$R$50+Shipping!$R$59+Shipping!$R$64)*(Shipping!$R$22+wacc_nl*Shipping!$R$19/365.25*1000000+Shipping!$R$35)+(F123/24/Shipping!$R$44*Shipping!$R$45+Shipping!$R$64*Shipping!$R$65)*IF(bunker_choice="HFO",$H123,IF(bunker_choice="hydrogen",$BD123*hfo_e_density_lhv/h2_e_density_lhv,(DX123+DZ123)*1000000/EB123*hfo_e_density_lhv/Dme_e_density_lhv))+(F123/24/Shipping!$R$50*Shipping!$R$51+Shipping!$R$59*Shipping!$R$60)*IF(bunker_choice="HFO",bunker_price_ROT,IF(bunker_choice="hydrogen",$BD123*hfo_e_density_lhv/h2_e_density_lhv,(DX123+DZ123)*1000000/EB123*hfo_e_density_lhv/Dme_e_density_lhv))+Shipping!$R$73+IF(G123="Panama",Shipping!$R$55,0)+IF(G123="Suez",Shipping!$R$56,0))/Shipping!$R$31*(EB123+Dme_st_ab_losses)/1000000+IF(inland_transport_to_port="hv dc grid",$BM123/100*1000*EE123,IF(inland_transport_to_port="pipeline",$BN123,0)))))</f>
        <v>4286.1935608756621</v>
      </c>
      <c r="ED123" s="28">
        <f t="shared" si="134"/>
        <v>157772.75834727898</v>
      </c>
      <c r="EE123" s="29">
        <f>(Dme_e_demand)*(EB123+Dme_st_ab_losses)/1000000+Dme_st_e_demand*DZ123/1000000+$CV123*(Carriers!$X$21/Carriers!$X$23*EB123)/$CS123</f>
        <v>1550.2168277202143</v>
      </c>
      <c r="EF123" s="29">
        <f t="shared" si="162"/>
        <v>1.0354708994708997</v>
      </c>
      <c r="EG123" s="28">
        <f>IFERROR(ED123*1000000/Storage!$Q$12,"")</f>
        <v>1523.6812394041883</v>
      </c>
      <c r="EH123" s="28">
        <f>IF($E123="","No Port",((F123/24/Shipping!$R$44+F123/24/Shipping!$R$50+Shipping!$R$59+Shipping!$R$64)*Carriers!$X$39*wacc_nl))</f>
        <v>63.206761758577741</v>
      </c>
      <c r="EI123" s="100">
        <f>H2_retrieval!$P$25*h2_demand_kt/1000+(co2_liq_e_demand+co2_st_e_demand*2)*Storage!$Q$12*co2_density/Dme_density/1000000</f>
        <v>252.45335899349112</v>
      </c>
      <c r="EJ123" s="28">
        <f>IFERROR((((DX123+DZ123+EC123)*(1+H2_retrieval!$P$34)+EH123)*1000000/H2_retrieval!$P$8)+h2_regen_dme,"")</f>
        <v>10992.91408980577</v>
      </c>
      <c r="EK123" s="149">
        <f>(ome_invest*(M123+1/ome_lifetime)/ome_prod+ome_opex+ome_e_demand*1000*$AU123/100+Carriers!$Z$21/Carriers!$Z$23*(CO123*1000000/CS123))*(EO123+ome_st_ab_losses)/1000000</f>
        <v>265518.51204223483</v>
      </c>
      <c r="EL123" s="86">
        <f>(ome_invest*(M123+1/ome_lifetime)/ome_prod+ome_opex+ome_e_demand*1000*$AU123/100+Carriers!$Z$21/Carriers!$Z$23*(CP123*1000000/CS123))*(EO123+ome_st_ab_losses)/1000000</f>
        <v>323184.75431323808</v>
      </c>
      <c r="EM123" s="63">
        <f>ome_st_nl_cost*ome_st_nl_demand/1000000+(ome_st_invest*(M123+1/ome_st_lifetime+ome_st_opex)/(Storage!$S$63/1000000)+ome_st_e_demand*1000*$AU123/100)*(EO123+ome_st_ab_losses)/1000000+co2_st_nl_cost*Storage!$S$12*co2_density/ome_density/1000000+(co2_st_opex_lev+co2_st_invest_lev+co2_st_e_demand*1000*$AU123/100)*Storage!$S$12/1000000+co2_st_invest_lev*Storage!$S$12*co2_st_lifetime*M123/1000000+(h2_demand_kt*1000/365.25*short_st_duration_hrs/24)*(h2_short_st_invest*(1/gh2_short_st_lifetime+$M123+h2_short_st_opex)+h2_short_st_e_demand*1000*$AU123/100)/1000000</f>
        <v>5799.6591748516203</v>
      </c>
      <c r="EN123" s="63">
        <f>ome_st_nl_cost*ome_st_nl_demand/1000000+(ome_st_invest*(M123+1/ome_st_lifetime+ome_st_opex)/(Storage!$S$63/1000000)+ome_st_e_demand*1000*$AU123/100)*(EO123+ome_st_ab_losses)/1000000+(h2_demand_kt*1000/365.25*short_st_duration_hrs/24)*(h2_short_st_invest*(1/gh2_short_st_lifetime+$M123+h2_short_st_opex)+h2_short_st_e_demand*1000*$AU123/100)/1000000</f>
        <v>2143.7698054278007</v>
      </c>
      <c r="EO123" s="63">
        <f>Storage!$S$57/((1-Shipping!$T$37)^($F123/24/Shipping!$T$44+0.5*Shipping!$T$59))</f>
        <v>128282539.68253967</v>
      </c>
      <c r="EP123" s="28">
        <f>IF($E123="","No Port",IF(AND(ship_choice="VLCC",G123="Panama"),"Ship cannot pass through Panama",IF(ship_choice="VLCC",((F123/24/Shipping!$AD$44+F123/24/Shipping!$AD$50+Shipping!$AD$59+Shipping!$AD$64)*(Shipping!$AD$22+wacc_nl*Shipping!$AD$19/365.25*1000000+Shipping!$AD$35)+(F123/24/Shipping!$AD$44*Shipping!$AD$45+Shipping!$AD$64*Shipping!$AD$65)*IF(bunker_choice="HFO",$H123,IF(bunker_choice="hydrogen",$BD123*hfo_e_density_lhv/h2_e_density_lhv,(EK123+EM123)*1000000/EO123*hfo_e_density_lhv/Dme_e_density_lhv))+(F123/24/Shipping!$AD$50*Shipping!$AD$51+Shipping!$AD$59*Shipping!$AD$60)*IF(bunker_choice="HFO",bunker_price_ROT,IF(bunker_choice="hydrogen",$BD123*hfo_e_density_lhv/h2_e_density_lhv,(EK123+EM123)*1000000/EO123*hfo_e_density_lhv/ome_e_density_lhv))+Shipping!$AD$73+IF(G123="Panama",Shipping!$AD$55,0)+IF(G123="Suez",Shipping!$AD$56,0))/Shipping!$AD$31*(EO123+ome_st_ab_losses)/1000000+IF(inland_transport_to_port="hv dc grid",$BM123/100*1000*ER123,IF(inland_transport_to_port="pipeline",$BN123,0)),((F123/24/Shipping!$T$44+F123/24/Shipping!$T$50+Shipping!$T$59+Shipping!$T$64)*(Shipping!$T$22+wacc_nl*Shipping!$T$19/365.25*1000000+Shipping!$T$35)+(F123/24/Shipping!$T$44*Shipping!$T$45+Shipping!$T$64*Shipping!$T$65)*IF(bunker_choice="HFO",$H123,IF(bunker_choice="hydrogen",$BD123*hfo_e_density_lhv/h2_e_density_lhv,(EK123+EM123)*1000000/EO123*hfo_e_density_lhv/Dme_e_density_lhv))+(F123/24/Shipping!$T$50*Shipping!$T$51+Shipping!$T$59*Shipping!$T$60)*IF(bunker_choice="HFO",bunker_price_ROT,IF(bunker_choice="hydrogen",$BD123*hfo_e_density_lhv/h2_e_density_lhv,(EK123+EM123)*1000000/EO123*hfo_e_density_lhv/ome_e_density_lhv))+Shipping!$T$73+IF(G123="Panama",Shipping!$T$55,0)+IF(G123="Suez",Shipping!$T$56,0))/Shipping!$T$31*(EO123+ome_st_ab_losses)/1000000+IF(inland_transport_to_port="hv dc grid",$BM123/100*1000*ER123,IF(inland_transport_to_port="pipeline",$BN123,0)))))</f>
        <v>4807.6726791273177</v>
      </c>
      <c r="EQ123" s="28">
        <f t="shared" si="135"/>
        <v>330136.19679779321</v>
      </c>
      <c r="ER123" s="29">
        <f>(ome_e_demand)*(EO123+ome_st_ab_losses)/1000000+ome_st_e_demand*EM123/1000000+$CV123*(Carriers!$Z$21/Carriers!$Z$23*EO123)/$CS123</f>
        <v>3352.0814588402723</v>
      </c>
      <c r="ES123" s="29">
        <f t="shared" si="163"/>
        <v>0.1924238095238095</v>
      </c>
      <c r="ET123" s="28">
        <f>IFERROR(EQ123*1000000/Storage!$S$12,"")</f>
        <v>2573.5084261254888</v>
      </c>
      <c r="EU123" s="28">
        <f>IF($E123="","No Port",((F123/24/Shipping!$T$44+F123/24/Shipping!$T$50+Shipping!$T$59+Shipping!$T$64)*Carriers!$Z$39*wacc_nl))</f>
        <v>72.886104729278344</v>
      </c>
      <c r="EV123" s="100">
        <f>H2_retrieval!$R$25*h2_demand_kt/1000+(co2_liq_e_demand+co2_st_e_demand*2)*Storage!$S$12*co2_density/ome_density/1000000</f>
        <v>254.51942895252085</v>
      </c>
      <c r="EW123" s="28">
        <f>IFERROR((((EK123+EM123+EP123)*(1+H2_retrieval!$R$34)+EU123)*1000000/H2_retrieval!$R$8)+h2_regen_ome,"")</f>
        <v>21478.858690324276</v>
      </c>
      <c r="EX123" s="149">
        <f>(sng_invest*(M123+1/sng_lifetime)/sng_prod+lng_invest*(M123+1/lng_lifetime)/lng_prod+sng_opex+lng_opex+(sng_e_demand+lng_e_demand)*1000*$AU123/100+Carriers!$AB$18/Carriers!$AB$23*BD123+Carriers!$AB$20/Carriers!$AB$23*co2_liq_cost)*(FB123+lng_st_ab_losses)/1000000</f>
        <v>93775.375819917288</v>
      </c>
      <c r="EY123" s="86">
        <f>(sng_invest*(M123+1/sng_lifetime)/sng_prod+lng_invest*(M123+1/lng_lifetime)/lng_prod+sng_opex+lng_opex+(sng_e_demand+lng_e_demand)*1000*$AU123/100+Carriers!$AB$18/Carriers!$AB$23*BD123+Carriers!$AB$20/Carriers!$AB$23*BP123)*(FB123+lng_st_ab_losses)/1000000</f>
        <v>108896.56848420133</v>
      </c>
      <c r="EZ123" s="63">
        <f>lng_st_nl_cost*lng_st_nl_demand/1000000+(lng_st_invest*(M123+1/lng_st_lifetime+lng_st_opex)/(Storage!$U$63/1000000)+lng_st_e_demand*1000*$AU123/100)*(FB123+lng_st_ab_losses)/1000000+co2_st_nl_cost*Storage!$U$12*co2_density/lng_density/1000000+(co2_st_opex_lev+co2_st_invest_lev+co2_st_e_demand*1000*$AU123/100)*Storage!$U$12/1000000+co2_st_invest_lev*Storage!$U$12*co2_st_lifetime*M123/1000000+Carriers!$AB$18/Carriers!$AB$23*((FB123+lng_st_ab_losses)/365.25*short_st_duration_hrs/24)*(h2_short_st_invest*(1/gh2_short_st_lifetime+$M123+h2_short_st_opex)+h2_short_st_e_demand*1000*$AU123/100)/1000000+Carriers!$AB$20/Carriers!$AB$23*((FB123+lng_st_ab_losses)/365.25*short_st_duration_hrs/24)*(co2_short_st_invest*(1/co2_short_st_lifetime+$M123+co2_short_st_opex)+co2_short_st_e_demand*1000*$AU123/100)/1000000</f>
        <v>7218.7420362208613</v>
      </c>
      <c r="FA123" s="63">
        <f>lng_st_nl_cost*lng_st_nl_demand/1000000+(lng_st_invest*(M123+1/lng_st_lifetime+lng_st_opex)/(Storage!$U$63/1000000)+lng_st_e_demand*1000*$AU123/100)*(FB123+lng_st_ab_losses)/1000000+Carriers!$AB$18/Carriers!$AB$23*((FB123+lng_st_ab_losses)/365.25*short_st_duration_hrs/24)*(h2_short_st_invest*(1/gh2_short_st_lifetime+$M123+h2_short_st_opex)+h2_short_st_e_demand*1000*$AU123/100)/1000000+Carriers!$AB$20/Carriers!$AB$23*((FB123+lng_st_ab_losses)/365.25*short_st_duration_hrs/24)*(co2_short_st_invest*(1/co2_short_st_lifetime+$M123+co2_short_st_opex)+co2_short_st_e_demand*1000*$AU123/100)/1000000</f>
        <v>5517.220026329248</v>
      </c>
      <c r="FB123" s="63">
        <f>Storage!$U$57/((1-Shipping!$V$37)^($F123/24/Shipping!$V$44+0.5*Shipping!$V$59))</f>
        <v>41111259.679065883</v>
      </c>
      <c r="FC123" s="28">
        <f>IF($E123="","No Port",IF(G123="Panama","Ship cannot pass through Panama",((F123/24/Shipping!$V$44+F123/24/Shipping!$V$50+Shipping!$V$59+Shipping!$V$64)*(Shipping!$V$22+wacc_nl*Shipping!$V$19/365.25*1000000+Shipping!$V$35)+(F123/24/Shipping!$V$44*Shipping!$V$45+Shipping!$V$64*Shipping!$V$65)*IF(bunker_choice="HFO",$H123,IF(bunker_choice="hydrogen",$BD123*hfo_e_density_lhv/h2_e_density_lhv,(EX123+EZ123)*1000000/FB123*hfo_e_density_lhv/lng_e_density_lhv))+(F123/24/Shipping!$V$50*Shipping!$V$51+Shipping!$V$59*Shipping!$V$60)*IF(bunker_choice="HFO",bunker_price_ROT,IF(bunker_choice="hydrogen",$BD123*hfo_e_density_lhv/h2_e_density_lhv,(EX123+EZ123)*1000000/FB123*hfo_e_density_lhv/lng_e_density_lhv))+Shipping!$V$73+IF(G123="Panama",Shipping!$V$55,0)+IF(G123="Suez",Shipping!$V$56,0))/Shipping!$V$31*(FB123+lng_st_ab_losses)/1000000)+IF(inland_transport_to_port="hv dc grid",$BM123/100*1000*FE123,IF(inland_transport_to_port="pipeline",$BN123,0)))</f>
        <v>2011.5980349414288</v>
      </c>
      <c r="FD123" s="28">
        <f t="shared" si="136"/>
        <v>116425.38654547201</v>
      </c>
      <c r="FE123" s="29">
        <f>((Carriers!$AB$18/Carriers!$AB$23*alk_el_e_demand)+sng_e_demand+lng_e_demand)*(FB123+lng_st_ab_losses)/1000000+lng_st_e_demand*EZ123/1000000</f>
        <v>1102.575334261197</v>
      </c>
      <c r="FF123" s="29">
        <f t="shared" si="164"/>
        <v>0.8126185861001558</v>
      </c>
      <c r="FG123" s="28">
        <f>IFERROR(FD123*1000000/Storage!$U$12,"")</f>
        <v>2868.7419244230036</v>
      </c>
      <c r="FH123" s="28">
        <f>IF($E123="","No Port",((F123/24/Shipping!$V$44+F123/24/Shipping!$V$50+Shipping!$V$59+Shipping!$V$64)*Carriers!$AB$39*wacc_nl))</f>
        <v>21.687584778841892</v>
      </c>
      <c r="FI123" s="100">
        <f>H2_retrieval!$T$25*h2_demand_kt/1000+(co2_liq_e_demand+co2_st_e_demand*2)*Storage!$U$12*co2_density/lng_density/1000000</f>
        <v>236.51371749646054</v>
      </c>
      <c r="FJ123" s="28">
        <f>IFERROR((((EX123+EZ123+FC123)*(1+H2_retrieval!$T$34)+FH123)*1000000/H2_retrieval!$T$8)+h2_regen_lng,"")</f>
        <v>8745.6729164209992</v>
      </c>
      <c r="FK123" s="149">
        <f>(lh2_invest*(M123+1/lh2_lifetime)/lh2_prod+lh2_opex+lh2_e_demand*1000*$AU123/100+Carriers!$AD$18/Carriers!$AD$23*BD123)*(FM123+lh2_st_ab_losses)/1000000</f>
        <v>72677.036789079371</v>
      </c>
      <c r="FL123" s="28">
        <f>lh2_st_nl_cost*lh2_st_nl_demand/1000000+(lh2_st_invest*(M123+1/lh2_st_lifetime+lh2_st_opex)/(Storage!$Y$63/1000000)+lh2_st_e_demand*1000*$AU123/100)*(FM123+lh2_st_ab_losses)/1000000+((FM123+lh2_st_ab_losses)/365.25*short_st_duration_hrs/24)*(h2_short_st_invest*(1/gh2_short_st_lifetime+$M123+h2_short_st_opex)+h2_short_st_e_demand*1000*$AU123/100)/1000000</f>
        <v>63181.096722401846</v>
      </c>
      <c r="FM123" s="63">
        <f>Storage!$Y$57/((1-Shipping!$Z$37)^($F123/24/Shipping!$Z$44+0.5*Shipping!$Z$59))</f>
        <v>13877636.835602263</v>
      </c>
      <c r="FN123" s="28">
        <f>IF($E123="","No Port",IF(G123="Panama","Ship cannot pass through Panama",((F123/24/Shipping!$Z$44+F123/24/Shipping!$Z$50+Shipping!$Z$59+Shipping!$Z$64)*(Shipping!$Z$22+wacc_nl*Shipping!$Z$19/365.25*1000000+Shipping!$Z$35)+(F123/24/Shipping!$Z$44*Shipping!$Z$45+Shipping!$Z$64*Shipping!$Z$65)*IF(bunker_choice="HFO",$H123,IF(bunker_choice="hydrogen",$BD123*hfo_e_density_lhv/h2_e_density_lhv,(FK123+FL123)*1000000/FM123*hfo_e_density_lhv/lh2_e_density_lhv))+(F123/24/Shipping!$Z$50*Shipping!$Z$51+Shipping!$Z$59*Shipping!$Z$60)*IF(bunker_choice="HFO",bunker_price_ROT,IF(bunker_choice="hydrogen",$BD123*hfo_e_density_lhv/h2_e_density_lhv,(FK123+FL123)*1000000/FM123*hfo_e_density_lhv/lh2_e_density_lhv))+Shipping!$Z$73+IF(G123="Panama",Shipping!$Z$55,0)+IF(G123="Suez",Shipping!$Z$56,0))/Shipping!$Z$31*(FM123+lh2_st_ab_losses)/1000000)+IF(inland_transport_to_port="hv dc grid",$BM123/100*1000*FP123,IF(inland_transport_to_port="pipeline",$BN123,0)))</f>
        <v>3010.4833857343046</v>
      </c>
      <c r="FO123" s="28">
        <f t="shared" si="128"/>
        <v>138868.61689721554</v>
      </c>
      <c r="FP123" s="29">
        <f>((Carriers!$AD$18/Carriers!$AD$23*alk_el_e_demand)+lh2_e_demand)*(FM123+lh2_st_ab_losses)/1000000+lh2_st_e_demand*FM123/1000000</f>
        <v>804.19789682630665</v>
      </c>
      <c r="FQ123" s="100">
        <f t="shared" si="165"/>
        <v>1.361902463475859</v>
      </c>
      <c r="FR123" s="28">
        <f>IFERROR(FO123*1000000/Storage!$Y$12,"")</f>
        <v>10210.927713030555</v>
      </c>
      <c r="FS123" s="100">
        <f>H2_retrieval!$V$25*h2_demand_kt/1000</f>
        <v>8.16</v>
      </c>
      <c r="FT123" s="28">
        <f>IFERROR(FR123*(1+H2_retrieval!$V$34)/Carrier_properties!$U$7+H2_retrieval!$V$38,"")</f>
        <v>10242.896438899023</v>
      </c>
      <c r="FU123" s="12"/>
      <c r="FV123" s="24">
        <f t="shared" si="129"/>
        <v>3.233333839930447</v>
      </c>
      <c r="FW123" s="24" t="str">
        <f t="shared" si="143"/>
        <v/>
      </c>
      <c r="FX123" s="24" t="str">
        <f t="shared" si="144"/>
        <v/>
      </c>
      <c r="FY123" s="24">
        <f t="shared" si="130"/>
        <v>3.233333839930447</v>
      </c>
      <c r="FZ123" s="28">
        <f t="shared" si="145"/>
        <v>4020.071463176916</v>
      </c>
      <c r="GA123" s="28">
        <f t="shared" si="137"/>
        <v>892.8147127407882</v>
      </c>
      <c r="GB123" s="28">
        <f t="shared" si="138"/>
        <v>550.79545647831696</v>
      </c>
      <c r="GC123" s="28">
        <f t="shared" si="139"/>
        <v>996.55662407499517</v>
      </c>
      <c r="GD123" s="28">
        <f t="shared" si="140"/>
        <v>1448.1895873538117</v>
      </c>
      <c r="GE123" s="28">
        <f t="shared" si="141"/>
        <v>2519.3198942975578</v>
      </c>
      <c r="GF123" s="28">
        <f t="shared" si="142"/>
        <v>2648.8258772487129</v>
      </c>
      <c r="GG123" s="12"/>
      <c r="GH123" s="12"/>
      <c r="GI123" s="12"/>
      <c r="GJ123" s="12"/>
      <c r="GK123" s="12"/>
      <c r="GL123" s="12"/>
      <c r="GM123" s="12"/>
      <c r="GN123" s="12"/>
      <c r="GO123" s="12"/>
      <c r="GP123" s="12"/>
      <c r="GQ123" s="12"/>
      <c r="GR123" s="12"/>
      <c r="GS123" s="12"/>
      <c r="GT123" s="12"/>
      <c r="GU123" s="12"/>
      <c r="GV123" s="12"/>
      <c r="GW123" s="12"/>
      <c r="GX123" s="12"/>
      <c r="GY123" s="12"/>
      <c r="GZ123" s="12"/>
      <c r="HA123" s="12"/>
      <c r="HB123" s="12"/>
      <c r="HC123" s="12"/>
      <c r="HD123" s="12"/>
      <c r="HE123" s="12"/>
      <c r="HF123" s="12"/>
    </row>
    <row r="124" spans="1:214" x14ac:dyDescent="0.2">
      <c r="A124" s="154" t="s">
        <v>125</v>
      </c>
      <c r="B124" s="12">
        <v>6427</v>
      </c>
      <c r="C124" s="12">
        <v>0.9</v>
      </c>
      <c r="D124" s="12">
        <f t="shared" si="111"/>
        <v>9.9999999999999978E-2</v>
      </c>
      <c r="E124" s="12" t="s">
        <v>778</v>
      </c>
      <c r="F124" s="12">
        <v>5767</v>
      </c>
      <c r="G124" s="12" t="s">
        <v>692</v>
      </c>
      <c r="H124" s="16">
        <f t="shared" si="166"/>
        <v>382.75862068965517</v>
      </c>
      <c r="I124" s="16">
        <v>627340</v>
      </c>
      <c r="J124" s="16">
        <f t="shared" si="113"/>
        <v>446.86521905216483</v>
      </c>
      <c r="K124" s="16">
        <f t="shared" si="114"/>
        <v>536.23826286259782</v>
      </c>
      <c r="L124" s="103">
        <v>0.11899999999999999</v>
      </c>
      <c r="M124" s="103">
        <f t="shared" si="167"/>
        <v>0.12558006683361728</v>
      </c>
      <c r="N124" s="122">
        <f t="shared" si="116"/>
        <v>0.8</v>
      </c>
      <c r="O124" s="46">
        <f t="shared" si="168"/>
        <v>40</v>
      </c>
      <c r="P124" s="70">
        <f t="array" ref="P124">SUMPRODUCT(IF(Solar_data!A$4:A$777=A124,Solar_data!C$4:C$777),IF(Solar_data!A$4:A$777=A124,Solar_data!I$4:I$777))/SUMIF(Solar_data!A$4:A$777,A124,Solar_data!I$4:I$777)</f>
        <v>2279.7656977195079</v>
      </c>
      <c r="Q124" s="16">
        <f t="array" ref="Q124">MAX(IF(Solar_data!$A$777:'Solar_data'!$A$4=Country_details!$A124,Solar_data!$C$4:'Solar_data'!$C$777))</f>
        <v>2463.75</v>
      </c>
      <c r="R124" s="16">
        <f t="array" ref="R124">MIN(IF(Solar_data!$A$777:'Solar_data'!$A$4=Country_details!A124,Solar_data!$C$4:'Solar_data'!$C$777))</f>
        <v>1916.25</v>
      </c>
      <c r="S124" s="24">
        <f t="shared" si="149"/>
        <v>2.2333817287570121</v>
      </c>
      <c r="T124" s="24">
        <f t="shared" si="150"/>
        <v>2.0666005297346448</v>
      </c>
      <c r="U124" s="24">
        <f t="shared" si="151"/>
        <v>2.6570578239445433</v>
      </c>
      <c r="V124" s="16">
        <f t="array" ref="V124">SUM(IF(Solar_data!$A$777:'Solar_data'!$A$4=Country_details!$A124,Solar_data!$I$4:'Solar_data'!$I$777))</f>
        <v>5193.5785675675097</v>
      </c>
      <c r="W124" s="148"/>
      <c r="X124" s="16" t="str">
        <f>IFERROR(INDEX(Onshore_wind_data!$J$5:'Onshore_wind_data'!$J$221,MATCH(A124,Onshore_wind_data!$B$5:'Onshore_wind_data'!$B$221,0)),"")</f>
        <v/>
      </c>
      <c r="Y124" s="16" t="str">
        <f>IFERROR(INDEX(Onshore_wind_data!$K$5:'Onshore_wind_data'!$K$221,MATCH(A124,Onshore_wind_data!$B$5:'Onshore_wind_data'!$B$221,0)),"")</f>
        <v/>
      </c>
      <c r="Z124" s="16" t="str">
        <f>IFERROR(INDEX(Onshore_wind_data!$L$5:'Onshore_wind_data'!$L$221,MATCH(A124,Onshore_wind_data!$B$5:'Onshore_wind_data'!$B$221,0)),"")</f>
        <v/>
      </c>
      <c r="AA124" s="24" t="str">
        <f t="shared" si="169"/>
        <v/>
      </c>
      <c r="AB124" s="24" t="str">
        <f t="shared" si="170"/>
        <v/>
      </c>
      <c r="AC124" s="24" t="str">
        <f t="shared" si="171"/>
        <v/>
      </c>
      <c r="AD124" s="16">
        <f>IFERROR(INDEX(Onshore_wind_data!$I$5:'Onshore_wind_data'!$I$221,MATCH(A124,Onshore_wind_data!$B$5:'Onshore_wind_data'!$B$221,0)),"")</f>
        <v>0</v>
      </c>
      <c r="AE124" s="148"/>
      <c r="AF124" s="16">
        <f>INDEX(Offshore_wind_data!$AA$7:$AA$192,MATCH(Country_details!A124,Offshore_wind_data!$A$7:$A$192,0))</f>
        <v>3957.0067073539194</v>
      </c>
      <c r="AG124" s="16">
        <f>INDEX(Offshore_wind_data!$Y$7:$Y$192,MATCH(Country_details!A124,Offshore_wind_data!$A$7:$A$192,0))</f>
        <v>4204.8</v>
      </c>
      <c r="AH124" s="16">
        <f>INDEX(Offshore_wind_data!$Z$7:$Z$192,MATCH(Country_details!A124,Offshore_wind_data!$A$7:$A$192,0))</f>
        <v>3153.6</v>
      </c>
      <c r="AI124" s="24">
        <f t="shared" si="152"/>
        <v>6.9196772666115711</v>
      </c>
      <c r="AJ124" s="24">
        <f t="shared" si="153"/>
        <v>6.5118933972380182</v>
      </c>
      <c r="AK124" s="24">
        <f t="shared" si="154"/>
        <v>8.6825245296506903</v>
      </c>
      <c r="AL124" s="16">
        <f>INDEX(Offshore_wind_data!$W$7:$W$191,MATCH(A124,Offshore_wind_data!$A$7:$A$191,0))</f>
        <v>1309.6900800000001</v>
      </c>
      <c r="AM124" s="148"/>
      <c r="AN124" s="12">
        <v>14.7</v>
      </c>
      <c r="AO124" s="12">
        <v>35.9</v>
      </c>
      <c r="AP124" s="34"/>
      <c r="AQ124" s="15">
        <f t="shared" si="155"/>
        <v>50</v>
      </c>
      <c r="AR124" s="12">
        <f t="shared" si="131"/>
        <v>1795</v>
      </c>
      <c r="AS124" s="16">
        <f t="shared" si="121"/>
        <v>4708.26864756751</v>
      </c>
      <c r="AT124" s="12"/>
      <c r="AU124" s="24">
        <f t="shared" si="147"/>
        <v>2.2333817287570121</v>
      </c>
      <c r="AV124" s="16">
        <f t="shared" si="148"/>
        <v>2279.7656977195079</v>
      </c>
      <c r="AW124" s="149">
        <f>HV_DC_Grid!$E$3/(1-AX124)*AU124/100*1000</f>
        <v>2573.8493076378427</v>
      </c>
      <c r="AX124" s="31">
        <f>(1-(1-HV_DC_Grid!$E$25)^(B124*C124*HV_DC_Grid!$E$8/1000))+(1-(1-HV_DC_Grid!$E$26)^(B124*D124*HV_DC_Grid!$E$8/1000))+HV_DC_Grid!$E$35*HV_DC_Grid!$E$28</f>
        <v>0.13227953084529864</v>
      </c>
      <c r="AY124" s="28">
        <f>B124*nl_e_demand/IF(hv_dc_flh="electricity FLH",$AV124,hv_dc_custom)*1000*hv_dc_capacity_multiplier*hv_dc_length_multiplier*1000*(C124*hv_dc_overhead_invest*(hv_dc_overhead_opex+M124+1/hv_dc_lifetime)+D124*hv_dc_sea_invest*(hv_dc_sea_opex+M124+1/hv_dc_lifetime))/1000000+HV_DC_Grid!$E$10*1000*hv_dc_station_invest*hv_dc_station_number*(hv_dc_station_opex+M124+1/hv_dc_lifetime)/1000000</f>
        <v>7042.8248555230039</v>
      </c>
      <c r="AZ124" s="24">
        <f>(AW124+AY124)/(HV_DC_Grid!$E$3*1000)*100</f>
        <v>9.6166741631608463</v>
      </c>
      <c r="BA124" s="28">
        <f>MIN(((Carriers!$F$26+Carriers!$F$27)*(alk_el_opex+wacc_nl+1/alk_el_lifetime)+IF(hv_dc_flh="electricity FLH",$AV124,hv_dc_custom)*AZ124/100)/(IF(hv_dc_flh="electricity FLH",$AV124,hv_dc_custom)/alk_el_e_demand)*1000,((Carriers!$H$26+Carriers!$H$27)*(pem_el_opex+wacc_nl+1/pem_el_lifetime)+IF(hv_dc_flh="electricity FLH",$AV124,hv_dc_custom)*AZ124/100)/(IF(hv_dc_flh="electricity FLH",$AV124,hv_dc_custom)/pem_el_e_demand)*1000)</f>
        <v>5264.1319274828693</v>
      </c>
      <c r="BB124" s="12"/>
      <c r="BC124" s="12"/>
      <c r="BD124" s="149">
        <f>MIN(((Carriers!$F$26+Carriers!$F$27)*(alk_el_opex+M124+1/alk_el_lifetime)+$AV124*$AU124/100)/($AV124/alk_el_e_demand)*1000,((Carriers!$H$26+Carriers!$H$27)*(pem_el_opex+M124+1/pem_el_lifetime)+$AV124*$AU124/100)/($AV124/pem_el_e_demand)*1000)</f>
        <v>2637.1643167268981</v>
      </c>
      <c r="BE124" s="28">
        <f>Storage!$AC$50</f>
        <v>8.1664117557772418</v>
      </c>
      <c r="BF124" s="28">
        <f>((Pipeline!$D$22*Pipeline!$D$24*B124*(pipeline_opex+M124+1/pipeline_lifetime))*(Pipeline!$D$39/Pipeline!$D$3)+(Pipeline!$D$57*(pipeline_comp_opex+M124+1/pipeline_comp_lifetime)+Pipeline!$D$47*1000*Pipeline!$D$45*$AU124/100/1000000))*(Pipeline!$D$75/Pipeline!$D$45)</f>
        <v>14480.974751667614</v>
      </c>
      <c r="BG124" s="28">
        <f>BD124+(BE124+BF124)/Storage!$AC$12*1000000</f>
        <v>3702.5423434492063</v>
      </c>
      <c r="BH124" s="28"/>
      <c r="BI124" s="28"/>
      <c r="BJ124" s="28">
        <f>IF($E124="","No Port",BK124*HV_DC_Grid!$E$3*$AU124/100*1000)</f>
        <v>54.327800782163166</v>
      </c>
      <c r="BK124" s="31">
        <f>IFERROR((1-(1-HV_DC_Grid!$E$25)^(K124*HV_DC_Grid!$E$8/1000))+HV_DC_Grid!$E$35*HV_DC_Grid!$E$28,"")</f>
        <v>2.4325353826727722E-2</v>
      </c>
      <c r="BL124" s="28">
        <f>IFERROR(K124*nl_e_demand/IF(hv_dc_flh="electricity FLH",$AV124,hv_dc_custom)*1000*hv_dc_capacity_multiplier*hv_dc_length_multiplier*1000*(hv_dc_overhead_invest*(hv_dc_overhead_opex+M124+1/hv_dc_lifetime))/1000000+HV_DC_Grid!$E$10*1000*hv_dc_station_invest*hv_dc_station_number*(hv_dc_station_opex+M124+1/hv_dc_lifetime)/1000000,"")</f>
        <v>878.58782619182489</v>
      </c>
      <c r="BM124" s="29">
        <f>IFERROR((BJ124+BL124)/(HV_DC_Grid!$E$3*1000)*100,"")</f>
        <v>0.93291562697398811</v>
      </c>
      <c r="BN124" s="28">
        <f>IFERROR(((Pipeline!$D$22*Pipeline!$D$24*K124*(pipeline_opex+M124+1/pipeline_lifetime))*(Pipeline!$D$39/Pipeline!$D$3)+(Pipeline!$D$57*(pipeline_comp_opex+M124+1/pipeline_comp_lifetime)+Pipeline!$D$47*1000*Pipeline!$D$45*S124/100/1000000))*(Pipeline!$D$75/Pipeline!$D$45),"")</f>
        <v>1277.2599168904815</v>
      </c>
      <c r="BO124" s="28"/>
      <c r="BP124" s="150">
        <f t="shared" si="172"/>
        <v>111.5736329249722</v>
      </c>
      <c r="BQ124" s="34">
        <f t="shared" si="173"/>
        <v>33.509712635193281</v>
      </c>
      <c r="BR124" s="151">
        <f>(nh3_invest*(M124+1/nh3_lifetime)/nh3_prod+nh3_opex+nh3_e_demand*1000*$AU124/100+Carriers!$N$18/Carriers!$N$23*BD124+Carriers!$N$19/Carriers!$N$23*BQ124)*(BT124+nh3_st_ab_losses)/1000000</f>
        <v>48635.398629775053</v>
      </c>
      <c r="BS124" s="63">
        <f>nh3_st_nl_cost*nh3_st_nl_demand/1000000+(nh3_st_invest*(M124+1/nh3_st_lifetime+nh3_st_opex)/(Storage!$G$63/1000000)+nh3_st_e_demand*1000*$AU124/100)*(BT124+nh3_st_ab_losses)/1000000+Carriers!$N$18/Carriers!$N$23*((BT124+nh3_st_ab_losses)/365.25*short_st_duration_hrs/24)*(h2_short_st_invest*(1/gh2_short_st_lifetime+$M124+h2_short_st_opex)+h2_short_st_e_demand*1000*$AU124/100)/1000000+Carriers!$N$19/Carriers!$N$23*((BT124+nh3_st_ab_losses)/365.25*short_st_duration_hrs/24)*(n2_short_st_invest*(1/n2_short_st_lifetime+$M124+n2_short_st_opex)+n2_short_st_e_demand*1000*$AU124/100)/1000000</f>
        <v>3457.7975807027683</v>
      </c>
      <c r="BT124" s="63">
        <f>Storage!$G$57/((1-Shipping!$H$37)^(F124/24/Shipping!$H$44+0.5*Shipping!$H$59))</f>
        <v>79709882.923886433</v>
      </c>
      <c r="BU124" s="63">
        <f>IF($E124="","No Port",((F124/24/Shipping!$H$44+F124/24/Shipping!$H$50+Shipping!$H$59+Shipping!$H$64)*(Shipping!$H$22+wacc_nl*Shipping!$H$19/365.25*1000000+Shipping!$H$35)+(F124/24/Shipping!$H$44*Shipping!$H$45+Shipping!$H$64*Shipping!$H$65)*IF(bunker_choice="HFO",H124,IF(bunker_choice="hydrogen",BD124*hfo_e_density_lhv/h2_e_density_lhv,(BR124+BS124)*1000000/BT124*hfo_e_density_lhv/nh3_e_density_lhv))+(F124/24/Shipping!$H$50*Shipping!$H$51+Shipping!$H$59*Shipping!$H$60)*IF(bunker_choice="HFO",bunker_price_ROT,IF(bunker_choice="hydrogen",BD124*hfo_e_density_lhv/h2_e_density_lhv,(BR124+BS124)*1000000/BT124*hfo_e_density_lhv/nh3_e_density_lhv))+Shipping!$H$73+IF(G124="Panama",Shipping!$H$55,0)+IF(G124="Suez",Shipping!$H$56,0))/Shipping!$H$31*BT124/1000000+IF(inland_transport_to_port="hv dc grid",$BM124/100*1000*BW124,IF(inland_transport_to_port="pipeline",$BN124,0)))</f>
        <v>5456.7105784635423</v>
      </c>
      <c r="BV124" s="63">
        <f t="shared" si="174"/>
        <v>57549.906788941364</v>
      </c>
      <c r="BW124" s="33">
        <f>((Carriers!$N$18/Carriers!$N$23*alk_el_e_demand)+(Carriers!$N$19/Carriers!$N$23*n2_e_demand)+nh3_e_demand)*(BT124+nh3_st_ab_losses)/1000000+nh3_st_e_demand*BT124/1000000</f>
        <v>787.14987396024981</v>
      </c>
      <c r="BX124" s="33">
        <f t="shared" si="156"/>
        <v>0.76626754477640768</v>
      </c>
      <c r="BY124" s="63">
        <f>IFERROR(BV124*1000000/Storage!$G$12,"")</f>
        <v>751.66770670540666</v>
      </c>
      <c r="BZ124" s="63">
        <f>H2_retrieval!$F$25*h2_demand_kt/1000</f>
        <v>80</v>
      </c>
      <c r="CA124" s="63">
        <f>IFERROR(BY124*(1+H2_retrieval!$F$34)/Carrier_properties!$E$7+H2_retrieval!$F$38,"")</f>
        <v>4640.836772948247</v>
      </c>
      <c r="CB124" s="149">
        <f>(FA_invest*(M124+1/FA_lifetime)/FA_prod+FA_opex+FA_e_demand*1000*$AU124/100+Carriers!$P$18/Carriers!$P$23*BD124+Carriers!$P$20/Carriers!$P$23*co2_liq_cost)*(CF124+FA_st_ab_losses)/1000000</f>
        <v>95935.366824182711</v>
      </c>
      <c r="CC124" s="86">
        <f>(FA_invest*(M124+1/FA_lifetime)/FA_prod+FA_opex+FA_e_demand*1000*$AU124/100+Carriers!$P$18/Carriers!$P$23*BD124+Carriers!$P$20/Carriers!$P$23*BP124)*(CF124+FA_st_ab_losses)/1000000</f>
        <v>122816.71844962113</v>
      </c>
      <c r="CD124" s="63">
        <f>FA_st_nl_cost*FA_st_nl_demand/1000000+(FA_st_invest*(M124+1/FA_st_lifetime+FA_st_opex)/(Storage!$I$63/1000000)+FA_st_e_demand*1000*$AU124/100)*(CF124+FA_st_ab_losses)/1000000+co2_st_nl_cost*Storage!$I$12*co2_density/FA_density/1000000+(co2_st_opex_lev+co2_st_invest_lev+co2_st_e_demand*1000*$AU124/100)*Storage!$I$12/1000000+co2_st_invest_lev*Storage!$I$12*co2_st_lifetime*M124/1000000+Carriers!$P$18/Carriers!$P$23*((CF124+FA_st_ab_losses)/365.25*short_st_duration_hrs/24)*(h2_short_st_invest*(1/gh2_short_st_lifetime+$M124+h2_short_st_opex)+h2_short_st_e_demand*1000*$AU124/100)/1000000+Carriers!$P$20/Carriers!$P$23*((CF124+FA_st_ab_losses)/365.25*short_st_duration_hrs/24)*(co2_short_st_invest*(1/co2_short_st_lifetime+$M124+co2_short_st_opex)+co2_short_st_e_demand*1000*$AU124/100)/1000000</f>
        <v>11656.735669465317</v>
      </c>
      <c r="CE124" s="63">
        <f>FA_st_nl_cost*FA_st_nl_demand/1000000+(FA_st_invest*(M124+1/FA_st_lifetime+FA_st_opex)/(Storage!$I$63/1000000)+FA_st_e_demand*1000*$AU124/100)*(CF124+FA_st_ab_losses)/1000000+Carriers!$P$18/Carriers!$P$23*((CF124+FA_st_ab_losses)/365.25*short_st_duration_hrs/24)*(h2_short_st_invest*(1/gh2_short_st_lifetime+$M124+h2_short_st_opex)+h2_short_st_e_demand*1000*$AU124/100)/1000000+Carriers!$P$20/Carriers!$P$23*((CF124+FA_st_ab_losses)/365.25*short_st_duration_hrs/24)*(co2_short_st_invest*(1/co2_short_st_lifetime+$M124+co2_short_st_opex)+co2_short_st_e_demand*1000*$AU124/100)/1000000</f>
        <v>5101.5483857414356</v>
      </c>
      <c r="CF124" s="63">
        <f>Storage!$I$57/((1-Shipping!$J$37)^($F124/24/Shipping!$J$44+0.5*Shipping!$J$59))</f>
        <v>310425396.82539684</v>
      </c>
      <c r="CG124" s="28">
        <f>IF($E124="","No Port",((F124/24/Shipping!$J$44+F124/24/Shipping!$J$50+Shipping!$J$59+Shipping!$J$64)*(Shipping!$J$22+wacc_nl*Shipping!$J$19/365.25*1000000+Shipping!$J$35)+(F124/24/Shipping!$J$44*Shipping!$J$45+Shipping!$J$64*Shipping!$J$65)*IF(bunker_choice="HFO",$H124,IF(bunker_choice="hydrogen",$BD124*hfo_e_density_lhv/h2_e_density_lhv,(CB124+CD124)*1000000/CF124*hfo_e_density_lhv/FA_e_density_lhv))+(F124/24/Shipping!$J$50*Shipping!$J$51+Shipping!$J$59*Shipping!$J$60)*IF(bunker_choice="HFO",bunker_price_ROT,IF(bunker_choice="hydrogen",$BD124*hfo_e_density_lhv/h2_e_density_lhv,(CB124+CD124)*1000000/CF124*hfo_e_density_lhv/FA_e_density_lhv))+Shipping!$J$73+IF(G124="Panama",Shipping!$J$55,0)+IF(G124="Suez",Shipping!$J$56,0))/Shipping!$J$31*CF124/1000000+IF(inland_transport_to_port="hv dc grid",$BM124/100*1000*CI124,IF(inland_transport_to_port="pipeline",$BN124,0)))</f>
        <v>19250.609372009112</v>
      </c>
      <c r="CH124" s="28">
        <f t="shared" si="132"/>
        <v>147168.87620737168</v>
      </c>
      <c r="CI124" s="29">
        <f>((Carriers!$P$18/Carriers!$P$23*alk_el_e_demand)+FA_e_demand)*(CF124+FA_st_ab_losses)/1000000+FA_st_e_demand*CF124/1000000</f>
        <v>1897.8881241622576</v>
      </c>
      <c r="CJ124" s="29">
        <f t="shared" si="157"/>
        <v>0.46563809523809524</v>
      </c>
      <c r="CK124" s="28">
        <f>IFERROR(CH124*1000000/Storage!$I$12,"")</f>
        <v>474.08774447069129</v>
      </c>
      <c r="CL124" s="28">
        <f>IF($E124="","No Port",((F124/24/Shipping!$J$44+F124/24/Shipping!$J$50+Shipping!$J$59+Shipping!$J$64)*Carriers!$P$39*wacc_nl))</f>
        <v>283.75741563192986</v>
      </c>
      <c r="CM124" s="29">
        <f>H2_retrieval!$H$25*h2_demand_kt/1000+(co2_liq_e_demand+co2_st_e_demand*2)*Storage!$I$12*co2_density/FA_density/1000000</f>
        <v>94.204253879484654</v>
      </c>
      <c r="CN124" s="28">
        <f>IFERROR((((CB124+CD124+CG124)*(1+H2_retrieval!$H$34)+CL124)*1000000/H2_retrieval!$H$8)+h2_regen_fa,"")</f>
        <v>9437.2218737440944</v>
      </c>
      <c r="CO124" s="149">
        <f>(meoh_invest*(M124+1/meoh_lifetime)/meoh_prod+meoh_opex+meoh_e_demand*1000*$AU124/100+Carriers!$R$18/Carriers!$R$23*BD124+Carriers!$R$20/Carriers!$R$23*co2_liq_cost)*(CS124+meoh_st_ab_losses)/1000000</f>
        <v>57917.61574314483</v>
      </c>
      <c r="CP124" s="86">
        <f>(meoh_invest*(M124+1/meoh_lifetime)/meoh_prod+meoh_opex+meoh_e_demand*1000*$AU124/100+Carriers!$R$18/Carriers!$R$23*BD124+Carriers!$R$20/Carriers!$R$23*BP124)*(CS124+meoh_st_ab_losses)/1000000</f>
        <v>73697.7990239676</v>
      </c>
      <c r="CQ124" s="63">
        <f>meoh_st_nl_cost*meoh_st_nl_demand/1000000+(meoh_st_invest*(M124+1/meoh_st_lifetime+meoh_st_opex)/(Storage!$K$63/1000000)+meoh_st_e_demand*1000*$AU124/100)*(CS124+meoh_st_ab_losses)/1000000+co2_st_nl_cost*Storage!$K$12*co2_density/meoh_density/1000000+(co2_st_opex_lev+co2_st_invest_lev+co2_st_e_demand*1000*IFERROR(MIN(S124,AA124,AI124),S124)/100)*Storage!$K$12/1000000+co2_st_invest_lev*Storage!$K$12*co2_st_lifetime*M124/1000000+Carriers!$R$18/Carriers!$R$23*((CS124+meoh_st_ab_losses)/365.25*short_st_duration_hrs/24)*(h2_short_st_invest*(1/gh2_short_st_lifetime+$M124+h2_short_st_opex)+h2_short_st_e_demand*1000*$AU124/100)/1000000+Carriers!$R$20/Carriers!$R$23*((CF124+meoh_st_ab_losses)/365.25*short_st_duration_hrs/24)*(co2_short_st_invest*(1/co2_short_st_lifetime+$M124+co2_short_st_opex)+co2_short_st_e_demand*1000*$AU124/100)/1000000</f>
        <v>4891.4196166653091</v>
      </c>
      <c r="CR124" s="63">
        <f>meoh_st_nl_cost*meoh_st_nl_demand/1000000+(meoh_st_invest*(M124+1/meoh_st_lifetime+meoh_st_opex)/(Storage!$K$63/1000000)+meoh_st_e_demand*1000*$AU124/100)*(CS124+meoh_st_ab_losses)/1000000+Carriers!$R$18/Carriers!$R$23*((CS124+meoh_st_ab_losses)/365.25*short_st_duration_hrs/24)*(h2_short_st_invest*(1/gh2_short_st_lifetime+$M124+h2_short_st_opex)+h2_short_st_e_demand*1000*$AU124/100)/1000000+Carriers!$R$20/Carriers!$R$23*((CF124+meoh_st_ab_losses)/365.25*short_st_duration_hrs/24)*(co2_short_st_invest*(1/co2_short_st_lifetime+$M124+co2_short_st_opex)+co2_short_st_e_demand*1000*$AU124/100)/1000000</f>
        <v>2010.8705545072282</v>
      </c>
      <c r="CS124" s="63">
        <f>Storage!$K$57/((1-Shipping!$L$37)^($F124/24/Shipping!$L$44+0.5*Shipping!$L$59))</f>
        <v>108044444.44444443</v>
      </c>
      <c r="CT124" s="28">
        <f>IF($E124="","No Port",IF(AND(ship_choice="VLCC",G124="Panama"),"Ship cannot pass through Panama",IF(ship_choice="VLCC",((F124/24/Shipping!$AD$44+F124/24/Shipping!$AD$50+Shipping!$AD$59+Shipping!$AD$64)*(Shipping!$AD$22+wacc_nl*Shipping!$AD$19/365.25*1000000+Shipping!$AD$35)+(F124/24/Shipping!$AD$44*Shipping!$AD$45+Shipping!$AD$64*Shipping!$AD$65)*IF(bunker_choice="HFO",$H124,IF(bunker_choice="hydrogen",$BD124*hfo_e_density_lhv/h2_e_density_lhv,(CO124+CQ124)*1000000/CS124*hfo_e_density_lhv/meoh_e_density_lhv))+(F124/24/Shipping!$AD$50*Shipping!$AD$51+Shipping!$AD$59*Shipping!$AD$60)*IF(bunker_choice="HFO",bunker_price_ROT,IF(bunker_choice="hydrogen",$BD124*hfo_e_density_lhv/h2_e_density_lhv,(CO124+CQ124)*1000000/CS124*hfo_e_density_lhv/meoh_e_density_lhv))+Shipping!$AD$73+IF(G124="Panama",Shipping!$AD$55,0)+IF(G124="Suez",Shipping!$AD$56,0))/Shipping!$AD$31*CS124/1000000+IF(inland_transport_to_port="hv dc grid",$BM124/100*1000*CV124,IF(inland_transport_to_port="pipeline",$BN124,0)),((F124/24/Shipping!$L$44+F124/24/Shipping!$L$50+Shipping!$L$59+Shipping!$L$64)*(Shipping!$L$22+wacc_nl*Shipping!$L$19/365.25*1000000+Shipping!$L$35)+(F124/24/Shipping!$L$44*Shipping!$L$45+Shipping!$L$64*Shipping!$L$65)*IF(bunker_choice="HFO",$H124,IF(bunker_choice="hydrogen",$BD124*hfo_e_density_lhv/h2_e_density_lhv,(CO124+CQ124)*1000000/CS124*hfo_e_density_lhv/meoh_e_density_lhv))+(F124/24/Shipping!$L$50*Shipping!$L$51+Shipping!$L$59*Shipping!$L$60)*IF(bunker_choice="HFO",bunker_price_ROT,IF(bunker_choice="hydrogen",$BD124*hfo_e_density_lhv/h2_e_density_lhv,(CO124+CQ124)*1000000/CS124*hfo_e_density_lhv/meoh_e_density_lhv))+Shipping!$L$73+IF(G124="Panama",Shipping!$L$55,0)+IF(G124="Suez",Shipping!$L$56,0))/Shipping!$L$31*CS124/1000000+IF(inland_transport_to_port="hv dc grid",$BM124/100*1000*CV124,IF(inland_transport_to_port="pipeline",$BN124,0)))))</f>
        <v>7257.364163015679</v>
      </c>
      <c r="CU124" s="28">
        <f t="shared" si="133"/>
        <v>82966.033741490508</v>
      </c>
      <c r="CV124" s="29">
        <f>((Carriers!$R$18/Carriers!$R$23*alk_el_e_demand)+meoh_e_demand)*(CS124+meoh_st_ab_losses)/1000000+meoh_st_e_demand*CS124/1000000</f>
        <v>1119.9789871111109</v>
      </c>
      <c r="CW124" s="29">
        <f t="shared" si="158"/>
        <v>0.16206666666666666</v>
      </c>
      <c r="CX124" s="28">
        <f>IFERROR(CU124*1000000/Storage!$K$12,"")</f>
        <v>767.88801282745237</v>
      </c>
      <c r="CY124" s="28">
        <f>IF($E124="","No Port",((F124/24/Shipping!$L$44+F124/24/Shipping!$L$50+Shipping!$L$59+Shipping!$L$64)*Carriers!$R$39*wacc_nl))</f>
        <v>101.63100613794732</v>
      </c>
      <c r="CZ124" s="29">
        <f>H2_retrieval!$J$25*h2_demand_kt/1000+(co2_liq_e_demand+co2_st_e_demand*2)*Storage!$K$12*co2_density/meoh_density/1000000</f>
        <v>251.05079059698966</v>
      </c>
      <c r="DA124" s="28">
        <f>IFERROR((((CO124+CQ124+CT124)*(1+H2_retrieval!$J$34)+CY124)*1000000/H2_retrieval!$J$8)+h2_regen_meoh,"")</f>
        <v>6329.5425526787458</v>
      </c>
      <c r="DB124" s="149">
        <f>(DBT_invest*(M124+1/DBT_lifetime)/DBT_prod+DBT_opex+DBT_e_demand*1000*$AU124/100+Carriers!$T$18/Carriers!$T$23*BD124)*(DD124+DBT_st_ab_losses)/1000000</f>
        <v>39113.227263966452</v>
      </c>
      <c r="DC124" s="28">
        <f>2*(DBT_st_nl_cost*DBT_st_nl_demand/1000000+(DBT_st_invest*(M124+1/DBT_st_lifetime+DBT_st_opex)/(Storage!$M$63/1000000)+DBT_st_e_demand*1000*$AU124/100)*(DD124+DBT_st_ab_losses)/1000000)+Carriers!$T$18/Carriers!$T$23*((DD124+DBT_st_ab_losses)/365.25*short_st_duration_hrs/24)*(h2_short_st_invest*(1/gh2_short_st_lifetime+$M124+h2_short_st_opex)+h2_short_st_e_demand*1000*$AU124/100)/1000000</f>
        <v>4147.6380787563157</v>
      </c>
      <c r="DD124" s="63">
        <f>Storage!$M$57/((1-Shipping!$N$37)^($F124/24/Shipping!$N$44+0.5*Shipping!$N$59))</f>
        <v>219354838.70967743</v>
      </c>
      <c r="DE124" s="28">
        <f>IF($E124="","No Port",IF(AND(ship_choice="VLCC",G124="Panama"),"Ship cannot pass through Panama",IF(ship_choice="VLCC",((F124/24/Shipping!$AD$44+F124/24/Shipping!$AD$50+Shipping!$AD$59+Shipping!$AD$64)*(Shipping!$AD$22+wacc_nl*Shipping!$AD$19/365.25*1000000+Shipping!$AD$35)+(F124/24/Shipping!$AD$44*Shipping!$AD$45+Shipping!$AD$64*Shipping!$AD$65)*IF(bunker_choice="HFO",$H124,IF(bunker_choice="hydrogen",$BD124*hfo_e_density_lhv/h2_e_density_lhv,(DB124+DC124)*1000000/DD124*hfo_e_density_lhv/DBT_e_density_lhv))+(F124/24/Shipping!$AD$50*Shipping!$AD$51+Shipping!$AD$59*Shipping!$AD$60)*IF(bunker_choice="HFO",bunker_price_ROT,IF(bunker_choice="hydrogen",$BD124*hfo_e_density_lhv/h2_e_density_lhv,(DB124+DC124)*1000000/DD124*hfo_e_density_lhv/DBT_e_density_lhv))+Shipping!$AD$73+IF(G124="Panama",Shipping!$AD$55,0)+IF(G124="Suez",Shipping!$AD$56,0))/Shipping!$AD$31*DD124/1000000+IF(inland_transport_to_port="hv dc grid",$BM124/100*1000*DG124,IF(inland_transport_to_port="pipeline",$BN124,0)),((F124/24/Shipping!$N$44+F124/24/Shipping!$N$50+Shipping!$N$59+Shipping!$N$64)*(Shipping!$N$22+wacc_nl*Shipping!$N$19/365.25*1000000+Shipping!$N$35)+(F124/24/Shipping!$N$44*Shipping!$N$45+Shipping!$N$64*Shipping!$N$65)*IF(bunker_choice="HFO",$H124,IF(bunker_choice="hydrogen",$BD124*hfo_e_density_lhv/h2_e_density_lhv,(DB124+DC124)*1000000/DD124*hfo_e_density_lhv/DBT_e_density_lhv))+(F124/24/Shipping!$N$50*Shipping!$N$51+Shipping!$N$59*Shipping!$N$60)*IF(bunker_choice="HFO",bunker_price_ROT,IF(bunker_choice="hydrogen",$BD124*hfo_e_density_lhv/h2_e_density_lhv,(DB124+DC124)*1000000/DD124*hfo_e_density_lhv/DBT_e_density_lhv))+Shipping!$N$73+IF(G124="Panama",Shipping!$N$55,0)+IF(G124="Suez",Shipping!$N$56,0))/Shipping!$N$31*Shipping!$N$86/1000000+IF(inland_transport_to_port="hv dc grid",$BM124/100*1000*DG124,IF(inland_transport_to_port="pipeline",$BN124,0)))))</f>
        <v>12519.669615752484</v>
      </c>
      <c r="DF124" s="28">
        <f t="shared" si="159"/>
        <v>55780.534958475255</v>
      </c>
      <c r="DG124" s="29">
        <f>((Carriers!$T$18/Carriers!$T$23*alk_el_e_demand)+DBT_e_demand)*(DD124+DBT_st_ab_losses)/1000000+DBT_st_e_demand*DD124/1000000</f>
        <v>703.88335483870969</v>
      </c>
      <c r="DH124" s="29">
        <f t="shared" si="160"/>
        <v>0.21935483870967742</v>
      </c>
      <c r="DI124" s="28">
        <f>IFERROR(DF124*1000000/Storage!$M$12,"")</f>
        <v>254.2936152518725</v>
      </c>
      <c r="DJ124" s="28">
        <f>IF($E124="","No Port",((F124/24/Shipping!$N$44+F124/24/Shipping!$N$50+Shipping!$N$59+Shipping!$N$64)*Carriers!$T$39*wacc_nl))</f>
        <v>7402.1200979731184</v>
      </c>
      <c r="DK124" s="100">
        <f>H2_retrieval!$L$25*h2_demand_kt/1000+(co2_liq_e_demand+co2_st_e_demand*2)*Storage!$M$12*co2_density/DBT_density/1000000</f>
        <v>206.61934861671787</v>
      </c>
      <c r="DL124" s="28">
        <f>IFERROR(((DF124*(1+H2_retrieval!$L$34)+DJ124)*1000000/H2_retrieval!$L$8)+h2_regen_lohc,"")</f>
        <v>5116.433240671764</v>
      </c>
      <c r="DM124" s="149">
        <f t="shared" si="175"/>
        <v>47272.64116816286</v>
      </c>
      <c r="DN124" s="16">
        <f>2*(nabh4_st_nl_cost*nabh4_st_nl_demand/1000000+(nabh4_st_invest*(M124+1/nabh4_st_lifetime+nabh4_st_opex)/(Storage!$O$63/1000000)+nabh4_st_e_demand*1000*$AU124/100)*(DO124+nabh4_st_ab_losses)/1000000)+(h2_demand_kt*1000/365.25*short_st_duration_hrs/24)*(h2_short_st_invest*(1/gh2_short_st_lifetime+$M124+h2_short_st_opex)+h2_short_st_e_demand*1000*$AU124/100)/1000000</f>
        <v>1385.2432979275873</v>
      </c>
      <c r="DO124" s="63">
        <f>Storage!$O$57/((1-Shipping!$P$37)^($F124/24/Shipping!$P$44+0.5*Shipping!$P$59))</f>
        <v>63920000</v>
      </c>
      <c r="DP124" s="16">
        <f>IF($E124="","No Port",((F124/24/Shipping!$P$44+F124/24/Shipping!$P$50+Shipping!$P$59+Shipping!$P$64)*(Shipping!$P$22+wacc_nl*Shipping!$P$19/365.25*1000000+Shipping!$P$35)+(F124/24/Shipping!$P$44*Shipping!$P$45+Shipping!$P$64*Shipping!$P$65)*IF(bunker_choice="HFO",$H124,IF(bunker_choice="hydrogen",$BD124*hfo_e_density_lhv/h2_e_density_lhv,(DM124+DN124)*1000000/DO124*hfo_e_density_lhv/nabh4_e_density_lhv))+(F124/24/Shipping!$P$50*Shipping!$P$51+Shipping!$P$59*Shipping!$P$60)*IF(bunker_choice="HFO",bunker_price_ROT,IF(bunker_choice="hydrogen",$BD124*hfo_e_density_lhv/h2_e_density_lhv,(DM124+DN124)*1000000/DO124*hfo_e_density_lhv/nabh4_e_density_lhv))+Shipping!$P$73+IF(G124="Panama",Shipping!$P$55,0)+IF(G124="Suez",Shipping!$P$56,0))/Shipping!$P$31*(DO124+nabh4_st_ab_losses)/1000000+IF(inland_transport_to_port="hv dc grid",$BM124/100*1000*DR124,IF(inland_transport_to_port="pipeline",$BN124,0)))</f>
        <v>3973.2565497535988</v>
      </c>
      <c r="DQ124" s="28">
        <f t="shared" si="146"/>
        <v>52631.141015844041</v>
      </c>
      <c r="DR124" s="29">
        <f>((Carriers!$V$18/Carriers!$V$23*alk_el_e_demand)+nabh4_e_demand)*(DO124+nabh4_st_ab_losses)/1000000+nabh4_st_e_demand*DO124/1000000</f>
        <v>980.02139682539689</v>
      </c>
      <c r="DS124" s="28">
        <f t="shared" si="161"/>
        <v>3.1960000000000002</v>
      </c>
      <c r="DT124" s="28">
        <f>IFERROR(DQ124*1000000/Storage!$O$12,"")</f>
        <v>823.39081689368027</v>
      </c>
      <c r="DU124" s="28">
        <f>IF($E124="","No Port",((F124/24/Shipping!$P$44+F124/24/Shipping!$P$50+Shipping!$P$59+Shipping!$P$64)*Carriers!$V$39*wacc_nl))</f>
        <v>685.04612466694334</v>
      </c>
      <c r="DV124" s="100">
        <f>H2_retrieval!$N$25*h2_demand_kt/1000+(co2_liq_e_demand+co2_st_e_demand*2)*Storage!$O$12*co2_density/nabh4_density/1000000</f>
        <v>18.783638728971958</v>
      </c>
      <c r="DW124" s="28">
        <f>IFERROR(((DQ124*(1+H2_retrieval!$N$34)+DU124)*1000000/H2_retrieval!$N$8)+h2_regen_nabh4,"")</f>
        <v>4004.5808252173938</v>
      </c>
      <c r="DX124" s="149">
        <f>(Dme_invest*(M124+1/Dme_lifetime)/Dme_prod+Dme_opex+Dme_e_demand*1000*$AU124/100+Carriers!$X$21/Carriers!$X$23*(CO124*1000000/CS124))*(EB124+Dme_st_ab_losses)/1000000</f>
        <v>81595.834378007639</v>
      </c>
      <c r="DY124" s="86">
        <f>(Dme_invest*(M124+1/Dme_lifetime)/Dme_prod+Dme_opex+Dme_e_demand*1000*$AU124/100+Carriers!$X$21/Carriers!$X$23*(CP124*1000000/CS124))*(EB124+Dme_st_ab_losses)/1000000</f>
        <v>103004.2411372771</v>
      </c>
      <c r="DZ124" s="63">
        <f>Dme_st_nl_cost*Dme_st_nl_demand/1000000+(Dme_st_invest*(M124+1/Dme_st_lifetime+Dme_st_opex)/(Storage!$Q$63/1000000)+Dme_st_e_demand*1000*$AU124/100)*(EB124+Dme_st_ab_losses)/1000000+co2_st_nl_cost*Storage!$Q$12*co2_density/Dme_density/1000000+(co2_st_opex_lev+co2_st_invest_lev+co2_st_e_demand*1000*$AU124/100)*Storage!$Q$12/1000000+co2_st_invest_lev*Storage!$Q$12*co2_st_lifetime*M124/1000000+(h2_demand_kt*1000/365.25*short_st_duration_hrs/24)*(h2_short_st_invest*(1/gh2_short_st_lifetime+$M124+h2_short_st_opex)+h2_short_st_e_demand*1000*$AU124/100)/1000000</f>
        <v>5903.2163756397822</v>
      </c>
      <c r="EA124" s="63">
        <f>Dme_st_nl_cost*Dme_st_nl_demand/1000000+(Dme_st_invest*(M124+1/Dme_st_lifetime+Dme_st_opex)/(Storage!$Q$63/1000000)+Dme_st_e_demand*1000*$AU124/100)*(EB124+Dme_st_ab_losses)/1000000+(h2_demand_kt*1000/365.25*short_st_duration_hrs/24)*(h2_short_st_invest*(1/gh2_short_st_lifetime+$M124+h2_short_st_opex)+h2_short_st_e_demand*1000*$AU124/100)/1000000</f>
        <v>3015.6695931234644</v>
      </c>
      <c r="EB124" s="63">
        <f>Storage!$Q$57/((1-Shipping!$R$37)^($F124/24/Shipping!$R$44+0.5*Shipping!$R$59))</f>
        <v>103547089.94708996</v>
      </c>
      <c r="EC124" s="153">
        <f>IF($E124="","No Port",IF(AND(ship_choice="VLCC",G124="Panama"),"Ship cannot pass through Panama",IF(ship_choice="VLCC",((F124/24/Shipping!$AD$44+F124/24/Shipping!$AD$50+Shipping!$AD$59+Shipping!$AD$64)*(Shipping!$AD$22+wacc_nl*Shipping!$AD$19/365.25*1000000+Shipping!$AD$35)+(F124/24/Shipping!$AD$44*Shipping!$AD$45+Shipping!$AD$64*Shipping!$AD$65)*IF(bunker_choice="HFO",$H124,IF(bunker_choice="hydrogen",$BD124*hfo_e_density_lhv/h2_e_density_lhv,(DX124+DZ124)*1000000/EB124*hfo_e_density_lhv/Dme_e_density_lhv))+(F124/24/Shipping!$AD$50*Shipping!$AD$51+Shipping!$AD$59*Shipping!$AD$60)*IF(bunker_choice="HFO",bunker_price_ROT,IF(bunker_choice="hydrogen",$BD124*hfo_e_density_lhv/h2_e_density_lhv,(DX124+DZ124)*1000000/EB124*hfo_e_density_lhv/Dme_e_density_lhv))+Shipping!$AD$73+IF(G124="Panama",Shipping!$AD$55,0)+IF(G124="Suez",Shipping!$AD$56,0))/Shipping!$AD$31*(EB124+Dme_st_ab_losses)/1000000+IF(inland_transport_to_port="hv dc grid",$BM124/100*1000*EE124,IF(inland_transport_to_port="pipeline",$BN124,0)),((F124/24/Shipping!$R$44+F124/24/Shipping!$R$50+Shipping!$R$59+Shipping!$R$64)*(Shipping!$R$22+wacc_nl*Shipping!$R$19/365.25*1000000+Shipping!$R$35)+(F124/24/Shipping!$R$44*Shipping!$R$45+Shipping!$R$64*Shipping!$R$65)*IF(bunker_choice="HFO",$H124,IF(bunker_choice="hydrogen",$BD124*hfo_e_density_lhv/h2_e_density_lhv,(DX124+DZ124)*1000000/EB124*hfo_e_density_lhv/Dme_e_density_lhv))+(F124/24/Shipping!$R$50*Shipping!$R$51+Shipping!$R$59*Shipping!$R$60)*IF(bunker_choice="HFO",bunker_price_ROT,IF(bunker_choice="hydrogen",$BD124*hfo_e_density_lhv/h2_e_density_lhv,(DX124+DZ124)*1000000/EB124*hfo_e_density_lhv/Dme_e_density_lhv))+Shipping!$R$73+IF(G124="Panama",Shipping!$R$55,0)+IF(G124="Suez",Shipping!$R$56,0))/Shipping!$R$31*(EB124+Dme_st_ab_losses)/1000000+IF(inland_transport_to_port="hv dc grid",$BM124/100*1000*EE124,IF(inland_transport_to_port="pipeline",$BN124,0)))))</f>
        <v>7242.6559390136717</v>
      </c>
      <c r="ED124" s="28">
        <f t="shared" si="134"/>
        <v>113262.56666941423</v>
      </c>
      <c r="EE124" s="29">
        <f>(Dme_e_demand)*(EB124+Dme_st_ab_losses)/1000000+Dme_st_e_demand*DZ124/1000000+$CV124*(Carriers!$X$21/Carriers!$X$23*EB124)/$CS124</f>
        <v>1550.2168191992196</v>
      </c>
      <c r="EF124" s="29">
        <f t="shared" si="162"/>
        <v>1.0354708994708997</v>
      </c>
      <c r="EG124" s="28">
        <f>IFERROR(ED124*1000000/Storage!$Q$12,"")</f>
        <v>1093.8266515001885</v>
      </c>
      <c r="EH124" s="28">
        <f>IF($E124="","No Port",((F124/24/Shipping!$R$44+F124/24/Shipping!$R$50+Shipping!$R$59+Shipping!$R$64)*Carriers!$X$39*wacc_nl))</f>
        <v>105.60767621059351</v>
      </c>
      <c r="EI124" s="100">
        <f>H2_retrieval!$P$25*h2_demand_kt/1000+(co2_liq_e_demand+co2_st_e_demand*2)*Storage!$Q$12*co2_density/Dme_density/1000000</f>
        <v>252.45335899349112</v>
      </c>
      <c r="EJ124" s="28">
        <f>IFERROR((((DX124+DZ124+EC124)*(1+H2_retrieval!$P$34)+EH124)*1000000/H2_retrieval!$P$8)+h2_regen_dme,"")</f>
        <v>8144.1957762013863</v>
      </c>
      <c r="EK124" s="149">
        <f>(ome_invest*(M124+1/ome_lifetime)/ome_prod+ome_opex+ome_e_demand*1000*$AU124/100+Carriers!$Z$21/Carriers!$Z$23*(CO124*1000000/CS124))*(EO124+ome_st_ab_losses)/1000000</f>
        <v>177722.99712060584</v>
      </c>
      <c r="EL124" s="86">
        <f>(ome_invest*(M124+1/ome_lifetime)/ome_prod+ome_opex+ome_e_demand*1000*$AU124/100+Carriers!$Z$21/Carriers!$Z$23*(CP124*1000000/CS124))*(EO124+ome_st_ab_losses)/1000000</f>
        <v>222663.41033371183</v>
      </c>
      <c r="EM124" s="63">
        <f>ome_st_nl_cost*ome_st_nl_demand/1000000+(ome_st_invest*(M124+1/ome_st_lifetime+ome_st_opex)/(Storage!$S$63/1000000)+ome_st_e_demand*1000*$AU124/100)*(EO124+ome_st_ab_losses)/1000000+co2_st_nl_cost*Storage!$S$12*co2_density/ome_density/1000000+(co2_st_opex_lev+co2_st_invest_lev+co2_st_e_demand*1000*$AU124/100)*Storage!$S$12/1000000+co2_st_invest_lev*Storage!$S$12*co2_st_lifetime*M124/1000000+(h2_demand_kt*1000/365.25*short_st_duration_hrs/24)*(h2_short_st_invest*(1/gh2_short_st_lifetime+$M124+h2_short_st_opex)+h2_short_st_e_demand*1000*$AU124/100)/1000000</f>
        <v>5050.8289929186458</v>
      </c>
      <c r="EN124" s="63">
        <f>ome_st_nl_cost*ome_st_nl_demand/1000000+(ome_st_invest*(M124+1/ome_st_lifetime+ome_st_opex)/(Storage!$S$63/1000000)+ome_st_e_demand*1000*$AU124/100)*(EO124+ome_st_ab_losses)/1000000+(h2_demand_kt*1000/365.25*short_st_duration_hrs/24)*(h2_short_st_invest*(1/gh2_short_st_lifetime+$M124+h2_short_st_opex)+h2_short_st_e_demand*1000*$AU124/100)/1000000</f>
        <v>1812.4695019568155</v>
      </c>
      <c r="EO124" s="63">
        <f>Storage!$S$57/((1-Shipping!$T$37)^($F124/24/Shipping!$T$44+0.5*Shipping!$T$59))</f>
        <v>128282539.68253967</v>
      </c>
      <c r="EP124" s="28">
        <f>IF($E124="","No Port",IF(AND(ship_choice="VLCC",G124="Panama"),"Ship cannot pass through Panama",IF(ship_choice="VLCC",((F124/24/Shipping!$AD$44+F124/24/Shipping!$AD$50+Shipping!$AD$59+Shipping!$AD$64)*(Shipping!$AD$22+wacc_nl*Shipping!$AD$19/365.25*1000000+Shipping!$AD$35)+(F124/24/Shipping!$AD$44*Shipping!$AD$45+Shipping!$AD$64*Shipping!$AD$65)*IF(bunker_choice="HFO",$H124,IF(bunker_choice="hydrogen",$BD124*hfo_e_density_lhv/h2_e_density_lhv,(EK124+EM124)*1000000/EO124*hfo_e_density_lhv/Dme_e_density_lhv))+(F124/24/Shipping!$AD$50*Shipping!$AD$51+Shipping!$AD$59*Shipping!$AD$60)*IF(bunker_choice="HFO",bunker_price_ROT,IF(bunker_choice="hydrogen",$BD124*hfo_e_density_lhv/h2_e_density_lhv,(EK124+EM124)*1000000/EO124*hfo_e_density_lhv/ome_e_density_lhv))+Shipping!$AD$73+IF(G124="Panama",Shipping!$AD$55,0)+IF(G124="Suez",Shipping!$AD$56,0))/Shipping!$AD$31*(EO124+ome_st_ab_losses)/1000000+IF(inland_transport_to_port="hv dc grid",$BM124/100*1000*ER124,IF(inland_transport_to_port="pipeline",$BN124,0)),((F124/24/Shipping!$T$44+F124/24/Shipping!$T$50+Shipping!$T$59+Shipping!$T$64)*(Shipping!$T$22+wacc_nl*Shipping!$T$19/365.25*1000000+Shipping!$T$35)+(F124/24/Shipping!$T$44*Shipping!$T$45+Shipping!$T$64*Shipping!$T$65)*IF(bunker_choice="HFO",$H124,IF(bunker_choice="hydrogen",$BD124*hfo_e_density_lhv/h2_e_density_lhv,(EK124+EM124)*1000000/EO124*hfo_e_density_lhv/Dme_e_density_lhv))+(F124/24/Shipping!$T$50*Shipping!$T$51+Shipping!$T$59*Shipping!$T$60)*IF(bunker_choice="HFO",bunker_price_ROT,IF(bunker_choice="hydrogen",$BD124*hfo_e_density_lhv/h2_e_density_lhv,(EK124+EM124)*1000000/EO124*hfo_e_density_lhv/ome_e_density_lhv))+Shipping!$T$73+IF(G124="Panama",Shipping!$T$55,0)+IF(G124="Suez",Shipping!$T$56,0))/Shipping!$T$31*(EO124+ome_st_ab_losses)/1000000+IF(inland_transport_to_port="hv dc grid",$BM124/100*1000*ER124,IF(inland_transport_to_port="pipeline",$BN124,0)))))</f>
        <v>7962.7394252199756</v>
      </c>
      <c r="EQ124" s="28">
        <f t="shared" si="135"/>
        <v>232438.6192608886</v>
      </c>
      <c r="ER124" s="29">
        <f>(ome_e_demand)*(EO124+ome_st_ab_losses)/1000000+ome_st_e_demand*EM124/1000000+$CV124*(Carriers!$Z$21/Carriers!$Z$23*EO124)/$CS124</f>
        <v>3352.0814577170268</v>
      </c>
      <c r="ES124" s="29">
        <f t="shared" si="163"/>
        <v>0.1924238095238095</v>
      </c>
      <c r="ET124" s="28">
        <f>IFERROR(EQ124*1000000/Storage!$S$12,"")</f>
        <v>1811.9271713524195</v>
      </c>
      <c r="EU124" s="28">
        <f>IF($E124="","No Port",((F124/24/Shipping!$T$44+F124/24/Shipping!$T$50+Shipping!$T$59+Shipping!$T$64)*Carriers!$Z$39*wacc_nl))</f>
        <v>120.66778301193844</v>
      </c>
      <c r="EV124" s="100">
        <f>H2_retrieval!$R$25*h2_demand_kt/1000+(co2_liq_e_demand+co2_st_e_demand*2)*Storage!$S$12*co2_density/ome_density/1000000</f>
        <v>254.51942895252085</v>
      </c>
      <c r="EW124" s="28">
        <f>IFERROR((((EK124+EM124+EP124)*(1+H2_retrieval!$R$34)+EU124)*1000000/H2_retrieval!$R$8)+h2_regen_ome,"")</f>
        <v>15203.748640384087</v>
      </c>
      <c r="EX124" s="149">
        <f>(sng_invest*(M124+1/sng_lifetime)/sng_prod+lng_invest*(M124+1/lng_lifetime)/lng_prod+sng_opex+lng_opex+(sng_e_demand+lng_e_demand)*1000*$AU124/100+Carriers!$AB$18/Carriers!$AB$23*BD124+Carriers!$AB$20/Carriers!$AB$23*co2_liq_cost)*(FB124+lng_st_ab_losses)/1000000</f>
        <v>63755.830578990448</v>
      </c>
      <c r="EY124" s="86">
        <f>(sng_invest*(M124+1/sng_lifetime)/sng_prod+lng_invest*(M124+1/lng_lifetime)/lng_prod+sng_opex+lng_opex+(sng_e_demand+lng_e_demand)*1000*$AU124/100+Carriers!$AB$18/Carriers!$AB$23*BD124+Carriers!$AB$20/Carriers!$AB$23*BP124)*(FB124+lng_st_ab_losses)/1000000</f>
        <v>75642.639288885359</v>
      </c>
      <c r="EZ124" s="63">
        <f>lng_st_nl_cost*lng_st_nl_demand/1000000+(lng_st_invest*(M124+1/lng_st_lifetime+lng_st_opex)/(Storage!$U$63/1000000)+lng_st_e_demand*1000*$AU124/100)*(FB124+lng_st_ab_losses)/1000000+co2_st_nl_cost*Storage!$U$12*co2_density/lng_density/1000000+(co2_st_opex_lev+co2_st_invest_lev+co2_st_e_demand*1000*$AU124/100)*Storage!$U$12/1000000+co2_st_invest_lev*Storage!$U$12*co2_st_lifetime*M124/1000000+Carriers!$AB$18/Carriers!$AB$23*((FB124+lng_st_ab_losses)/365.25*short_st_duration_hrs/24)*(h2_short_st_invest*(1/gh2_short_st_lifetime+$M124+h2_short_st_opex)+h2_short_st_e_demand*1000*$AU124/100)/1000000+Carriers!$AB$20/Carriers!$AB$23*((FB124+lng_st_ab_losses)/365.25*short_st_duration_hrs/24)*(co2_short_st_invest*(1/co2_short_st_lifetime+$M124+co2_short_st_opex)+co2_short_st_e_demand*1000*$AU124/100)/1000000</f>
        <v>6311.3448728629974</v>
      </c>
      <c r="FA124" s="63">
        <f>lng_st_nl_cost*lng_st_nl_demand/1000000+(lng_st_invest*(M124+1/lng_st_lifetime+lng_st_opex)/(Storage!$U$63/1000000)+lng_st_e_demand*1000*$AU124/100)*(FB124+lng_st_ab_losses)/1000000+Carriers!$AB$18/Carriers!$AB$23*((FB124+lng_st_ab_losses)/365.25*short_st_duration_hrs/24)*(h2_short_st_invest*(1/gh2_short_st_lifetime+$M124+h2_short_st_opex)+h2_short_st_e_demand*1000*$AU124/100)/1000000+Carriers!$AB$20/Carriers!$AB$23*((FB124+lng_st_ab_losses)/365.25*short_st_duration_hrs/24)*(co2_short_st_invest*(1/co2_short_st_lifetime+$M124+co2_short_st_opex)+co2_short_st_e_demand*1000*$AU124/100)/1000000</f>
        <v>4741.9147723543938</v>
      </c>
      <c r="FB124" s="63">
        <f>Storage!$U$57/((1-Shipping!$V$37)^($F124/24/Shipping!$V$44+0.5*Shipping!$V$59))</f>
        <v>41469506.600570783</v>
      </c>
      <c r="FC124" s="28">
        <f>IF($E124="","No Port",IF(G124="Panama","Ship cannot pass through Panama",((F124/24/Shipping!$V$44+F124/24/Shipping!$V$50+Shipping!$V$59+Shipping!$V$64)*(Shipping!$V$22+wacc_nl*Shipping!$V$19/365.25*1000000+Shipping!$V$35)+(F124/24/Shipping!$V$44*Shipping!$V$45+Shipping!$V$64*Shipping!$V$65)*IF(bunker_choice="HFO",$H124,IF(bunker_choice="hydrogen",$BD124*hfo_e_density_lhv/h2_e_density_lhv,(EX124+EZ124)*1000000/FB124*hfo_e_density_lhv/lng_e_density_lhv))+(F124/24/Shipping!$V$50*Shipping!$V$51+Shipping!$V$59*Shipping!$V$60)*IF(bunker_choice="HFO",bunker_price_ROT,IF(bunker_choice="hydrogen",$BD124*hfo_e_density_lhv/h2_e_density_lhv,(EX124+EZ124)*1000000/FB124*hfo_e_density_lhv/lng_e_density_lhv))+Shipping!$V$73+IF(G124="Panama",Shipping!$V$55,0)+IF(G124="Suez",Shipping!$V$56,0))/Shipping!$V$31*(FB124+lng_st_ab_losses)/1000000)+IF(inland_transport_to_port="hv dc grid",$BM124/100*1000*FE124,IF(inland_transport_to_port="pipeline",$BN124,0)))</f>
        <v>3450.9344710685355</v>
      </c>
      <c r="FD124" s="28">
        <f t="shared" si="136"/>
        <v>83835.4885323083</v>
      </c>
      <c r="FE124" s="29">
        <f>((Carriers!$AB$18/Carriers!$AB$23*alk_el_e_demand)+sng_e_demand+lng_e_demand)*(FB124+lng_st_ab_losses)/1000000+lng_st_e_demand*EZ124/1000000</f>
        <v>1112.1723221021405</v>
      </c>
      <c r="FF124" s="29">
        <f t="shared" si="164"/>
        <v>0.8126185861001558</v>
      </c>
      <c r="FG124" s="28">
        <f>IFERROR(FD124*1000000/Storage!$U$12,"")</f>
        <v>2065.7211270085354</v>
      </c>
      <c r="FH124" s="28">
        <f>IF($E124="","No Port",((F124/24/Shipping!$V$44+F124/24/Shipping!$V$50+Shipping!$V$59+Shipping!$V$64)*Carriers!$AB$39*wacc_nl))</f>
        <v>35.494452909456705</v>
      </c>
      <c r="FI124" s="100">
        <f>H2_retrieval!$T$25*h2_demand_kt/1000+(co2_liq_e_demand+co2_st_e_demand*2)*Storage!$U$12*co2_density/lng_density/1000000</f>
        <v>236.51371749646054</v>
      </c>
      <c r="FJ124" s="28">
        <f>IFERROR((((EX124+EZ124+FC124)*(1+H2_retrieval!$T$34)+FH124)*1000000/H2_retrieval!$T$8)+h2_regen_lng,"")</f>
        <v>6578.481806124898</v>
      </c>
      <c r="FK124" s="149">
        <f>(lh2_invest*(M124+1/lh2_lifetime)/lh2_prod+lh2_opex+lh2_e_demand*1000*$AU124/100+Carriers!$AD$18/Carriers!$AD$23*BD124)*(FM124+lh2_st_ab_losses)/1000000</f>
        <v>50437.186605963594</v>
      </c>
      <c r="FL124" s="28">
        <f>lh2_st_nl_cost*lh2_st_nl_demand/1000000+(lh2_st_invest*(M124+1/lh2_st_lifetime+lh2_st_opex)/(Storage!$Y$63/1000000)+lh2_st_e_demand*1000*$AU124/100)*(FM124+lh2_st_ab_losses)/1000000+((FM124+lh2_st_ab_losses)/365.25*short_st_duration_hrs/24)*(h2_short_st_invest*(1/gh2_short_st_lifetime+$M124+h2_short_st_opex)+h2_short_st_e_demand*1000*$AU124/100)/1000000</f>
        <v>55224.35150014791</v>
      </c>
      <c r="FM124" s="63">
        <f>Storage!$Y$57/((1-Shipping!$Z$37)^($F124/24/Shipping!$Z$44+0.5*Shipping!$Z$59))</f>
        <v>14071704.844580201</v>
      </c>
      <c r="FN124" s="28">
        <f>IF($E124="","No Port",IF(G124="Panama","Ship cannot pass through Panama",((F124/24/Shipping!$Z$44+F124/24/Shipping!$Z$50+Shipping!$Z$59+Shipping!$Z$64)*(Shipping!$Z$22+wacc_nl*Shipping!$Z$19/365.25*1000000+Shipping!$Z$35)+(F124/24/Shipping!$Z$44*Shipping!$Z$45+Shipping!$Z$64*Shipping!$Z$65)*IF(bunker_choice="HFO",$H124,IF(bunker_choice="hydrogen",$BD124*hfo_e_density_lhv/h2_e_density_lhv,(FK124+FL124)*1000000/FM124*hfo_e_density_lhv/lh2_e_density_lhv))+(F124/24/Shipping!$Z$50*Shipping!$Z$51+Shipping!$Z$59*Shipping!$Z$60)*IF(bunker_choice="HFO",bunker_price_ROT,IF(bunker_choice="hydrogen",$BD124*hfo_e_density_lhv/h2_e_density_lhv,(FK124+FL124)*1000000/FM124*hfo_e_density_lhv/lh2_e_density_lhv))+Shipping!$Z$73+IF(G124="Panama",Shipping!$Z$55,0)+IF(G124="Suez",Shipping!$Z$56,0))/Shipping!$Z$31*(FM124+lh2_st_ab_losses)/1000000)+IF(inland_transport_to_port="hv dc grid",$BM124/100*1000*FP124,IF(inland_transport_to_port="pipeline",$BN124,0)))</f>
        <v>5328.732930948202</v>
      </c>
      <c r="FO124" s="28">
        <f t="shared" si="128"/>
        <v>110990.27103705971</v>
      </c>
      <c r="FP124" s="29">
        <f>((Carriers!$AD$18/Carriers!$AD$23*alk_el_e_demand)+lh2_e_demand)*(FM124+lh2_st_ab_losses)/1000000+lh2_st_e_demand*FM124/1000000</f>
        <v>815.42861250585986</v>
      </c>
      <c r="FQ124" s="100">
        <f t="shared" si="165"/>
        <v>1.361902463475859</v>
      </c>
      <c r="FR124" s="28">
        <f>IFERROR(FO124*1000000/Storage!$Y$12,"")</f>
        <v>8161.0493409602723</v>
      </c>
      <c r="FS124" s="100">
        <f>H2_retrieval!$V$25*h2_demand_kt/1000</f>
        <v>8.16</v>
      </c>
      <c r="FT124" s="28">
        <f>IFERROR(FR124*(1+H2_retrieval!$V$34)/Carrier_properties!$U$7+H2_retrieval!$V$38,"")</f>
        <v>8193.0180668287394</v>
      </c>
      <c r="FU124" s="12"/>
      <c r="FV124" s="24">
        <f t="shared" si="129"/>
        <v>2.2333817287570121</v>
      </c>
      <c r="FW124" s="24" t="str">
        <f t="shared" si="143"/>
        <v/>
      </c>
      <c r="FX124" s="24">
        <f t="shared" si="144"/>
        <v>6.9196772666115711</v>
      </c>
      <c r="FY124" s="24">
        <f t="shared" si="130"/>
        <v>2.2333817287570121</v>
      </c>
      <c r="FZ124" s="28">
        <f t="shared" si="145"/>
        <v>2637.1643167268981</v>
      </c>
      <c r="GA124" s="28">
        <f t="shared" si="137"/>
        <v>610.15518836247873</v>
      </c>
      <c r="GB124" s="28">
        <f t="shared" si="138"/>
        <v>395.64004654780592</v>
      </c>
      <c r="GC124" s="28">
        <f t="shared" si="139"/>
        <v>682.10632580800961</v>
      </c>
      <c r="GD124" s="28">
        <f t="shared" si="140"/>
        <v>994.75746918537027</v>
      </c>
      <c r="GE124" s="28">
        <f t="shared" si="141"/>
        <v>1735.7265523798962</v>
      </c>
      <c r="GF124" s="28">
        <f t="shared" si="142"/>
        <v>1824.0544797763334</v>
      </c>
      <c r="GG124" s="12"/>
      <c r="GH124" s="12"/>
      <c r="GI124" s="12"/>
      <c r="GJ124" s="12"/>
      <c r="GK124" s="12"/>
      <c r="GL124" s="12"/>
      <c r="GM124" s="12"/>
      <c r="GN124" s="12"/>
      <c r="GO124" s="12"/>
      <c r="GP124" s="12"/>
      <c r="GQ124" s="12"/>
      <c r="GR124" s="12"/>
      <c r="GS124" s="12"/>
      <c r="GT124" s="12"/>
      <c r="GU124" s="12"/>
      <c r="GV124" s="12"/>
      <c r="GW124" s="12"/>
      <c r="GX124" s="12"/>
      <c r="GY124" s="12"/>
      <c r="GZ124" s="12"/>
      <c r="HA124" s="12"/>
      <c r="HB124" s="12"/>
      <c r="HC124" s="12"/>
      <c r="HD124" s="12"/>
      <c r="HE124" s="12"/>
      <c r="HF124" s="12"/>
    </row>
    <row r="125" spans="1:214" x14ac:dyDescent="0.2">
      <c r="A125" s="154" t="s">
        <v>126</v>
      </c>
      <c r="B125" s="12">
        <v>9354</v>
      </c>
      <c r="C125" s="12">
        <v>1</v>
      </c>
      <c r="D125" s="12">
        <f t="shared" si="111"/>
        <v>0</v>
      </c>
      <c r="E125" s="12" t="s">
        <v>779</v>
      </c>
      <c r="F125" s="12">
        <v>6944</v>
      </c>
      <c r="G125" s="12"/>
      <c r="H125" s="16">
        <f t="shared" si="166"/>
        <v>382.75862068965517</v>
      </c>
      <c r="I125" s="16">
        <v>1213090</v>
      </c>
      <c r="J125" s="16">
        <f t="shared" si="113"/>
        <v>621.40046655171943</v>
      </c>
      <c r="K125" s="16">
        <f t="shared" si="114"/>
        <v>745.68055986206332</v>
      </c>
      <c r="L125" s="103">
        <v>0.113</v>
      </c>
      <c r="M125" s="103">
        <f t="shared" si="167"/>
        <v>0.12133742614649801</v>
      </c>
      <c r="N125" s="122">
        <f t="shared" si="116"/>
        <v>0.8</v>
      </c>
      <c r="O125" s="46">
        <f t="shared" si="168"/>
        <v>40</v>
      </c>
      <c r="P125" s="70">
        <f t="array" ref="P125">SUMPRODUCT(IF(Solar_data!A$4:A$777=A125,Solar_data!C$4:C$777),IF(Solar_data!A$4:A$777=A125,Solar_data!I$4:I$777))/SUMIF(Solar_data!A$4:A$777,A125,Solar_data!I$4:I$777)</f>
        <v>2301.8107087631115</v>
      </c>
      <c r="Q125" s="16">
        <f t="array" ref="Q125">MAX(IF(Solar_data!$A$777:'Solar_data'!$A$4=Country_details!$A125,Solar_data!$C$4:'Solar_data'!$C$777))</f>
        <v>2463.75</v>
      </c>
      <c r="R125" s="16">
        <f t="array" ref="R125">MIN(IF(Solar_data!$A$777:'Solar_data'!$A$4=Country_details!A125,Solar_data!$C$4:'Solar_data'!$C$777))</f>
        <v>1186.25</v>
      </c>
      <c r="S125" s="24">
        <f t="shared" si="149"/>
        <v>2.1553144379412053</v>
      </c>
      <c r="T125" s="24">
        <f t="shared" si="150"/>
        <v>2.0136482410978442</v>
      </c>
      <c r="U125" s="24">
        <f t="shared" si="151"/>
        <v>4.1821925007416763</v>
      </c>
      <c r="V125" s="16">
        <f t="array" ref="V125">SUM(IF(Solar_data!$A$777:'Solar_data'!$A$4=Country_details!$A125,Solar_data!$I$4:'Solar_data'!$I$777))</f>
        <v>10090.797627654199</v>
      </c>
      <c r="W125" s="148"/>
      <c r="X125" s="16" t="str">
        <f>IFERROR(INDEX(Onshore_wind_data!$J$5:'Onshore_wind_data'!$J$221,MATCH(A125,Onshore_wind_data!$B$5:'Onshore_wind_data'!$B$221,0)),"")</f>
        <v/>
      </c>
      <c r="Y125" s="16" t="str">
        <f>IFERROR(INDEX(Onshore_wind_data!$K$5:'Onshore_wind_data'!$K$221,MATCH(A125,Onshore_wind_data!$B$5:'Onshore_wind_data'!$B$221,0)),"")</f>
        <v/>
      </c>
      <c r="Z125" s="16" t="str">
        <f>IFERROR(INDEX(Onshore_wind_data!$L$5:'Onshore_wind_data'!$L$221,MATCH(A125,Onshore_wind_data!$B$5:'Onshore_wind_data'!$B$221,0)),"")</f>
        <v/>
      </c>
      <c r="AA125" s="24" t="str">
        <f t="shared" si="169"/>
        <v/>
      </c>
      <c r="AB125" s="24" t="str">
        <f t="shared" si="170"/>
        <v/>
      </c>
      <c r="AC125" s="24" t="str">
        <f t="shared" si="171"/>
        <v/>
      </c>
      <c r="AD125" s="16">
        <f>IFERROR(INDEX(Onshore_wind_data!$I$5:'Onshore_wind_data'!$I$221,MATCH(A125,Onshore_wind_data!$B$5:'Onshore_wind_data'!$B$221,0)),"")</f>
        <v>0</v>
      </c>
      <c r="AE125" s="148"/>
      <c r="AF125" s="16">
        <f>INDEX(Offshore_wind_data!$AA$7:$AA$192,MATCH(Country_details!A125,Offshore_wind_data!$A$7:$A$192,0))</f>
        <v>4005.9089563187731</v>
      </c>
      <c r="AG125" s="16">
        <f>INDEX(Offshore_wind_data!$Y$7:$Y$192,MATCH(Country_details!A125,Offshore_wind_data!$A$7:$A$192,0))</f>
        <v>4204.8</v>
      </c>
      <c r="AH125" s="16">
        <f>INDEX(Offshore_wind_data!$Z$7:$Z$192,MATCH(Country_details!A125,Offshore_wind_data!$A$7:$A$192,0))</f>
        <v>3153.6</v>
      </c>
      <c r="AI125" s="24">
        <f t="shared" si="152"/>
        <v>6.6869317182699621</v>
      </c>
      <c r="AJ125" s="24">
        <f t="shared" si="153"/>
        <v>6.3706334809050897</v>
      </c>
      <c r="AK125" s="24">
        <f t="shared" si="154"/>
        <v>8.4941779745401202</v>
      </c>
      <c r="AL125" s="16">
        <f>INDEX(Offshore_wind_data!$W$7:$W$191,MATCH(A125,Offshore_wind_data!$A$7:$A$191,0))</f>
        <v>3604.1162880000002</v>
      </c>
      <c r="AM125" s="148"/>
      <c r="AN125" s="12">
        <v>56.7</v>
      </c>
      <c r="AO125" s="12">
        <v>72.8</v>
      </c>
      <c r="AP125" s="34">
        <f>2.655*11.63</f>
        <v>30.877649999999999</v>
      </c>
      <c r="AQ125" s="15">
        <f t="shared" si="155"/>
        <v>50</v>
      </c>
      <c r="AR125" s="12">
        <f t="shared" si="131"/>
        <v>3640</v>
      </c>
      <c r="AS125" s="16">
        <f t="shared" si="121"/>
        <v>10054.913915654201</v>
      </c>
      <c r="AT125" s="12"/>
      <c r="AU125" s="24">
        <f t="shared" si="147"/>
        <v>2.1553144379412053</v>
      </c>
      <c r="AV125" s="16">
        <f t="shared" si="148"/>
        <v>2301.8107087631115</v>
      </c>
      <c r="AW125" s="149">
        <f>HV_DC_Grid!$E$3/(1-AX125)*AU125/100*1000</f>
        <v>2627.168636176254</v>
      </c>
      <c r="AX125" s="31">
        <f>(1-(1-HV_DC_Grid!$E$25)^(B125*C125*HV_DC_Grid!$E$8/1000))+(1-(1-HV_DC_Grid!$E$26)^(B125*D125*HV_DC_Grid!$E$8/1000))+HV_DC_Grid!$E$35*HV_DC_Grid!$E$28</f>
        <v>0.17960559963208711</v>
      </c>
      <c r="AY125" s="28">
        <f>B125*nl_e_demand/IF(hv_dc_flh="electricity FLH",$AV125,hv_dc_custom)*1000*hv_dc_capacity_multiplier*hv_dc_length_multiplier*1000*(C125*hv_dc_overhead_invest*(hv_dc_overhead_opex+M125+1/hv_dc_lifetime)+D125*hv_dc_sea_invest*(hv_dc_sea_opex+M125+1/hv_dc_lifetime))/1000000+HV_DC_Grid!$E$10*1000*hv_dc_station_invest*hv_dc_station_number*(hv_dc_station_opex+M125+1/hv_dc_lifetime)/1000000</f>
        <v>8134.0987054672814</v>
      </c>
      <c r="AZ125" s="24">
        <f>(AW125+AY125)/(HV_DC_Grid!$E$3*1000)*100</f>
        <v>10.761267341643535</v>
      </c>
      <c r="BA125" s="28">
        <f>MIN(((Carriers!$F$26+Carriers!$F$27)*(alk_el_opex+wacc_nl+1/alk_el_lifetime)+IF(hv_dc_flh="electricity FLH",$AV125,hv_dc_custom)*AZ125/100)/(IF(hv_dc_flh="electricity FLH",$AV125,hv_dc_custom)/alk_el_e_demand)*1000,((Carriers!$H$26+Carriers!$H$27)*(pem_el_opex+wacc_nl+1/pem_el_lifetime)+IF(hv_dc_flh="electricity FLH",$AV125,hv_dc_custom)*AZ125/100)/(IF(hv_dc_flh="electricity FLH",$AV125,hv_dc_custom)/pem_el_e_demand)*1000)</f>
        <v>5852.1094432694272</v>
      </c>
      <c r="BB125" s="12"/>
      <c r="BC125" s="12"/>
      <c r="BD125" s="149">
        <f>MIN(((Carriers!$F$26+Carriers!$F$27)*(alk_el_opex+M125+1/alk_el_lifetime)+$AV125*$AU125/100)/($AV125/alk_el_e_demand)*1000,((Carriers!$H$26+Carriers!$H$27)*(pem_el_opex+M125+1/pem_el_lifetime)+$AV125*$AU125/100)/($AV125/pem_el_e_demand)*1000)</f>
        <v>2549.6528662965229</v>
      </c>
      <c r="BE125" s="28">
        <f>Storage!$AC$50</f>
        <v>8.1664117557772418</v>
      </c>
      <c r="BF125" s="28">
        <f>((Pipeline!$D$22*Pipeline!$D$24*B125*(pipeline_opex+M125+1/pipeline_lifetime))*(Pipeline!$D$39/Pipeline!$D$3)+(Pipeline!$D$57*(pipeline_comp_opex+M125+1/pipeline_comp_lifetime)+Pipeline!$D$47*1000*Pipeline!$D$45*$AU125/100/1000000))*(Pipeline!$D$75/Pipeline!$D$45)</f>
        <v>20572.449222013605</v>
      </c>
      <c r="BG125" s="28">
        <f>BD125+(BE125+BF125)/Storage!$AC$12*1000000</f>
        <v>4062.933427603095</v>
      </c>
      <c r="BH125" s="28"/>
      <c r="BI125" s="28"/>
      <c r="BJ125" s="28">
        <f>IF($E125="","No Port",BK125*HV_DC_Grid!$E$3*$AU125/100*1000)</f>
        <v>61.058302949795113</v>
      </c>
      <c r="BK125" s="31">
        <f>IFERROR((1-(1-HV_DC_Grid!$E$25)^(K125*HV_DC_Grid!$E$8/1000))+HV_DC_Grid!$E$35*HV_DC_Grid!$E$28,"")</f>
        <v>2.8329185697897094E-2</v>
      </c>
      <c r="BL125" s="28">
        <f>IFERROR(K125*nl_e_demand/IF(hv_dc_flh="electricity FLH",$AV125,hv_dc_custom)*1000*hv_dc_capacity_multiplier*hv_dc_length_multiplier*1000*(hv_dc_overhead_invest*(hv_dc_overhead_opex+M125+1/hv_dc_lifetime))/1000000+HV_DC_Grid!$E$10*1000*hv_dc_station_invest*hv_dc_station_number*(hv_dc_station_opex+M125+1/hv_dc_lifetime)/1000000,"")</f>
        <v>1028.2614805560959</v>
      </c>
      <c r="BM125" s="29">
        <f>IFERROR((BJ125+BL125)/(HV_DC_Grid!$E$3*1000)*100,"")</f>
        <v>1.089319783505891</v>
      </c>
      <c r="BN125" s="28">
        <f>IFERROR(((Pipeline!$D$22*Pipeline!$D$24*K125*(pipeline_opex+M125+1/pipeline_lifetime))*(Pipeline!$D$39/Pipeline!$D$3)+(Pipeline!$D$57*(pipeline_comp_opex+M125+1/pipeline_comp_lifetime)+Pipeline!$D$47*1000*Pipeline!$D$45*S125/100/1000000))*(Pipeline!$D$75/Pipeline!$D$45),"")</f>
        <v>1707.0642960359576</v>
      </c>
      <c r="BO125" s="28"/>
      <c r="BP125" s="150">
        <f t="shared" si="172"/>
        <v>109.02294248192564</v>
      </c>
      <c r="BQ125" s="34">
        <f t="shared" si="173"/>
        <v>32.759270458768562</v>
      </c>
      <c r="BR125" s="151">
        <f>(nh3_invest*(M125+1/nh3_lifetime)/nh3_prod+nh3_opex+nh3_e_demand*1000*$AU125/100+Carriers!$N$18/Carriers!$N$23*BD125+Carriers!$N$19/Carriers!$N$23*BQ125)*(BT125+nh3_st_ab_losses)/1000000</f>
        <v>47494.183162919137</v>
      </c>
      <c r="BS125" s="63">
        <f>nh3_st_nl_cost*nh3_st_nl_demand/1000000+(nh3_st_invest*(M125+1/nh3_st_lifetime+nh3_st_opex)/(Storage!$G$63/1000000)+nh3_st_e_demand*1000*$AU125/100)*(BT125+nh3_st_ab_losses)/1000000+Carriers!$N$18/Carriers!$N$23*((BT125+nh3_st_ab_losses)/365.25*short_st_duration_hrs/24)*(h2_short_st_invest*(1/gh2_short_st_lifetime+$M125+h2_short_st_opex)+h2_short_st_e_demand*1000*$AU125/100)/1000000+Carriers!$N$19/Carriers!$N$23*((BT125+nh3_st_ab_losses)/365.25*short_st_duration_hrs/24)*(n2_short_st_invest*(1/n2_short_st_lifetime+$M125+n2_short_st_opex)+n2_short_st_e_demand*1000*$AU125/100)/1000000</f>
        <v>3422.5417226575501</v>
      </c>
      <c r="BT125" s="63">
        <f>Storage!$G$57/((1-Shipping!$H$37)^(F125/24/Shipping!$H$44+0.5*Shipping!$H$59))</f>
        <v>80304975.120034397</v>
      </c>
      <c r="BU125" s="63">
        <f>IF($E125="","No Port",((F125/24/Shipping!$H$44+F125/24/Shipping!$H$50+Shipping!$H$59+Shipping!$H$64)*(Shipping!$H$22+wacc_nl*Shipping!$H$19/365.25*1000000+Shipping!$H$35)+(F125/24/Shipping!$H$44*Shipping!$H$45+Shipping!$H$64*Shipping!$H$65)*IF(bunker_choice="HFO",H125,IF(bunker_choice="hydrogen",BD125*hfo_e_density_lhv/h2_e_density_lhv,(BR125+BS125)*1000000/BT125*hfo_e_density_lhv/nh3_e_density_lhv))+(F125/24/Shipping!$H$50*Shipping!$H$51+Shipping!$H$59*Shipping!$H$60)*IF(bunker_choice="HFO",bunker_price_ROT,IF(bunker_choice="hydrogen",BD125*hfo_e_density_lhv/h2_e_density_lhv,(BR125+BS125)*1000000/BT125*hfo_e_density_lhv/nh3_e_density_lhv))+Shipping!$H$73+IF(G125="Panama",Shipping!$H$55,0)+IF(G125="Suez",Shipping!$H$56,0))/Shipping!$H$31*BT125/1000000+IF(inland_transport_to_port="hv dc grid",$BM125/100*1000*BW125,IF(inland_transport_to_port="pipeline",$BN125,0)))</f>
        <v>5984.7733217576488</v>
      </c>
      <c r="BV125" s="63">
        <f t="shared" si="174"/>
        <v>56901.498207334334</v>
      </c>
      <c r="BW125" s="33">
        <f>((Carriers!$N$18/Carriers!$N$23*alk_el_e_demand)+(Carriers!$N$19/Carriers!$N$23*n2_e_demand)+nh3_e_demand)*(BT125+nh3_st_ab_losses)/1000000+nh3_st_e_demand*BT125/1000000</f>
        <v>793.02182520366</v>
      </c>
      <c r="BX125" s="33">
        <f t="shared" si="156"/>
        <v>0.76626754477640768</v>
      </c>
      <c r="BY125" s="63">
        <f>IFERROR(BV125*1000000/Storage!$G$12,"")</f>
        <v>743.19874787056256</v>
      </c>
      <c r="BZ125" s="63">
        <f>H2_retrieval!$F$25*h2_demand_kt/1000</f>
        <v>80</v>
      </c>
      <c r="CA125" s="63">
        <f>IFERROR(BY125*(1+H2_retrieval!$F$34)/Carrier_properties!$E$7+H2_retrieval!$F$38,"")</f>
        <v>4593.1596713594954</v>
      </c>
      <c r="CB125" s="149">
        <f>(FA_invest*(M125+1/FA_lifetime)/FA_prod+FA_opex+FA_e_demand*1000*$AU125/100+Carriers!$P$18/Carriers!$P$23*BD125+Carriers!$P$20/Carriers!$P$23*co2_liq_cost)*(CF125+FA_st_ab_losses)/1000000</f>
        <v>93087.876215966346</v>
      </c>
      <c r="CC125" s="86">
        <f>(FA_invest*(M125+1/FA_lifetime)/FA_prod+FA_opex+FA_e_demand*1000*$AU125/100+Carriers!$P$18/Carriers!$P$23*BD125+Carriers!$P$20/Carriers!$P$23*BP125)*(CF125+FA_st_ab_losses)/1000000</f>
        <v>119311.98284267203</v>
      </c>
      <c r="CD125" s="63">
        <f>FA_st_nl_cost*FA_st_nl_demand/1000000+(FA_st_invest*(M125+1/FA_st_lifetime+FA_st_opex)/(Storage!$I$63/1000000)+FA_st_e_demand*1000*$AU125/100)*(CF125+FA_st_ab_losses)/1000000+co2_st_nl_cost*Storage!$I$12*co2_density/FA_density/1000000+(co2_st_opex_lev+co2_st_invest_lev+co2_st_e_demand*1000*$AU125/100)*Storage!$I$12/1000000+co2_st_invest_lev*Storage!$I$12*co2_st_lifetime*M125/1000000+Carriers!$P$18/Carriers!$P$23*((CF125+FA_st_ab_losses)/365.25*short_st_duration_hrs/24)*(h2_short_st_invest*(1/gh2_short_st_lifetime+$M125+h2_short_st_opex)+h2_short_st_e_demand*1000*$AU125/100)/1000000+Carriers!$P$20/Carriers!$P$23*((CF125+FA_st_ab_losses)/365.25*short_st_duration_hrs/24)*(co2_short_st_invest*(1/co2_short_st_lifetime+$M125+co2_short_st_opex)+co2_short_st_e_demand*1000*$AU125/100)/1000000</f>
        <v>11495.446898006734</v>
      </c>
      <c r="CE125" s="63">
        <f>FA_st_nl_cost*FA_st_nl_demand/1000000+(FA_st_invest*(M125+1/FA_st_lifetime+FA_st_opex)/(Storage!$I$63/1000000)+FA_st_e_demand*1000*$AU125/100)*(CF125+FA_st_ab_losses)/1000000+Carriers!$P$18/Carriers!$P$23*((CF125+FA_st_ab_losses)/365.25*short_st_duration_hrs/24)*(h2_short_st_invest*(1/gh2_short_st_lifetime+$M125+h2_short_st_opex)+h2_short_st_e_demand*1000*$AU125/100)/1000000+Carriers!$P$20/Carriers!$P$23*((CF125+FA_st_ab_losses)/365.25*short_st_duration_hrs/24)*(co2_short_st_invest*(1/co2_short_st_lifetime+$M125+co2_short_st_opex)+co2_short_st_e_demand*1000*$AU125/100)/1000000</f>
        <v>5026.2541592388525</v>
      </c>
      <c r="CF125" s="63">
        <f>Storage!$I$57/((1-Shipping!$J$37)^($F125/24/Shipping!$J$44+0.5*Shipping!$J$59))</f>
        <v>310425396.82539684</v>
      </c>
      <c r="CG125" s="28">
        <f>IF($E125="","No Port",((F125/24/Shipping!$J$44+F125/24/Shipping!$J$50+Shipping!$J$59+Shipping!$J$64)*(Shipping!$J$22+wacc_nl*Shipping!$J$19/365.25*1000000+Shipping!$J$35)+(F125/24/Shipping!$J$44*Shipping!$J$45+Shipping!$J$64*Shipping!$J$65)*IF(bunker_choice="HFO",$H125,IF(bunker_choice="hydrogen",$BD125*hfo_e_density_lhv/h2_e_density_lhv,(CB125+CD125)*1000000/CF125*hfo_e_density_lhv/FA_e_density_lhv))+(F125/24/Shipping!$J$50*Shipping!$J$51+Shipping!$J$59*Shipping!$J$60)*IF(bunker_choice="HFO",bunker_price_ROT,IF(bunker_choice="hydrogen",$BD125*hfo_e_density_lhv/h2_e_density_lhv,(CB125+CD125)*1000000/CF125*hfo_e_density_lhv/FA_e_density_lhv))+Shipping!$J$73+IF(G125="Panama",Shipping!$J$55,0)+IF(G125="Suez",Shipping!$J$56,0))/Shipping!$J$31*CF125/1000000+IF(inland_transport_to_port="hv dc grid",$BM125/100*1000*CI125,IF(inland_transport_to_port="pipeline",$BN125,0)))</f>
        <v>19824.389620115096</v>
      </c>
      <c r="CH125" s="28">
        <f t="shared" si="132"/>
        <v>144162.626622026</v>
      </c>
      <c r="CI125" s="29">
        <f>((Carriers!$P$18/Carriers!$P$23*alk_el_e_demand)+FA_e_demand)*(CF125+FA_st_ab_losses)/1000000+FA_st_e_demand*CF125/1000000</f>
        <v>1897.8881241622576</v>
      </c>
      <c r="CJ125" s="29">
        <f t="shared" si="157"/>
        <v>0.46563809523809524</v>
      </c>
      <c r="CK125" s="28">
        <f>IFERROR(CH125*1000000/Storage!$I$12,"")</f>
        <v>464.40345440908726</v>
      </c>
      <c r="CL125" s="28">
        <f>IF($E125="","No Port",((F125/24/Shipping!$J$44+F125/24/Shipping!$J$50+Shipping!$J$59+Shipping!$J$64)*Carriers!$P$39*wacc_nl))</f>
        <v>332.53534438887186</v>
      </c>
      <c r="CM125" s="29">
        <f>H2_retrieval!$H$25*h2_demand_kt/1000+(co2_liq_e_demand+co2_st_e_demand*2)*Storage!$I$12*co2_density/FA_density/1000000</f>
        <v>94.204253879484654</v>
      </c>
      <c r="CN125" s="28">
        <f>IFERROR((((CB125+CD125+CG125)*(1+H2_retrieval!$H$34)+CL125)*1000000/H2_retrieval!$H$8)+h2_regen_fa,"")</f>
        <v>9261.7644323608565</v>
      </c>
      <c r="CO125" s="149">
        <f>(meoh_invest*(M125+1/meoh_lifetime)/meoh_prod+meoh_opex+meoh_e_demand*1000*$AU125/100+Carriers!$R$18/Carriers!$R$23*BD125+Carriers!$R$20/Carriers!$R$23*co2_liq_cost)*(CS125+meoh_st_ab_losses)/1000000</f>
        <v>56038.694271406581</v>
      </c>
      <c r="CP125" s="86">
        <f>(meoh_invest*(M125+1/meoh_lifetime)/meoh_prod+meoh_opex+meoh_e_demand*1000*$AU125/100+Carriers!$R$18/Carriers!$R$23*BD125+Carriers!$R$20/Carriers!$R$23*BP125)*(CS125+meoh_st_ab_losses)/1000000</f>
        <v>71433.054447613133</v>
      </c>
      <c r="CQ125" s="63">
        <f>meoh_st_nl_cost*meoh_st_nl_demand/1000000+(meoh_st_invest*(M125+1/meoh_st_lifetime+meoh_st_opex)/(Storage!$K$63/1000000)+meoh_st_e_demand*1000*$AU125/100)*(CS125+meoh_st_ab_losses)/1000000+co2_st_nl_cost*Storage!$K$12*co2_density/meoh_density/1000000+(co2_st_opex_lev+co2_st_invest_lev+co2_st_e_demand*1000*IFERROR(MIN(S125,AA125,AI125),S125)/100)*Storage!$K$12/1000000+co2_st_invest_lev*Storage!$K$12*co2_st_lifetime*M125/1000000+Carriers!$R$18/Carriers!$R$23*((CS125+meoh_st_ab_losses)/365.25*short_st_duration_hrs/24)*(h2_short_st_invest*(1/gh2_short_st_lifetime+$M125+h2_short_st_opex)+h2_short_st_e_demand*1000*$AU125/100)/1000000+Carriers!$R$20/Carriers!$R$23*((CF125+meoh_st_ab_losses)/365.25*short_st_duration_hrs/24)*(co2_short_st_invest*(1/co2_short_st_lifetime+$M125+co2_short_st_opex)+co2_short_st_e_demand*1000*$AU125/100)/1000000</f>
        <v>4827.0026808719385</v>
      </c>
      <c r="CR125" s="63">
        <f>meoh_st_nl_cost*meoh_st_nl_demand/1000000+(meoh_st_invest*(M125+1/meoh_st_lifetime+meoh_st_opex)/(Storage!$K$63/1000000)+meoh_st_e_demand*1000*$AU125/100)*(CS125+meoh_st_ab_losses)/1000000+Carriers!$R$18/Carriers!$R$23*((CS125+meoh_st_ab_losses)/365.25*short_st_duration_hrs/24)*(h2_short_st_invest*(1/gh2_short_st_lifetime+$M125+h2_short_st_opex)+h2_short_st_e_demand*1000*$AU125/100)/1000000+Carriers!$R$20/Carriers!$R$23*((CF125+meoh_st_ab_losses)/365.25*short_st_duration_hrs/24)*(co2_short_st_invest*(1/co2_short_st_lifetime+$M125+co2_short_st_opex)+co2_short_st_e_demand*1000*$AU125/100)/1000000</f>
        <v>1976.3842652719095</v>
      </c>
      <c r="CS125" s="63">
        <f>Storage!$K$57/((1-Shipping!$L$37)^($F125/24/Shipping!$L$44+0.5*Shipping!$L$59))</f>
        <v>108044444.44444443</v>
      </c>
      <c r="CT125" s="28">
        <f>IF($E125="","No Port",IF(AND(ship_choice="VLCC",G125="Panama"),"Ship cannot pass through Panama",IF(ship_choice="VLCC",((F125/24/Shipping!$AD$44+F125/24/Shipping!$AD$50+Shipping!$AD$59+Shipping!$AD$64)*(Shipping!$AD$22+wacc_nl*Shipping!$AD$19/365.25*1000000+Shipping!$AD$35)+(F125/24/Shipping!$AD$44*Shipping!$AD$45+Shipping!$AD$64*Shipping!$AD$65)*IF(bunker_choice="HFO",$H125,IF(bunker_choice="hydrogen",$BD125*hfo_e_density_lhv/h2_e_density_lhv,(CO125+CQ125)*1000000/CS125*hfo_e_density_lhv/meoh_e_density_lhv))+(F125/24/Shipping!$AD$50*Shipping!$AD$51+Shipping!$AD$59*Shipping!$AD$60)*IF(bunker_choice="HFO",bunker_price_ROT,IF(bunker_choice="hydrogen",$BD125*hfo_e_density_lhv/h2_e_density_lhv,(CO125+CQ125)*1000000/CS125*hfo_e_density_lhv/meoh_e_density_lhv))+Shipping!$AD$73+IF(G125="Panama",Shipping!$AD$55,0)+IF(G125="Suez",Shipping!$AD$56,0))/Shipping!$AD$31*CS125/1000000+IF(inland_transport_to_port="hv dc grid",$BM125/100*1000*CV125,IF(inland_transport_to_port="pipeline",$BN125,0)),((F125/24/Shipping!$L$44+F125/24/Shipping!$L$50+Shipping!$L$59+Shipping!$L$64)*(Shipping!$L$22+wacc_nl*Shipping!$L$19/365.25*1000000+Shipping!$L$35)+(F125/24/Shipping!$L$44*Shipping!$L$45+Shipping!$L$64*Shipping!$L$65)*IF(bunker_choice="HFO",$H125,IF(bunker_choice="hydrogen",$BD125*hfo_e_density_lhv/h2_e_density_lhv,(CO125+CQ125)*1000000/CS125*hfo_e_density_lhv/meoh_e_density_lhv))+(F125/24/Shipping!$L$50*Shipping!$L$51+Shipping!$L$59*Shipping!$L$60)*IF(bunker_choice="HFO",bunker_price_ROT,IF(bunker_choice="hydrogen",$BD125*hfo_e_density_lhv/h2_e_density_lhv,(CO125+CQ125)*1000000/CS125*hfo_e_density_lhv/meoh_e_density_lhv))+Shipping!$L$73+IF(G125="Panama",Shipping!$L$55,0)+IF(G125="Suez",Shipping!$L$56,0))/Shipping!$L$31*CS125/1000000+IF(inland_transport_to_port="hv dc grid",$BM125/100*1000*CV125,IF(inland_transport_to_port="pipeline",$BN125,0)))))</f>
        <v>7634.4955045211627</v>
      </c>
      <c r="CU125" s="28">
        <f t="shared" si="133"/>
        <v>81043.934217406204</v>
      </c>
      <c r="CV125" s="29">
        <f>((Carriers!$R$18/Carriers!$R$23*alk_el_e_demand)+meoh_e_demand)*(CS125+meoh_st_ab_losses)/1000000+meoh_st_e_demand*CS125/1000000</f>
        <v>1119.9789871111109</v>
      </c>
      <c r="CW125" s="29">
        <f t="shared" si="158"/>
        <v>0.16206666666666666</v>
      </c>
      <c r="CX125" s="28">
        <f>IFERROR(CU125*1000000/Storage!$K$12,"")</f>
        <v>750.09811595707106</v>
      </c>
      <c r="CY125" s="28">
        <f>IF($E125="","No Port",((F125/24/Shipping!$L$44+F125/24/Shipping!$L$50+Shipping!$L$59+Shipping!$L$64)*Carriers!$R$39*wacc_nl))</f>
        <v>119.19372735720496</v>
      </c>
      <c r="CZ125" s="29">
        <f>H2_retrieval!$J$25*h2_demand_kt/1000+(co2_liq_e_demand+co2_st_e_demand*2)*Storage!$K$12*co2_density/meoh_density/1000000</f>
        <v>251.05079059698966</v>
      </c>
      <c r="DA125" s="28">
        <f>IFERROR((((CO125+CQ125+CT125)*(1+H2_retrieval!$J$34)+CY125)*1000000/H2_retrieval!$J$8)+h2_regen_meoh,"")</f>
        <v>6215.6716449723581</v>
      </c>
      <c r="DB125" s="149">
        <f>(DBT_invest*(M125+1/DBT_lifetime)/DBT_prod+DBT_opex+DBT_e_demand*1000*$AU125/100+Carriers!$T$18/Carriers!$T$23*BD125)*(DD125+DBT_st_ab_losses)/1000000</f>
        <v>37872.544132182687</v>
      </c>
      <c r="DC125" s="28">
        <f>2*(DBT_st_nl_cost*DBT_st_nl_demand/1000000+(DBT_st_invest*(M125+1/DBT_st_lifetime+DBT_st_opex)/(Storage!$M$63/1000000)+DBT_st_e_demand*1000*$AU125/100)*(DD125+DBT_st_ab_losses)/1000000)+Carriers!$T$18/Carriers!$T$23*((DD125+DBT_st_ab_losses)/365.25*short_st_duration_hrs/24)*(h2_short_st_invest*(1/gh2_short_st_lifetime+$M125+h2_short_st_opex)+h2_short_st_e_demand*1000*$AU125/100)/1000000</f>
        <v>4086.9213824053268</v>
      </c>
      <c r="DD125" s="63">
        <f>Storage!$M$57/((1-Shipping!$N$37)^($F125/24/Shipping!$N$44+0.5*Shipping!$N$59))</f>
        <v>219354838.70967743</v>
      </c>
      <c r="DE125" s="28">
        <f>IF($E125="","No Port",IF(AND(ship_choice="VLCC",G125="Panama"),"Ship cannot pass through Panama",IF(ship_choice="VLCC",((F125/24/Shipping!$AD$44+F125/24/Shipping!$AD$50+Shipping!$AD$59+Shipping!$AD$64)*(Shipping!$AD$22+wacc_nl*Shipping!$AD$19/365.25*1000000+Shipping!$AD$35)+(F125/24/Shipping!$AD$44*Shipping!$AD$45+Shipping!$AD$64*Shipping!$AD$65)*IF(bunker_choice="HFO",$H125,IF(bunker_choice="hydrogen",$BD125*hfo_e_density_lhv/h2_e_density_lhv,(DB125+DC125)*1000000/DD125*hfo_e_density_lhv/DBT_e_density_lhv))+(F125/24/Shipping!$AD$50*Shipping!$AD$51+Shipping!$AD$59*Shipping!$AD$60)*IF(bunker_choice="HFO",bunker_price_ROT,IF(bunker_choice="hydrogen",$BD125*hfo_e_density_lhv/h2_e_density_lhv,(DB125+DC125)*1000000/DD125*hfo_e_density_lhv/DBT_e_density_lhv))+Shipping!$AD$73+IF(G125="Panama",Shipping!$AD$55,0)+IF(G125="Suez",Shipping!$AD$56,0))/Shipping!$AD$31*DD125/1000000+IF(inland_transport_to_port="hv dc grid",$BM125/100*1000*DG125,IF(inland_transport_to_port="pipeline",$BN125,0)),((F125/24/Shipping!$N$44+F125/24/Shipping!$N$50+Shipping!$N$59+Shipping!$N$64)*(Shipping!$N$22+wacc_nl*Shipping!$N$19/365.25*1000000+Shipping!$N$35)+(F125/24/Shipping!$N$44*Shipping!$N$45+Shipping!$N$64*Shipping!$N$65)*IF(bunker_choice="HFO",$H125,IF(bunker_choice="hydrogen",$BD125*hfo_e_density_lhv/h2_e_density_lhv,(DB125+DC125)*1000000/DD125*hfo_e_density_lhv/DBT_e_density_lhv))+(F125/24/Shipping!$N$50*Shipping!$N$51+Shipping!$N$59*Shipping!$N$60)*IF(bunker_choice="HFO",bunker_price_ROT,IF(bunker_choice="hydrogen",$BD125*hfo_e_density_lhv/h2_e_density_lhv,(DB125+DC125)*1000000/DD125*hfo_e_density_lhv/DBT_e_density_lhv))+Shipping!$N$73+IF(G125="Panama",Shipping!$N$55,0)+IF(G125="Suez",Shipping!$N$56,0))/Shipping!$N$31*Shipping!$N$86/1000000+IF(inland_transport_to_port="hv dc grid",$BM125/100*1000*DG125,IF(inland_transport_to_port="pipeline",$BN125,0)))))</f>
        <v>12850.06352125987</v>
      </c>
      <c r="DF125" s="28">
        <f t="shared" si="159"/>
        <v>54809.529035847889</v>
      </c>
      <c r="DG125" s="29">
        <f>((Carriers!$T$18/Carriers!$T$23*alk_el_e_demand)+DBT_e_demand)*(DD125+DBT_st_ab_losses)/1000000+DBT_st_e_demand*DD125/1000000</f>
        <v>703.88335483870969</v>
      </c>
      <c r="DH125" s="29">
        <f t="shared" si="160"/>
        <v>0.21935483870967742</v>
      </c>
      <c r="DI125" s="28">
        <f>IFERROR(DF125*1000000/Storage!$M$12,"")</f>
        <v>249.86697060460065</v>
      </c>
      <c r="DJ125" s="28">
        <f>IF($E125="","No Port",((F125/24/Shipping!$N$44+F125/24/Shipping!$N$50+Shipping!$N$59+Shipping!$N$64)*Carriers!$T$39*wacc_nl))</f>
        <v>8681.2707888135756</v>
      </c>
      <c r="DK125" s="100">
        <f>H2_retrieval!$L$25*h2_demand_kt/1000+(co2_liq_e_demand+co2_st_e_demand*2)*Storage!$M$12*co2_density/DBT_density/1000000</f>
        <v>206.61934861671787</v>
      </c>
      <c r="DL125" s="28">
        <f>IFERROR(((DF125*(1+H2_retrieval!$L$34)+DJ125)*1000000/H2_retrieval!$L$8)+h2_regen_lohc,"")</f>
        <v>5139.090944216844</v>
      </c>
      <c r="DM125" s="149">
        <f t="shared" si="175"/>
        <v>46157.513574323646</v>
      </c>
      <c r="DN125" s="16">
        <f>2*(nabh4_st_nl_cost*nabh4_st_nl_demand/1000000+(nabh4_st_invest*(M125+1/nabh4_st_lifetime+nabh4_st_opex)/(Storage!$O$63/1000000)+nabh4_st_e_demand*1000*$AU125/100)*(DO125+nabh4_st_ab_losses)/1000000)+(h2_demand_kt*1000/365.25*short_st_duration_hrs/24)*(h2_short_st_invest*(1/gh2_short_st_lifetime+$M125+h2_short_st_opex)+h2_short_st_e_demand*1000*$AU125/100)/1000000</f>
        <v>1362.4222962527901</v>
      </c>
      <c r="DO125" s="63">
        <f>Storage!$O$57/((1-Shipping!$P$37)^($F125/24/Shipping!$P$44+0.5*Shipping!$P$59))</f>
        <v>63920000</v>
      </c>
      <c r="DP125" s="16">
        <f>IF($E125="","No Port",((F125/24/Shipping!$P$44+F125/24/Shipping!$P$50+Shipping!$P$59+Shipping!$P$64)*(Shipping!$P$22+wacc_nl*Shipping!$P$19/365.25*1000000+Shipping!$P$35)+(F125/24/Shipping!$P$44*Shipping!$P$45+Shipping!$P$64*Shipping!$P$65)*IF(bunker_choice="HFO",$H125,IF(bunker_choice="hydrogen",$BD125*hfo_e_density_lhv/h2_e_density_lhv,(DM125+DN125)*1000000/DO125*hfo_e_density_lhv/nabh4_e_density_lhv))+(F125/24/Shipping!$P$50*Shipping!$P$51+Shipping!$P$59*Shipping!$P$60)*IF(bunker_choice="HFO",bunker_price_ROT,IF(bunker_choice="hydrogen",$BD125*hfo_e_density_lhv/h2_e_density_lhv,(DM125+DN125)*1000000/DO125*hfo_e_density_lhv/nabh4_e_density_lhv))+Shipping!$P$73+IF(G125="Panama",Shipping!$P$55,0)+IF(G125="Suez",Shipping!$P$56,0))/Shipping!$P$31*(DO125+nabh4_st_ab_losses)/1000000+IF(inland_transport_to_port="hv dc grid",$BM125/100*1000*DR125,IF(inland_transport_to_port="pipeline",$BN125,0)))</f>
        <v>4497.8903987521571</v>
      </c>
      <c r="DQ125" s="28">
        <f t="shared" si="146"/>
        <v>52017.826269328594</v>
      </c>
      <c r="DR125" s="29">
        <f>((Carriers!$V$18/Carriers!$V$23*alk_el_e_demand)+nabh4_e_demand)*(DO125+nabh4_st_ab_losses)/1000000+nabh4_st_e_demand*DO125/1000000</f>
        <v>980.02139682539689</v>
      </c>
      <c r="DS125" s="28">
        <f t="shared" si="161"/>
        <v>3.1960000000000002</v>
      </c>
      <c r="DT125" s="28">
        <f>IFERROR(DQ125*1000000/Storage!$O$12,"")</f>
        <v>813.79578018348866</v>
      </c>
      <c r="DU125" s="28">
        <f>IF($E125="","No Port",((F125/24/Shipping!$P$44+F125/24/Shipping!$P$50+Shipping!$P$59+Shipping!$P$64)*Carriers!$V$39*wacc_nl))</f>
        <v>799.55450208237096</v>
      </c>
      <c r="DV125" s="100">
        <f>H2_retrieval!$N$25*h2_demand_kt/1000+(co2_liq_e_demand+co2_st_e_demand*2)*Storage!$O$12*co2_density/nabh4_density/1000000</f>
        <v>18.783638728971958</v>
      </c>
      <c r="DW125" s="28">
        <f>IFERROR(((DQ125*(1+H2_retrieval!$N$34)+DU125)*1000000/H2_retrieval!$N$8)+h2_regen_nabh4,"")</f>
        <v>3967.0019528622229</v>
      </c>
      <c r="DX125" s="149">
        <f>(Dme_invest*(M125+1/Dme_lifetime)/Dme_prod+Dme_opex+Dme_e_demand*1000*$AU125/100+Carriers!$X$21/Carriers!$X$23*(CO125*1000000/CS125))*(EB125+Dme_st_ab_losses)/1000000</f>
        <v>78974.188299798785</v>
      </c>
      <c r="DY125" s="86">
        <f>(Dme_invest*(M125+1/Dme_lifetime)/Dme_prod+Dme_opex+Dme_e_demand*1000*$AU125/100+Carriers!$X$21/Carriers!$X$23*(CP125*1000000/CS125))*(EB125+Dme_st_ab_losses)/1000000</f>
        <v>99859.162738051644</v>
      </c>
      <c r="DZ125" s="63">
        <f>Dme_st_nl_cost*Dme_st_nl_demand/1000000+(Dme_st_invest*(M125+1/Dme_st_lifetime+Dme_st_opex)/(Storage!$Q$63/1000000)+Dme_st_e_demand*1000*$AU125/100)*(EB125+Dme_st_ab_losses)/1000000+co2_st_nl_cost*Storage!$Q$12*co2_density/Dme_density/1000000+(co2_st_opex_lev+co2_st_invest_lev+co2_st_e_demand*1000*$AU125/100)*Storage!$Q$12/1000000+co2_st_invest_lev*Storage!$Q$12*co2_st_lifetime*M125/1000000+(h2_demand_kt*1000/365.25*short_st_duration_hrs/24)*(h2_short_st_invest*(1/gh2_short_st_lifetime+$M125+h2_short_st_opex)+h2_short_st_e_demand*1000*$AU125/100)/1000000</f>
        <v>5829.189012207652</v>
      </c>
      <c r="EA125" s="63">
        <f>Dme_st_nl_cost*Dme_st_nl_demand/1000000+(Dme_st_invest*(M125+1/Dme_st_lifetime+Dme_st_opex)/(Storage!$Q$63/1000000)+Dme_st_e_demand*1000*$AU125/100)*(EB125+Dme_st_ab_losses)/1000000+(h2_demand_kt*1000/365.25*short_st_duration_hrs/24)*(h2_short_st_invest*(1/gh2_short_st_lifetime+$M125+h2_short_st_opex)+h2_short_st_e_demand*1000*$AU125/100)/1000000</f>
        <v>2970.3270118405435</v>
      </c>
      <c r="EB125" s="63">
        <f>Storage!$Q$57/((1-Shipping!$R$37)^($F125/24/Shipping!$R$44+0.5*Shipping!$R$59))</f>
        <v>103547089.94708996</v>
      </c>
      <c r="EC125" s="153">
        <f>IF($E125="","No Port",IF(AND(ship_choice="VLCC",G125="Panama"),"Ship cannot pass through Panama",IF(ship_choice="VLCC",((F125/24/Shipping!$AD$44+F125/24/Shipping!$AD$50+Shipping!$AD$59+Shipping!$AD$64)*(Shipping!$AD$22+wacc_nl*Shipping!$AD$19/365.25*1000000+Shipping!$AD$35)+(F125/24/Shipping!$AD$44*Shipping!$AD$45+Shipping!$AD$64*Shipping!$AD$65)*IF(bunker_choice="HFO",$H125,IF(bunker_choice="hydrogen",$BD125*hfo_e_density_lhv/h2_e_density_lhv,(DX125+DZ125)*1000000/EB125*hfo_e_density_lhv/Dme_e_density_lhv))+(F125/24/Shipping!$AD$50*Shipping!$AD$51+Shipping!$AD$59*Shipping!$AD$60)*IF(bunker_choice="HFO",bunker_price_ROT,IF(bunker_choice="hydrogen",$BD125*hfo_e_density_lhv/h2_e_density_lhv,(DX125+DZ125)*1000000/EB125*hfo_e_density_lhv/Dme_e_density_lhv))+Shipping!$AD$73+IF(G125="Panama",Shipping!$AD$55,0)+IF(G125="Suez",Shipping!$AD$56,0))/Shipping!$AD$31*(EB125+Dme_st_ab_losses)/1000000+IF(inland_transport_to_port="hv dc grid",$BM125/100*1000*EE125,IF(inland_transport_to_port="pipeline",$BN125,0)),((F125/24/Shipping!$R$44+F125/24/Shipping!$R$50+Shipping!$R$59+Shipping!$R$64)*(Shipping!$R$22+wacc_nl*Shipping!$R$19/365.25*1000000+Shipping!$R$35)+(F125/24/Shipping!$R$44*Shipping!$R$45+Shipping!$R$64*Shipping!$R$65)*IF(bunker_choice="HFO",$H125,IF(bunker_choice="hydrogen",$BD125*hfo_e_density_lhv/h2_e_density_lhv,(DX125+DZ125)*1000000/EB125*hfo_e_density_lhv/Dme_e_density_lhv))+(F125/24/Shipping!$R$50*Shipping!$R$51+Shipping!$R$59*Shipping!$R$60)*IF(bunker_choice="HFO",bunker_price_ROT,IF(bunker_choice="hydrogen",$BD125*hfo_e_density_lhv/h2_e_density_lhv,(DX125+DZ125)*1000000/EB125*hfo_e_density_lhv/Dme_e_density_lhv))+Shipping!$R$73+IF(G125="Panama",Shipping!$R$55,0)+IF(G125="Suez",Shipping!$R$56,0))/Shipping!$R$31*(EB125+Dme_st_ab_losses)/1000000+IF(inland_transport_to_port="hv dc grid",$BM125/100*1000*EE125,IF(inland_transport_to_port="pipeline",$BN125,0)))))</f>
        <v>7753.5770647598201</v>
      </c>
      <c r="ED125" s="28">
        <f t="shared" si="134"/>
        <v>110583.06681465202</v>
      </c>
      <c r="EE125" s="29">
        <f>(Dme_e_demand)*(EB125+Dme_st_ab_losses)/1000000+Dme_st_e_demand*DZ125/1000000+$CV125*(Carriers!$X$21/Carriers!$X$23*EB125)/$CS125</f>
        <v>1550.2168184589459</v>
      </c>
      <c r="EF125" s="29">
        <f t="shared" si="162"/>
        <v>1.0354708994708997</v>
      </c>
      <c r="EG125" s="28">
        <f>IFERROR(ED125*1000000/Storage!$Q$12,"")</f>
        <v>1067.9495374631704</v>
      </c>
      <c r="EH125" s="28">
        <f>IF($E125="","No Port",((F125/24/Shipping!$R$44+F125/24/Shipping!$R$50+Shipping!$R$59+Shipping!$R$64)*Carriers!$X$39*wacc_nl))</f>
        <v>124.11189434556664</v>
      </c>
      <c r="EI125" s="100">
        <f>H2_retrieval!$P$25*h2_demand_kt/1000+(co2_liq_e_demand+co2_st_e_demand*2)*Storage!$Q$12*co2_density/Dme_density/1000000</f>
        <v>252.45335899349112</v>
      </c>
      <c r="EJ125" s="28">
        <f>IFERROR((((DX125+DZ125+EC125)*(1+H2_retrieval!$P$34)+EH125)*1000000/H2_retrieval!$P$8)+h2_regen_dme,"")</f>
        <v>7984.9128278366916</v>
      </c>
      <c r="EK125" s="149">
        <f>(ome_invest*(M125+1/ome_lifetime)/ome_prod+ome_opex+ome_e_demand*1000*$AU125/100+Carriers!$Z$21/Carriers!$Z$23*(CO125*1000000/CS125))*(EO125+ome_st_ab_losses)/1000000</f>
        <v>172056.32293901287</v>
      </c>
      <c r="EL125" s="86">
        <f>(ome_invest*(M125+1/ome_lifetime)/ome_prod+ome_opex+ome_e_demand*1000*$AU125/100+Carriers!$Z$21/Carriers!$Z$23*(CP125*1000000/CS125))*(EO125+ome_st_ab_losses)/1000000</f>
        <v>215897.94981738165</v>
      </c>
      <c r="EM125" s="63">
        <f>ome_st_nl_cost*ome_st_nl_demand/1000000+(ome_st_invest*(M125+1/ome_st_lifetime+ome_st_opex)/(Storage!$S$63/1000000)+ome_st_e_demand*1000*$AU125/100)*(EO125+ome_st_ab_losses)/1000000+co2_st_nl_cost*Storage!$S$12*co2_density/ome_density/1000000+(co2_st_opex_lev+co2_st_invest_lev+co2_st_e_demand*1000*$AU125/100)*Storage!$S$12/1000000+co2_st_invest_lev*Storage!$S$12*co2_st_lifetime*M125/1000000+(h2_demand_kt*1000/365.25*short_st_duration_hrs/24)*(h2_short_st_invest*(1/gh2_short_st_lifetime+$M125+h2_short_st_opex)+h2_short_st_e_demand*1000*$AU125/100)/1000000</f>
        <v>4986.0792604798826</v>
      </c>
      <c r="EN125" s="63">
        <f>ome_st_nl_cost*ome_st_nl_demand/1000000+(ome_st_invest*(M125+1/ome_st_lifetime+ome_st_opex)/(Storage!$S$63/1000000)+ome_st_e_demand*1000*$AU125/100)*(EO125+ome_st_ab_losses)/1000000+(h2_demand_kt*1000/365.25*short_st_duration_hrs/24)*(h2_short_st_invest*(1/gh2_short_st_lifetime+$M125+h2_short_st_opex)+h2_short_st_e_demand*1000*$AU125/100)/1000000</f>
        <v>1783.2568059159003</v>
      </c>
      <c r="EO125" s="63">
        <f>Storage!$S$57/((1-Shipping!$T$37)^($F125/24/Shipping!$T$44+0.5*Shipping!$T$59))</f>
        <v>128282539.68253967</v>
      </c>
      <c r="EP125" s="28">
        <f>IF($E125="","No Port",IF(AND(ship_choice="VLCC",G125="Panama"),"Ship cannot pass through Panama",IF(ship_choice="VLCC",((F125/24/Shipping!$AD$44+F125/24/Shipping!$AD$50+Shipping!$AD$59+Shipping!$AD$64)*(Shipping!$AD$22+wacc_nl*Shipping!$AD$19/365.25*1000000+Shipping!$AD$35)+(F125/24/Shipping!$AD$44*Shipping!$AD$45+Shipping!$AD$64*Shipping!$AD$65)*IF(bunker_choice="HFO",$H125,IF(bunker_choice="hydrogen",$BD125*hfo_e_density_lhv/h2_e_density_lhv,(EK125+EM125)*1000000/EO125*hfo_e_density_lhv/Dme_e_density_lhv))+(F125/24/Shipping!$AD$50*Shipping!$AD$51+Shipping!$AD$59*Shipping!$AD$60)*IF(bunker_choice="HFO",bunker_price_ROT,IF(bunker_choice="hydrogen",$BD125*hfo_e_density_lhv/h2_e_density_lhv,(EK125+EM125)*1000000/EO125*hfo_e_density_lhv/ome_e_density_lhv))+Shipping!$AD$73+IF(G125="Panama",Shipping!$AD$55,0)+IF(G125="Suez",Shipping!$AD$56,0))/Shipping!$AD$31*(EO125+ome_st_ab_losses)/1000000+IF(inland_transport_to_port="hv dc grid",$BM125/100*1000*ER125,IF(inland_transport_to_port="pipeline",$BN125,0)),((F125/24/Shipping!$T$44+F125/24/Shipping!$T$50+Shipping!$T$59+Shipping!$T$64)*(Shipping!$T$22+wacc_nl*Shipping!$T$19/365.25*1000000+Shipping!$T$35)+(F125/24/Shipping!$T$44*Shipping!$T$45+Shipping!$T$64*Shipping!$T$65)*IF(bunker_choice="HFO",$H125,IF(bunker_choice="hydrogen",$BD125*hfo_e_density_lhv/h2_e_density_lhv,(EK125+EM125)*1000000/EO125*hfo_e_density_lhv/Dme_e_density_lhv))+(F125/24/Shipping!$T$50*Shipping!$T$51+Shipping!$T$59*Shipping!$T$60)*IF(bunker_choice="HFO",bunker_price_ROT,IF(bunker_choice="hydrogen",$BD125*hfo_e_density_lhv/h2_e_density_lhv,(EK125+EM125)*1000000/EO125*hfo_e_density_lhv/ome_e_density_lhv))+Shipping!$T$73+IF(G125="Panama",Shipping!$T$55,0)+IF(G125="Suez",Shipping!$T$56,0))/Shipping!$T$31*(EO125+ome_st_ab_losses)/1000000+IF(inland_transport_to_port="hv dc grid",$BM125/100*1000*ER125,IF(inland_transport_to_port="pipeline",$BN125,0)))))</f>
        <v>8353.5405511434128</v>
      </c>
      <c r="EQ125" s="28">
        <f t="shared" si="135"/>
        <v>226034.74717444097</v>
      </c>
      <c r="ER125" s="29">
        <f>(ome_e_demand)*(EO125+ome_st_ab_losses)/1000000+ome_st_e_demand*EM125/1000000+$CV125*(Carriers!$Z$21/Carriers!$Z$23*EO125)/$CS125</f>
        <v>3352.0814576199023</v>
      </c>
      <c r="ES125" s="29">
        <f t="shared" si="163"/>
        <v>0.1924238095238095</v>
      </c>
      <c r="ET125" s="28">
        <f>IFERROR(EQ125*1000000/Storage!$S$12,"")</f>
        <v>1762.0071112858252</v>
      </c>
      <c r="EU125" s="28">
        <f>IF($E125="","No Port",((F125/24/Shipping!$T$44+F125/24/Shipping!$T$50+Shipping!$T$59+Shipping!$T$64)*Carriers!$Z$39*wacc_nl))</f>
        <v>141.52022473929881</v>
      </c>
      <c r="EV125" s="100">
        <f>H2_retrieval!$R$25*h2_demand_kt/1000+(co2_liq_e_demand+co2_st_e_demand*2)*Storage!$S$12*co2_density/ome_density/1000000</f>
        <v>254.51942895252085</v>
      </c>
      <c r="EW125" s="28">
        <f>IFERROR((((EK125+EM125+EP125)*(1+H2_retrieval!$R$34)+EU125)*1000000/H2_retrieval!$R$8)+h2_regen_ome,"")</f>
        <v>14812.589056091369</v>
      </c>
      <c r="EX125" s="149">
        <f>(sng_invest*(M125+1/sng_lifetime)/sng_prod+lng_invest*(M125+1/lng_lifetime)/lng_prod+sng_opex+lng_opex+(sng_e_demand+lng_e_demand)*1000*$AU125/100+Carriers!$AB$18/Carriers!$AB$23*BD125+Carriers!$AB$20/Carriers!$AB$23*co2_liq_cost)*(FB125+lng_st_ab_losses)/1000000</f>
        <v>61993.712457873364</v>
      </c>
      <c r="EY125" s="86">
        <f>(sng_invest*(M125+1/sng_lifetime)/sng_prod+lng_invest*(M125+1/lng_lifetime)/lng_prod+sng_opex+lng_opex+(sng_e_demand+lng_e_demand)*1000*$AU125/100+Carriers!$AB$18/Carriers!$AB$23*BD125+Carriers!$AB$20/Carriers!$AB$23*BP125)*(FB125+lng_st_ab_losses)/1000000</f>
        <v>73633.832430268492</v>
      </c>
      <c r="EZ125" s="63">
        <f>lng_st_nl_cost*lng_st_nl_demand/1000000+(lng_st_invest*(M125+1/lng_st_lifetime+lng_st_opex)/(Storage!$U$63/1000000)+lng_st_e_demand*1000*$AU125/100)*(FB125+lng_st_ab_losses)/1000000+co2_st_nl_cost*Storage!$U$12*co2_density/lng_density/1000000+(co2_st_opex_lev+co2_st_invest_lev+co2_st_e_demand*1000*$AU125/100)*Storage!$U$12/1000000+co2_st_invest_lev*Storage!$U$12*co2_st_lifetime*M125/1000000+Carriers!$AB$18/Carriers!$AB$23*((FB125+lng_st_ab_losses)/365.25*short_st_duration_hrs/24)*(h2_short_st_invest*(1/gh2_short_st_lifetime+$M125+h2_short_st_opex)+h2_short_st_e_demand*1000*$AU125/100)/1000000+Carriers!$AB$20/Carriers!$AB$23*((FB125+lng_st_ab_losses)/365.25*short_st_duration_hrs/24)*(co2_short_st_invest*(1/co2_short_st_lifetime+$M125+co2_short_st_opex)+co2_short_st_e_demand*1000*$AU125/100)/1000000</f>
        <v>6240.3112431679838</v>
      </c>
      <c r="FA125" s="63">
        <f>lng_st_nl_cost*lng_st_nl_demand/1000000+(lng_st_invest*(M125+1/lng_st_lifetime+lng_st_opex)/(Storage!$U$63/1000000)+lng_st_e_demand*1000*$AU125/100)*(FB125+lng_st_ab_losses)/1000000+Carriers!$AB$18/Carriers!$AB$23*((FB125+lng_st_ab_losses)/365.25*short_st_duration_hrs/24)*(h2_short_st_invest*(1/gh2_short_st_lifetime+$M125+h2_short_st_opex)+h2_short_st_e_demand*1000*$AU125/100)/1000000+Carriers!$AB$20/Carriers!$AB$23*((FB125+lng_st_ab_losses)/365.25*short_st_duration_hrs/24)*(co2_short_st_invest*(1/co2_short_st_lifetime+$M125+co2_short_st_opex)+co2_short_st_e_demand*1000*$AU125/100)/1000000</f>
        <v>4682.123823084783</v>
      </c>
      <c r="FB125" s="63">
        <f>Storage!$U$57/((1-Shipping!$V$37)^($F125/24/Shipping!$V$44+0.5*Shipping!$V$59))</f>
        <v>41626826.311280966</v>
      </c>
      <c r="FC125" s="28">
        <f>IF($E125="","No Port",IF(G125="Panama","Ship cannot pass through Panama",((F125/24/Shipping!$V$44+F125/24/Shipping!$V$50+Shipping!$V$59+Shipping!$V$64)*(Shipping!$V$22+wacc_nl*Shipping!$V$19/365.25*1000000+Shipping!$V$35)+(F125/24/Shipping!$V$44*Shipping!$V$45+Shipping!$V$64*Shipping!$V$65)*IF(bunker_choice="HFO",$H125,IF(bunker_choice="hydrogen",$BD125*hfo_e_density_lhv/h2_e_density_lhv,(EX125+EZ125)*1000000/FB125*hfo_e_density_lhv/lng_e_density_lhv))+(F125/24/Shipping!$V$50*Shipping!$V$51+Shipping!$V$59*Shipping!$V$60)*IF(bunker_choice="HFO",bunker_price_ROT,IF(bunker_choice="hydrogen",$BD125*hfo_e_density_lhv/h2_e_density_lhv,(EX125+EZ125)*1000000/FB125*hfo_e_density_lhv/lng_e_density_lhv))+Shipping!$V$73+IF(G125="Panama",Shipping!$V$55,0)+IF(G125="Suez",Shipping!$V$56,0))/Shipping!$V$31*(FB125+lng_st_ab_losses)/1000000)+IF(inland_transport_to_port="hv dc grid",$BM125/100*1000*FE125,IF(inland_transport_to_port="pipeline",$BN125,0)))</f>
        <v>3929.6612101418814</v>
      </c>
      <c r="FD125" s="28">
        <f t="shared" si="136"/>
        <v>82245.61746349516</v>
      </c>
      <c r="FE125" s="29">
        <f>((Carriers!$AB$18/Carriers!$AB$23*alk_el_e_demand)+sng_e_demand+lng_e_demand)*(FB125+lng_st_ab_losses)/1000000+lng_st_e_demand*EZ125/1000000</f>
        <v>1116.3867273245546</v>
      </c>
      <c r="FF125" s="29">
        <f t="shared" si="164"/>
        <v>0.8126185861001558</v>
      </c>
      <c r="FG125" s="28">
        <f>IFERROR(FD125*1000000/Storage!$U$12,"")</f>
        <v>2026.5464252973229</v>
      </c>
      <c r="FH125" s="28">
        <f>IF($E125="","No Port",((F125/24/Shipping!$V$44+F125/24/Shipping!$V$50+Shipping!$V$59+Shipping!$V$64)*Carriers!$AB$39*wacc_nl))</f>
        <v>41.519919646473248</v>
      </c>
      <c r="FI125" s="100">
        <f>H2_retrieval!$T$25*h2_demand_kt/1000+(co2_liq_e_demand+co2_st_e_demand*2)*Storage!$U$12*co2_density/lng_density/1000000</f>
        <v>236.51371749646054</v>
      </c>
      <c r="FJ125" s="28">
        <f>IFERROR((((EX125+EZ125+FC125)*(1+H2_retrieval!$T$34)+FH125)*1000000/H2_retrieval!$T$8)+h2_regen_lng,"")</f>
        <v>6479.3347807571245</v>
      </c>
      <c r="FK125" s="149">
        <f>(lh2_invest*(M125+1/lh2_lifetime)/lh2_prod+lh2_opex+lh2_e_demand*1000*$AU125/100+Carriers!$AD$18/Carriers!$AD$23*BD125)*(FM125+lh2_st_ab_losses)/1000000</f>
        <v>49177.471213240329</v>
      </c>
      <c r="FL125" s="28">
        <f>lh2_st_nl_cost*lh2_st_nl_demand/1000000+(lh2_st_invest*(M125+1/lh2_st_lifetime+lh2_st_opex)/(Storage!$Y$63/1000000)+lh2_st_e_demand*1000*$AU125/100)*(FM125+lh2_st_ab_losses)/1000000+((FM125+lh2_st_ab_losses)/365.25*short_st_duration_hrs/24)*(h2_short_st_invest*(1/gh2_short_st_lifetime+$M125+h2_short_st_opex)+h2_short_st_e_demand*1000*$AU125/100)/1000000</f>
        <v>54665.783787697583</v>
      </c>
      <c r="FM125" s="63">
        <f>Storage!$Y$57/((1-Shipping!$Z$37)^($F125/24/Shipping!$Z$44+0.5*Shipping!$Z$59))</f>
        <v>14157246.624211565</v>
      </c>
      <c r="FN125" s="28">
        <f>IF($E125="","No Port",IF(G125="Panama","Ship cannot pass through Panama",((F125/24/Shipping!$Z$44+F125/24/Shipping!$Z$50+Shipping!$Z$59+Shipping!$Z$64)*(Shipping!$Z$22+wacc_nl*Shipping!$Z$19/365.25*1000000+Shipping!$Z$35)+(F125/24/Shipping!$Z$44*Shipping!$Z$45+Shipping!$Z$64*Shipping!$Z$65)*IF(bunker_choice="HFO",$H125,IF(bunker_choice="hydrogen",$BD125*hfo_e_density_lhv/h2_e_density_lhv,(FK125+FL125)*1000000/FM125*hfo_e_density_lhv/lh2_e_density_lhv))+(F125/24/Shipping!$Z$50*Shipping!$Z$51+Shipping!$Z$59*Shipping!$Z$60)*IF(bunker_choice="HFO",bunker_price_ROT,IF(bunker_choice="hydrogen",$BD125*hfo_e_density_lhv/h2_e_density_lhv,(FK125+FL125)*1000000/FM125*hfo_e_density_lhv/lh2_e_density_lhv))+Shipping!$Z$73+IF(G125="Panama",Shipping!$Z$55,0)+IF(G125="Suez",Shipping!$Z$56,0))/Shipping!$Z$31*(FM125+lh2_st_ab_losses)/1000000)+IF(inland_transport_to_port="hv dc grid",$BM125/100*1000*FP125,IF(inland_transport_to_port="pipeline",$BN125,0)))</f>
        <v>5806.8792680112883</v>
      </c>
      <c r="FO125" s="28">
        <f t="shared" si="128"/>
        <v>109650.13426894919</v>
      </c>
      <c r="FP125" s="29">
        <f>((Carriers!$AD$18/Carriers!$AD$23*alk_el_e_demand)+lh2_e_demand)*(FM125+lh2_st_ab_losses)/1000000+lh2_st_e_demand*FM125/1000000</f>
        <v>820.37891529312697</v>
      </c>
      <c r="FQ125" s="100">
        <f t="shared" si="165"/>
        <v>1.361902463475859</v>
      </c>
      <c r="FR125" s="28">
        <f>IFERROR(FO125*1000000/Storage!$Y$12,"")</f>
        <v>8062.5098727168524</v>
      </c>
      <c r="FS125" s="100">
        <f>H2_retrieval!$V$25*h2_demand_kt/1000</f>
        <v>8.16</v>
      </c>
      <c r="FT125" s="28">
        <f>IFERROR(FR125*(1+H2_retrieval!$V$34)/Carrier_properties!$U$7+H2_retrieval!$V$38,"")</f>
        <v>8094.4785985853196</v>
      </c>
      <c r="FU125" s="12"/>
      <c r="FV125" s="24">
        <f t="shared" si="129"/>
        <v>2.1553144379412053</v>
      </c>
      <c r="FW125" s="24" t="str">
        <f t="shared" si="143"/>
        <v/>
      </c>
      <c r="FX125" s="24">
        <f t="shared" si="144"/>
        <v>6.6869317182699621</v>
      </c>
      <c r="FY125" s="24">
        <f t="shared" si="130"/>
        <v>2.1553144379412053</v>
      </c>
      <c r="FZ125" s="28">
        <f t="shared" si="145"/>
        <v>2549.6528662965229</v>
      </c>
      <c r="GA125" s="28">
        <f t="shared" si="137"/>
        <v>591.42267452207125</v>
      </c>
      <c r="GB125" s="28">
        <f t="shared" si="138"/>
        <v>384.34994063897659</v>
      </c>
      <c r="GC125" s="28">
        <f t="shared" si="139"/>
        <v>661.1450946405987</v>
      </c>
      <c r="GD125" s="28">
        <f t="shared" si="140"/>
        <v>964.38405742814462</v>
      </c>
      <c r="GE125" s="28">
        <f t="shared" si="141"/>
        <v>1682.9878045107582</v>
      </c>
      <c r="GF125" s="28">
        <f t="shared" si="142"/>
        <v>1768.9033480391358</v>
      </c>
      <c r="GG125" s="12"/>
      <c r="GH125" s="12"/>
      <c r="GI125" s="12"/>
      <c r="GJ125" s="12"/>
      <c r="GK125" s="12"/>
      <c r="GL125" s="12"/>
      <c r="GM125" s="12"/>
      <c r="GN125" s="12"/>
      <c r="GO125" s="12"/>
      <c r="GP125" s="12"/>
      <c r="GQ125" s="12"/>
      <c r="GR125" s="12"/>
      <c r="GS125" s="12"/>
      <c r="GT125" s="12"/>
      <c r="GU125" s="12"/>
      <c r="GV125" s="12"/>
      <c r="GW125" s="12"/>
      <c r="GX125" s="12"/>
      <c r="GY125" s="12"/>
      <c r="GZ125" s="12"/>
      <c r="HA125" s="12"/>
      <c r="HB125" s="12"/>
      <c r="HC125" s="12"/>
      <c r="HD125" s="12"/>
      <c r="HE125" s="12"/>
      <c r="HF125" s="12"/>
    </row>
    <row r="126" spans="1:214" x14ac:dyDescent="0.2">
      <c r="A126" s="154" t="s">
        <v>127</v>
      </c>
      <c r="B126" s="12">
        <v>1472</v>
      </c>
      <c r="C126" s="12">
        <v>1</v>
      </c>
      <c r="D126" s="12">
        <f t="shared" si="111"/>
        <v>0</v>
      </c>
      <c r="E126" s="12" t="s">
        <v>780</v>
      </c>
      <c r="F126" s="12">
        <v>1748</v>
      </c>
      <c r="G126" s="12"/>
      <c r="H126" s="16">
        <f t="shared" si="166"/>
        <v>382.75862068965517</v>
      </c>
      <c r="I126" s="16">
        <v>500210</v>
      </c>
      <c r="J126" s="16">
        <f t="shared" si="113"/>
        <v>399.02604948548651</v>
      </c>
      <c r="K126" s="16">
        <f t="shared" si="114"/>
        <v>478.83125938258377</v>
      </c>
      <c r="L126" s="103">
        <v>4.8000000000000001E-2</v>
      </c>
      <c r="M126" s="103">
        <f t="shared" si="167"/>
        <v>7.5375485369372414E-2</v>
      </c>
      <c r="N126" s="122">
        <f t="shared" si="116"/>
        <v>0.9</v>
      </c>
      <c r="O126" s="46">
        <f t="shared" si="168"/>
        <v>40</v>
      </c>
      <c r="P126" s="70">
        <f t="array" ref="P126">SUMPRODUCT(IF(Solar_data!A$4:A$777=A126,Solar_data!C$4:C$777),IF(Solar_data!A$4:A$777=A126,Solar_data!I$4:I$777))/SUMIF(Solar_data!A$4:A$777,A126,Solar_data!I$4:I$777)</f>
        <v>1826.4948406811025</v>
      </c>
      <c r="Q126" s="16">
        <f t="array" ref="Q126">MAX(IF(Solar_data!$A$777:'Solar_data'!$A$4=Country_details!$A126,Solar_data!$C$4:'Solar_data'!$C$777))</f>
        <v>2098.75</v>
      </c>
      <c r="R126" s="16">
        <f t="array" ref="R126">MIN(IF(Solar_data!$A$777:'Solar_data'!$A$4=Country_details!A126,Solar_data!$C$4:'Solar_data'!$C$777))</f>
        <v>1368.75</v>
      </c>
      <c r="S126" s="24">
        <f t="shared" si="149"/>
        <v>1.7265839080718117</v>
      </c>
      <c r="T126" s="24">
        <f t="shared" si="150"/>
        <v>1.502607075686089</v>
      </c>
      <c r="U126" s="24">
        <f t="shared" si="151"/>
        <v>2.3039975160520032</v>
      </c>
      <c r="V126" s="16">
        <f t="array" ref="V126">SUM(IF(Solar_data!$A$777:'Solar_data'!$A$4=Country_details!$A126,Solar_data!$I$4:'Solar_data'!$I$777))</f>
        <v>3716.659042474666</v>
      </c>
      <c r="W126" s="148"/>
      <c r="X126" s="16">
        <f>IFERROR(INDEX(Onshore_wind_data!$J$5:'Onshore_wind_data'!$J$221,MATCH(A126,Onshore_wind_data!$B$5:'Onshore_wind_data'!$B$221,0)),"")</f>
        <v>3096.086049636308</v>
      </c>
      <c r="Y126" s="16">
        <f>IFERROR(INDEX(Onshore_wind_data!$K$5:'Onshore_wind_data'!$K$221,MATCH(A126,Onshore_wind_data!$B$5:'Onshore_wind_data'!$B$221,0)),"")</f>
        <v>3285.5</v>
      </c>
      <c r="Z126" s="16">
        <f>IFERROR(INDEX(Onshore_wind_data!$L$5:'Onshore_wind_data'!$L$221,MATCH(A126,Onshore_wind_data!$B$5:'Onshore_wind_data'!$B$221,0)),"")</f>
        <v>2847.5</v>
      </c>
      <c r="AA126" s="24">
        <f t="shared" si="169"/>
        <v>3.4061554301802763</v>
      </c>
      <c r="AB126" s="24">
        <f t="shared" si="170"/>
        <v>3.2097855152257222</v>
      </c>
      <c r="AC126" s="24">
        <f t="shared" si="171"/>
        <v>3.7035119614658862</v>
      </c>
      <c r="AD126" s="16">
        <f>IFERROR(INDEX(Onshore_wind_data!$I$5:'Onshore_wind_data'!$I$221,MATCH(A126,Onshore_wind_data!$B$5:'Onshore_wind_data'!$B$221,0)),"")</f>
        <v>368.22711175000001</v>
      </c>
      <c r="AE126" s="148"/>
      <c r="AF126" s="16">
        <f>INDEX(Offshore_wind_data!$AA$7:$AA$192,MATCH(Country_details!A126,Offshore_wind_data!$A$7:$A$192,0))</f>
        <v>3616.8811301715441</v>
      </c>
      <c r="AG126" s="16">
        <f>INDEX(Offshore_wind_data!$Y$7:$Y$192,MATCH(Country_details!A126,Offshore_wind_data!$A$7:$A$192,0))</f>
        <v>4204.8</v>
      </c>
      <c r="AH126" s="16">
        <f>INDEX(Offshore_wind_data!$Z$7:$Z$192,MATCH(Country_details!A126,Offshore_wind_data!$A$7:$A$192,0))</f>
        <v>3153.6</v>
      </c>
      <c r="AI126" s="24">
        <f t="shared" si="152"/>
        <v>5.6271044635483625</v>
      </c>
      <c r="AJ126" s="24">
        <f t="shared" si="153"/>
        <v>4.8403177206316919</v>
      </c>
      <c r="AK126" s="24">
        <f t="shared" si="154"/>
        <v>6.4537569608422567</v>
      </c>
      <c r="AL126" s="16">
        <f>INDEX(Offshore_wind_data!$W$7:$W$191,MATCH(A126,Offshore_wind_data!$A$7:$A$191,0))</f>
        <v>1146.9853439999999</v>
      </c>
      <c r="AM126" s="148"/>
      <c r="AN126" s="12">
        <v>46.4</v>
      </c>
      <c r="AO126" s="12">
        <v>44.4</v>
      </c>
      <c r="AP126" s="34">
        <f>2.503*11.63</f>
        <v>29.109890000000004</v>
      </c>
      <c r="AQ126" s="15">
        <f t="shared" si="155"/>
        <v>50</v>
      </c>
      <c r="AR126" s="12">
        <f t="shared" si="131"/>
        <v>2220</v>
      </c>
      <c r="AS126" s="16">
        <f t="shared" si="121"/>
        <v>3011.8714982246656</v>
      </c>
      <c r="AT126" s="12"/>
      <c r="AU126" s="24">
        <f t="shared" si="147"/>
        <v>2.7829602429320257</v>
      </c>
      <c r="AV126" s="16">
        <f t="shared" si="148"/>
        <v>4922.5808903174102</v>
      </c>
      <c r="AW126" s="149">
        <f>HV_DC_Grid!$E$3/(1-AX126)*AU126/100*1000</f>
        <v>2905.2385390606782</v>
      </c>
      <c r="AX126" s="31">
        <f>(1-(1-HV_DC_Grid!$E$25)^(B126*C126*HV_DC_Grid!$E$8/1000))+(1-(1-HV_DC_Grid!$E$26)^(B126*D126*HV_DC_Grid!$E$8/1000))+HV_DC_Grid!$E$35*HV_DC_Grid!$E$28</f>
        <v>4.2088900613368327E-2</v>
      </c>
      <c r="AY126" s="28">
        <f>B126*nl_e_demand/IF(hv_dc_flh="electricity FLH",$AV126,hv_dc_custom)*1000*hv_dc_capacity_multiplier*hv_dc_length_multiplier*1000*(C126*hv_dc_overhead_invest*(hv_dc_overhead_opex+M126+1/hv_dc_lifetime)+D126*hv_dc_sea_invest*(hv_dc_sea_opex+M126+1/hv_dc_lifetime))/1000000+HV_DC_Grid!$E$10*1000*hv_dc_station_invest*hv_dc_station_number*(hv_dc_station_opex+M126+1/hv_dc_lifetime)/1000000</f>
        <v>1149.2472137435648</v>
      </c>
      <c r="AZ126" s="24">
        <f>(AW126+AY126)/(HV_DC_Grid!$E$3*1000)*100</f>
        <v>4.0544857528042435</v>
      </c>
      <c r="BA126" s="28">
        <f>MIN(((Carriers!$F$26+Carriers!$F$27)*(alk_el_opex+wacc_nl+1/alk_el_lifetime)+IF(hv_dc_flh="electricity FLH",$AV126,hv_dc_custom)*AZ126/100)/(IF(hv_dc_flh="electricity FLH",$AV126,hv_dc_custom)/alk_el_e_demand)*1000,((Carriers!$H$26+Carriers!$H$27)*(pem_el_opex+wacc_nl+1/pem_el_lifetime)+IF(hv_dc_flh="electricity FLH",$AV126,hv_dc_custom)*AZ126/100)/(IF(hv_dc_flh="electricity FLH",$AV126,hv_dc_custom)/pem_el_e_demand)*1000)</f>
        <v>2406.8357410826843</v>
      </c>
      <c r="BB126" s="12"/>
      <c r="BC126" s="12"/>
      <c r="BD126" s="149">
        <f>MIN(((Carriers!$F$26+Carriers!$F$27)*(alk_el_opex+M126+1/alk_el_lifetime)+$AV126*$AU126/100)/($AV126/alk_el_e_demand)*1000,((Carriers!$H$26+Carriers!$H$27)*(pem_el_opex+M126+1/pem_el_lifetime)+$AV126*$AU126/100)/($AV126/pem_el_e_demand)*1000)</f>
        <v>1936.2342490847179</v>
      </c>
      <c r="BE126" s="28">
        <f>Storage!$AC$50</f>
        <v>8.1664117557772418</v>
      </c>
      <c r="BF126" s="28">
        <f>((Pipeline!$D$22*Pipeline!$D$24*B126*(pipeline_opex+M126+1/pipeline_lifetime))*(Pipeline!$D$39/Pipeline!$D$3)+(Pipeline!$D$57*(pipeline_comp_opex+M126+1/pipeline_comp_lifetime)+Pipeline!$D$47*1000*Pipeline!$D$45*$AU126/100/1000000))*(Pipeline!$D$75/Pipeline!$D$45)</f>
        <v>2517.3848886983665</v>
      </c>
      <c r="BG126" s="28">
        <f>BD126+(BE126+BF126)/Storage!$AC$12*1000000</f>
        <v>2121.936550588699</v>
      </c>
      <c r="BH126" s="28"/>
      <c r="BI126" s="28"/>
      <c r="BJ126" s="28">
        <f>IF($E126="","No Port",BK126*HV_DC_Grid!$E$3*$AU126/100*1000)</f>
        <v>64.63449674878737</v>
      </c>
      <c r="BK126" s="31">
        <f>IFERROR((1-(1-HV_DC_Grid!$E$25)^(K126*HV_DC_Grid!$E$8/1000))+HV_DC_Grid!$E$35*HV_DC_Grid!$E$28,"")</f>
        <v>2.3225088074090058E-2</v>
      </c>
      <c r="BL126" s="28">
        <f>IFERROR(K126*nl_e_demand/IF(hv_dc_flh="electricity FLH",$AV126,hv_dc_custom)*1000*hv_dc_capacity_multiplier*hv_dc_length_multiplier*1000*(hv_dc_overhead_invest*(hv_dc_overhead_opex+M126+1/hv_dc_lifetime))/1000000+HV_DC_Grid!$E$10*1000*hv_dc_station_invest*hv_dc_station_number*(hv_dc_station_opex+M126+1/hv_dc_lifetime)/1000000,"")</f>
        <v>570.44578984307248</v>
      </c>
      <c r="BM126" s="29">
        <f>IFERROR((BJ126+BL126)/(HV_DC_Grid!$E$3*1000)*100,"")</f>
        <v>0.63508028659185978</v>
      </c>
      <c r="BN126" s="28">
        <f>IFERROR(((Pipeline!$D$22*Pipeline!$D$24*K126*(pipeline_opex+M126+1/pipeline_lifetime))*(Pipeline!$D$39/Pipeline!$D$3)+(Pipeline!$D$57*(pipeline_comp_opex+M126+1/pipeline_comp_lifetime)+Pipeline!$D$47*1000*Pipeline!$D$45*S126/100/1000000))*(Pipeline!$D$75/Pipeline!$D$45),"")</f>
        <v>848.52770671277244</v>
      </c>
      <c r="BO126" s="28"/>
      <c r="BP126" s="150">
        <f t="shared" si="172"/>
        <v>89.494024020812361</v>
      </c>
      <c r="BQ126" s="34">
        <f t="shared" si="173"/>
        <v>26.223376702382307</v>
      </c>
      <c r="BR126" s="151">
        <f>(nh3_invest*(M126+1/nh3_lifetime)/nh3_prod+nh3_opex+nh3_e_demand*1000*$AU126/100+Carriers!$N$18/Carriers!$N$23*BD126+Carriers!$N$19/Carriers!$N$23*BQ126)*(BT126+nh3_st_ab_losses)/1000000</f>
        <v>35654.488773308163</v>
      </c>
      <c r="BS126" s="63">
        <f>nh3_st_nl_cost*nh3_st_nl_demand/1000000+(nh3_st_invest*(M126+1/nh3_st_lifetime+nh3_st_opex)/(Storage!$G$63/1000000)+nh3_st_e_demand*1000*$AU126/100)*(BT126+nh3_st_ab_losses)/1000000+Carriers!$N$18/Carriers!$N$23*((BT126+nh3_st_ab_losses)/365.25*short_st_duration_hrs/24)*(h2_short_st_invest*(1/gh2_short_st_lifetime+$M126+h2_short_st_opex)+h2_short_st_e_demand*1000*$AU126/100)/1000000+Carriers!$N$19/Carriers!$N$23*((BT126+nh3_st_ab_losses)/365.25*short_st_duration_hrs/24)*(n2_short_st_invest*(1/n2_short_st_lifetime+$M126+n2_short_st_opex)+n2_short_st_e_demand*1000*$AU126/100)/1000000</f>
        <v>2817.0816983946097</v>
      </c>
      <c r="BT126" s="63">
        <f>Storage!$G$57/((1-Shipping!$H$37)^(F126/24/Shipping!$H$44+0.5*Shipping!$H$59))</f>
        <v>77710913.046486333</v>
      </c>
      <c r="BU126" s="63">
        <f>IF($E126="","No Port",((F126/24/Shipping!$H$44+F126/24/Shipping!$H$50+Shipping!$H$59+Shipping!$H$64)*(Shipping!$H$22+wacc_nl*Shipping!$H$19/365.25*1000000+Shipping!$H$35)+(F126/24/Shipping!$H$44*Shipping!$H$45+Shipping!$H$64*Shipping!$H$65)*IF(bunker_choice="HFO",H126,IF(bunker_choice="hydrogen",BD126*hfo_e_density_lhv/h2_e_density_lhv,(BR126+BS126)*1000000/BT126*hfo_e_density_lhv/nh3_e_density_lhv))+(F126/24/Shipping!$H$50*Shipping!$H$51+Shipping!$H$59*Shipping!$H$60)*IF(bunker_choice="HFO",bunker_price_ROT,IF(bunker_choice="hydrogen",BD126*hfo_e_density_lhv/h2_e_density_lhv,(BR126+BS126)*1000000/BT126*hfo_e_density_lhv/nh3_e_density_lhv))+Shipping!$H$73+IF(G126="Panama",Shipping!$H$55,0)+IF(G126="Suez",Shipping!$H$56,0))/Shipping!$H$31*BT126/1000000+IF(inland_transport_to_port="hv dc grid",$BM126/100*1000*BW126,IF(inland_transport_to_port="pipeline",$BN126,0)))</f>
        <v>2129.5551819618163</v>
      </c>
      <c r="BV126" s="63">
        <f t="shared" si="174"/>
        <v>40601.125653664589</v>
      </c>
      <c r="BW126" s="33">
        <f>((Carriers!$N$18/Carriers!$N$23*alk_el_e_demand)+(Carriers!$N$19/Carriers!$N$23*n2_e_demand)+nh3_e_demand)*(BT126+nh3_st_ab_losses)/1000000+nh3_st_e_demand*BT126/1000000</f>
        <v>767.42544515221277</v>
      </c>
      <c r="BX126" s="33">
        <f t="shared" si="156"/>
        <v>0.76626754477640768</v>
      </c>
      <c r="BY126" s="63">
        <f>IFERROR(BV126*1000000/Storage!$G$12,"")</f>
        <v>530.29721006624607</v>
      </c>
      <c r="BZ126" s="63">
        <f>H2_retrieval!$F$25*h2_demand_kt/1000</f>
        <v>80</v>
      </c>
      <c r="CA126" s="63">
        <f>IFERROR(BY126*(1+H2_retrieval!$F$34)/Carrier_properties!$E$7+H2_retrieval!$F$38,"")</f>
        <v>3394.6028659426024</v>
      </c>
      <c r="CB126" s="149">
        <f>(FA_invest*(M126+1/FA_lifetime)/FA_prod+FA_opex+FA_e_demand*1000*$AU126/100+Carriers!$P$18/Carriers!$P$23*BD126+Carriers!$P$20/Carriers!$P$23*co2_liq_cost)*(CF126+FA_st_ab_losses)/1000000</f>
        <v>82442.941340727339</v>
      </c>
      <c r="CC126" s="86">
        <f>(FA_invest*(M126+1/FA_lifetime)/FA_prod+FA_opex+FA_e_demand*1000*$AU126/100+Carriers!$P$18/Carriers!$P$23*BD126+Carriers!$P$20/Carriers!$P$23*BP126)*(CF126+FA_st_ab_losses)/1000000</f>
        <v>103634.96576231238</v>
      </c>
      <c r="CD126" s="63">
        <f>FA_st_nl_cost*FA_st_nl_demand/1000000+(FA_st_invest*(M126+1/FA_st_lifetime+FA_st_opex)/(Storage!$I$63/1000000)+FA_st_e_demand*1000*$AU126/100)*(CF126+FA_st_ab_losses)/1000000+co2_st_nl_cost*Storage!$I$12*co2_density/FA_density/1000000+(co2_st_opex_lev+co2_st_invest_lev+co2_st_e_demand*1000*$AU126/100)*Storage!$I$12/1000000+co2_st_invest_lev*Storage!$I$12*co2_st_lifetime*M126/1000000+Carriers!$P$18/Carriers!$P$23*((CF126+FA_st_ab_losses)/365.25*short_st_duration_hrs/24)*(h2_short_st_invest*(1/gh2_short_st_lifetime+$M126+h2_short_st_opex)+h2_short_st_e_demand*1000*$AU126/100)/1000000+Carriers!$P$20/Carriers!$P$23*((CF126+FA_st_ab_losses)/365.25*short_st_duration_hrs/24)*(co2_short_st_invest*(1/co2_short_st_lifetime+$M126+co2_short_st_opex)+co2_short_st_e_demand*1000*$AU126/100)/1000000</f>
        <v>10212.756585898909</v>
      </c>
      <c r="CE126" s="63">
        <f>FA_st_nl_cost*FA_st_nl_demand/1000000+(FA_st_invest*(M126+1/FA_st_lifetime+FA_st_opex)/(Storage!$I$63/1000000)+FA_st_e_demand*1000*$AU126/100)*(CF126+FA_st_ab_losses)/1000000+Carriers!$P$18/Carriers!$P$23*((CF126+FA_st_ab_losses)/365.25*short_st_duration_hrs/24)*(h2_short_st_invest*(1/gh2_short_st_lifetime+$M126+h2_short_st_opex)+h2_short_st_e_demand*1000*$AU126/100)/1000000+Carriers!$P$20/Carriers!$P$23*((CF126+FA_st_ab_losses)/365.25*short_st_duration_hrs/24)*(co2_short_st_invest*(1/co2_short_st_lifetime+$M126+co2_short_st_opex)+co2_short_st_e_demand*1000*$AU126/100)/1000000</f>
        <v>4217.7984639930164</v>
      </c>
      <c r="CF126" s="63">
        <f>Storage!$I$57/((1-Shipping!$J$37)^($F126/24/Shipping!$J$44+0.5*Shipping!$J$59))</f>
        <v>310425396.82539684</v>
      </c>
      <c r="CG126" s="28">
        <f>IF($E126="","No Port",((F126/24/Shipping!$J$44+F126/24/Shipping!$J$50+Shipping!$J$59+Shipping!$J$64)*(Shipping!$J$22+wacc_nl*Shipping!$J$19/365.25*1000000+Shipping!$J$35)+(F126/24/Shipping!$J$44*Shipping!$J$45+Shipping!$J$64*Shipping!$J$65)*IF(bunker_choice="HFO",$H126,IF(bunker_choice="hydrogen",$BD126*hfo_e_density_lhv/h2_e_density_lhv,(CB126+CD126)*1000000/CF126*hfo_e_density_lhv/FA_e_density_lhv))+(F126/24/Shipping!$J$50*Shipping!$J$51+Shipping!$J$59*Shipping!$J$60)*IF(bunker_choice="HFO",bunker_price_ROT,IF(bunker_choice="hydrogen",$BD126*hfo_e_density_lhv/h2_e_density_lhv,(CB126+CD126)*1000000/CF126*hfo_e_density_lhv/FA_e_density_lhv))+Shipping!$J$73+IF(G126="Panama",Shipping!$J$55,0)+IF(G126="Suez",Shipping!$J$56,0))/Shipping!$J$31*CF126/1000000+IF(inland_transport_to_port="hv dc grid",$BM126/100*1000*CI126,IF(inland_transport_to_port="pipeline",$BN126,0)))</f>
        <v>6103.0472590852341</v>
      </c>
      <c r="CH126" s="28">
        <f t="shared" si="132"/>
        <v>113955.81148539063</v>
      </c>
      <c r="CI126" s="29">
        <f>((Carriers!$P$18/Carriers!$P$23*alk_el_e_demand)+FA_e_demand)*(CF126+FA_st_ab_losses)/1000000+FA_st_e_demand*CF126/1000000</f>
        <v>1897.8881241622576</v>
      </c>
      <c r="CJ126" s="29">
        <f t="shared" si="157"/>
        <v>0.46563809523809524</v>
      </c>
      <c r="CK126" s="28">
        <f>IFERROR(CH126*1000000/Storage!$I$12,"")</f>
        <v>367.09564568741354</v>
      </c>
      <c r="CL126" s="28">
        <f>IF($E126="","No Port",((F126/24/Shipping!$J$44+F126/24/Shipping!$J$50+Shipping!$J$59+Shipping!$J$64)*Carriers!$P$39*wacc_nl))</f>
        <v>117.19964530554954</v>
      </c>
      <c r="CM126" s="29">
        <f>H2_retrieval!$H$25*h2_demand_kt/1000+(co2_liq_e_demand+co2_st_e_demand*2)*Storage!$I$12*co2_density/FA_density/1000000</f>
        <v>94.204253879484654</v>
      </c>
      <c r="CN126" s="28">
        <f>IFERROR((((CB126+CD126+CG126)*(1+H2_retrieval!$H$34)+CL126)*1000000/H2_retrieval!$H$8)+h2_regen_fa,"")</f>
        <v>7359.9774288711487</v>
      </c>
      <c r="CO126" s="149">
        <f>(meoh_invest*(M126+1/meoh_lifetime)/meoh_prod+meoh_opex+meoh_e_demand*1000*$AU126/100+Carriers!$R$18/Carriers!$R$23*BD126+Carriers!$R$20/Carriers!$R$23*co2_liq_cost)*(CS126+meoh_st_ab_losses)/1000000</f>
        <v>43377.799761734575</v>
      </c>
      <c r="CP126" s="86">
        <f>(meoh_invest*(M126+1/meoh_lifetime)/meoh_prod+meoh_opex+meoh_e_demand*1000*$AU126/100+Carriers!$R$18/Carriers!$R$23*BD126+Carriers!$R$20/Carriers!$R$23*BP126)*(CS126+meoh_st_ab_losses)/1000000</f>
        <v>55818.172333916562</v>
      </c>
      <c r="CQ126" s="63">
        <f>meoh_st_nl_cost*meoh_st_nl_demand/1000000+(meoh_st_invest*(M126+1/meoh_st_lifetime+meoh_st_opex)/(Storage!$K$63/1000000)+meoh_st_e_demand*1000*$AU126/100)*(CS126+meoh_st_ab_losses)/1000000+co2_st_nl_cost*Storage!$K$12*co2_density/meoh_density/1000000+(co2_st_opex_lev+co2_st_invest_lev+co2_st_e_demand*1000*IFERROR(MIN(S126,AA126,AI126),S126)/100)*Storage!$K$12/1000000+co2_st_invest_lev*Storage!$K$12*co2_st_lifetime*M126/1000000+Carriers!$R$18/Carriers!$R$23*((CS126+meoh_st_ab_losses)/365.25*short_st_duration_hrs/24)*(h2_short_st_invest*(1/gh2_short_st_lifetime+$M126+h2_short_st_opex)+h2_short_st_e_demand*1000*$AU126/100)/1000000+Carriers!$R$20/Carriers!$R$23*((CF126+meoh_st_ab_losses)/365.25*short_st_duration_hrs/24)*(co2_short_st_invest*(1/co2_short_st_lifetime+$M126+co2_short_st_opex)+co2_short_st_e_demand*1000*$AU126/100)/1000000</f>
        <v>4177.2071665661588</v>
      </c>
      <c r="CR126" s="63">
        <f>meoh_st_nl_cost*meoh_st_nl_demand/1000000+(meoh_st_invest*(M126+1/meoh_st_lifetime+meoh_st_opex)/(Storage!$K$63/1000000)+meoh_st_e_demand*1000*$AU126/100)*(CS126+meoh_st_ab_losses)/1000000+Carriers!$R$18/Carriers!$R$23*((CS126+meoh_st_ab_losses)/365.25*short_st_duration_hrs/24)*(h2_short_st_invest*(1/gh2_short_st_lifetime+$M126+h2_short_st_opex)+h2_short_st_e_demand*1000*$AU126/100)/1000000+Carriers!$R$20/Carriers!$R$23*((CF126+meoh_st_ab_losses)/365.25*short_st_duration_hrs/24)*(co2_short_st_invest*(1/co2_short_st_lifetime+$M126+co2_short_st_opex)+co2_short_st_e_demand*1000*$AU126/100)/1000000</f>
        <v>1605.783055718472</v>
      </c>
      <c r="CS126" s="63">
        <f>Storage!$K$57/((1-Shipping!$L$37)^($F126/24/Shipping!$L$44+0.5*Shipping!$L$59))</f>
        <v>108044444.44444443</v>
      </c>
      <c r="CT126" s="28">
        <f>IF($E126="","No Port",IF(AND(ship_choice="VLCC",G126="Panama"),"Ship cannot pass through Panama",IF(ship_choice="VLCC",((F126/24/Shipping!$AD$44+F126/24/Shipping!$AD$50+Shipping!$AD$59+Shipping!$AD$64)*(Shipping!$AD$22+wacc_nl*Shipping!$AD$19/365.25*1000000+Shipping!$AD$35)+(F126/24/Shipping!$AD$44*Shipping!$AD$45+Shipping!$AD$64*Shipping!$AD$65)*IF(bunker_choice="HFO",$H126,IF(bunker_choice="hydrogen",$BD126*hfo_e_density_lhv/h2_e_density_lhv,(CO126+CQ126)*1000000/CS126*hfo_e_density_lhv/meoh_e_density_lhv))+(F126/24/Shipping!$AD$50*Shipping!$AD$51+Shipping!$AD$59*Shipping!$AD$60)*IF(bunker_choice="HFO",bunker_price_ROT,IF(bunker_choice="hydrogen",$BD126*hfo_e_density_lhv/h2_e_density_lhv,(CO126+CQ126)*1000000/CS126*hfo_e_density_lhv/meoh_e_density_lhv))+Shipping!$AD$73+IF(G126="Panama",Shipping!$AD$55,0)+IF(G126="Suez",Shipping!$AD$56,0))/Shipping!$AD$31*CS126/1000000+IF(inland_transport_to_port="hv dc grid",$BM126/100*1000*CV126,IF(inland_transport_to_port="pipeline",$BN126,0)),((F126/24/Shipping!$L$44+F126/24/Shipping!$L$50+Shipping!$L$59+Shipping!$L$64)*(Shipping!$L$22+wacc_nl*Shipping!$L$19/365.25*1000000+Shipping!$L$35)+(F126/24/Shipping!$L$44*Shipping!$L$45+Shipping!$L$64*Shipping!$L$65)*IF(bunker_choice="HFO",$H126,IF(bunker_choice="hydrogen",$BD126*hfo_e_density_lhv/h2_e_density_lhv,(CO126+CQ126)*1000000/CS126*hfo_e_density_lhv/meoh_e_density_lhv))+(F126/24/Shipping!$L$50*Shipping!$L$51+Shipping!$L$59*Shipping!$L$60)*IF(bunker_choice="HFO",bunker_price_ROT,IF(bunker_choice="hydrogen",$BD126*hfo_e_density_lhv/h2_e_density_lhv,(CO126+CQ126)*1000000/CS126*hfo_e_density_lhv/meoh_e_density_lhv))+Shipping!$L$73+IF(G126="Panama",Shipping!$L$55,0)+IF(G126="Suez",Shipping!$L$56,0))/Shipping!$L$31*CS126/1000000+IF(inland_transport_to_port="hv dc grid",$BM126/100*1000*CV126,IF(inland_transport_to_port="pipeline",$BN126,0)))))</f>
        <v>2559.6755281589476</v>
      </c>
      <c r="CU126" s="28">
        <f t="shared" si="133"/>
        <v>59983.630917793984</v>
      </c>
      <c r="CV126" s="29">
        <f>((Carriers!$R$18/Carriers!$R$23*alk_el_e_demand)+meoh_e_demand)*(CS126+meoh_st_ab_losses)/1000000+meoh_st_e_demand*CS126/1000000</f>
        <v>1119.9789871111109</v>
      </c>
      <c r="CW126" s="29">
        <f t="shared" si="158"/>
        <v>0.16206666666666666</v>
      </c>
      <c r="CX126" s="28">
        <f>IFERROR(CU126*1000000/Storage!$K$12,"")</f>
        <v>555.17552268628742</v>
      </c>
      <c r="CY126" s="28">
        <f>IF($E126="","No Port",((F126/24/Shipping!$L$44+F126/24/Shipping!$L$50+Shipping!$L$59+Shipping!$L$64)*Carriers!$R$39*wacc_nl))</f>
        <v>41.661102501416657</v>
      </c>
      <c r="CZ126" s="29">
        <f>H2_retrieval!$J$25*h2_demand_kt/1000+(co2_liq_e_demand+co2_st_e_demand*2)*Storage!$K$12*co2_density/meoh_density/1000000</f>
        <v>251.05079059698966</v>
      </c>
      <c r="DA126" s="28">
        <f>IFERROR((((CO126+CQ126+CT126)*(1+H2_retrieval!$J$34)+CY126)*1000000/H2_retrieval!$J$8)+h2_regen_meoh,"")</f>
        <v>4858.0949813550196</v>
      </c>
      <c r="DB126" s="149">
        <f>(DBT_invest*(M126+1/DBT_lifetime)/DBT_prod+DBT_opex+DBT_e_demand*1000*$AU126/100+Carriers!$T$18/Carriers!$T$23*BD126)*(DD126+DBT_st_ab_losses)/1000000</f>
        <v>29056.810926560491</v>
      </c>
      <c r="DC126" s="28">
        <f>2*(DBT_st_nl_cost*DBT_st_nl_demand/1000000+(DBT_st_invest*(M126+1/DBT_st_lifetime+DBT_st_opex)/(Storage!$M$63/1000000)+DBT_st_e_demand*1000*$AU126/100)*(DD126+DBT_st_ab_losses)/1000000)+Carriers!$T$18/Carriers!$T$23*((DD126+DBT_st_ab_losses)/365.25*short_st_duration_hrs/24)*(h2_short_st_invest*(1/gh2_short_st_lifetime+$M126+h2_short_st_opex)+h2_short_st_e_demand*1000*$AU126/100)/1000000</f>
        <v>3435.6392966436715</v>
      </c>
      <c r="DD126" s="63">
        <f>Storage!$M$57/((1-Shipping!$N$37)^($F126/24/Shipping!$N$44+0.5*Shipping!$N$59))</f>
        <v>219354838.70967743</v>
      </c>
      <c r="DE126" s="28">
        <f>IF($E126="","No Port",IF(AND(ship_choice="VLCC",G126="Panama"),"Ship cannot pass through Panama",IF(ship_choice="VLCC",((F126/24/Shipping!$AD$44+F126/24/Shipping!$AD$50+Shipping!$AD$59+Shipping!$AD$64)*(Shipping!$AD$22+wacc_nl*Shipping!$AD$19/365.25*1000000+Shipping!$AD$35)+(F126/24/Shipping!$AD$44*Shipping!$AD$45+Shipping!$AD$64*Shipping!$AD$65)*IF(bunker_choice="HFO",$H126,IF(bunker_choice="hydrogen",$BD126*hfo_e_density_lhv/h2_e_density_lhv,(DB126+DC126)*1000000/DD126*hfo_e_density_lhv/DBT_e_density_lhv))+(F126/24/Shipping!$AD$50*Shipping!$AD$51+Shipping!$AD$59*Shipping!$AD$60)*IF(bunker_choice="HFO",bunker_price_ROT,IF(bunker_choice="hydrogen",$BD126*hfo_e_density_lhv/h2_e_density_lhv,(DB126+DC126)*1000000/DD126*hfo_e_density_lhv/DBT_e_density_lhv))+Shipping!$AD$73+IF(G126="Panama",Shipping!$AD$55,0)+IF(G126="Suez",Shipping!$AD$56,0))/Shipping!$AD$31*DD126/1000000+IF(inland_transport_to_port="hv dc grid",$BM126/100*1000*DG126,IF(inland_transport_to_port="pipeline",$BN126,0)),((F126/24/Shipping!$N$44+F126/24/Shipping!$N$50+Shipping!$N$59+Shipping!$N$64)*(Shipping!$N$22+wacc_nl*Shipping!$N$19/365.25*1000000+Shipping!$N$35)+(F126/24/Shipping!$N$44*Shipping!$N$45+Shipping!$N$64*Shipping!$N$65)*IF(bunker_choice="HFO",$H126,IF(bunker_choice="hydrogen",$BD126*hfo_e_density_lhv/h2_e_density_lhv,(DB126+DC126)*1000000/DD126*hfo_e_density_lhv/DBT_e_density_lhv))+(F126/24/Shipping!$N$50*Shipping!$N$51+Shipping!$N$59*Shipping!$N$60)*IF(bunker_choice="HFO",bunker_price_ROT,IF(bunker_choice="hydrogen",$BD126*hfo_e_density_lhv/h2_e_density_lhv,(DB126+DC126)*1000000/DD126*hfo_e_density_lhv/DBT_e_density_lhv))+Shipping!$N$73+IF(G126="Panama",Shipping!$N$55,0)+IF(G126="Suez",Shipping!$N$56,0))/Shipping!$N$31*Shipping!$N$86/1000000+IF(inland_transport_to_port="hv dc grid",$BM126/100*1000*DG126,IF(inland_transport_to_port="pipeline",$BN126,0)))))</f>
        <v>4031.0606422893634</v>
      </c>
      <c r="DF126" s="28">
        <f t="shared" si="159"/>
        <v>36523.510865493525</v>
      </c>
      <c r="DG126" s="29">
        <f>((Carriers!$T$18/Carriers!$T$23*alk_el_e_demand)+DBT_e_demand)*(DD126+DBT_st_ab_losses)/1000000+DBT_st_e_demand*DD126/1000000</f>
        <v>703.88335483870969</v>
      </c>
      <c r="DH126" s="29">
        <f t="shared" si="160"/>
        <v>0.21935483870967742</v>
      </c>
      <c r="DI126" s="28">
        <f>IFERROR(DF126*1000000/Storage!$M$12,"")</f>
        <v>166.50424071033811</v>
      </c>
      <c r="DJ126" s="28">
        <f>IF($E126="","No Port",((F126/24/Shipping!$N$44+F126/24/Shipping!$N$50+Shipping!$N$59+Shipping!$N$64)*Carriers!$T$39*wacc_nl))</f>
        <v>3034.3149777625822</v>
      </c>
      <c r="DK126" s="100">
        <f>H2_retrieval!$L$25*h2_demand_kt/1000+(co2_liq_e_demand+co2_st_e_demand*2)*Storage!$M$12*co2_density/DBT_density/1000000</f>
        <v>206.61934861671787</v>
      </c>
      <c r="DL126" s="28">
        <f>IFERROR(((DF126*(1+H2_retrieval!$L$34)+DJ126)*1000000/H2_retrieval!$L$8)+h2_regen_lohc,"")</f>
        <v>3379.3134455840964</v>
      </c>
      <c r="DM126" s="149">
        <f t="shared" si="175"/>
        <v>48469.263768767167</v>
      </c>
      <c r="DN126" s="16">
        <f>2*(nabh4_st_nl_cost*nabh4_st_nl_demand/1000000+(nabh4_st_invest*(M126+1/nabh4_st_lifetime+nabh4_st_opex)/(Storage!$O$63/1000000)+nabh4_st_e_demand*1000*$AU126/100)*(DO126+nabh4_st_ab_losses)/1000000)+(h2_demand_kt*1000/365.25*short_st_duration_hrs/24)*(h2_short_st_invest*(1/gh2_short_st_lifetime+$M126+h2_short_st_opex)+h2_short_st_e_demand*1000*$AU126/100)/1000000</f>
        <v>1209.3911815352253</v>
      </c>
      <c r="DO126" s="63">
        <f>Storage!$O$57/((1-Shipping!$P$37)^($F126/24/Shipping!$P$44+0.5*Shipping!$P$59))</f>
        <v>63920000</v>
      </c>
      <c r="DP126" s="16">
        <f>IF($E126="","No Port",((F126/24/Shipping!$P$44+F126/24/Shipping!$P$50+Shipping!$P$59+Shipping!$P$64)*(Shipping!$P$22+wacc_nl*Shipping!$P$19/365.25*1000000+Shipping!$P$35)+(F126/24/Shipping!$P$44*Shipping!$P$45+Shipping!$P$64*Shipping!$P$65)*IF(bunker_choice="HFO",$H126,IF(bunker_choice="hydrogen",$BD126*hfo_e_density_lhv/h2_e_density_lhv,(DM126+DN126)*1000000/DO126*hfo_e_density_lhv/nabh4_e_density_lhv))+(F126/24/Shipping!$P$50*Shipping!$P$51+Shipping!$P$59*Shipping!$P$60)*IF(bunker_choice="HFO",bunker_price_ROT,IF(bunker_choice="hydrogen",$BD126*hfo_e_density_lhv/h2_e_density_lhv,(DM126+DN126)*1000000/DO126*hfo_e_density_lhv/nabh4_e_density_lhv))+Shipping!$P$73+IF(G126="Panama",Shipping!$P$55,0)+IF(G126="Suez",Shipping!$P$56,0))/Shipping!$P$31*(DO126+nabh4_st_ab_losses)/1000000+IF(inland_transport_to_port="hv dc grid",$BM126/100*1000*DR126,IF(inland_transport_to_port="pipeline",$BN126,0)))</f>
        <v>1632.6249051562768</v>
      </c>
      <c r="DQ126" s="28">
        <f t="shared" si="146"/>
        <v>51311.27985545867</v>
      </c>
      <c r="DR126" s="29">
        <f>((Carriers!$V$18/Carriers!$V$23*alk_el_e_demand)+nabh4_e_demand)*(DO126+nabh4_st_ab_losses)/1000000+nabh4_st_e_demand*DO126/1000000</f>
        <v>980.02139682539689</v>
      </c>
      <c r="DS126" s="28">
        <f t="shared" si="161"/>
        <v>3.1960000000000002</v>
      </c>
      <c r="DT126" s="28">
        <f>IFERROR(DQ126*1000000/Storage!$O$12,"")</f>
        <v>802.74217546086788</v>
      </c>
      <c r="DU126" s="28">
        <f>IF($E126="","No Port",((F126/24/Shipping!$P$44+F126/24/Shipping!$P$50+Shipping!$P$59+Shipping!$P$64)*Carriers!$V$39*wacc_nl))</f>
        <v>294.0442819884355</v>
      </c>
      <c r="DV126" s="100">
        <f>H2_retrieval!$N$25*h2_demand_kt/1000+(co2_liq_e_demand+co2_st_e_demand*2)*Storage!$O$12*co2_density/nabh4_density/1000000</f>
        <v>18.783638728971958</v>
      </c>
      <c r="DW126" s="28">
        <f>IFERROR(((DQ126*(1+H2_retrieval!$N$34)+DU126)*1000000/H2_retrieval!$N$8)+h2_regen_nabh4,"")</f>
        <v>3876.841102697424</v>
      </c>
      <c r="DX126" s="149">
        <f>(Dme_invest*(M126+1/Dme_lifetime)/Dme_prod+Dme_opex+Dme_e_demand*1000*$AU126/100+Carriers!$X$21/Carriers!$X$23*(CO126*1000000/CS126))*(EB126+Dme_st_ab_losses)/1000000</f>
        <v>61482.846608913096</v>
      </c>
      <c r="DY126" s="86">
        <f>(Dme_invest*(M126+1/Dme_lifetime)/Dme_prod+Dme_opex+Dme_e_demand*1000*$AU126/100+Carriers!$X$21/Carriers!$X$23*(CP126*1000000/CS126))*(EB126+Dme_st_ab_losses)/1000000</f>
        <v>78360.252373001582</v>
      </c>
      <c r="DZ126" s="63">
        <f>Dme_st_nl_cost*Dme_st_nl_demand/1000000+(Dme_st_invest*(M126+1/Dme_st_lifetime+Dme_st_opex)/(Storage!$Q$63/1000000)+Dme_st_e_demand*1000*$AU126/100)*(EB126+Dme_st_ab_losses)/1000000+co2_st_nl_cost*Storage!$Q$12*co2_density/Dme_density/1000000+(co2_st_opex_lev+co2_st_invest_lev+co2_st_e_demand*1000*$AU126/100)*Storage!$Q$12/1000000+co2_st_invest_lev*Storage!$Q$12*co2_st_lifetime*M126/1000000+(h2_demand_kt*1000/365.25*short_st_duration_hrs/24)*(h2_short_st_invest*(1/gh2_short_st_lifetime+$M126+h2_short_st_opex)+h2_short_st_e_demand*1000*$AU126/100)/1000000</f>
        <v>5195.0765134054172</v>
      </c>
      <c r="EA126" s="63">
        <f>Dme_st_nl_cost*Dme_st_nl_demand/1000000+(Dme_st_invest*(M126+1/Dme_st_lifetime+Dme_st_opex)/(Storage!$Q$63/1000000)+Dme_st_e_demand*1000*$AU126/100)*(EB126+Dme_st_ab_losses)/1000000+(h2_demand_kt*1000/365.25*short_st_duration_hrs/24)*(h2_short_st_invest*(1/gh2_short_st_lifetime+$M126+h2_short_st_opex)+h2_short_st_e_demand*1000*$AU126/100)/1000000</f>
        <v>2494.4026478701121</v>
      </c>
      <c r="EB126" s="63">
        <f>Storage!$Q$57/((1-Shipping!$R$37)^($F126/24/Shipping!$R$44+0.5*Shipping!$R$59))</f>
        <v>103547089.94708996</v>
      </c>
      <c r="EC126" s="153">
        <f>IF($E126="","No Port",IF(AND(ship_choice="VLCC",G126="Panama"),"Ship cannot pass through Panama",IF(ship_choice="VLCC",((F126/24/Shipping!$AD$44+F126/24/Shipping!$AD$50+Shipping!$AD$59+Shipping!$AD$64)*(Shipping!$AD$22+wacc_nl*Shipping!$AD$19/365.25*1000000+Shipping!$AD$35)+(F126/24/Shipping!$AD$44*Shipping!$AD$45+Shipping!$AD$64*Shipping!$AD$65)*IF(bunker_choice="HFO",$H126,IF(bunker_choice="hydrogen",$BD126*hfo_e_density_lhv/h2_e_density_lhv,(DX126+DZ126)*1000000/EB126*hfo_e_density_lhv/Dme_e_density_lhv))+(F126/24/Shipping!$AD$50*Shipping!$AD$51+Shipping!$AD$59*Shipping!$AD$60)*IF(bunker_choice="HFO",bunker_price_ROT,IF(bunker_choice="hydrogen",$BD126*hfo_e_density_lhv/h2_e_density_lhv,(DX126+DZ126)*1000000/EB126*hfo_e_density_lhv/Dme_e_density_lhv))+Shipping!$AD$73+IF(G126="Panama",Shipping!$AD$55,0)+IF(G126="Suez",Shipping!$AD$56,0))/Shipping!$AD$31*(EB126+Dme_st_ab_losses)/1000000+IF(inland_transport_to_port="hv dc grid",$BM126/100*1000*EE126,IF(inland_transport_to_port="pipeline",$BN126,0)),((F126/24/Shipping!$R$44+F126/24/Shipping!$R$50+Shipping!$R$59+Shipping!$R$64)*(Shipping!$R$22+wacc_nl*Shipping!$R$19/365.25*1000000+Shipping!$R$35)+(F126/24/Shipping!$R$44*Shipping!$R$45+Shipping!$R$64*Shipping!$R$65)*IF(bunker_choice="HFO",$H126,IF(bunker_choice="hydrogen",$BD126*hfo_e_density_lhv/h2_e_density_lhv,(DX126+DZ126)*1000000/EB126*hfo_e_density_lhv/Dme_e_density_lhv))+(F126/24/Shipping!$R$50*Shipping!$R$51+Shipping!$R$59*Shipping!$R$60)*IF(bunker_choice="HFO",bunker_price_ROT,IF(bunker_choice="hydrogen",$BD126*hfo_e_density_lhv/h2_e_density_lhv,(DX126+DZ126)*1000000/EB126*hfo_e_density_lhv/Dme_e_density_lhv))+Shipping!$R$73+IF(G126="Panama",Shipping!$R$55,0)+IF(G126="Suez",Shipping!$R$56,0))/Shipping!$R$31*(EB126+Dme_st_ab_losses)/1000000+IF(inland_transport_to_port="hv dc grid",$BM126/100*1000*EE126,IF(inland_transport_to_port="pipeline",$BN126,0)))))</f>
        <v>2661.4735657020874</v>
      </c>
      <c r="ED126" s="28">
        <f t="shared" si="134"/>
        <v>83516.128586573788</v>
      </c>
      <c r="EE126" s="29">
        <f>(Dme_e_demand)*(EB126+Dme_st_ab_losses)/1000000+Dme_st_e_demand*DZ126/1000000+$CV126*(Carriers!$X$21/Carriers!$X$23*EB126)/$CS126</f>
        <v>1550.2168121178211</v>
      </c>
      <c r="EF126" s="29">
        <f t="shared" si="162"/>
        <v>1.0354708994708997</v>
      </c>
      <c r="EG126" s="28">
        <f>IFERROR(ED126*1000000/Storage!$Q$12,"")</f>
        <v>806.55215544201678</v>
      </c>
      <c r="EH126" s="28">
        <f>IF($E126="","No Port",((F126/24/Shipping!$R$44+F126/24/Shipping!$R$50+Shipping!$R$59+Shipping!$R$64)*Carriers!$X$39*wacc_nl))</f>
        <v>42.422924567044625</v>
      </c>
      <c r="EI126" s="100">
        <f>H2_retrieval!$P$25*h2_demand_kt/1000+(co2_liq_e_demand+co2_st_e_demand*2)*Storage!$Q$12*co2_density/Dme_density/1000000</f>
        <v>252.45335899349112</v>
      </c>
      <c r="EJ126" s="28">
        <f>IFERROR((((DX126+DZ126+EC126)*(1+H2_retrieval!$P$34)+EH126)*1000000/H2_retrieval!$P$8)+h2_regen_dme,"")</f>
        <v>6271.7329264746204</v>
      </c>
      <c r="EK126" s="149">
        <f>(ome_invest*(M126+1/ome_lifetime)/ome_prod+ome_opex+ome_e_demand*1000*$AU126/100+Carriers!$Z$21/Carriers!$Z$23*(CO126*1000000/CS126))*(EO126+ome_st_ab_losses)/1000000</f>
        <v>134973.46502563413</v>
      </c>
      <c r="EL126" s="86">
        <f>(ome_invest*(M126+1/ome_lifetime)/ome_prod+ome_opex+ome_e_demand*1000*$AU126/100+Carriers!$Z$21/Carriers!$Z$23*(CP126*1000000/CS126))*(EO126+ome_st_ab_losses)/1000000</f>
        <v>170402.42513145733</v>
      </c>
      <c r="EM126" s="63">
        <f>ome_st_nl_cost*ome_st_nl_demand/1000000+(ome_st_invest*(M126+1/ome_st_lifetime+ome_st_opex)/(Storage!$S$63/1000000)+ome_st_e_demand*1000*$AU126/100)*(EO126+ome_st_ab_losses)/1000000+co2_st_nl_cost*Storage!$S$12*co2_density/ome_density/1000000+(co2_st_opex_lev+co2_st_invest_lev+co2_st_e_demand*1000*$AU126/100)*Storage!$S$12/1000000+co2_st_invest_lev*Storage!$S$12*co2_st_lifetime*M126/1000000+(h2_demand_kt*1000/365.25*short_st_duration_hrs/24)*(h2_short_st_invest*(1/gh2_short_st_lifetime+$M126+h2_short_st_opex)+h2_short_st_e_demand*1000*$AU126/100)/1000000</f>
        <v>4476.4854963631697</v>
      </c>
      <c r="EN126" s="63">
        <f>ome_st_nl_cost*ome_st_nl_demand/1000000+(ome_st_invest*(M126+1/ome_st_lifetime+ome_st_opex)/(Storage!$S$63/1000000)+ome_st_e_demand*1000*$AU126/100)*(EO126+ome_st_ab_losses)/1000000+(h2_demand_kt*1000/365.25*short_st_duration_hrs/24)*(h2_short_st_invest*(1/gh2_short_st_lifetime+$M126+h2_short_st_opex)+h2_short_st_e_demand*1000*$AU126/100)/1000000</f>
        <v>1469.6393429606869</v>
      </c>
      <c r="EO126" s="63">
        <f>Storage!$S$57/((1-Shipping!$T$37)^($F126/24/Shipping!$T$44+0.5*Shipping!$T$59))</f>
        <v>128282539.68253967</v>
      </c>
      <c r="EP126" s="28">
        <f>IF($E126="","No Port",IF(AND(ship_choice="VLCC",G126="Panama"),"Ship cannot pass through Panama",IF(ship_choice="VLCC",((F126/24/Shipping!$AD$44+F126/24/Shipping!$AD$50+Shipping!$AD$59+Shipping!$AD$64)*(Shipping!$AD$22+wacc_nl*Shipping!$AD$19/365.25*1000000+Shipping!$AD$35)+(F126/24/Shipping!$AD$44*Shipping!$AD$45+Shipping!$AD$64*Shipping!$AD$65)*IF(bunker_choice="HFO",$H126,IF(bunker_choice="hydrogen",$BD126*hfo_e_density_lhv/h2_e_density_lhv,(EK126+EM126)*1000000/EO126*hfo_e_density_lhv/Dme_e_density_lhv))+(F126/24/Shipping!$AD$50*Shipping!$AD$51+Shipping!$AD$59*Shipping!$AD$60)*IF(bunker_choice="HFO",bunker_price_ROT,IF(bunker_choice="hydrogen",$BD126*hfo_e_density_lhv/h2_e_density_lhv,(EK126+EM126)*1000000/EO126*hfo_e_density_lhv/ome_e_density_lhv))+Shipping!$AD$73+IF(G126="Panama",Shipping!$AD$55,0)+IF(G126="Suez",Shipping!$AD$56,0))/Shipping!$AD$31*(EO126+ome_st_ab_losses)/1000000+IF(inland_transport_to_port="hv dc grid",$BM126/100*1000*ER126,IF(inland_transport_to_port="pipeline",$BN126,0)),((F126/24/Shipping!$T$44+F126/24/Shipping!$T$50+Shipping!$T$59+Shipping!$T$64)*(Shipping!$T$22+wacc_nl*Shipping!$T$19/365.25*1000000+Shipping!$T$35)+(F126/24/Shipping!$T$44*Shipping!$T$45+Shipping!$T$64*Shipping!$T$65)*IF(bunker_choice="HFO",$H126,IF(bunker_choice="hydrogen",$BD126*hfo_e_density_lhv/h2_e_density_lhv,(EK126+EM126)*1000000/EO126*hfo_e_density_lhv/Dme_e_density_lhv))+(F126/24/Shipping!$T$50*Shipping!$T$51+Shipping!$T$59*Shipping!$T$60)*IF(bunker_choice="HFO",bunker_price_ROT,IF(bunker_choice="hydrogen",$BD126*hfo_e_density_lhv/h2_e_density_lhv,(EK126+EM126)*1000000/EO126*hfo_e_density_lhv/ome_e_density_lhv))+Shipping!$T$73+IF(G126="Panama",Shipping!$T$55,0)+IF(G126="Suez",Shipping!$T$56,0))/Shipping!$T$31*(EO126+ome_st_ab_losses)/1000000+IF(inland_transport_to_port="hv dc grid",$BM126/100*1000*ER126,IF(inland_transport_to_port="pipeline",$BN126,0)))))</f>
        <v>2755.116273094287</v>
      </c>
      <c r="EQ126" s="28">
        <f t="shared" si="135"/>
        <v>174627.18074751232</v>
      </c>
      <c r="ER126" s="29">
        <f>(ome_e_demand)*(EO126+ome_st_ab_losses)/1000000+ome_st_e_demand*EM126/1000000+$CV126*(Carriers!$Z$21/Carriers!$Z$23*EO126)/$CS126</f>
        <v>3352.0814568555115</v>
      </c>
      <c r="ES126" s="29">
        <f t="shared" si="163"/>
        <v>0.1924238095238095</v>
      </c>
      <c r="ET126" s="28">
        <f>IFERROR(EQ126*1000000/Storage!$S$12,"")</f>
        <v>1361.2700620026824</v>
      </c>
      <c r="EU126" s="28">
        <f>IF($E126="","No Port",((F126/24/Shipping!$T$44+F126/24/Shipping!$T$50+Shipping!$T$59+Shipping!$T$64)*Carriers!$Z$39*wacc_nl))</f>
        <v>49.464755567366332</v>
      </c>
      <c r="EV126" s="100">
        <f>H2_retrieval!$R$25*h2_demand_kt/1000+(co2_liq_e_demand+co2_st_e_demand*2)*Storage!$S$12*co2_density/ome_density/1000000</f>
        <v>254.51942895252085</v>
      </c>
      <c r="EW126" s="28">
        <f>IFERROR((((EK126+EM126+EP126)*(1+H2_retrieval!$R$34)+EU126)*1000000/H2_retrieval!$R$8)+h2_regen_ome,"")</f>
        <v>11630.020568979862</v>
      </c>
      <c r="EX126" s="149">
        <f>(sng_invest*(M126+1/sng_lifetime)/sng_prod+lng_invest*(M126+1/lng_lifetime)/lng_prod+sng_opex+lng_opex+(sng_e_demand+lng_e_demand)*1000*$AU126/100+Carriers!$AB$18/Carriers!$AB$23*BD126+Carriers!$AB$20/Carriers!$AB$23*co2_liq_cost)*(FB126+lng_st_ab_losses)/1000000</f>
        <v>47091.483913027201</v>
      </c>
      <c r="EY126" s="86">
        <f>(sng_invest*(M126+1/sng_lifetime)/sng_prod+lng_invest*(M126+1/lng_lifetime)/lng_prod+sng_opex+lng_opex+(sng_e_demand+lng_e_demand)*1000*$AU126/100+Carriers!$AB$18/Carriers!$AB$23*BD126+Carriers!$AB$20/Carriers!$AB$23*BP126)*(FB126+lng_st_ab_losses)/1000000</f>
        <v>56342.25398973054</v>
      </c>
      <c r="EZ126" s="63">
        <f>lng_st_nl_cost*lng_st_nl_demand/1000000+(lng_st_invest*(M126+1/lng_st_lifetime+lng_st_opex)/(Storage!$U$63/1000000)+lng_st_e_demand*1000*$AU126/100)*(FB126+lng_st_ab_losses)/1000000+co2_st_nl_cost*Storage!$U$12*co2_density/lng_density/1000000+(co2_st_opex_lev+co2_st_invest_lev+co2_st_e_demand*1000*$AU126/100)*Storage!$U$12/1000000+co2_st_invest_lev*Storage!$U$12*co2_st_lifetime*M126/1000000+Carriers!$AB$18/Carriers!$AB$23*((FB126+lng_st_ab_losses)/365.25*short_st_duration_hrs/24)*(h2_short_st_invest*(1/gh2_short_st_lifetime+$M126+h2_short_st_opex)+h2_short_st_e_demand*1000*$AU126/100)/1000000+Carriers!$AB$20/Carriers!$AB$23*((FB126+lng_st_ab_losses)/365.25*short_st_duration_hrs/24)*(co2_short_st_invest*(1/co2_short_st_lifetime+$M126+co2_short_st_opex)+co2_short_st_e_demand*1000*$AU126/100)/1000000</f>
        <v>5377.4578392802132</v>
      </c>
      <c r="FA126" s="63">
        <f>lng_st_nl_cost*lng_st_nl_demand/1000000+(lng_st_invest*(M126+1/lng_st_lifetime+lng_st_opex)/(Storage!$U$63/1000000)+lng_st_e_demand*1000*$AU126/100)*(FB126+lng_st_ab_losses)/1000000+Carriers!$AB$18/Carriers!$AB$23*((FB126+lng_st_ab_losses)/365.25*short_st_duration_hrs/24)*(h2_short_st_invest*(1/gh2_short_st_lifetime+$M126+h2_short_st_opex)+h2_short_st_e_demand*1000*$AU126/100)/1000000+Carriers!$AB$20/Carriers!$AB$23*((FB126+lng_st_ab_losses)/365.25*short_st_duration_hrs/24)*(co2_short_st_invest*(1/co2_short_st_lifetime+$M126+co2_short_st_opex)+co2_short_st_e_demand*1000*$AU126/100)/1000000</f>
        <v>3881.270494280498</v>
      </c>
      <c r="FB126" s="63">
        <f>Storage!$U$57/((1-Shipping!$V$37)^($F126/24/Shipping!$V$44+0.5*Shipping!$V$59))</f>
        <v>40936788.221250132</v>
      </c>
      <c r="FC126" s="28">
        <f>IF($E126="","No Port",IF(G126="Panama","Ship cannot pass through Panama",((F126/24/Shipping!$V$44+F126/24/Shipping!$V$50+Shipping!$V$59+Shipping!$V$64)*(Shipping!$V$22+wacc_nl*Shipping!$V$19/365.25*1000000+Shipping!$V$35)+(F126/24/Shipping!$V$44*Shipping!$V$45+Shipping!$V$64*Shipping!$V$65)*IF(bunker_choice="HFO",$H126,IF(bunker_choice="hydrogen",$BD126*hfo_e_density_lhv/h2_e_density_lhv,(EX126+EZ126)*1000000/FB126*hfo_e_density_lhv/lng_e_density_lhv))+(F126/24/Shipping!$V$50*Shipping!$V$51+Shipping!$V$59*Shipping!$V$60)*IF(bunker_choice="HFO",bunker_price_ROT,IF(bunker_choice="hydrogen",$BD126*hfo_e_density_lhv/h2_e_density_lhv,(EX126+EZ126)*1000000/FB126*hfo_e_density_lhv/lng_e_density_lhv))+Shipping!$V$73+IF(G126="Panama",Shipping!$V$55,0)+IF(G126="Suez",Shipping!$V$56,0))/Shipping!$V$31*(FB126+lng_st_ab_losses)/1000000)+IF(inland_transport_to_port="hv dc grid",$BM126/100*1000*FE126,IF(inland_transport_to_port="pipeline",$BN126,0)))</f>
        <v>1507.8109116410023</v>
      </c>
      <c r="FD126" s="28">
        <f t="shared" si="136"/>
        <v>61731.335395652044</v>
      </c>
      <c r="FE126" s="29">
        <f>((Carriers!$AB$18/Carriers!$AB$23*alk_el_e_demand)+sng_e_demand+lng_e_demand)*(FB126+lng_st_ab_losses)/1000000+lng_st_e_demand*EZ126/1000000</f>
        <v>1097.9014160284826</v>
      </c>
      <c r="FF126" s="29">
        <f t="shared" si="164"/>
        <v>0.8126185861001558</v>
      </c>
      <c r="FG126" s="28">
        <f>IFERROR(FD126*1000000/Storage!$U$12,"")</f>
        <v>1521.070920653191</v>
      </c>
      <c r="FH126" s="28">
        <f>IF($E126="","No Port",((F126/24/Shipping!$V$44+F126/24/Shipping!$V$50+Shipping!$V$59+Shipping!$V$64)*Carriers!$AB$39*wacc_nl))</f>
        <v>14.919813303620247</v>
      </c>
      <c r="FI126" s="100">
        <f>H2_retrieval!$T$25*h2_demand_kt/1000+(co2_liq_e_demand+co2_st_e_demand*2)*Storage!$U$12*co2_density/lng_density/1000000</f>
        <v>236.51371749646054</v>
      </c>
      <c r="FJ126" s="28">
        <f>IFERROR((((EX126+EZ126+FC126)*(1+H2_retrieval!$T$34)+FH126)*1000000/H2_retrieval!$T$8)+h2_regen_lng,"")</f>
        <v>5140.1044606411187</v>
      </c>
      <c r="FK126" s="149">
        <f>(lh2_invest*(M126+1/lh2_lifetime)/lh2_prod+lh2_opex+lh2_e_demand*1000*$AU126/100+Carriers!$AD$18/Carriers!$AD$23*BD126)*(FM126+lh2_st_ab_losses)/1000000</f>
        <v>37284.301183004478</v>
      </c>
      <c r="FL126" s="28">
        <f>lh2_st_nl_cost*lh2_st_nl_demand/1000000+(lh2_st_invest*(M126+1/lh2_st_lifetime+lh2_st_opex)/(Storage!$Y$63/1000000)+lh2_st_e_demand*1000*$AU126/100)*(FM126+lh2_st_ab_losses)/1000000+((FM126+lh2_st_ab_losses)/365.25*short_st_duration_hrs/24)*(h2_short_st_invest*(1/gh2_short_st_lifetime+$M126+h2_short_st_opex)+h2_short_st_e_demand*1000*$AU126/100)/1000000</f>
        <v>45862.539587309911</v>
      </c>
      <c r="FM126" s="63">
        <f>Storage!$Y$57/((1-Shipping!$Z$37)^($F126/24/Shipping!$Z$44+0.5*Shipping!$Z$59))</f>
        <v>13783489.498912584</v>
      </c>
      <c r="FN126" s="28">
        <f>IF($E126="","No Port",IF(G126="Panama","Ship cannot pass through Panama",((F126/24/Shipping!$Z$44+F126/24/Shipping!$Z$50+Shipping!$Z$59+Shipping!$Z$64)*(Shipping!$Z$22+wacc_nl*Shipping!$Z$19/365.25*1000000+Shipping!$Z$35)+(F126/24/Shipping!$Z$44*Shipping!$Z$45+Shipping!$Z$64*Shipping!$Z$65)*IF(bunker_choice="HFO",$H126,IF(bunker_choice="hydrogen",$BD126*hfo_e_density_lhv/h2_e_density_lhv,(FK126+FL126)*1000000/FM126*hfo_e_density_lhv/lh2_e_density_lhv))+(F126/24/Shipping!$Z$50*Shipping!$Z$51+Shipping!$Z$59*Shipping!$Z$60)*IF(bunker_choice="HFO",bunker_price_ROT,IF(bunker_choice="hydrogen",$BD126*hfo_e_density_lhv/h2_e_density_lhv,(FK126+FL126)*1000000/FM126*hfo_e_density_lhv/lh2_e_density_lhv))+Shipping!$Z$73+IF(G126="Panama",Shipping!$Z$55,0)+IF(G126="Suez",Shipping!$Z$56,0))/Shipping!$Z$31*(FM126+lh2_st_ab_losses)/1000000)+IF(inland_transport_to_port="hv dc grid",$BM126/100*1000*FP126,IF(inland_transport_to_port="pipeline",$BN126,0)))</f>
        <v>2130.261580491368</v>
      </c>
      <c r="FO126" s="28">
        <f t="shared" si="128"/>
        <v>85277.102350805755</v>
      </c>
      <c r="FP126" s="29">
        <f>((Carriers!$AD$18/Carriers!$AD$23*alk_el_e_demand)+lh2_e_demand)*(FM126+lh2_st_ab_losses)/1000000+lh2_st_e_demand*FM126/1000000</f>
        <v>798.74959045207493</v>
      </c>
      <c r="FQ126" s="100">
        <f t="shared" si="165"/>
        <v>1.361902463475859</v>
      </c>
      <c r="FR126" s="28">
        <f>IFERROR(FO126*1000000/Storage!$Y$12,"")</f>
        <v>6270.3751728533643</v>
      </c>
      <c r="FS126" s="100">
        <f>H2_retrieval!$V$25*h2_demand_kt/1000</f>
        <v>8.16</v>
      </c>
      <c r="FT126" s="28">
        <f>IFERROR(FR126*(1+H2_retrieval!$V$34)/Carrier_properties!$U$7+H2_retrieval!$V$38,"")</f>
        <v>6302.3438987218315</v>
      </c>
      <c r="FU126" s="12"/>
      <c r="FV126" s="24">
        <f t="shared" si="129"/>
        <v>1.7265839080718117</v>
      </c>
      <c r="FW126" s="24">
        <f t="shared" si="143"/>
        <v>3.4061554301802763</v>
      </c>
      <c r="FX126" s="24">
        <f t="shared" si="144"/>
        <v>5.6271044635483625</v>
      </c>
      <c r="FY126" s="24">
        <f t="shared" si="130"/>
        <v>1.7265839080718117</v>
      </c>
      <c r="FZ126" s="28">
        <f t="shared" si="145"/>
        <v>1936.2342490847179</v>
      </c>
      <c r="GA126" s="28">
        <f t="shared" si="137"/>
        <v>458.80928914037861</v>
      </c>
      <c r="GB126" s="28">
        <f t="shared" si="138"/>
        <v>333.84821867717005</v>
      </c>
      <c r="GC126" s="28">
        <f t="shared" si="139"/>
        <v>516.62232723699003</v>
      </c>
      <c r="GD126" s="28">
        <f t="shared" si="140"/>
        <v>756.75958071870264</v>
      </c>
      <c r="GE126" s="28">
        <f t="shared" si="141"/>
        <v>1328.3368535823472</v>
      </c>
      <c r="GF126" s="28">
        <f t="shared" si="142"/>
        <v>1376.3232641803463</v>
      </c>
      <c r="GG126" s="12"/>
      <c r="GH126" s="12"/>
      <c r="GI126" s="12"/>
      <c r="GJ126" s="12"/>
      <c r="GK126" s="12"/>
      <c r="GL126" s="12"/>
      <c r="GM126" s="12"/>
      <c r="GN126" s="12"/>
      <c r="GO126" s="12"/>
      <c r="GP126" s="12"/>
      <c r="GQ126" s="12"/>
      <c r="GR126" s="12"/>
      <c r="GS126" s="12"/>
      <c r="GT126" s="12"/>
      <c r="GU126" s="12"/>
      <c r="GV126" s="12"/>
      <c r="GW126" s="12"/>
      <c r="GX126" s="12"/>
      <c r="GY126" s="12"/>
      <c r="GZ126" s="12"/>
      <c r="HA126" s="12"/>
      <c r="HB126" s="12"/>
      <c r="HC126" s="12"/>
      <c r="HD126" s="12"/>
      <c r="HE126" s="12"/>
      <c r="HF126" s="12"/>
    </row>
    <row r="127" spans="1:214" x14ac:dyDescent="0.2">
      <c r="A127" s="154" t="s">
        <v>128</v>
      </c>
      <c r="B127" s="12">
        <v>8328</v>
      </c>
      <c r="C127" s="12">
        <v>0.9</v>
      </c>
      <c r="D127" s="12">
        <f t="shared" si="111"/>
        <v>9.9999999999999978E-2</v>
      </c>
      <c r="E127" s="12" t="s">
        <v>781</v>
      </c>
      <c r="F127" s="12">
        <v>6755</v>
      </c>
      <c r="G127" s="12" t="s">
        <v>692</v>
      </c>
      <c r="H127" s="16">
        <f t="shared" si="166"/>
        <v>382.75862068965517</v>
      </c>
      <c r="I127" s="16">
        <v>62710</v>
      </c>
      <c r="J127" s="16">
        <f t="shared" si="113"/>
        <v>141.2841567996409</v>
      </c>
      <c r="K127" s="16">
        <f t="shared" si="114"/>
        <v>169.54098815956908</v>
      </c>
      <c r="L127" s="103">
        <v>0.13500000000000001</v>
      </c>
      <c r="M127" s="103">
        <f t="shared" si="167"/>
        <v>0.13689377533260205</v>
      </c>
      <c r="N127" s="122">
        <f t="shared" si="116"/>
        <v>0.9</v>
      </c>
      <c r="O127" s="46">
        <f t="shared" si="168"/>
        <v>40</v>
      </c>
      <c r="P127" s="70">
        <f t="array" ref="P127">SUMPRODUCT(IF(Solar_data!A$4:A$777=A127,Solar_data!C$4:C$777),IF(Solar_data!A$4:A$777=A127,Solar_data!I$4:I$777))/SUMIF(Solar_data!A$4:A$777,A127,Solar_data!I$4:I$777)</f>
        <v>1947.8261287175274</v>
      </c>
      <c r="Q127" s="16">
        <f t="array" ref="Q127">MAX(IF(Solar_data!$A$777:'Solar_data'!$A$4=Country_details!$A127,Solar_data!$C$4:'Solar_data'!$C$777))</f>
        <v>2098.75</v>
      </c>
      <c r="R127" s="16">
        <f t="array" ref="R127">MIN(IF(Solar_data!$A$777:'Solar_data'!$A$4=Country_details!A127,Solar_data!$C$4:'Solar_data'!$C$777))</f>
        <v>1733.75</v>
      </c>
      <c r="S127" s="24">
        <f t="shared" si="149"/>
        <v>2.4823039667001878</v>
      </c>
      <c r="T127" s="24">
        <f t="shared" si="150"/>
        <v>2.3037982254950751</v>
      </c>
      <c r="U127" s="24">
        <f t="shared" si="151"/>
        <v>2.7888083782308803</v>
      </c>
      <c r="V127" s="16">
        <f t="array" ref="V127">SUM(IF(Solar_data!$A$777:'Solar_data'!$A$4=Country_details!$A127,Solar_data!$I$4:'Solar_data'!$I$777))</f>
        <v>511.52034618610537</v>
      </c>
      <c r="W127" s="148"/>
      <c r="X127" s="16">
        <f>IFERROR(INDEX(Onshore_wind_data!$J$5:'Onshore_wind_data'!$J$221,MATCH(A127,Onshore_wind_data!$B$5:'Onshore_wind_data'!$B$221,0)),"")</f>
        <v>3126.0280537697254</v>
      </c>
      <c r="Y127" s="16">
        <f>IFERROR(INDEX(Onshore_wind_data!$K$5:'Onshore_wind_data'!$K$221,MATCH(A127,Onshore_wind_data!$B$5:'Onshore_wind_data'!$B$221,0)),"")</f>
        <v>3971</v>
      </c>
      <c r="Z127" s="16">
        <f>IFERROR(INDEX(Onshore_wind_data!$L$5:'Onshore_wind_data'!$L$221,MATCH(A127,Onshore_wind_data!$B$5:'Onshore_wind_data'!$B$221,0)),"")</f>
        <v>2847.5</v>
      </c>
      <c r="AA127" s="24">
        <f t="shared" si="169"/>
        <v>4.9065538871007064</v>
      </c>
      <c r="AB127" s="24">
        <f t="shared" si="170"/>
        <v>3.8625094682472176</v>
      </c>
      <c r="AC127" s="24">
        <f t="shared" si="171"/>
        <v>5.3864881820578407</v>
      </c>
      <c r="AD127" s="16">
        <f>IFERROR(INDEX(Onshore_wind_data!$I$5:'Onshore_wind_data'!$I$221,MATCH(A127,Onshore_wind_data!$B$5:'Onshore_wind_data'!$B$221,0)),"")</f>
        <v>160.45902000000001</v>
      </c>
      <c r="AE127" s="148"/>
      <c r="AF127" s="16">
        <f>INDEX(Offshore_wind_data!$AA$7:$AA$192,MATCH(Country_details!A127,Offshore_wind_data!$A$7:$A$192,0))</f>
        <v>3607.1927722301475</v>
      </c>
      <c r="AG127" s="16">
        <f>INDEX(Offshore_wind_data!$Y$7:$Y$192,MATCH(Country_details!A127,Offshore_wind_data!$A$7:$A$192,0))</f>
        <v>4204.8</v>
      </c>
      <c r="AH127" s="16">
        <f>INDEX(Offshore_wind_data!$Z$7:$Z$192,MATCH(Country_details!A127,Offshore_wind_data!$A$7:$A$192,0))</f>
        <v>3153.6</v>
      </c>
      <c r="AI127" s="24">
        <f t="shared" si="152"/>
        <v>8.029825511281615</v>
      </c>
      <c r="AJ127" s="24">
        <f t="shared" si="153"/>
        <v>6.8885865074591628</v>
      </c>
      <c r="AK127" s="24">
        <f t="shared" si="154"/>
        <v>9.1847820099455504</v>
      </c>
      <c r="AL127" s="16">
        <f>INDEX(Offshore_wind_data!$W$7:$W$191,MATCH(A127,Offshore_wind_data!$A$7:$A$191,0))</f>
        <v>455.15558399999998</v>
      </c>
      <c r="AM127" s="148"/>
      <c r="AN127" s="12">
        <v>20.9</v>
      </c>
      <c r="AO127" s="12">
        <v>20.8</v>
      </c>
      <c r="AP127" s="34">
        <f>0.487*11.63</f>
        <v>5.6638100000000007</v>
      </c>
      <c r="AQ127" s="15">
        <f t="shared" si="155"/>
        <v>50</v>
      </c>
      <c r="AR127" s="12">
        <f t="shared" si="131"/>
        <v>1040</v>
      </c>
      <c r="AS127" s="16">
        <f t="shared" si="121"/>
        <v>87.13495018610547</v>
      </c>
      <c r="AT127" s="12"/>
      <c r="AU127" s="24">
        <f t="shared" si="147"/>
        <v>3.9758970003111975</v>
      </c>
      <c r="AV127" s="16">
        <f t="shared" si="148"/>
        <v>5073.8541824872527</v>
      </c>
      <c r="AW127" s="149">
        <f>HV_DC_Grid!$E$3/(1-AX127)*AU127/100*1000</f>
        <v>4761.7210881148903</v>
      </c>
      <c r="AX127" s="31">
        <f>(1-(1-HV_DC_Grid!$E$25)^(B127*C127*HV_DC_Grid!$E$8/1000))+(1-(1-HV_DC_Grid!$E$26)^(B127*D127*HV_DC_Grid!$E$8/1000))+HV_DC_Grid!$E$35*HV_DC_Grid!$E$28</f>
        <v>0.16502942387051722</v>
      </c>
      <c r="AY127" s="28">
        <f>B127*nl_e_demand/IF(hv_dc_flh="electricity FLH",$AV127,hv_dc_custom)*1000*hv_dc_capacity_multiplier*hv_dc_length_multiplier*1000*(C127*hv_dc_overhead_invest*(hv_dc_overhead_opex+M127+1/hv_dc_lifetime)+D127*hv_dc_sea_invest*(hv_dc_sea_opex+M127+1/hv_dc_lifetime))/1000000+HV_DC_Grid!$E$10*1000*hv_dc_station_invest*hv_dc_station_number*(hv_dc_station_opex+M127+1/hv_dc_lifetime)/1000000</f>
        <v>9644.0162695141244</v>
      </c>
      <c r="AZ127" s="24">
        <f>(AW127+AY127)/(HV_DC_Grid!$E$3*1000)*100</f>
        <v>14.405737357629015</v>
      </c>
      <c r="BA127" s="28">
        <f>MIN(((Carriers!$F$26+Carriers!$F$27)*(alk_el_opex+wacc_nl+1/alk_el_lifetime)+IF(hv_dc_flh="electricity FLH",$AV127,hv_dc_custom)*AZ127/100)/(IF(hv_dc_flh="electricity FLH",$AV127,hv_dc_custom)/alk_el_e_demand)*1000,((Carriers!$H$26+Carriers!$H$27)*(pem_el_opex+wacc_nl+1/pem_el_lifetime)+IF(hv_dc_flh="electricity FLH",$AV127,hv_dc_custom)*AZ127/100)/(IF(hv_dc_flh="electricity FLH",$AV127,hv_dc_custom)/pem_el_e_demand)*1000)</f>
        <v>7718.782420183994</v>
      </c>
      <c r="BB127" s="12"/>
      <c r="BC127" s="12"/>
      <c r="BD127" s="149">
        <f>MIN(((Carriers!$F$26+Carriers!$F$27)*(alk_el_opex+M127+1/alk_el_lifetime)+$AV127*$AU127/100)/($AV127/alk_el_e_demand)*1000,((Carriers!$H$26+Carriers!$H$27)*(pem_el_opex+M127+1/pem_el_lifetime)+$AV127*$AU127/100)/($AV127/pem_el_e_demand)*1000)</f>
        <v>2751.9347967838657</v>
      </c>
      <c r="BE127" s="28">
        <f>Storage!$AC$50</f>
        <v>8.1664117557772418</v>
      </c>
      <c r="BF127" s="28">
        <f>((Pipeline!$D$22*Pipeline!$D$24*B127*(pipeline_opex+M127+1/pipeline_lifetime))*(Pipeline!$D$39/Pipeline!$D$3)+(Pipeline!$D$57*(pipeline_comp_opex+M127+1/pipeline_comp_lifetime)+Pipeline!$D$47*1000*Pipeline!$D$45*$AU127/100/1000000))*(Pipeline!$D$75/Pipeline!$D$45)</f>
        <v>19898.928602573546</v>
      </c>
      <c r="BG127" s="28">
        <f>BD127+(BE127+BF127)/Storage!$AC$12*1000000</f>
        <v>4215.6917831316096</v>
      </c>
      <c r="BH127" s="28"/>
      <c r="BI127" s="28"/>
      <c r="BJ127" s="28">
        <f>IF($E127="","No Port",BK127*HV_DC_Grid!$E$3*$AU127/100*1000)</f>
        <v>68.688118822631935</v>
      </c>
      <c r="BK127" s="31">
        <f>IFERROR((1-(1-HV_DC_Grid!$E$25)^(K127*HV_DC_Grid!$E$8/1000))+HV_DC_Grid!$E$35*HV_DC_Grid!$E$28,"")</f>
        <v>1.7276131352813126E-2</v>
      </c>
      <c r="BL127" s="28">
        <f>IFERROR(K127*nl_e_demand/IF(hv_dc_flh="electricity FLH",$AV127,hv_dc_custom)*1000*hv_dc_capacity_multiplier*hv_dc_length_multiplier*1000*(hv_dc_overhead_invest*(hv_dc_overhead_opex+M127+1/hv_dc_lifetime))/1000000+HV_DC_Grid!$E$10*1000*hv_dc_station_invest*hv_dc_station_number*(hv_dc_station_opex+M127+1/hv_dc_lifetime)/1000000,"")</f>
        <v>607.67482086785412</v>
      </c>
      <c r="BM127" s="29">
        <f>IFERROR((BJ127+BL127)/(HV_DC_Grid!$E$3*1000)*100,"")</f>
        <v>0.67636293969048611</v>
      </c>
      <c r="BN127" s="28">
        <f>IFERROR(((Pipeline!$D$22*Pipeline!$D$24*K127*(pipeline_opex+M127+1/pipeline_lifetime))*(Pipeline!$D$39/Pipeline!$D$3)+(Pipeline!$D$57*(pipeline_comp_opex+M127+1/pipeline_comp_lifetime)+Pipeline!$D$47*1000*Pipeline!$D$45*S127/100/1000000))*(Pipeline!$D$75/Pipeline!$D$45),"")</f>
        <v>485.51847523589583</v>
      </c>
      <c r="BO127" s="28"/>
      <c r="BP127" s="150">
        <f t="shared" si="172"/>
        <v>126.81432116801261</v>
      </c>
      <c r="BQ127" s="34">
        <f t="shared" si="173"/>
        <v>37.170735899381349</v>
      </c>
      <c r="BR127" s="151">
        <f>(nh3_invest*(M127+1/nh3_lifetime)/nh3_prod+nh3_opex+nh3_e_demand*1000*$AU127/100+Carriers!$N$18/Carriers!$N$23*BD127+Carriers!$N$19/Carriers!$N$23*BQ127)*(BT127+nh3_st_ab_losses)/1000000</f>
        <v>52154.153164667012</v>
      </c>
      <c r="BS127" s="63">
        <f>nh3_st_nl_cost*nh3_st_nl_demand/1000000+(nh3_st_invest*(M127+1/nh3_st_lifetime+nh3_st_opex)/(Storage!$G$63/1000000)+nh3_st_e_demand*1000*$AU127/100)*(BT127+nh3_st_ab_losses)/1000000+Carriers!$N$18/Carriers!$N$23*((BT127+nh3_st_ab_losses)/365.25*short_st_duration_hrs/24)*(h2_short_st_invest*(1/gh2_short_st_lifetime+$M127+h2_short_st_opex)+h2_short_st_e_demand*1000*$AU127/100)/1000000+Carriers!$N$19/Carriers!$N$23*((BT127+nh3_st_ab_losses)/365.25*short_st_duration_hrs/24)*(n2_short_st_invest*(1/n2_short_st_lifetime+$M127+n2_short_st_opex)+n2_short_st_e_demand*1000*$AU127/100)/1000000</f>
        <v>3622.9077845179704</v>
      </c>
      <c r="BT127" s="63">
        <f>Storage!$G$57/((1-Shipping!$H$37)^(F127/24/Shipping!$H$44+0.5*Shipping!$H$59))</f>
        <v>80209117.993574917</v>
      </c>
      <c r="BU127" s="63">
        <f>IF($E127="","No Port",((F127/24/Shipping!$H$44+F127/24/Shipping!$H$50+Shipping!$H$59+Shipping!$H$64)*(Shipping!$H$22+wacc_nl*Shipping!$H$19/365.25*1000000+Shipping!$H$35)+(F127/24/Shipping!$H$44*Shipping!$H$45+Shipping!$H$64*Shipping!$H$65)*IF(bunker_choice="HFO",H127,IF(bunker_choice="hydrogen",BD127*hfo_e_density_lhv/h2_e_density_lhv,(BR127+BS127)*1000000/BT127*hfo_e_density_lhv/nh3_e_density_lhv))+(F127/24/Shipping!$H$50*Shipping!$H$51+Shipping!$H$59*Shipping!$H$60)*IF(bunker_choice="HFO",bunker_price_ROT,IF(bunker_choice="hydrogen",BD127*hfo_e_density_lhv/h2_e_density_lhv,(BR127+BS127)*1000000/BT127*hfo_e_density_lhv/nh3_e_density_lhv))+Shipping!$H$73+IF(G127="Panama",Shipping!$H$55,0)+IF(G127="Suez",Shipping!$H$56,0))/Shipping!$H$31*BT127/1000000+IF(inland_transport_to_port="hv dc grid",$BM127/100*1000*BW127,IF(inland_transport_to_port="pipeline",$BN127,0)))</f>
        <v>5309.4035918787995</v>
      </c>
      <c r="BV127" s="63">
        <f t="shared" si="174"/>
        <v>61086.464541063782</v>
      </c>
      <c r="BW127" s="33">
        <f>((Carriers!$N$18/Carriers!$N$23*alk_el_e_demand)+(Carriers!$N$19/Carriers!$N$23*n2_e_demand)+nh3_e_demand)*(BT127+nh3_st_ab_losses)/1000000+nh3_st_e_demand*BT127/1000000</f>
        <v>792.07597449927005</v>
      </c>
      <c r="BX127" s="33">
        <f t="shared" si="156"/>
        <v>0.76626754477640768</v>
      </c>
      <c r="BY127" s="63">
        <f>IFERROR(BV127*1000000/Storage!$G$12,"")</f>
        <v>797.85920211335235</v>
      </c>
      <c r="BZ127" s="63">
        <f>H2_retrieval!$F$25*h2_demand_kt/1000</f>
        <v>80</v>
      </c>
      <c r="CA127" s="63">
        <f>IFERROR(BY127*(1+H2_retrieval!$F$34)/Carrier_properties!$E$7+H2_retrieval!$F$38,"")</f>
        <v>4900.8777841337196</v>
      </c>
      <c r="CB127" s="149">
        <f>(FA_invest*(M127+1/FA_lifetime)/FA_prod+FA_opex+FA_e_demand*1000*$AU127/100+Carriers!$P$18/Carriers!$P$23*BD127+Carriers!$P$20/Carriers!$P$23*co2_liq_cost)*(CF127+FA_st_ab_losses)/1000000</f>
        <v>115991.39681615376</v>
      </c>
      <c r="CC127" s="86">
        <f>(FA_invest*(M127+1/FA_lifetime)/FA_prod+FA_opex+FA_e_demand*1000*$AU127/100+Carriers!$P$18/Carriers!$P$23*BD127+Carriers!$P$20/Carriers!$P$23*BP127)*(CF127+FA_st_ab_losses)/1000000</f>
        <v>146799.86792106097</v>
      </c>
      <c r="CD127" s="63">
        <f>FA_st_nl_cost*FA_st_nl_demand/1000000+(FA_st_invest*(M127+1/FA_st_lifetime+FA_st_opex)/(Storage!$I$63/1000000)+FA_st_e_demand*1000*$AU127/100)*(CF127+FA_st_ab_losses)/1000000+co2_st_nl_cost*Storage!$I$12*co2_density/FA_density/1000000+(co2_st_opex_lev+co2_st_invest_lev+co2_st_e_demand*1000*$AU127/100)*Storage!$I$12/1000000+co2_st_invest_lev*Storage!$I$12*co2_st_lifetime*M127/1000000+Carriers!$P$18/Carriers!$P$23*((CF127+FA_st_ab_losses)/365.25*short_st_duration_hrs/24)*(h2_short_st_invest*(1/gh2_short_st_lifetime+$M127+h2_short_st_opex)+h2_short_st_e_demand*1000*$AU127/100)/1000000+Carriers!$P$20/Carriers!$P$23*((CF127+FA_st_ab_losses)/365.25*short_st_duration_hrs/24)*(co2_short_st_invest*(1/co2_short_st_lifetime+$M127+co2_short_st_opex)+co2_short_st_e_demand*1000*$AU127/100)/1000000</f>
        <v>12570.666842040031</v>
      </c>
      <c r="CE127" s="63">
        <f>FA_st_nl_cost*FA_st_nl_demand/1000000+(FA_st_invest*(M127+1/FA_st_lifetime+FA_st_opex)/(Storage!$I$63/1000000)+FA_st_e_demand*1000*$AU127/100)*(CF127+FA_st_ab_losses)/1000000+Carriers!$P$18/Carriers!$P$23*((CF127+FA_st_ab_losses)/365.25*short_st_duration_hrs/24)*(h2_short_st_invest*(1/gh2_short_st_lifetime+$M127+h2_short_st_opex)+h2_short_st_e_demand*1000*$AU127/100)/1000000+Carriers!$P$20/Carriers!$P$23*((CF127+FA_st_ab_losses)/365.25*short_st_duration_hrs/24)*(co2_short_st_invest*(1/co2_short_st_lifetime+$M127+co2_short_st_opex)+co2_short_st_e_demand*1000*$AU127/100)/1000000</f>
        <v>5309.863963068502</v>
      </c>
      <c r="CF127" s="63">
        <f>Storage!$I$57/((1-Shipping!$J$37)^($F127/24/Shipping!$J$44+0.5*Shipping!$J$59))</f>
        <v>310425396.82539684</v>
      </c>
      <c r="CG127" s="28">
        <f>IF($E127="","No Port",((F127/24/Shipping!$J$44+F127/24/Shipping!$J$50+Shipping!$J$59+Shipping!$J$64)*(Shipping!$J$22+wacc_nl*Shipping!$J$19/365.25*1000000+Shipping!$J$35)+(F127/24/Shipping!$J$44*Shipping!$J$45+Shipping!$J$64*Shipping!$J$65)*IF(bunker_choice="HFO",$H127,IF(bunker_choice="hydrogen",$BD127*hfo_e_density_lhv/h2_e_density_lhv,(CB127+CD127)*1000000/CF127*hfo_e_density_lhv/FA_e_density_lhv))+(F127/24/Shipping!$J$50*Shipping!$J$51+Shipping!$J$59*Shipping!$J$60)*IF(bunker_choice="HFO",bunker_price_ROT,IF(bunker_choice="hydrogen",$BD127*hfo_e_density_lhv/h2_e_density_lhv,(CB127+CD127)*1000000/CF127*hfo_e_density_lhv/FA_e_density_lhv))+Shipping!$J$73+IF(G127="Panama",Shipping!$J$55,0)+IF(G127="Suez",Shipping!$J$56,0))/Shipping!$J$31*CF127/1000000+IF(inland_transport_to_port="hv dc grid",$BM127/100*1000*CI127,IF(inland_transport_to_port="pipeline",$BN127,0)))</f>
        <v>21240.834454626165</v>
      </c>
      <c r="CH127" s="28">
        <f t="shared" si="132"/>
        <v>173350.56633875563</v>
      </c>
      <c r="CI127" s="29">
        <f>((Carriers!$P$18/Carriers!$P$23*alk_el_e_demand)+FA_e_demand)*(CF127+FA_st_ab_losses)/1000000+FA_st_e_demand*CF127/1000000</f>
        <v>1897.8881241622576</v>
      </c>
      <c r="CJ127" s="29">
        <f t="shared" si="157"/>
        <v>0.46563809523809524</v>
      </c>
      <c r="CK127" s="28">
        <f>IFERROR(CH127*1000000/Storage!$I$12,"")</f>
        <v>558.42907220719155</v>
      </c>
      <c r="CL127" s="28">
        <f>IF($E127="","No Port",((F127/24/Shipping!$J$44+F127/24/Shipping!$J$50+Shipping!$J$59+Shipping!$J$64)*Carriers!$P$39*wacc_nl))</f>
        <v>324.70269482637224</v>
      </c>
      <c r="CM127" s="29">
        <f>H2_retrieval!$H$25*h2_demand_kt/1000+(co2_liq_e_demand+co2_st_e_demand*2)*Storage!$I$12*co2_density/FA_density/1000000</f>
        <v>94.204253879484654</v>
      </c>
      <c r="CN127" s="28">
        <f>IFERROR((((CB127+CD127+CG127)*(1+H2_retrieval!$H$34)+CL127)*1000000/H2_retrieval!$H$8)+h2_regen_fa,"")</f>
        <v>11128.481544799777</v>
      </c>
      <c r="CO127" s="149">
        <f>(meoh_invest*(M127+1/meoh_lifetime)/meoh_prod+meoh_opex+meoh_e_demand*1000*$AU127/100+Carriers!$R$18/Carriers!$R$23*BD127+Carriers!$R$20/Carriers!$R$23*co2_liq_cost)*(CS127+meoh_st_ab_losses)/1000000</f>
        <v>61201.089239216824</v>
      </c>
      <c r="CP127" s="86">
        <f>(meoh_invest*(M127+1/meoh_lifetime)/meoh_prod+meoh_opex+meoh_e_demand*1000*$AU127/100+Carriers!$R$18/Carriers!$R$23*BD127+Carriers!$R$20/Carriers!$R$23*BP127)*(CS127+meoh_st_ab_losses)/1000000</f>
        <v>79286.612891877987</v>
      </c>
      <c r="CQ127" s="63">
        <f>meoh_st_nl_cost*meoh_st_nl_demand/1000000+(meoh_st_invest*(M127+1/meoh_st_lifetime+meoh_st_opex)/(Storage!$K$63/1000000)+meoh_st_e_demand*1000*$AU127/100)*(CS127+meoh_st_ab_losses)/1000000+co2_st_nl_cost*Storage!$K$12*co2_density/meoh_density/1000000+(co2_st_opex_lev+co2_st_invest_lev+co2_st_e_demand*1000*IFERROR(MIN(S127,AA127,AI127),S127)/100)*Storage!$K$12/1000000+co2_st_invest_lev*Storage!$K$12*co2_st_lifetime*M127/1000000+Carriers!$R$18/Carriers!$R$23*((CS127+meoh_st_ab_losses)/365.25*short_st_duration_hrs/24)*(h2_short_st_invest*(1/gh2_short_st_lifetime+$M127+h2_short_st_opex)+h2_short_st_e_demand*1000*$AU127/100)/1000000+Carriers!$R$20/Carriers!$R$23*((CF127+meoh_st_ab_losses)/365.25*short_st_duration_hrs/24)*(co2_short_st_invest*(1/co2_short_st_lifetime+$M127+co2_short_st_opex)+co2_short_st_e_demand*1000*$AU127/100)/1000000</f>
        <v>5070.7245379738324</v>
      </c>
      <c r="CR127" s="63">
        <f>meoh_st_nl_cost*meoh_st_nl_demand/1000000+(meoh_st_invest*(M127+1/meoh_st_lifetime+meoh_st_opex)/(Storage!$K$63/1000000)+meoh_st_e_demand*1000*$AU127/100)*(CS127+meoh_st_ab_losses)/1000000+Carriers!$R$18/Carriers!$R$23*((CS127+meoh_st_ab_losses)/365.25*short_st_duration_hrs/24)*(h2_short_st_invest*(1/gh2_short_st_lifetime+$M127+h2_short_st_opex)+h2_short_st_e_demand*1000*$AU127/100)/1000000+Carriers!$R$20/Carriers!$R$23*((CF127+meoh_st_ab_losses)/365.25*short_st_duration_hrs/24)*(co2_short_st_invest*(1/co2_short_st_lifetime+$M127+co2_short_st_opex)+co2_short_st_e_demand*1000*$AU127/100)/1000000</f>
        <v>2105.9583855937799</v>
      </c>
      <c r="CS127" s="63">
        <f>Storage!$K$57/((1-Shipping!$L$37)^($F127/24/Shipping!$L$44+0.5*Shipping!$L$59))</f>
        <v>108044444.44444443</v>
      </c>
      <c r="CT127" s="28">
        <f>IF($E127="","No Port",IF(AND(ship_choice="VLCC",G127="Panama"),"Ship cannot pass through Panama",IF(ship_choice="VLCC",((F127/24/Shipping!$AD$44+F127/24/Shipping!$AD$50+Shipping!$AD$59+Shipping!$AD$64)*(Shipping!$AD$22+wacc_nl*Shipping!$AD$19/365.25*1000000+Shipping!$AD$35)+(F127/24/Shipping!$AD$44*Shipping!$AD$45+Shipping!$AD$64*Shipping!$AD$65)*IF(bunker_choice="HFO",$H127,IF(bunker_choice="hydrogen",$BD127*hfo_e_density_lhv/h2_e_density_lhv,(CO127+CQ127)*1000000/CS127*hfo_e_density_lhv/meoh_e_density_lhv))+(F127/24/Shipping!$AD$50*Shipping!$AD$51+Shipping!$AD$59*Shipping!$AD$60)*IF(bunker_choice="HFO",bunker_price_ROT,IF(bunker_choice="hydrogen",$BD127*hfo_e_density_lhv/h2_e_density_lhv,(CO127+CQ127)*1000000/CS127*hfo_e_density_lhv/meoh_e_density_lhv))+Shipping!$AD$73+IF(G127="Panama",Shipping!$AD$55,0)+IF(G127="Suez",Shipping!$AD$56,0))/Shipping!$AD$31*CS127/1000000+IF(inland_transport_to_port="hv dc grid",$BM127/100*1000*CV127,IF(inland_transport_to_port="pipeline",$BN127,0)),((F127/24/Shipping!$L$44+F127/24/Shipping!$L$50+Shipping!$L$59+Shipping!$L$64)*(Shipping!$L$22+wacc_nl*Shipping!$L$19/365.25*1000000+Shipping!$L$35)+(F127/24/Shipping!$L$44*Shipping!$L$45+Shipping!$L$64*Shipping!$L$65)*IF(bunker_choice="HFO",$H127,IF(bunker_choice="hydrogen",$BD127*hfo_e_density_lhv/h2_e_density_lhv,(CO127+CQ127)*1000000/CS127*hfo_e_density_lhv/meoh_e_density_lhv))+(F127/24/Shipping!$L$50*Shipping!$L$51+Shipping!$L$59*Shipping!$L$60)*IF(bunker_choice="HFO",bunker_price_ROT,IF(bunker_choice="hydrogen",$BD127*hfo_e_density_lhv/h2_e_density_lhv,(CO127+CQ127)*1000000/CS127*hfo_e_density_lhv/meoh_e_density_lhv))+Shipping!$L$73+IF(G127="Panama",Shipping!$L$55,0)+IF(G127="Suez",Shipping!$L$56,0))/Shipping!$L$31*CS127/1000000+IF(inland_transport_to_port="hv dc grid",$BM127/100*1000*CV127,IF(inland_transport_to_port="pipeline",$BN127,0)))))</f>
        <v>7379.8871865381807</v>
      </c>
      <c r="CU127" s="28">
        <f t="shared" si="133"/>
        <v>88772.458464009949</v>
      </c>
      <c r="CV127" s="29">
        <f>((Carriers!$R$18/Carriers!$R$23*alk_el_e_demand)+meoh_e_demand)*(CS127+meoh_st_ab_losses)/1000000+meoh_st_e_demand*CS127/1000000</f>
        <v>1119.9789871111109</v>
      </c>
      <c r="CW127" s="29">
        <f t="shared" si="158"/>
        <v>0.16206666666666666</v>
      </c>
      <c r="CX127" s="28">
        <f>IFERROR(CU127*1000000/Storage!$K$12,"")</f>
        <v>821.62908903341179</v>
      </c>
      <c r="CY127" s="28">
        <f>IF($E127="","No Port",((F127/24/Shipping!$L$44+F127/24/Shipping!$L$50+Shipping!$L$59+Shipping!$L$64)*Carriers!$R$39*wacc_nl))</f>
        <v>116.3735452752681</v>
      </c>
      <c r="CZ127" s="29">
        <f>H2_retrieval!$J$25*h2_demand_kt/1000+(co2_liq_e_demand+co2_st_e_demand*2)*Storage!$K$12*co2_density/meoh_density/1000000</f>
        <v>251.05079059698966</v>
      </c>
      <c r="DA127" s="28">
        <f>IFERROR((((CO127+CQ127+CT127)*(1+H2_retrieval!$J$34)+CY127)*1000000/H2_retrieval!$J$8)+h2_regen_meoh,"")</f>
        <v>6594.2516688581836</v>
      </c>
      <c r="DB127" s="149">
        <f>(DBT_invest*(M127+1/DBT_lifetime)/DBT_prod+DBT_opex+DBT_e_demand*1000*$AU127/100+Carriers!$T$18/Carriers!$T$23*BD127)*(DD127+DBT_st_ab_losses)/1000000</f>
        <v>40886.053320823979</v>
      </c>
      <c r="DC127" s="28">
        <f>2*(DBT_st_nl_cost*DBT_st_nl_demand/1000000+(DBT_st_invest*(M127+1/DBT_st_lifetime+DBT_st_opex)/(Storage!$M$63/1000000)+DBT_st_e_demand*1000*$AU127/100)*(DD127+DBT_st_ab_losses)/1000000)+Carriers!$T$18/Carriers!$T$23*((DD127+DBT_st_ab_losses)/365.25*short_st_duration_hrs/24)*(h2_short_st_invest*(1/gh2_short_st_lifetime+$M127+h2_short_st_opex)+h2_short_st_e_demand*1000*$AU127/100)/1000000</f>
        <v>4316.2995923408134</v>
      </c>
      <c r="DD127" s="63">
        <f>Storage!$M$57/((1-Shipping!$N$37)^($F127/24/Shipping!$N$44+0.5*Shipping!$N$59))</f>
        <v>219354838.70967743</v>
      </c>
      <c r="DE127" s="28">
        <f>IF($E127="","No Port",IF(AND(ship_choice="VLCC",G127="Panama"),"Ship cannot pass through Panama",IF(ship_choice="VLCC",((F127/24/Shipping!$AD$44+F127/24/Shipping!$AD$50+Shipping!$AD$59+Shipping!$AD$64)*(Shipping!$AD$22+wacc_nl*Shipping!$AD$19/365.25*1000000+Shipping!$AD$35)+(F127/24/Shipping!$AD$44*Shipping!$AD$45+Shipping!$AD$64*Shipping!$AD$65)*IF(bunker_choice="HFO",$H127,IF(bunker_choice="hydrogen",$BD127*hfo_e_density_lhv/h2_e_density_lhv,(DB127+DC127)*1000000/DD127*hfo_e_density_lhv/DBT_e_density_lhv))+(F127/24/Shipping!$AD$50*Shipping!$AD$51+Shipping!$AD$59*Shipping!$AD$60)*IF(bunker_choice="HFO",bunker_price_ROT,IF(bunker_choice="hydrogen",$BD127*hfo_e_density_lhv/h2_e_density_lhv,(DB127+DC127)*1000000/DD127*hfo_e_density_lhv/DBT_e_density_lhv))+Shipping!$AD$73+IF(G127="Panama",Shipping!$AD$55,0)+IF(G127="Suez",Shipping!$AD$56,0))/Shipping!$AD$31*DD127/1000000+IF(inland_transport_to_port="hv dc grid",$BM127/100*1000*DG127,IF(inland_transport_to_port="pipeline",$BN127,0)),((F127/24/Shipping!$N$44+F127/24/Shipping!$N$50+Shipping!$N$59+Shipping!$N$64)*(Shipping!$N$22+wacc_nl*Shipping!$N$19/365.25*1000000+Shipping!$N$35)+(F127/24/Shipping!$N$44*Shipping!$N$45+Shipping!$N$64*Shipping!$N$65)*IF(bunker_choice="HFO",$H127,IF(bunker_choice="hydrogen",$BD127*hfo_e_density_lhv/h2_e_density_lhv,(DB127+DC127)*1000000/DD127*hfo_e_density_lhv/DBT_e_density_lhv))+(F127/24/Shipping!$N$50*Shipping!$N$51+Shipping!$N$59*Shipping!$N$60)*IF(bunker_choice="HFO",bunker_price_ROT,IF(bunker_choice="hydrogen",$BD127*hfo_e_density_lhv/h2_e_density_lhv,(DB127+DC127)*1000000/DD127*hfo_e_density_lhv/DBT_e_density_lhv))+Shipping!$N$73+IF(G127="Panama",Shipping!$N$55,0)+IF(G127="Suez",Shipping!$N$56,0))/Shipping!$N$31*Shipping!$N$86/1000000+IF(inland_transport_to_port="hv dc grid",$BM127/100*1000*DG127,IF(inland_transport_to_port="pipeline",$BN127,0)))))</f>
        <v>13461.488362039137</v>
      </c>
      <c r="DF127" s="28">
        <f t="shared" si="159"/>
        <v>58663.841275203929</v>
      </c>
      <c r="DG127" s="29">
        <f>((Carriers!$T$18/Carriers!$T$23*alk_el_e_demand)+DBT_e_demand)*(DD127+DBT_st_ab_losses)/1000000+DBT_st_e_demand*DD127/1000000</f>
        <v>703.88335483870969</v>
      </c>
      <c r="DH127" s="29">
        <f t="shared" si="160"/>
        <v>0.21935483870967742</v>
      </c>
      <c r="DI127" s="28">
        <f>IFERROR(DF127*1000000/Storage!$M$12,"")</f>
        <v>267.43809993107669</v>
      </c>
      <c r="DJ127" s="28">
        <f>IF($E127="","No Port",((F127/24/Shipping!$N$44+F127/24/Shipping!$N$50+Shipping!$N$59+Shipping!$N$64)*Carriers!$T$39*wacc_nl))</f>
        <v>8475.8676617372403</v>
      </c>
      <c r="DK127" s="100">
        <f>H2_retrieval!$L$25*h2_demand_kt/1000+(co2_liq_e_demand+co2_st_e_demand*2)*Storage!$M$12*co2_density/DBT_density/1000000</f>
        <v>206.61934861671787</v>
      </c>
      <c r="DL127" s="28">
        <f>IFERROR(((DF127*(1+H2_retrieval!$L$34)+DJ127)*1000000/H2_retrieval!$L$8)+h2_regen_lohc,"")</f>
        <v>5407.3930848256459</v>
      </c>
      <c r="DM127" s="149">
        <f t="shared" si="175"/>
        <v>65234.096805696805</v>
      </c>
      <c r="DN127" s="16">
        <f>2*(nabh4_st_nl_cost*nabh4_st_nl_demand/1000000+(nabh4_st_invest*(M127+1/nabh4_st_lifetime+nabh4_st_opex)/(Storage!$O$63/1000000)+nabh4_st_e_demand*1000*$AU127/100)*(DO127+nabh4_st_ab_losses)/1000000)+(h2_demand_kt*1000/365.25*short_st_duration_hrs/24)*(h2_short_st_invest*(1/gh2_short_st_lifetime+$M127+h2_short_st_opex)+h2_short_st_e_demand*1000*$AU127/100)/1000000</f>
        <v>1544.1930921551975</v>
      </c>
      <c r="DO127" s="63">
        <f>Storage!$O$57/((1-Shipping!$P$37)^($F127/24/Shipping!$P$44+0.5*Shipping!$P$59))</f>
        <v>63920000</v>
      </c>
      <c r="DP127" s="16">
        <f>IF($E127="","No Port",((F127/24/Shipping!$P$44+F127/24/Shipping!$P$50+Shipping!$P$59+Shipping!$P$64)*(Shipping!$P$22+wacc_nl*Shipping!$P$19/365.25*1000000+Shipping!$P$35)+(F127/24/Shipping!$P$44*Shipping!$P$45+Shipping!$P$64*Shipping!$P$65)*IF(bunker_choice="HFO",$H127,IF(bunker_choice="hydrogen",$BD127*hfo_e_density_lhv/h2_e_density_lhv,(DM127+DN127)*1000000/DO127*hfo_e_density_lhv/nabh4_e_density_lhv))+(F127/24/Shipping!$P$50*Shipping!$P$51+Shipping!$P$59*Shipping!$P$60)*IF(bunker_choice="HFO",bunker_price_ROT,IF(bunker_choice="hydrogen",$BD127*hfo_e_density_lhv/h2_e_density_lhv,(DM127+DN127)*1000000/DO127*hfo_e_density_lhv/nabh4_e_density_lhv))+Shipping!$P$73+IF(G127="Panama",Shipping!$P$55,0)+IF(G127="Suez",Shipping!$P$56,0))/Shipping!$P$31*(DO127+nabh4_st_ab_losses)/1000000+IF(inland_transport_to_port="hv dc grid",$BM127/100*1000*DR127,IF(inland_transport_to_port="pipeline",$BN127,0)))</f>
        <v>3629.5642682662096</v>
      </c>
      <c r="DQ127" s="28">
        <f t="shared" si="146"/>
        <v>70407.85416611821</v>
      </c>
      <c r="DR127" s="29">
        <f>((Carriers!$V$18/Carriers!$V$23*alk_el_e_demand)+nabh4_e_demand)*(DO127+nabh4_st_ab_losses)/1000000+nabh4_st_e_demand*DO127/1000000</f>
        <v>980.02139682539689</v>
      </c>
      <c r="DS127" s="28">
        <f t="shared" si="161"/>
        <v>3.1960000000000002</v>
      </c>
      <c r="DT127" s="28">
        <f>IFERROR(DQ127*1000000/Storage!$O$12,"")</f>
        <v>1101.4995958403974</v>
      </c>
      <c r="DU127" s="28">
        <f>IF($E127="","No Port",((F127/24/Shipping!$P$44+F127/24/Shipping!$P$50+Shipping!$P$59+Shipping!$P$64)*Carriers!$V$39*wacc_nl))</f>
        <v>781.16700562398898</v>
      </c>
      <c r="DV127" s="100">
        <f>H2_retrieval!$N$25*h2_demand_kt/1000+(co2_liq_e_demand+co2_st_e_demand*2)*Storage!$O$12*co2_density/nabh4_density/1000000</f>
        <v>18.783638728971958</v>
      </c>
      <c r="DW127" s="28">
        <f>IFERROR(((DQ127*(1+H2_retrieval!$N$34)+DU127)*1000000/H2_retrieval!$N$8)+h2_regen_nabh4,"")</f>
        <v>5344.9020233230331</v>
      </c>
      <c r="DX127" s="149">
        <f>(Dme_invest*(M127+1/Dme_lifetime)/Dme_prod+Dme_opex+Dme_e_demand*1000*$AU127/100+Carriers!$X$21/Carriers!$X$23*(CO127*1000000/CS127))*(EB127+Dme_st_ab_losses)/1000000</f>
        <v>86734.995268574494</v>
      </c>
      <c r="DY127" s="86">
        <f>(Dme_invest*(M127+1/Dme_lifetime)/Dme_prod+Dme_opex+Dme_e_demand*1000*$AU127/100+Carriers!$X$21/Carriers!$X$23*(CP127*1000000/CS127))*(EB127+Dme_st_ab_losses)/1000000</f>
        <v>111270.97434564205</v>
      </c>
      <c r="DZ127" s="63">
        <f>Dme_st_nl_cost*Dme_st_nl_demand/1000000+(Dme_st_invest*(M127+1/Dme_st_lifetime+Dme_st_opex)/(Storage!$Q$63/1000000)+Dme_st_e_demand*1000*$AU127/100)*(EB127+Dme_st_ab_losses)/1000000+co2_st_nl_cost*Storage!$Q$12*co2_density/Dme_density/1000000+(co2_st_opex_lev+co2_st_invest_lev+co2_st_e_demand*1000*$AU127/100)*Storage!$Q$12/1000000+co2_st_invest_lev*Storage!$Q$12*co2_st_lifetime*M127/1000000+(h2_demand_kt*1000/365.25*short_st_duration_hrs/24)*(h2_short_st_invest*(1/gh2_short_st_lifetime+$M127+h2_short_st_opex)+h2_short_st_e_demand*1000*$AU127/100)/1000000</f>
        <v>6275.4181200302573</v>
      </c>
      <c r="EA127" s="63">
        <f>Dme_st_nl_cost*Dme_st_nl_demand/1000000+(Dme_st_invest*(M127+1/Dme_st_lifetime+Dme_st_opex)/(Storage!$Q$63/1000000)+Dme_st_e_demand*1000*$AU127/100)*(EB127+Dme_st_ab_losses)/1000000+(h2_demand_kt*1000/365.25*short_st_duration_hrs/24)*(h2_short_st_invest*(1/gh2_short_st_lifetime+$M127+h2_short_st_opex)+h2_short_st_e_demand*1000*$AU127/100)/1000000</f>
        <v>3152.5025749823317</v>
      </c>
      <c r="EB127" s="63">
        <f>Storage!$Q$57/((1-Shipping!$R$37)^($F127/24/Shipping!$R$44+0.5*Shipping!$R$59))</f>
        <v>103547089.94708996</v>
      </c>
      <c r="EC127" s="153">
        <f>IF($E127="","No Port",IF(AND(ship_choice="VLCC",G127="Panama"),"Ship cannot pass through Panama",IF(ship_choice="VLCC",((F127/24/Shipping!$AD$44+F127/24/Shipping!$AD$50+Shipping!$AD$59+Shipping!$AD$64)*(Shipping!$AD$22+wacc_nl*Shipping!$AD$19/365.25*1000000+Shipping!$AD$35)+(F127/24/Shipping!$AD$44*Shipping!$AD$45+Shipping!$AD$64*Shipping!$AD$65)*IF(bunker_choice="HFO",$H127,IF(bunker_choice="hydrogen",$BD127*hfo_e_density_lhv/h2_e_density_lhv,(DX127+DZ127)*1000000/EB127*hfo_e_density_lhv/Dme_e_density_lhv))+(F127/24/Shipping!$AD$50*Shipping!$AD$51+Shipping!$AD$59*Shipping!$AD$60)*IF(bunker_choice="HFO",bunker_price_ROT,IF(bunker_choice="hydrogen",$BD127*hfo_e_density_lhv/h2_e_density_lhv,(DX127+DZ127)*1000000/EB127*hfo_e_density_lhv/Dme_e_density_lhv))+Shipping!$AD$73+IF(G127="Panama",Shipping!$AD$55,0)+IF(G127="Suez",Shipping!$AD$56,0))/Shipping!$AD$31*(EB127+Dme_st_ab_losses)/1000000+IF(inland_transport_to_port="hv dc grid",$BM127/100*1000*EE127,IF(inland_transport_to_port="pipeline",$BN127,0)),((F127/24/Shipping!$R$44+F127/24/Shipping!$R$50+Shipping!$R$59+Shipping!$R$64)*(Shipping!$R$22+wacc_nl*Shipping!$R$19/365.25*1000000+Shipping!$R$35)+(F127/24/Shipping!$R$44*Shipping!$R$45+Shipping!$R$64*Shipping!$R$65)*IF(bunker_choice="HFO",$H127,IF(bunker_choice="hydrogen",$BD127*hfo_e_density_lhv/h2_e_density_lhv,(DX127+DZ127)*1000000/EB127*hfo_e_density_lhv/Dme_e_density_lhv))+(F127/24/Shipping!$R$50*Shipping!$R$51+Shipping!$R$59*Shipping!$R$60)*IF(bunker_choice="HFO",bunker_price_ROT,IF(bunker_choice="hydrogen",$BD127*hfo_e_density_lhv/h2_e_density_lhv,(DX127+DZ127)*1000000/EB127*hfo_e_density_lhv/Dme_e_density_lhv))+Shipping!$R$73+IF(G127="Panama",Shipping!$R$55,0)+IF(G127="Suez",Shipping!$R$56,0))/Shipping!$R$31*(EB127+Dme_st_ab_losses)/1000000+IF(inland_transport_to_port="hv dc grid",$BM127/100*1000*EE127,IF(inland_transport_to_port="pipeline",$BN127,0)))))</f>
        <v>7349.1668257981019</v>
      </c>
      <c r="ED127" s="28">
        <f t="shared" si="134"/>
        <v>121772.64374642249</v>
      </c>
      <c r="EE127" s="29">
        <f>(Dme_e_demand)*(EB127+Dme_st_ab_losses)/1000000+Dme_st_e_demand*DZ127/1000000+$CV127*(Carriers!$X$21/Carriers!$X$23*EB127)/$CS127</f>
        <v>1550.2168229212371</v>
      </c>
      <c r="EF127" s="29">
        <f t="shared" si="162"/>
        <v>1.0354708994708997</v>
      </c>
      <c r="EG127" s="28">
        <f>IFERROR(ED127*1000000/Storage!$Q$12,"")</f>
        <v>1176.0122260185713</v>
      </c>
      <c r="EH127" s="28">
        <f>IF($E127="","No Port",((F127/24/Shipping!$R$44+F127/24/Shipping!$R$50+Shipping!$R$59+Shipping!$R$64)*Carriers!$X$39*wacc_nl))</f>
        <v>121.14052881667122</v>
      </c>
      <c r="EI127" s="100">
        <f>H2_retrieval!$P$25*h2_demand_kt/1000+(co2_liq_e_demand+co2_st_e_demand*2)*Storage!$Q$12*co2_density/Dme_density/1000000</f>
        <v>252.45335899349112</v>
      </c>
      <c r="EJ127" s="28">
        <f>IFERROR((((DX127+DZ127+EC127)*(1+H2_retrieval!$P$34)+EH127)*1000000/H2_retrieval!$P$8)+h2_regen_dme,"")</f>
        <v>8558.4168331387282</v>
      </c>
      <c r="EK127" s="149">
        <f>(ome_invest*(M127+1/ome_lifetime)/ome_prod+ome_opex+ome_e_demand*1000*$AU127/100+Carriers!$Z$21/Carriers!$Z$23*(CO127*1000000/CS127))*(EO127+ome_st_ab_losses)/1000000</f>
        <v>190409.00897612009</v>
      </c>
      <c r="EL127" s="86">
        <f>(ome_invest*(M127+1/ome_lifetime)/ome_prod+ome_opex+ome_e_demand*1000*$AU127/100+Carriers!$Z$21/Carriers!$Z$23*(CP127*1000000/CS127))*(EO127+ome_st_ab_losses)/1000000</f>
        <v>241914.80530699875</v>
      </c>
      <c r="EM127" s="63">
        <f>ome_st_nl_cost*ome_st_nl_demand/1000000+(ome_st_invest*(M127+1/ome_st_lifetime+ome_st_opex)/(Storage!$S$63/1000000)+ome_st_e_demand*1000*$AU127/100)*(EO127+ome_st_ab_losses)/1000000+co2_st_nl_cost*Storage!$S$12*co2_density/ome_density/1000000+(co2_st_opex_lev+co2_st_invest_lev+co2_st_e_demand*1000*$AU127/100)*Storage!$S$12/1000000+co2_st_invest_lev*Storage!$S$12*co2_st_lifetime*M127/1000000+(h2_demand_kt*1000/365.25*short_st_duration_hrs/24)*(h2_short_st_invest*(1/gh2_short_st_lifetime+$M127+h2_short_st_opex)+h2_short_st_e_demand*1000*$AU127/100)/1000000</f>
        <v>5423.2949140086703</v>
      </c>
      <c r="EN127" s="63">
        <f>ome_st_nl_cost*ome_st_nl_demand/1000000+(ome_st_invest*(M127+1/ome_st_lifetime+ome_st_opex)/(Storage!$S$63/1000000)+ome_st_e_demand*1000*$AU127/100)*(EO127+ome_st_ab_losses)/1000000+(h2_demand_kt*1000/365.25*short_st_duration_hrs/24)*(h2_short_st_invest*(1/gh2_short_st_lifetime+$M127+h2_short_st_opex)+h2_short_st_e_demand*1000*$AU127/100)/1000000</f>
        <v>1893.341495733966</v>
      </c>
      <c r="EO127" s="63">
        <f>Storage!$S$57/((1-Shipping!$T$37)^($F127/24/Shipping!$T$44+0.5*Shipping!$T$59))</f>
        <v>128282539.68253967</v>
      </c>
      <c r="EP127" s="28">
        <f>IF($E127="","No Port",IF(AND(ship_choice="VLCC",G127="Panama"),"Ship cannot pass through Panama",IF(ship_choice="VLCC",((F127/24/Shipping!$AD$44+F127/24/Shipping!$AD$50+Shipping!$AD$59+Shipping!$AD$64)*(Shipping!$AD$22+wacc_nl*Shipping!$AD$19/365.25*1000000+Shipping!$AD$35)+(F127/24/Shipping!$AD$44*Shipping!$AD$45+Shipping!$AD$64*Shipping!$AD$65)*IF(bunker_choice="HFO",$H127,IF(bunker_choice="hydrogen",$BD127*hfo_e_density_lhv/h2_e_density_lhv,(EK127+EM127)*1000000/EO127*hfo_e_density_lhv/Dme_e_density_lhv))+(F127/24/Shipping!$AD$50*Shipping!$AD$51+Shipping!$AD$59*Shipping!$AD$60)*IF(bunker_choice="HFO",bunker_price_ROT,IF(bunker_choice="hydrogen",$BD127*hfo_e_density_lhv/h2_e_density_lhv,(EK127+EM127)*1000000/EO127*hfo_e_density_lhv/ome_e_density_lhv))+Shipping!$AD$73+IF(G127="Panama",Shipping!$AD$55,0)+IF(G127="Suez",Shipping!$AD$56,0))/Shipping!$AD$31*(EO127+ome_st_ab_losses)/1000000+IF(inland_transport_to_port="hv dc grid",$BM127/100*1000*ER127,IF(inland_transport_to_port="pipeline",$BN127,0)),((F127/24/Shipping!$T$44+F127/24/Shipping!$T$50+Shipping!$T$59+Shipping!$T$64)*(Shipping!$T$22+wacc_nl*Shipping!$T$19/365.25*1000000+Shipping!$T$35)+(F127/24/Shipping!$T$44*Shipping!$T$45+Shipping!$T$64*Shipping!$T$65)*IF(bunker_choice="HFO",$H127,IF(bunker_choice="hydrogen",$BD127*hfo_e_density_lhv/h2_e_density_lhv,(EK127+EM127)*1000000/EO127*hfo_e_density_lhv/Dme_e_density_lhv))+(F127/24/Shipping!$T$50*Shipping!$T$51+Shipping!$T$59*Shipping!$T$60)*IF(bunker_choice="HFO",bunker_price_ROT,IF(bunker_choice="hydrogen",$BD127*hfo_e_density_lhv/h2_e_density_lhv,(EK127+EM127)*1000000/EO127*hfo_e_density_lhv/ome_e_density_lhv))+Shipping!$T$73+IF(G127="Panama",Shipping!$T$55,0)+IF(G127="Suez",Shipping!$T$56,0))/Shipping!$T$31*(EO127+ome_st_ab_losses)/1000000+IF(inland_transport_to_port="hv dc grid",$BM127/100*1000*ER127,IF(inland_transport_to_port="pipeline",$BN127,0)))))</f>
        <v>8200.8755267645465</v>
      </c>
      <c r="EQ127" s="28">
        <f t="shared" si="135"/>
        <v>252009.02232949727</v>
      </c>
      <c r="ER127" s="29">
        <f>(ome_e_demand)*(EO127+ome_st_ab_losses)/1000000+ome_st_e_demand*EM127/1000000+$CV127*(Carriers!$Z$21/Carriers!$Z$23*EO127)/$CS127</f>
        <v>3352.0814582757257</v>
      </c>
      <c r="ES127" s="29">
        <f t="shared" si="163"/>
        <v>0.1924238095238095</v>
      </c>
      <c r="ET127" s="28">
        <f>IFERROR(EQ127*1000000/Storage!$S$12,"")</f>
        <v>1964.4841999008054</v>
      </c>
      <c r="EU127" s="28">
        <f>IF($E127="","No Port",((F127/24/Shipping!$T$44+F127/24/Shipping!$T$50+Shipping!$T$59+Shipping!$T$64)*Carriers!$Z$39*wacc_nl))</f>
        <v>138.17178677288325</v>
      </c>
      <c r="EV127" s="100">
        <f>H2_retrieval!$R$25*h2_demand_kt/1000+(co2_liq_e_demand+co2_st_e_demand*2)*Storage!$S$12*co2_density/ome_density/1000000</f>
        <v>254.51942895252085</v>
      </c>
      <c r="EW127" s="28">
        <f>IFERROR((((EK127+EM127+EP127)*(1+H2_retrieval!$R$34)+EU127)*1000000/H2_retrieval!$R$8)+h2_regen_ome,"")</f>
        <v>16182.727896406865</v>
      </c>
      <c r="EX127" s="149">
        <f>(sng_invest*(M127+1/sng_lifetime)/sng_prod+lng_invest*(M127+1/lng_lifetime)/lng_prod+sng_opex+lng_opex+(sng_e_demand+lng_e_demand)*1000*$AU127/100+Carriers!$AB$18/Carriers!$AB$23*BD127+Carriers!$AB$20/Carriers!$AB$23*co2_liq_cost)*(FB127+lng_st_ab_losses)/1000000</f>
        <v>67421.230680938956</v>
      </c>
      <c r="EY127" s="86">
        <f>(sng_invest*(M127+1/sng_lifetime)/sng_prod+lng_invest*(M127+1/lng_lifetime)/lng_prod+sng_opex+lng_opex+(sng_e_demand+lng_e_demand)*1000*$AU127/100+Carriers!$AB$18/Carriers!$AB$23*BD127+Carriers!$AB$20/Carriers!$AB$23*BP127)*(FB127+lng_st_ab_losses)/1000000</f>
        <v>81087.914229261951</v>
      </c>
      <c r="EZ127" s="63">
        <f>lng_st_nl_cost*lng_st_nl_demand/1000000+(lng_st_invest*(M127+1/lng_st_lifetime+lng_st_opex)/(Storage!$U$63/1000000)+lng_st_e_demand*1000*$AU127/100)*(FB127+lng_st_ab_losses)/1000000+co2_st_nl_cost*Storage!$U$12*co2_density/lng_density/1000000+(co2_st_opex_lev+co2_st_invest_lev+co2_st_e_demand*1000*$AU127/100)*Storage!$U$12/1000000+co2_st_invest_lev*Storage!$U$12*co2_st_lifetime*M127/1000000+Carriers!$AB$18/Carriers!$AB$23*((FB127+lng_st_ab_losses)/365.25*short_st_duration_hrs/24)*(h2_short_st_invest*(1/gh2_short_st_lifetime+$M127+h2_short_st_opex)+h2_short_st_e_demand*1000*$AU127/100)/1000000+Carriers!$AB$20/Carriers!$AB$23*((FB127+lng_st_ab_losses)/365.25*short_st_duration_hrs/24)*(co2_short_st_invest*(1/co2_short_st_lifetime+$M127+co2_short_st_opex)+co2_short_st_e_demand*1000*$AU127/100)/1000000</f>
        <v>6617.2162002989871</v>
      </c>
      <c r="FA127" s="63">
        <f>lng_st_nl_cost*lng_st_nl_demand/1000000+(lng_st_invest*(M127+1/lng_st_lifetime+lng_st_opex)/(Storage!$U$63/1000000)+lng_st_e_demand*1000*$AU127/100)*(FB127+lng_st_ab_losses)/1000000+Carriers!$AB$18/Carriers!$AB$23*((FB127+lng_st_ab_losses)/365.25*short_st_duration_hrs/24)*(h2_short_st_invest*(1/gh2_short_st_lifetime+$M127+h2_short_st_opex)+h2_short_st_e_demand*1000*$AU127/100)/1000000+Carriers!$AB$20/Carriers!$AB$23*((FB127+lng_st_ab_losses)/365.25*short_st_duration_hrs/24)*(co2_short_st_invest*(1/co2_short_st_lifetime+$M127+co2_short_st_opex)+co2_short_st_e_demand*1000*$AU127/100)/1000000</f>
        <v>4955.5359385201773</v>
      </c>
      <c r="FB127" s="63">
        <f>Storage!$U$57/((1-Shipping!$V$37)^($F127/24/Shipping!$V$44+0.5*Shipping!$V$59))</f>
        <v>41601524.103698507</v>
      </c>
      <c r="FC127" s="28">
        <f>IF($E127="","No Port",IF(G127="Panama","Ship cannot pass through Panama",((F127/24/Shipping!$V$44+F127/24/Shipping!$V$50+Shipping!$V$59+Shipping!$V$64)*(Shipping!$V$22+wacc_nl*Shipping!$V$19/365.25*1000000+Shipping!$V$35)+(F127/24/Shipping!$V$44*Shipping!$V$45+Shipping!$V$64*Shipping!$V$65)*IF(bunker_choice="HFO",$H127,IF(bunker_choice="hydrogen",$BD127*hfo_e_density_lhv/h2_e_density_lhv,(EX127+EZ127)*1000000/FB127*hfo_e_density_lhv/lng_e_density_lhv))+(F127/24/Shipping!$V$50*Shipping!$V$51+Shipping!$V$59*Shipping!$V$60)*IF(bunker_choice="HFO",bunker_price_ROT,IF(bunker_choice="hydrogen",$BD127*hfo_e_density_lhv/h2_e_density_lhv,(EX127+EZ127)*1000000/FB127*hfo_e_density_lhv/lng_e_density_lhv))+Shipping!$V$73+IF(G127="Panama",Shipping!$V$55,0)+IF(G127="Suez",Shipping!$V$56,0))/Shipping!$V$31*(FB127+lng_st_ab_losses)/1000000)+IF(inland_transport_to_port="hv dc grid",$BM127/100*1000*FE127,IF(inland_transport_to_port="pipeline",$BN127,0)))</f>
        <v>3002.2600704062652</v>
      </c>
      <c r="FD127" s="28">
        <f t="shared" si="136"/>
        <v>89045.710238188389</v>
      </c>
      <c r="FE127" s="29">
        <f>((Carriers!$AB$18/Carriers!$AB$23*alk_el_e_demand)+sng_e_demand+lng_e_demand)*(FB127+lng_st_ab_losses)/1000000+lng_st_e_demand*EZ127/1000000</f>
        <v>1115.7089190235647</v>
      </c>
      <c r="FF127" s="29">
        <f t="shared" si="164"/>
        <v>0.8126185861001558</v>
      </c>
      <c r="FG127" s="28">
        <f>IFERROR(FD127*1000000/Storage!$U$12,"")</f>
        <v>2194.1019027713814</v>
      </c>
      <c r="FH127" s="28">
        <f>IF($E127="","No Port",((F127/24/Shipping!$V$44+F127/24/Shipping!$V$50+Shipping!$V$59+Shipping!$V$64)*Carriers!$AB$39*wacc_nl))</f>
        <v>40.552363815295571</v>
      </c>
      <c r="FI127" s="100">
        <f>H2_retrieval!$T$25*h2_demand_kt/1000+(co2_liq_e_demand+co2_st_e_demand*2)*Storage!$U$12*co2_density/lng_density/1000000</f>
        <v>236.51371749646054</v>
      </c>
      <c r="FJ127" s="28">
        <f>IFERROR((((EX127+EZ127+FC127)*(1+H2_retrieval!$T$34)+FH127)*1000000/H2_retrieval!$T$8)+h2_regen_lng,"")</f>
        <v>6837.8681987446089</v>
      </c>
      <c r="FK127" s="149">
        <f>(lh2_invest*(M127+1/lh2_lifetime)/lh2_prod+lh2_opex+lh2_e_demand*1000*$AU127/100+Carriers!$AD$18/Carriers!$AD$23*BD127)*(FM127+lh2_st_ab_losses)/1000000</f>
        <v>54576.930111326132</v>
      </c>
      <c r="FL127" s="28">
        <f>lh2_st_nl_cost*lh2_st_nl_demand/1000000+(lh2_st_invest*(M127+1/lh2_st_lifetime+lh2_st_opex)/(Storage!$Y$63/1000000)+lh2_st_e_demand*1000*$AU127/100)*(FM127+lh2_st_ab_losses)/1000000+((FM127+lh2_st_ab_losses)/365.25*short_st_duration_hrs/24)*(h2_short_st_invest*(1/gh2_short_st_lifetime+$M127+h2_short_st_opex)+h2_short_st_e_demand*1000*$AU127/100)/1000000</f>
        <v>57427.395917662179</v>
      </c>
      <c r="FM127" s="63">
        <f>Storage!$Y$57/((1-Shipping!$Z$37)^($F127/24/Shipping!$Z$44+0.5*Shipping!$Z$59))</f>
        <v>14143475.554128975</v>
      </c>
      <c r="FN127" s="28">
        <f>IF($E127="","No Port",IF(G127="Panama","Ship cannot pass through Panama",((F127/24/Shipping!$Z$44+F127/24/Shipping!$Z$50+Shipping!$Z$59+Shipping!$Z$64)*(Shipping!$Z$22+wacc_nl*Shipping!$Z$19/365.25*1000000+Shipping!$Z$35)+(F127/24/Shipping!$Z$44*Shipping!$Z$45+Shipping!$Z$64*Shipping!$Z$65)*IF(bunker_choice="HFO",$H127,IF(bunker_choice="hydrogen",$BD127*hfo_e_density_lhv/h2_e_density_lhv,(FK127+FL127)*1000000/FM127*hfo_e_density_lhv/lh2_e_density_lhv))+(F127/24/Shipping!$Z$50*Shipping!$Z$51+Shipping!$Z$59*Shipping!$Z$60)*IF(bunker_choice="HFO",bunker_price_ROT,IF(bunker_choice="hydrogen",$BD127*hfo_e_density_lhv/h2_e_density_lhv,(FK127+FL127)*1000000/FM127*hfo_e_density_lhv/lh2_e_density_lhv))+Shipping!$Z$73+IF(G127="Panama",Shipping!$Z$55,0)+IF(G127="Suez",Shipping!$Z$56,0))/Shipping!$Z$31*(FM127+lh2_st_ab_losses)/1000000)+IF(inland_transport_to_port="hv dc grid",$BM127/100*1000*FP127,IF(inland_transport_to_port="pipeline",$BN127,0)))</f>
        <v>5135.8697262616315</v>
      </c>
      <c r="FO127" s="28">
        <f t="shared" si="128"/>
        <v>117140.19575524995</v>
      </c>
      <c r="FP127" s="29">
        <f>((Carriers!$AD$18/Carriers!$AD$23*alk_el_e_demand)+lh2_e_demand)*(FM127+lh2_st_ab_losses)/1000000+lh2_st_e_demand*FM127/1000000</f>
        <v>819.58198346744734</v>
      </c>
      <c r="FQ127" s="100">
        <f t="shared" si="165"/>
        <v>1.361902463475859</v>
      </c>
      <c r="FR127" s="28">
        <f>IFERROR(FO127*1000000/Storage!$Y$12,"")</f>
        <v>8613.2496878860256</v>
      </c>
      <c r="FS127" s="100">
        <f>H2_retrieval!$V$25*h2_demand_kt/1000</f>
        <v>8.16</v>
      </c>
      <c r="FT127" s="28">
        <f>IFERROR(FR127*(1+H2_retrieval!$V$34)/Carrier_properties!$U$7+H2_retrieval!$V$38,"")</f>
        <v>8645.2184137544937</v>
      </c>
      <c r="FU127" s="12"/>
      <c r="FV127" s="24">
        <f t="shared" si="129"/>
        <v>2.4823039667001878</v>
      </c>
      <c r="FW127" s="24">
        <f t="shared" si="143"/>
        <v>4.9065538871007064</v>
      </c>
      <c r="FX127" s="24">
        <f t="shared" si="144"/>
        <v>8.029825511281615</v>
      </c>
      <c r="FY127" s="24">
        <f t="shared" si="130"/>
        <v>2.4823039667001878</v>
      </c>
      <c r="FZ127" s="28">
        <f t="shared" si="145"/>
        <v>2751.9347967838657</v>
      </c>
      <c r="GA127" s="28">
        <f t="shared" si="137"/>
        <v>650.22723686906488</v>
      </c>
      <c r="GB127" s="28">
        <f t="shared" si="138"/>
        <v>472.89902637583043</v>
      </c>
      <c r="GC127" s="28">
        <f t="shared" si="139"/>
        <v>733.83331553568701</v>
      </c>
      <c r="GD127" s="28">
        <f t="shared" si="140"/>
        <v>1074.5929644425432</v>
      </c>
      <c r="GE127" s="28">
        <f t="shared" si="141"/>
        <v>1885.7968193151182</v>
      </c>
      <c r="GF127" s="28">
        <f t="shared" si="142"/>
        <v>1949.1572959475534</v>
      </c>
      <c r="GG127" s="12"/>
      <c r="GH127" s="12"/>
      <c r="GI127" s="12"/>
      <c r="GJ127" s="12"/>
      <c r="GK127" s="12"/>
      <c r="GL127" s="12"/>
      <c r="GM127" s="12"/>
      <c r="GN127" s="12"/>
      <c r="GO127" s="12"/>
      <c r="GP127" s="12"/>
      <c r="GQ127" s="12"/>
      <c r="GR127" s="12"/>
      <c r="GS127" s="12"/>
      <c r="GT127" s="12"/>
      <c r="GU127" s="12"/>
      <c r="GV127" s="12"/>
      <c r="GW127" s="12"/>
      <c r="GX127" s="12"/>
      <c r="GY127" s="12"/>
      <c r="GZ127" s="12"/>
      <c r="HA127" s="12"/>
      <c r="HB127" s="12"/>
      <c r="HC127" s="12"/>
      <c r="HD127" s="12"/>
      <c r="HE127" s="12"/>
      <c r="HF127" s="12"/>
    </row>
    <row r="128" spans="1:214" x14ac:dyDescent="0.2">
      <c r="A128" s="154" t="s">
        <v>129</v>
      </c>
      <c r="B128" s="12">
        <v>5901</v>
      </c>
      <c r="C128" s="12">
        <v>0.9</v>
      </c>
      <c r="D128" s="12">
        <f t="shared" si="111"/>
        <v>9.9999999999999978E-2</v>
      </c>
      <c r="E128" s="12" t="s">
        <v>782</v>
      </c>
      <c r="F128" s="12">
        <v>4055</v>
      </c>
      <c r="G128" s="12" t="s">
        <v>692</v>
      </c>
      <c r="H128" s="16">
        <f t="shared" si="166"/>
        <v>382.75862068965517</v>
      </c>
      <c r="I128" s="16">
        <v>2376000</v>
      </c>
      <c r="J128" s="16">
        <f t="shared" si="113"/>
        <v>869.65757029573808</v>
      </c>
      <c r="K128" s="16">
        <f t="shared" si="114"/>
        <v>1043.5890843548857</v>
      </c>
      <c r="L128" s="103">
        <v>0.125</v>
      </c>
      <c r="M128" s="103">
        <f t="shared" si="167"/>
        <v>0.12982270752073657</v>
      </c>
      <c r="N128" s="122">
        <f t="shared" si="116"/>
        <v>0.75</v>
      </c>
      <c r="O128" s="46">
        <f t="shared" si="168"/>
        <v>40</v>
      </c>
      <c r="P128" s="70">
        <f t="array" ref="P128">SUMPRODUCT(IF(Solar_data!A$4:A$777=A128,Solar_data!C$4:C$777),IF(Solar_data!A$4:A$777=A128,Solar_data!I$4:I$777))/SUMIF(Solar_data!A$4:A$777,A128,Solar_data!I$4:I$777)</f>
        <v>2340.0241261247711</v>
      </c>
      <c r="Q128" s="16">
        <f t="array" ref="Q128">MAX(IF(Solar_data!$A$777:'Solar_data'!$A$4=Country_details!$A128,Solar_data!$C$4:'Solar_data'!$C$777))</f>
        <v>2646.25</v>
      </c>
      <c r="R128" s="16">
        <f t="array" ref="R128">MIN(IF(Solar_data!$A$777:'Solar_data'!$A$4=Country_details!A128,Solar_data!$C$4:'Solar_data'!$C$777))</f>
        <v>1916.25</v>
      </c>
      <c r="S128" s="24">
        <f t="shared" si="149"/>
        <v>2.3803963149323337</v>
      </c>
      <c r="T128" s="24">
        <f t="shared" si="150"/>
        <v>2.1049352127275047</v>
      </c>
      <c r="U128" s="24">
        <f t="shared" si="151"/>
        <v>2.9068152937665541</v>
      </c>
      <c r="V128" s="16">
        <f t="array" ref="V128">SUM(IF(Solar_data!$A$777:'Solar_data'!$A$4=Country_details!$A128,Solar_data!$I$4:'Solar_data'!$I$777))</f>
        <v>19581.224279893202</v>
      </c>
      <c r="W128" s="148"/>
      <c r="X128" s="16" t="str">
        <f>IFERROR(INDEX(Onshore_wind_data!$J$5:'Onshore_wind_data'!$J$221,MATCH(A128,Onshore_wind_data!$B$5:'Onshore_wind_data'!$B$221,0)),"")</f>
        <v/>
      </c>
      <c r="Y128" s="16" t="str">
        <f>IFERROR(INDEX(Onshore_wind_data!$K$5:'Onshore_wind_data'!$K$221,MATCH(A128,Onshore_wind_data!$B$5:'Onshore_wind_data'!$B$221,0)),"")</f>
        <v/>
      </c>
      <c r="Z128" s="16" t="str">
        <f>IFERROR(INDEX(Onshore_wind_data!$L$5:'Onshore_wind_data'!$L$221,MATCH(A128,Onshore_wind_data!$B$5:'Onshore_wind_data'!$B$221,0)),"")</f>
        <v/>
      </c>
      <c r="AA128" s="24" t="str">
        <f t="shared" si="169"/>
        <v/>
      </c>
      <c r="AB128" s="24" t="str">
        <f t="shared" si="170"/>
        <v/>
      </c>
      <c r="AC128" s="24" t="str">
        <f t="shared" si="171"/>
        <v/>
      </c>
      <c r="AD128" s="16">
        <f>IFERROR(INDEX(Onshore_wind_data!$I$5:'Onshore_wind_data'!$I$221,MATCH(A128,Onshore_wind_data!$B$5:'Onshore_wind_data'!$B$221,0)),"")</f>
        <v>0</v>
      </c>
      <c r="AE128" s="148"/>
      <c r="AF128" s="16" t="str">
        <f>INDEX(Offshore_wind_data!$AA$7:$AA$192,MATCH(Country_details!A128,Offshore_wind_data!$A$7:$A$192,0))</f>
        <v/>
      </c>
      <c r="AG128" s="16" t="str">
        <f>INDEX(Offshore_wind_data!$Y$7:$Y$192,MATCH(Country_details!A128,Offshore_wind_data!$A$7:$A$192,0))</f>
        <v/>
      </c>
      <c r="AH128" s="16" t="str">
        <f>INDEX(Offshore_wind_data!$Z$7:$Z$192,MATCH(Country_details!A128,Offshore_wind_data!$A$7:$A$192,0))</f>
        <v/>
      </c>
      <c r="AI128" s="24" t="str">
        <f t="shared" si="152"/>
        <v/>
      </c>
      <c r="AJ128" s="24" t="str">
        <f t="shared" si="153"/>
        <v/>
      </c>
      <c r="AK128" s="24" t="str">
        <f t="shared" si="154"/>
        <v/>
      </c>
      <c r="AL128" s="16">
        <f>INDEX(Offshore_wind_data!$W$7:$W$191,MATCH(A128,Offshore_wind_data!$A$7:$A$191,0))</f>
        <v>0</v>
      </c>
      <c r="AM128" s="148"/>
      <c r="AN128" s="12">
        <v>40.4</v>
      </c>
      <c r="AO128" s="12">
        <v>80.400000000000006</v>
      </c>
      <c r="AP128" s="34">
        <f>0.374*11.63</f>
        <v>4.3496200000000007</v>
      </c>
      <c r="AQ128" s="15">
        <f t="shared" si="155"/>
        <v>50</v>
      </c>
      <c r="AR128" s="12">
        <f t="shared" si="131"/>
        <v>4020.0000000000005</v>
      </c>
      <c r="AS128" s="16">
        <f t="shared" si="121"/>
        <v>15561.224279893202</v>
      </c>
      <c r="AT128" s="12"/>
      <c r="AU128" s="24">
        <f t="shared" si="147"/>
        <v>2.3803963149323337</v>
      </c>
      <c r="AV128" s="16">
        <f t="shared" si="148"/>
        <v>2340.0241261247711</v>
      </c>
      <c r="AW128" s="149">
        <f>HV_DC_Grid!$E$3/(1-AX128)*AU128/100*1000</f>
        <v>2714.3838355380735</v>
      </c>
      <c r="AX128" s="31">
        <f>(1-(1-HV_DC_Grid!$E$25)^(B128*C128*HV_DC_Grid!$E$8/1000))+(1-(1-HV_DC_Grid!$E$26)^(B128*D128*HV_DC_Grid!$E$8/1000))+HV_DC_Grid!$E$35*HV_DC_Grid!$E$28</f>
        <v>0.12304358588973584</v>
      </c>
      <c r="AY128" s="28">
        <f>B128*nl_e_demand/IF(hv_dc_flh="electricity FLH",$AV128,hv_dc_custom)*1000*hv_dc_capacity_multiplier*hv_dc_length_multiplier*1000*(C128*hv_dc_overhead_invest*(hv_dc_overhead_opex+M128+1/hv_dc_lifetime)+D128*hv_dc_sea_invest*(hv_dc_sea_opex+M128+1/hv_dc_lifetime))/1000000+HV_DC_Grid!$E$10*1000*hv_dc_station_invest*hv_dc_station_number*(hv_dc_station_opex+M128+1/hv_dc_lifetime)/1000000</f>
        <v>6675.3537144388338</v>
      </c>
      <c r="AZ128" s="24">
        <f>(AW128+AY128)/(HV_DC_Grid!$E$3*1000)*100</f>
        <v>9.3897375499769087</v>
      </c>
      <c r="BA128" s="28">
        <f>MIN(((Carriers!$F$26+Carriers!$F$27)*(alk_el_opex+wacc_nl+1/alk_el_lifetime)+IF(hv_dc_flh="electricity FLH",$AV128,hv_dc_custom)*AZ128/100)/(IF(hv_dc_flh="electricity FLH",$AV128,hv_dc_custom)/alk_el_e_demand)*1000,((Carriers!$H$26+Carriers!$H$27)*(pem_el_opex+wacc_nl+1/pem_el_lifetime)+IF(hv_dc_flh="electricity FLH",$AV128,hv_dc_custom)*AZ128/100)/(IF(hv_dc_flh="electricity FLH",$AV128,hv_dc_custom)/pem_el_e_demand)*1000)</f>
        <v>5147.5545892902819</v>
      </c>
      <c r="BB128" s="12"/>
      <c r="BC128" s="12"/>
      <c r="BD128" s="149">
        <f>MIN(((Carriers!$F$26+Carriers!$F$27)*(alk_el_opex+M128+1/alk_el_lifetime)+$AV128*$AU128/100)/($AV128/alk_el_e_demand)*1000,((Carriers!$H$26+Carriers!$H$27)*(pem_el_opex+M128+1/pem_el_lifetime)+$AV128*$AU128/100)/($AV128/pem_el_e_demand)*1000)</f>
        <v>2706.9178052524071</v>
      </c>
      <c r="BE128" s="28">
        <f>Storage!$AC$50</f>
        <v>8.1664117557772418</v>
      </c>
      <c r="BF128" s="28">
        <f>((Pipeline!$D$22*Pipeline!$D$24*B128*(pipeline_opex+M128+1/pipeline_lifetime))*(Pipeline!$D$39/Pipeline!$D$3)+(Pipeline!$D$57*(pipeline_comp_opex+M128+1/pipeline_comp_lifetime)+Pipeline!$D$47*1000*Pipeline!$D$45*$AU128/100/1000000))*(Pipeline!$D$75/Pipeline!$D$45)</f>
        <v>13600.773310264</v>
      </c>
      <c r="BG128" s="28">
        <f>BD128+(BE128+BF128)/Storage!$AC$12*1000000</f>
        <v>3707.5751377538613</v>
      </c>
      <c r="BH128" s="28"/>
      <c r="BI128" s="28"/>
      <c r="BJ128" s="28">
        <f>IF($E128="","No Port",BK128*HV_DC_Grid!$E$3*$AU128/100*1000)</f>
        <v>80.924677712930361</v>
      </c>
      <c r="BK128" s="31">
        <f>IFERROR((1-(1-HV_DC_Grid!$E$25)^(K128*HV_DC_Grid!$E$8/1000))+HV_DC_Grid!$E$35*HV_DC_Grid!$E$28,"")</f>
        <v>3.3996304399097829E-2</v>
      </c>
      <c r="BL128" s="28">
        <f>IFERROR(K128*nl_e_demand/IF(hv_dc_flh="electricity FLH",$AV128,hv_dc_custom)*1000*hv_dc_capacity_multiplier*hv_dc_length_multiplier*1000*(hv_dc_overhead_invest*(hv_dc_overhead_opex+M128+1/hv_dc_lifetime))/1000000+HV_DC_Grid!$E$10*1000*hv_dc_station_invest*hv_dc_station_number*(hv_dc_station_opex+M128+1/hv_dc_lifetime)/1000000,"")</f>
        <v>1343.329849925326</v>
      </c>
      <c r="BM128" s="29">
        <f>IFERROR((BJ128+BL128)/(HV_DC_Grid!$E$3*1000)*100,"")</f>
        <v>1.4242545276382563</v>
      </c>
      <c r="BN128" s="28">
        <f>IFERROR(((Pipeline!$D$22*Pipeline!$D$24*K128*(pipeline_opex+M128+1/pipeline_lifetime))*(Pipeline!$D$39/Pipeline!$D$3)+(Pipeline!$D$57*(pipeline_comp_opex+M128+1/pipeline_comp_lifetime)+Pipeline!$D$47*1000*Pipeline!$D$45*S128/100/1000000))*(Pipeline!$D$75/Pipeline!$D$45),"")</f>
        <v>2470.8640656540842</v>
      </c>
      <c r="BO128" s="28"/>
      <c r="BP128" s="150">
        <f t="shared" si="172"/>
        <v>114.50353349249612</v>
      </c>
      <c r="BQ128" s="34">
        <f t="shared" si="173"/>
        <v>34.334741978969227</v>
      </c>
      <c r="BR128" s="151">
        <f>(nh3_invest*(M128+1/nh3_lifetime)/nh3_prod+nh3_opex+nh3_e_demand*1000*$AU128/100+Carriers!$N$18/Carriers!$N$23*BD128+Carriers!$N$19/Carriers!$N$23*BQ128)*(BT128+nh3_st_ab_losses)/1000000</f>
        <v>49380.077614761263</v>
      </c>
      <c r="BS128" s="63">
        <f>nh3_st_nl_cost*nh3_st_nl_demand/1000000+(nh3_st_invest*(M128+1/nh3_st_lifetime+nh3_st_opex)/(Storage!$G$63/1000000)+nh3_st_e_demand*1000*$AU128/100)*(BT128+nh3_st_ab_losses)/1000000+Carriers!$N$18/Carriers!$N$23*((BT128+nh3_st_ab_losses)/365.25*short_st_duration_hrs/24)*(h2_short_st_invest*(1/gh2_short_st_lifetime+$M128+h2_short_st_opex)+h2_short_st_e_demand*1000*$AU128/100)/1000000+Carriers!$N$19/Carriers!$N$23*((BT128+nh3_st_ab_losses)/365.25*short_st_duration_hrs/24)*(n2_short_st_invest*(1/n2_short_st_lifetime+$M128+n2_short_st_opex)+n2_short_st_e_demand*1000*$AU128/100)/1000000</f>
        <v>3485.2553469776472</v>
      </c>
      <c r="BT128" s="63">
        <f>Storage!$G$57/((1-Shipping!$H$37)^(F128/24/Shipping!$H$44+0.5*Shipping!$H$59))</f>
        <v>78852157.596759215</v>
      </c>
      <c r="BU128" s="63">
        <f>IF($E128="","No Port",((F128/24/Shipping!$H$44+F128/24/Shipping!$H$50+Shipping!$H$59+Shipping!$H$64)*(Shipping!$H$22+wacc_nl*Shipping!$H$19/365.25*1000000+Shipping!$H$35)+(F128/24/Shipping!$H$44*Shipping!$H$45+Shipping!$H$64*Shipping!$H$65)*IF(bunker_choice="HFO",H128,IF(bunker_choice="hydrogen",BD128*hfo_e_density_lhv/h2_e_density_lhv,(BR128+BS128)*1000000/BT128*hfo_e_density_lhv/nh3_e_density_lhv))+(F128/24/Shipping!$H$50*Shipping!$H$51+Shipping!$H$59*Shipping!$H$60)*IF(bunker_choice="HFO",bunker_price_ROT,IF(bunker_choice="hydrogen",BD128*hfo_e_density_lhv/h2_e_density_lhv,(BR128+BS128)*1000000/BT128*hfo_e_density_lhv/nh3_e_density_lhv))+Shipping!$H$73+IF(G128="Panama",Shipping!$H$55,0)+IF(G128="Suez",Shipping!$H$56,0))/Shipping!$H$31*BT128/1000000+IF(inland_transport_to_port="hv dc grid",$BM128/100*1000*BW128,IF(inland_transport_to_port="pipeline",$BN128,0)))</f>
        <v>5693.5093077927631</v>
      </c>
      <c r="BV128" s="63">
        <f t="shared" si="174"/>
        <v>58558.842269531669</v>
      </c>
      <c r="BW128" s="33">
        <f>((Carriers!$N$18/Carriers!$N$23*alk_el_e_demand)+(Carriers!$N$19/Carriers!$N$23*n2_e_demand)+nh3_e_demand)*(BT128+nh3_st_ab_losses)/1000000+nh3_st_e_demand*BT128/1000000</f>
        <v>778.68644369897186</v>
      </c>
      <c r="BX128" s="33">
        <f t="shared" si="156"/>
        <v>0.76626754477640768</v>
      </c>
      <c r="BY128" s="63">
        <f>IFERROR(BV128*1000000/Storage!$G$12,"")</f>
        <v>764.84555982844176</v>
      </c>
      <c r="BZ128" s="63">
        <f>H2_retrieval!$F$25*h2_demand_kt/1000</f>
        <v>80</v>
      </c>
      <c r="CA128" s="63">
        <f>IFERROR(BY128*(1+H2_retrieval!$F$34)/Carrier_properties!$E$7+H2_retrieval!$F$38,"")</f>
        <v>4715.0232053445934</v>
      </c>
      <c r="CB128" s="149">
        <f>(FA_invest*(M128+1/FA_lifetime)/FA_prod+FA_opex+FA_e_demand*1000*$AU128/100+Carriers!$P$18/Carriers!$P$23*BD128+Carriers!$P$20/Carriers!$P$23*co2_liq_cost)*(CF128+FA_st_ab_losses)/1000000</f>
        <v>99114.670329852321</v>
      </c>
      <c r="CC128" s="86">
        <f>(FA_invest*(M128+1/FA_lifetime)/FA_prod+FA_opex+FA_e_demand*1000*$AU128/100+Carriers!$P$18/Carriers!$P$23*BD128+Carriers!$P$20/Carriers!$P$23*BP128)*(CF128+FA_st_ab_losses)/1000000</f>
        <v>126750.97930420731</v>
      </c>
      <c r="CD128" s="63">
        <f>FA_st_nl_cost*FA_st_nl_demand/1000000+(FA_st_invest*(M128+1/FA_st_lifetime+FA_st_opex)/(Storage!$I$63/1000000)+FA_st_e_demand*1000*$AU128/100)*(CF128+FA_st_ab_losses)/1000000+co2_st_nl_cost*Storage!$I$12*co2_density/FA_density/1000000+(co2_st_opex_lev+co2_st_invest_lev+co2_st_e_demand*1000*$AU128/100)*Storage!$I$12/1000000+co2_st_invest_lev*Storage!$I$12*co2_st_lifetime*M128/1000000+Carriers!$P$18/Carriers!$P$23*((CF128+FA_st_ab_losses)/365.25*short_st_duration_hrs/24)*(h2_short_st_invest*(1/gh2_short_st_lifetime+$M128+h2_short_st_opex)+h2_short_st_e_demand*1000*$AU128/100)/1000000+Carriers!$P$20/Carriers!$P$23*((CF128+FA_st_ab_losses)/365.25*short_st_duration_hrs/24)*(co2_short_st_invest*(1/co2_short_st_lifetime+$M128+co2_short_st_opex)+co2_short_st_e_demand*1000*$AU128/100)/1000000</f>
        <v>11839.765846130791</v>
      </c>
      <c r="CE128" s="63">
        <f>FA_st_nl_cost*FA_st_nl_demand/1000000+(FA_st_invest*(M128+1/FA_st_lifetime+FA_st_opex)/(Storage!$I$63/1000000)+FA_st_e_demand*1000*$AU128/100)*(CF128+FA_st_ab_losses)/1000000+Carriers!$P$18/Carriers!$P$23*((CF128+FA_st_ab_losses)/365.25*short_st_duration_hrs/24)*(h2_short_st_invest*(1/gh2_short_st_lifetime+$M128+h2_short_st_opex)+h2_short_st_e_demand*1000*$AU128/100)/1000000+Carriers!$P$20/Carriers!$P$23*((CF128+FA_st_ab_losses)/365.25*short_st_duration_hrs/24)*(co2_short_st_invest*(1/co2_short_st_lifetime+$M128+co2_short_st_opex)+co2_short_st_e_demand*1000*$AU128/100)/1000000</f>
        <v>5177.1810259288904</v>
      </c>
      <c r="CF128" s="63">
        <f>Storage!$I$57/((1-Shipping!$J$37)^($F128/24/Shipping!$J$44+0.5*Shipping!$J$59))</f>
        <v>310425396.82539684</v>
      </c>
      <c r="CG128" s="28">
        <f>IF($E128="","No Port",((F128/24/Shipping!$J$44+F128/24/Shipping!$J$50+Shipping!$J$59+Shipping!$J$64)*(Shipping!$J$22+wacc_nl*Shipping!$J$19/365.25*1000000+Shipping!$J$35)+(F128/24/Shipping!$J$44*Shipping!$J$45+Shipping!$J$64*Shipping!$J$65)*IF(bunker_choice="HFO",$H128,IF(bunker_choice="hydrogen",$BD128*hfo_e_density_lhv/h2_e_density_lhv,(CB128+CD128)*1000000/CF128*hfo_e_density_lhv/FA_e_density_lhv))+(F128/24/Shipping!$J$50*Shipping!$J$51+Shipping!$J$59*Shipping!$J$60)*IF(bunker_choice="HFO",bunker_price_ROT,IF(bunker_choice="hydrogen",$BD128*hfo_e_density_lhv/h2_e_density_lhv,(CB128+CD128)*1000000/CF128*hfo_e_density_lhv/FA_e_density_lhv))+Shipping!$J$73+IF(G128="Panama",Shipping!$J$55,0)+IF(G128="Suez",Shipping!$J$56,0))/Shipping!$J$31*CF128/1000000+IF(inland_transport_to_port="hv dc grid",$BM128/100*1000*CI128,IF(inland_transport_to_port="pipeline",$BN128,0)))</f>
        <v>16469.709695456309</v>
      </c>
      <c r="CH128" s="28">
        <f t="shared" si="132"/>
        <v>148397.87002559251</v>
      </c>
      <c r="CI128" s="29">
        <f>((Carriers!$P$18/Carriers!$P$23*alk_el_e_demand)+FA_e_demand)*(CF128+FA_st_ab_losses)/1000000+FA_st_e_demand*CF128/1000000</f>
        <v>1897.8881241622576</v>
      </c>
      <c r="CJ128" s="29">
        <f t="shared" si="157"/>
        <v>0.46563809523809524</v>
      </c>
      <c r="CK128" s="28">
        <f>IFERROR(CH128*1000000/Storage!$I$12,"")</f>
        <v>478.04680784240401</v>
      </c>
      <c r="CL128" s="28">
        <f>IF($E128="","No Port",((F128/24/Shipping!$J$44+F128/24/Shipping!$J$50+Shipping!$J$59+Shipping!$J$64)*Carriers!$P$39*wacc_nl))</f>
        <v>212.80770107637798</v>
      </c>
      <c r="CM128" s="29">
        <f>H2_retrieval!$H$25*h2_demand_kt/1000+(co2_liq_e_demand+co2_st_e_demand*2)*Storage!$I$12*co2_density/FA_density/1000000</f>
        <v>94.204253879484654</v>
      </c>
      <c r="CN128" s="28">
        <f>IFERROR((((CB128+CD128+CG128)*(1+H2_retrieval!$H$34)+CL128)*1000000/H2_retrieval!$H$8)+h2_regen_fa,"")</f>
        <v>9474.7574833931176</v>
      </c>
      <c r="CO128" s="149">
        <f>(meoh_invest*(M128+1/meoh_lifetime)/meoh_prod+meoh_opex+meoh_e_demand*1000*$AU128/100+Carriers!$R$18/Carriers!$R$23*BD128+Carriers!$R$20/Carriers!$R$23*co2_liq_cost)*(CS128+meoh_st_ab_losses)/1000000</f>
        <v>59459.760108090843</v>
      </c>
      <c r="CP128" s="86">
        <f>(meoh_invest*(M128+1/meoh_lifetime)/meoh_prod+meoh_opex+meoh_e_demand*1000*$AU128/100+Carriers!$R$18/Carriers!$R$23*BD128+Carriers!$R$20/Carriers!$R$23*BP128)*(CS128+meoh_st_ab_losses)/1000000</f>
        <v>75683.126659647431</v>
      </c>
      <c r="CQ128" s="63">
        <f>meoh_st_nl_cost*meoh_st_nl_demand/1000000+(meoh_st_invest*(M128+1/meoh_st_lifetime+meoh_st_opex)/(Storage!$K$63/1000000)+meoh_st_e_demand*1000*$AU128/100)*(CS128+meoh_st_ab_losses)/1000000+co2_st_nl_cost*Storage!$K$12*co2_density/meoh_density/1000000+(co2_st_opex_lev+co2_st_invest_lev+co2_st_e_demand*1000*IFERROR(MIN(S128,AA128,AI128),S128)/100)*Storage!$K$12/1000000+co2_st_invest_lev*Storage!$K$12*co2_st_lifetime*M128/1000000+Carriers!$R$18/Carriers!$R$23*((CS128+meoh_st_ab_losses)/365.25*short_st_duration_hrs/24)*(h2_short_st_invest*(1/gh2_short_st_lifetime+$M128+h2_short_st_opex)+h2_short_st_e_demand*1000*$AU128/100)/1000000+Carriers!$R$20/Carriers!$R$23*((CF128+meoh_st_ab_losses)/365.25*short_st_duration_hrs/24)*(co2_short_st_invest*(1/co2_short_st_lifetime+$M128+co2_short_st_opex)+co2_short_st_e_demand*1000*$AU128/100)/1000000</f>
        <v>4963.4263231861223</v>
      </c>
      <c r="CR128" s="63">
        <f>meoh_st_nl_cost*meoh_st_nl_demand/1000000+(meoh_st_invest*(M128+1/meoh_st_lifetime+meoh_st_opex)/(Storage!$K$63/1000000)+meoh_st_e_demand*1000*$AU128/100)*(CS128+meoh_st_ab_losses)/1000000+Carriers!$R$18/Carriers!$R$23*((CS128+meoh_st_ab_losses)/365.25*short_st_duration_hrs/24)*(h2_short_st_invest*(1/gh2_short_st_lifetime+$M128+h2_short_st_opex)+h2_short_st_e_demand*1000*$AU128/100)/1000000+Carriers!$R$20/Carriers!$R$23*((CF128+meoh_st_ab_losses)/365.25*short_st_duration_hrs/24)*(co2_short_st_invest*(1/co2_short_st_lifetime+$M128+co2_short_st_opex)+co2_short_st_e_demand*1000*$AU128/100)/1000000</f>
        <v>2045.4972422469241</v>
      </c>
      <c r="CS128" s="63">
        <f>Storage!$K$57/((1-Shipping!$L$37)^($F128/24/Shipping!$L$44+0.5*Shipping!$L$59))</f>
        <v>108044444.44444443</v>
      </c>
      <c r="CT128" s="28">
        <f>IF($E128="","No Port",IF(AND(ship_choice="VLCC",G128="Panama"),"Ship cannot pass through Panama",IF(ship_choice="VLCC",((F128/24/Shipping!$AD$44+F128/24/Shipping!$AD$50+Shipping!$AD$59+Shipping!$AD$64)*(Shipping!$AD$22+wacc_nl*Shipping!$AD$19/365.25*1000000+Shipping!$AD$35)+(F128/24/Shipping!$AD$44*Shipping!$AD$45+Shipping!$AD$64*Shipping!$AD$65)*IF(bunker_choice="HFO",$H128,IF(bunker_choice="hydrogen",$BD128*hfo_e_density_lhv/h2_e_density_lhv,(CO128+CQ128)*1000000/CS128*hfo_e_density_lhv/meoh_e_density_lhv))+(F128/24/Shipping!$AD$50*Shipping!$AD$51+Shipping!$AD$59*Shipping!$AD$60)*IF(bunker_choice="HFO",bunker_price_ROT,IF(bunker_choice="hydrogen",$BD128*hfo_e_density_lhv/h2_e_density_lhv,(CO128+CQ128)*1000000/CS128*hfo_e_density_lhv/meoh_e_density_lhv))+Shipping!$AD$73+IF(G128="Panama",Shipping!$AD$55,0)+IF(G128="Suez",Shipping!$AD$56,0))/Shipping!$AD$31*CS128/1000000+IF(inland_transport_to_port="hv dc grid",$BM128/100*1000*CV128,IF(inland_transport_to_port="pipeline",$BN128,0)),((F128/24/Shipping!$L$44+F128/24/Shipping!$L$50+Shipping!$L$59+Shipping!$L$64)*(Shipping!$L$22+wacc_nl*Shipping!$L$19/365.25*1000000+Shipping!$L$35)+(F128/24/Shipping!$L$44*Shipping!$L$45+Shipping!$L$64*Shipping!$L$65)*IF(bunker_choice="HFO",$H128,IF(bunker_choice="hydrogen",$BD128*hfo_e_density_lhv/h2_e_density_lhv,(CO128+CQ128)*1000000/CS128*hfo_e_density_lhv/meoh_e_density_lhv))+(F128/24/Shipping!$L$50*Shipping!$L$51+Shipping!$L$59*Shipping!$L$60)*IF(bunker_choice="HFO",bunker_price_ROT,IF(bunker_choice="hydrogen",$BD128*hfo_e_density_lhv/h2_e_density_lhv,(CO128+CQ128)*1000000/CS128*hfo_e_density_lhv/meoh_e_density_lhv))+Shipping!$L$73+IF(G128="Panama",Shipping!$L$55,0)+IF(G128="Suez",Shipping!$L$56,0))/Shipping!$L$31*CS128/1000000+IF(inland_transport_to_port="hv dc grid",$BM128/100*1000*CV128,IF(inland_transport_to_port="pipeline",$BN128,0)))))</f>
        <v>7149.8582413341119</v>
      </c>
      <c r="CU128" s="28">
        <f t="shared" si="133"/>
        <v>84878.482143228466</v>
      </c>
      <c r="CV128" s="29">
        <f>((Carriers!$R$18/Carriers!$R$23*alk_el_e_demand)+meoh_e_demand)*(CS128+meoh_st_ab_losses)/1000000+meoh_st_e_demand*CS128/1000000</f>
        <v>1119.9789871111109</v>
      </c>
      <c r="CW128" s="29">
        <f t="shared" si="158"/>
        <v>0.16206666666666666</v>
      </c>
      <c r="CX128" s="28">
        <f>IFERROR(CU128*1000000/Storage!$K$12,"")</f>
        <v>785.58858421334457</v>
      </c>
      <c r="CY128" s="28">
        <f>IF($E128="","No Port",((F128/24/Shipping!$L$44+F128/24/Shipping!$L$50+Shipping!$L$59+Shipping!$L$64)*Carriers!$R$39*wacc_nl))</f>
        <v>76.085229819027063</v>
      </c>
      <c r="CZ128" s="29">
        <f>H2_retrieval!$J$25*h2_demand_kt/1000+(co2_liq_e_demand+co2_st_e_demand*2)*Storage!$K$12*co2_density/meoh_density/1000000</f>
        <v>251.05079059698966</v>
      </c>
      <c r="DA128" s="28">
        <f>IFERROR((((CO128+CQ128+CT128)*(1+H2_retrieval!$J$34)+CY128)*1000000/H2_retrieval!$J$8)+h2_regen_meoh,"")</f>
        <v>6438.4469183747997</v>
      </c>
      <c r="DB128" s="149">
        <f>(DBT_invest*(M128+1/DBT_lifetime)/DBT_prod+DBT_opex+DBT_e_demand*1000*$AU128/100+Carriers!$T$18/Carriers!$T$23*BD128)*(DD128+DBT_st_ab_losses)/1000000</f>
        <v>40115.871541746528</v>
      </c>
      <c r="DC128" s="28">
        <f>2*(DBT_st_nl_cost*DBT_st_nl_demand/1000000+(DBT_st_invest*(M128+1/DBT_st_lifetime+DBT_st_opex)/(Storage!$M$63/1000000)+DBT_st_e_demand*1000*$AU128/100)*(DD128+DBT_st_ab_losses)/1000000)+Carriers!$T$18/Carriers!$T$23*((DD128+DBT_st_ab_losses)/365.25*short_st_duration_hrs/24)*(h2_short_st_invest*(1/gh2_short_st_lifetime+$M128+h2_short_st_opex)+h2_short_st_e_demand*1000*$AU128/100)/1000000</f>
        <v>4208.6581093099439</v>
      </c>
      <c r="DD128" s="63">
        <f>Storage!$M$57/((1-Shipping!$N$37)^($F128/24/Shipping!$N$44+0.5*Shipping!$N$59))</f>
        <v>219354838.70967743</v>
      </c>
      <c r="DE128" s="28">
        <f>IF($E128="","No Port",IF(AND(ship_choice="VLCC",G128="Panama"),"Ship cannot pass through Panama",IF(ship_choice="VLCC",((F128/24/Shipping!$AD$44+F128/24/Shipping!$AD$50+Shipping!$AD$59+Shipping!$AD$64)*(Shipping!$AD$22+wacc_nl*Shipping!$AD$19/365.25*1000000+Shipping!$AD$35)+(F128/24/Shipping!$AD$44*Shipping!$AD$45+Shipping!$AD$64*Shipping!$AD$65)*IF(bunker_choice="HFO",$H128,IF(bunker_choice="hydrogen",$BD128*hfo_e_density_lhv/h2_e_density_lhv,(DB128+DC128)*1000000/DD128*hfo_e_density_lhv/DBT_e_density_lhv))+(F128/24/Shipping!$AD$50*Shipping!$AD$51+Shipping!$AD$59*Shipping!$AD$60)*IF(bunker_choice="HFO",bunker_price_ROT,IF(bunker_choice="hydrogen",$BD128*hfo_e_density_lhv/h2_e_density_lhv,(DB128+DC128)*1000000/DD128*hfo_e_density_lhv/DBT_e_density_lhv))+Shipping!$AD$73+IF(G128="Panama",Shipping!$AD$55,0)+IF(G128="Suez",Shipping!$AD$56,0))/Shipping!$AD$31*DD128/1000000+IF(inland_transport_to_port="hv dc grid",$BM128/100*1000*DG128,IF(inland_transport_to_port="pipeline",$BN128,0)),((F128/24/Shipping!$N$44+F128/24/Shipping!$N$50+Shipping!$N$59+Shipping!$N$64)*(Shipping!$N$22+wacc_nl*Shipping!$N$19/365.25*1000000+Shipping!$N$35)+(F128/24/Shipping!$N$44*Shipping!$N$45+Shipping!$N$64*Shipping!$N$65)*IF(bunker_choice="HFO",$H128,IF(bunker_choice="hydrogen",$BD128*hfo_e_density_lhv/h2_e_density_lhv,(DB128+DC128)*1000000/DD128*hfo_e_density_lhv/DBT_e_density_lhv))+(F128/24/Shipping!$N$50*Shipping!$N$51+Shipping!$N$59*Shipping!$N$60)*IF(bunker_choice="HFO",bunker_price_ROT,IF(bunker_choice="hydrogen",$BD128*hfo_e_density_lhv/h2_e_density_lhv,(DB128+DC128)*1000000/DD128*hfo_e_density_lhv/DBT_e_density_lhv))+Shipping!$N$73+IF(G128="Panama",Shipping!$N$55,0)+IF(G128="Suez",Shipping!$N$56,0))/Shipping!$N$31*Shipping!$N$86/1000000+IF(inland_transport_to_port="hv dc grid",$BM128/100*1000*DG128,IF(inland_transport_to_port="pipeline",$BN128,0)))))</f>
        <v>11262.533106927185</v>
      </c>
      <c r="DF128" s="28">
        <f t="shared" si="159"/>
        <v>55587.062757983658</v>
      </c>
      <c r="DG128" s="29">
        <f>((Carriers!$T$18/Carriers!$T$23*alk_el_e_demand)+DBT_e_demand)*(DD128+DBT_st_ab_losses)/1000000+DBT_st_e_demand*DD128/1000000</f>
        <v>703.88335483870969</v>
      </c>
      <c r="DH128" s="29">
        <f t="shared" si="160"/>
        <v>0.21935483870967742</v>
      </c>
      <c r="DI128" s="28">
        <f>IFERROR(DF128*1000000/Storage!$M$12,"")</f>
        <v>253.41160963198431</v>
      </c>
      <c r="DJ128" s="28">
        <f>IF($E128="","No Port",((F128/24/Shipping!$N$44+F128/24/Shipping!$N$50+Shipping!$N$59+Shipping!$N$64)*Carriers!$T$39*wacc_nl))</f>
        <v>5541.5372749324524</v>
      </c>
      <c r="DK128" s="100">
        <f>H2_retrieval!$L$25*h2_demand_kt/1000+(co2_liq_e_demand+co2_st_e_demand*2)*Storage!$M$12*co2_density/DBT_density/1000000</f>
        <v>206.61934861671787</v>
      </c>
      <c r="DL128" s="28">
        <f>IFERROR(((DF128*(1+H2_retrieval!$L$34)+DJ128)*1000000/H2_retrieval!$L$8)+h2_regen_lohc,"")</f>
        <v>4965.399783059097</v>
      </c>
      <c r="DM128" s="149">
        <f t="shared" si="175"/>
        <v>49061.263453498024</v>
      </c>
      <c r="DN128" s="16">
        <f>2*(nabh4_st_nl_cost*nabh4_st_nl_demand/1000000+(nabh4_st_invest*(M128+1/nabh4_st_lifetime+nabh4_st_opex)/(Storage!$O$63/1000000)+nabh4_st_e_demand*1000*$AU128/100)*(DO128+nabh4_st_ab_losses)/1000000)+(h2_demand_kt*1000/365.25*short_st_duration_hrs/24)*(h2_short_st_invest*(1/gh2_short_st_lifetime+$M128+h2_short_st_opex)+h2_short_st_e_demand*1000*$AU128/100)/1000000</f>
        <v>1412.4722664673427</v>
      </c>
      <c r="DO128" s="63">
        <f>Storage!$O$57/((1-Shipping!$P$37)^($F128/24/Shipping!$P$44+0.5*Shipping!$P$59))</f>
        <v>63920000</v>
      </c>
      <c r="DP128" s="16">
        <f>IF($E128="","No Port",((F128/24/Shipping!$P$44+F128/24/Shipping!$P$50+Shipping!$P$59+Shipping!$P$64)*(Shipping!$P$22+wacc_nl*Shipping!$P$19/365.25*1000000+Shipping!$P$35)+(F128/24/Shipping!$P$44*Shipping!$P$45+Shipping!$P$64*Shipping!$P$65)*IF(bunker_choice="HFO",$H128,IF(bunker_choice="hydrogen",$BD128*hfo_e_density_lhv/h2_e_density_lhv,(DM128+DN128)*1000000/DO128*hfo_e_density_lhv/nabh4_e_density_lhv))+(F128/24/Shipping!$P$50*Shipping!$P$51+Shipping!$P$59*Shipping!$P$60)*IF(bunker_choice="HFO",bunker_price_ROT,IF(bunker_choice="hydrogen",$BD128*hfo_e_density_lhv/h2_e_density_lhv,(DM128+DN128)*1000000/DO128*hfo_e_density_lhv/nabh4_e_density_lhv))+Shipping!$P$73+IF(G128="Panama",Shipping!$P$55,0)+IF(G128="Suez",Shipping!$P$56,0))/Shipping!$P$31*(DO128+nabh4_st_ab_losses)/1000000+IF(inland_transport_to_port="hv dc grid",$BM128/100*1000*DR128,IF(inland_transport_to_port="pipeline",$BN128,0)))</f>
        <v>4558.3392180475257</v>
      </c>
      <c r="DQ128" s="28">
        <f t="shared" si="146"/>
        <v>55032.074938012891</v>
      </c>
      <c r="DR128" s="29">
        <f>((Carriers!$V$18/Carriers!$V$23*alk_el_e_demand)+nabh4_e_demand)*(DO128+nabh4_st_ab_losses)/1000000+nabh4_st_e_demand*DO128/1000000</f>
        <v>980.02139682539689</v>
      </c>
      <c r="DS128" s="28">
        <f t="shared" si="161"/>
        <v>3.1960000000000002</v>
      </c>
      <c r="DT128" s="28">
        <f>IFERROR(DQ128*1000000/Storage!$O$12,"")</f>
        <v>860.95236135814912</v>
      </c>
      <c r="DU128" s="28">
        <f>IF($E128="","No Port",((F128/24/Shipping!$P$44+F128/24/Shipping!$P$50+Shipping!$P$59+Shipping!$P$64)*Carriers!$V$39*wacc_nl))</f>
        <v>518.48848478995774</v>
      </c>
      <c r="DV128" s="100">
        <f>H2_retrieval!$N$25*h2_demand_kt/1000+(co2_liq_e_demand+co2_st_e_demand*2)*Storage!$O$12*co2_density/nabh4_density/1000000</f>
        <v>18.783638728971958</v>
      </c>
      <c r="DW128" s="28">
        <f>IFERROR(((DQ128*(1+H2_retrieval!$N$34)+DU128)*1000000/H2_retrieval!$N$8)+h2_regen_nabh4,"")</f>
        <v>4172.4039840949854</v>
      </c>
      <c r="DX128" s="149">
        <f>(Dme_invest*(M128+1/Dme_lifetime)/Dme_prod+Dme_opex+Dme_e_demand*1000*$AU128/100+Carriers!$X$21/Carriers!$X$23*(CO128*1000000/CS128))*(EB128+Dme_st_ab_losses)/1000000</f>
        <v>83782.652633557853</v>
      </c>
      <c r="DY128" s="86">
        <f>(Dme_invest*(M128+1/Dme_lifetime)/Dme_prod+Dme_opex+Dme_e_demand*1000*$AU128/100+Carriers!$X$21/Carriers!$X$23*(CP128*1000000/CS128))*(EB128+Dme_st_ab_losses)/1000000</f>
        <v>105792.31018693584</v>
      </c>
      <c r="DZ128" s="63">
        <f>Dme_st_nl_cost*Dme_st_nl_demand/1000000+(Dme_st_invest*(M128+1/Dme_st_lifetime+Dme_st_opex)/(Storage!$Q$63/1000000)+Dme_st_e_demand*1000*$AU128/100)*(EB128+Dme_st_ab_losses)/1000000+co2_st_nl_cost*Storage!$Q$12*co2_density/Dme_density/1000000+(co2_st_opex_lev+co2_st_invest_lev+co2_st_e_demand*1000*$AU128/100)*Storage!$Q$12/1000000+co2_st_invest_lev*Storage!$Q$12*co2_st_lifetime*M128/1000000+(h2_demand_kt*1000/365.25*short_st_duration_hrs/24)*(h2_short_st_invest*(1/gh2_short_st_lifetime+$M128+h2_short_st_opex)+h2_short_st_e_demand*1000*$AU128/100)/1000000</f>
        <v>5985.0983904003542</v>
      </c>
      <c r="EA128" s="63">
        <f>Dme_st_nl_cost*Dme_st_nl_demand/1000000+(Dme_st_invest*(M128+1/Dme_st_lifetime+Dme_st_opex)/(Storage!$Q$63/1000000)+Dme_st_e_demand*1000*$AU128/100)*(EB128+Dme_st_ab_losses)/1000000+(h2_demand_kt*1000/365.25*short_st_duration_hrs/24)*(h2_short_st_invest*(1/gh2_short_st_lifetime+$M128+h2_short_st_opex)+h2_short_st_e_demand*1000*$AU128/100)/1000000</f>
        <v>3061.7275339406278</v>
      </c>
      <c r="EB128" s="63">
        <f>Storage!$Q$57/((1-Shipping!$R$37)^($F128/24/Shipping!$R$44+0.5*Shipping!$R$59))</f>
        <v>103547089.94708996</v>
      </c>
      <c r="EC128" s="153">
        <f>IF($E128="","No Port",IF(AND(ship_choice="VLCC",G128="Panama"),"Ship cannot pass through Panama",IF(ship_choice="VLCC",((F128/24/Shipping!$AD$44+F128/24/Shipping!$AD$50+Shipping!$AD$59+Shipping!$AD$64)*(Shipping!$AD$22+wacc_nl*Shipping!$AD$19/365.25*1000000+Shipping!$AD$35)+(F128/24/Shipping!$AD$44*Shipping!$AD$45+Shipping!$AD$64*Shipping!$AD$65)*IF(bunker_choice="HFO",$H128,IF(bunker_choice="hydrogen",$BD128*hfo_e_density_lhv/h2_e_density_lhv,(DX128+DZ128)*1000000/EB128*hfo_e_density_lhv/Dme_e_density_lhv))+(F128/24/Shipping!$AD$50*Shipping!$AD$51+Shipping!$AD$59*Shipping!$AD$60)*IF(bunker_choice="HFO",bunker_price_ROT,IF(bunker_choice="hydrogen",$BD128*hfo_e_density_lhv/h2_e_density_lhv,(DX128+DZ128)*1000000/EB128*hfo_e_density_lhv/Dme_e_density_lhv))+Shipping!$AD$73+IF(G128="Panama",Shipping!$AD$55,0)+IF(G128="Suez",Shipping!$AD$56,0))/Shipping!$AD$31*(EB128+Dme_st_ab_losses)/1000000+IF(inland_transport_to_port="hv dc grid",$BM128/100*1000*EE128,IF(inland_transport_to_port="pipeline",$BN128,0)),((F128/24/Shipping!$R$44+F128/24/Shipping!$R$50+Shipping!$R$59+Shipping!$R$64)*(Shipping!$R$22+wacc_nl*Shipping!$R$19/365.25*1000000+Shipping!$R$35)+(F128/24/Shipping!$R$44*Shipping!$R$45+Shipping!$R$64*Shipping!$R$65)*IF(bunker_choice="HFO",$H128,IF(bunker_choice="hydrogen",$BD128*hfo_e_density_lhv/h2_e_density_lhv,(DX128+DZ128)*1000000/EB128*hfo_e_density_lhv/Dme_e_density_lhv))+(F128/24/Shipping!$R$50*Shipping!$R$51+Shipping!$R$59*Shipping!$R$60)*IF(bunker_choice="HFO",bunker_price_ROT,IF(bunker_choice="hydrogen",$BD128*hfo_e_density_lhv/h2_e_density_lhv,(DX128+DZ128)*1000000/EB128*hfo_e_density_lhv/Dme_e_density_lhv))+Shipping!$R$73+IF(G128="Panama",Shipping!$R$55,0)+IF(G128="Suez",Shipping!$R$56,0))/Shipping!$R$31*(EB128+Dme_st_ab_losses)/1000000+IF(inland_transport_to_port="hv dc grid",$BM128/100*1000*EE128,IF(inland_transport_to_port="pipeline",$BN128,0)))))</f>
        <v>7113.9888755130323</v>
      </c>
      <c r="ED128" s="28">
        <f t="shared" si="134"/>
        <v>115968.02659638951</v>
      </c>
      <c r="EE128" s="29">
        <f>(Dme_e_demand)*(EB128+Dme_st_ab_losses)/1000000+Dme_st_e_demand*DZ128/1000000+$CV128*(Carriers!$X$21/Carriers!$X$23*EB128)/$CS128</f>
        <v>1550.2168200180397</v>
      </c>
      <c r="EF128" s="29">
        <f t="shared" si="162"/>
        <v>1.0354708994708997</v>
      </c>
      <c r="EG128" s="28">
        <f>IFERROR(ED128*1000000/Storage!$Q$12,"")</f>
        <v>1119.954473425051</v>
      </c>
      <c r="EH128" s="28">
        <f>IF($E128="","No Port",((F128/24/Shipping!$R$44+F128/24/Shipping!$R$50+Shipping!$R$59+Shipping!$R$64)*Carriers!$X$39*wacc_nl))</f>
        <v>78.692449832450762</v>
      </c>
      <c r="EI128" s="100">
        <f>H2_retrieval!$P$25*h2_demand_kt/1000+(co2_liq_e_demand+co2_st_e_demand*2)*Storage!$Q$12*co2_density/Dme_density/1000000</f>
        <v>252.45335899349112</v>
      </c>
      <c r="EJ128" s="28">
        <f>IFERROR((((DX128+DZ128+EC128)*(1+H2_retrieval!$P$34)+EH128)*1000000/H2_retrieval!$P$8)+h2_regen_dme,"")</f>
        <v>8299.5720982919756</v>
      </c>
      <c r="EK128" s="149">
        <f>(ome_invest*(M128+1/ome_lifetime)/ome_prod+ome_opex+ome_e_demand*1000*$AU128/100+Carriers!$Z$21/Carriers!$Z$23*(CO128*1000000/CS128))*(EO128+ome_st_ab_losses)/1000000</f>
        <v>182542.59645483925</v>
      </c>
      <c r="EL128" s="86">
        <f>(ome_invest*(M128+1/ome_lifetime)/ome_prod+ome_opex+ome_e_demand*1000*$AU128/100+Carriers!$Z$21/Carriers!$Z$23*(CP128*1000000/CS128))*(EO128+ome_st_ab_losses)/1000000</f>
        <v>228745.15212608242</v>
      </c>
      <c r="EM128" s="63">
        <f>ome_st_nl_cost*ome_st_nl_demand/1000000+(ome_st_invest*(M128+1/ome_st_lifetime+ome_st_opex)/(Storage!$S$63/1000000)+ome_st_e_demand*1000*$AU128/100)*(EO128+ome_st_ab_losses)/1000000+co2_st_nl_cost*Storage!$S$12*co2_density/ome_density/1000000+(co2_st_opex_lev+co2_st_invest_lev+co2_st_e_demand*1000*$AU128/100)*Storage!$S$12/1000000+co2_st_invest_lev*Storage!$S$12*co2_st_lifetime*M128/1000000+(h2_demand_kt*1000/365.25*short_st_duration_hrs/24)*(h2_short_st_invest*(1/gh2_short_st_lifetime+$M128+h2_short_st_opex)+h2_short_st_e_demand*1000*$AU128/100)/1000000</f>
        <v>5124.5569862682405</v>
      </c>
      <c r="EN128" s="63">
        <f>ome_st_nl_cost*ome_st_nl_demand/1000000+(ome_st_invest*(M128+1/ome_st_lifetime+ome_st_opex)/(Storage!$S$63/1000000)+ome_st_e_demand*1000*$AU128/100)*(EO128+ome_st_ab_losses)/1000000+(h2_demand_kt*1000/365.25*short_st_duration_hrs/24)*(h2_short_st_invest*(1/gh2_short_st_lifetime+$M128+h2_short_st_opex)+h2_short_st_e_demand*1000*$AU128/100)/1000000</f>
        <v>1841.815724755603</v>
      </c>
      <c r="EO128" s="63">
        <f>Storage!$S$57/((1-Shipping!$T$37)^($F128/24/Shipping!$T$44+0.5*Shipping!$T$59))</f>
        <v>128282539.68253967</v>
      </c>
      <c r="EP128" s="28">
        <f>IF($E128="","No Port",IF(AND(ship_choice="VLCC",G128="Panama"),"Ship cannot pass through Panama",IF(ship_choice="VLCC",((F128/24/Shipping!$AD$44+F128/24/Shipping!$AD$50+Shipping!$AD$59+Shipping!$AD$64)*(Shipping!$AD$22+wacc_nl*Shipping!$AD$19/365.25*1000000+Shipping!$AD$35)+(F128/24/Shipping!$AD$44*Shipping!$AD$45+Shipping!$AD$64*Shipping!$AD$65)*IF(bunker_choice="HFO",$H128,IF(bunker_choice="hydrogen",$BD128*hfo_e_density_lhv/h2_e_density_lhv,(EK128+EM128)*1000000/EO128*hfo_e_density_lhv/Dme_e_density_lhv))+(F128/24/Shipping!$AD$50*Shipping!$AD$51+Shipping!$AD$59*Shipping!$AD$60)*IF(bunker_choice="HFO",bunker_price_ROT,IF(bunker_choice="hydrogen",$BD128*hfo_e_density_lhv/h2_e_density_lhv,(EK128+EM128)*1000000/EO128*hfo_e_density_lhv/ome_e_density_lhv))+Shipping!$AD$73+IF(G128="Panama",Shipping!$AD$55,0)+IF(G128="Suez",Shipping!$AD$56,0))/Shipping!$AD$31*(EO128+ome_st_ab_losses)/1000000+IF(inland_transport_to_port="hv dc grid",$BM128/100*1000*ER128,IF(inland_transport_to_port="pipeline",$BN128,0)),((F128/24/Shipping!$T$44+F128/24/Shipping!$T$50+Shipping!$T$59+Shipping!$T$64)*(Shipping!$T$22+wacc_nl*Shipping!$T$19/365.25*1000000+Shipping!$T$35)+(F128/24/Shipping!$T$44*Shipping!$T$45+Shipping!$T$64*Shipping!$T$65)*IF(bunker_choice="HFO",$H128,IF(bunker_choice="hydrogen",$BD128*hfo_e_density_lhv/h2_e_density_lhv,(EK128+EM128)*1000000/EO128*hfo_e_density_lhv/Dme_e_density_lhv))+(F128/24/Shipping!$T$50*Shipping!$T$51+Shipping!$T$59*Shipping!$T$60)*IF(bunker_choice="HFO",bunker_price_ROT,IF(bunker_choice="hydrogen",$BD128*hfo_e_density_lhv/h2_e_density_lhv,(EK128+EM128)*1000000/EO128*hfo_e_density_lhv/ome_e_density_lhv))+Shipping!$T$73+IF(G128="Panama",Shipping!$T$55,0)+IF(G128="Suez",Shipping!$T$56,0))/Shipping!$T$31*(EO128+ome_st_ab_losses)/1000000+IF(inland_transport_to_port="hv dc grid",$BM128/100*1000*ER128,IF(inland_transport_to_port="pipeline",$BN128,0)))))</f>
        <v>7695.2767703521349</v>
      </c>
      <c r="EQ128" s="28">
        <f t="shared" si="135"/>
        <v>238282.24462119016</v>
      </c>
      <c r="ER128" s="29">
        <f>(ome_e_demand)*(EO128+ome_st_ab_losses)/1000000+ome_st_e_demand*EM128/1000000+$CV128*(Carriers!$Z$21/Carriers!$Z$23*EO128)/$CS128</f>
        <v>3352.081457827619</v>
      </c>
      <c r="ES128" s="29">
        <f t="shared" si="163"/>
        <v>0.1924238095238095</v>
      </c>
      <c r="ET128" s="28">
        <f>IFERROR(EQ128*1000000/Storage!$S$12,"")</f>
        <v>1857.4799439648323</v>
      </c>
      <c r="EU128" s="28">
        <f>IF($E128="","No Port",((F128/24/Shipping!$T$44+F128/24/Shipping!$T$50+Shipping!$T$59+Shipping!$T$64)*Carriers!$Z$39*wacc_nl))</f>
        <v>90.336958681232417</v>
      </c>
      <c r="EV128" s="100">
        <f>H2_retrieval!$R$25*h2_demand_kt/1000+(co2_liq_e_demand+co2_st_e_demand*2)*Storage!$S$12*co2_density/ome_density/1000000</f>
        <v>254.51942895252085</v>
      </c>
      <c r="EW128" s="28">
        <f>IFERROR((((EK128+EM128+EP128)*(1+H2_retrieval!$R$34)+EU128)*1000000/H2_retrieval!$R$8)+h2_regen_ome,"")</f>
        <v>15541.655541000588</v>
      </c>
      <c r="EX128" s="149">
        <f>(sng_invest*(M128+1/sng_lifetime)/sng_prod+lng_invest*(M128+1/lng_lifetime)/lng_prod+sng_opex+lng_opex+(sng_e_demand+lng_e_demand)*1000*$AU128/100+Carriers!$AB$18/Carriers!$AB$23*BD128+Carriers!$AB$20/Carriers!$AB$23*co2_liq_cost)*(FB128+lng_st_ab_losses)/1000000</f>
        <v>65049.495855916764</v>
      </c>
      <c r="EY128" s="86">
        <f>(sng_invest*(M128+1/sng_lifetime)/sng_prod+lng_invest*(M128+1/lng_lifetime)/lng_prod+sng_opex+lng_opex+(sng_e_demand+lng_e_demand)*1000*$AU128/100+Carriers!$AB$18/Carriers!$AB$23*BD128+Carriers!$AB$20/Carriers!$AB$23*BP128)*(FB128+lng_st_ab_losses)/1000000</f>
        <v>77203.097942284832</v>
      </c>
      <c r="EZ128" s="63">
        <f>lng_st_nl_cost*lng_st_nl_demand/1000000+(lng_st_invest*(M128+1/lng_st_lifetime+lng_st_opex)/(Storage!$U$63/1000000)+lng_st_e_demand*1000*$AU128/100)*(FB128+lng_st_ab_losses)/1000000+co2_st_nl_cost*Storage!$U$12*co2_density/lng_density/1000000+(co2_st_opex_lev+co2_st_invest_lev+co2_st_e_demand*1000*$AU128/100)*Storage!$U$12/1000000+co2_st_invest_lev*Storage!$U$12*co2_st_lifetime*M128/1000000+Carriers!$AB$18/Carriers!$AB$23*((FB128+lng_st_ab_losses)/365.25*short_st_duration_hrs/24)*(h2_short_st_invest*(1/gh2_short_st_lifetime+$M128+h2_short_st_opex)+h2_short_st_e_demand*1000*$AU128/100)/1000000+Carriers!$AB$20/Carriers!$AB$23*((FB128+lng_st_ab_losses)/365.25*short_st_duration_hrs/24)*(co2_short_st_invest*(1/co2_short_st_lifetime+$M128+co2_short_st_opex)+co2_short_st_e_demand*1000*$AU128/100)/1000000</f>
        <v>6379.8146010803512</v>
      </c>
      <c r="FA128" s="63">
        <f>lng_st_nl_cost*lng_st_nl_demand/1000000+(lng_st_invest*(M128+1/lng_st_lifetime+lng_st_opex)/(Storage!$U$63/1000000)+lng_st_e_demand*1000*$AU128/100)*(FB128+lng_st_ab_losses)/1000000+Carriers!$AB$18/Carriers!$AB$23*((FB128+lng_st_ab_losses)/365.25*short_st_duration_hrs/24)*(h2_short_st_invest*(1/gh2_short_st_lifetime+$M128+h2_short_st_opex)+h2_short_st_e_demand*1000*$AU128/100)/1000000+Carriers!$AB$20/Carriers!$AB$23*((FB128+lng_st_ab_losses)/365.25*short_st_duration_hrs/24)*(co2_short_st_invest*(1/co2_short_st_lifetime+$M128+co2_short_st_opex)+co2_short_st_e_demand*1000*$AU128/100)/1000000</f>
        <v>4796.343654356263</v>
      </c>
      <c r="FB128" s="63">
        <f>Storage!$U$57/((1-Shipping!$V$37)^($F128/24/Shipping!$V$44+0.5*Shipping!$V$59))</f>
        <v>41241738.679061428</v>
      </c>
      <c r="FC128" s="28">
        <f>IF($E128="","No Port",IF(G128="Panama","Ship cannot pass through Panama",((F128/24/Shipping!$V$44+F128/24/Shipping!$V$50+Shipping!$V$59+Shipping!$V$64)*(Shipping!$V$22+wacc_nl*Shipping!$V$19/365.25*1000000+Shipping!$V$35)+(F128/24/Shipping!$V$44*Shipping!$V$45+Shipping!$V$64*Shipping!$V$65)*IF(bunker_choice="HFO",$H128,IF(bunker_choice="hydrogen",$BD128*hfo_e_density_lhv/h2_e_density_lhv,(EX128+EZ128)*1000000/FB128*hfo_e_density_lhv/lng_e_density_lhv))+(F128/24/Shipping!$V$50*Shipping!$V$51+Shipping!$V$59*Shipping!$V$60)*IF(bunker_choice="HFO",bunker_price_ROT,IF(bunker_choice="hydrogen",$BD128*hfo_e_density_lhv/h2_e_density_lhv,(EX128+EZ128)*1000000/FB128*hfo_e_density_lhv/lng_e_density_lhv))+Shipping!$V$73+IF(G128="Panama",Shipping!$V$55,0)+IF(G128="Suez",Shipping!$V$56,0))/Shipping!$V$31*(FB128+lng_st_ab_losses)/1000000)+IF(inland_transport_to_port="hv dc grid",$BM128/100*1000*FE128,IF(inland_transport_to_port="pipeline",$BN128,0)))</f>
        <v>4158.0728037100653</v>
      </c>
      <c r="FD128" s="28">
        <f t="shared" si="136"/>
        <v>86157.514400351152</v>
      </c>
      <c r="FE128" s="29">
        <f>((Carriers!$AB$18/Carriers!$AB$23*alk_el_e_demand)+sng_e_demand+lng_e_demand)*(FB128+lng_st_ab_losses)/1000000+lng_st_e_demand*EZ128/1000000</f>
        <v>1106.0706936302533</v>
      </c>
      <c r="FF128" s="29">
        <f t="shared" si="164"/>
        <v>0.8126185861001558</v>
      </c>
      <c r="FG128" s="28">
        <f>IFERROR(FD128*1000000/Storage!$U$12,"")</f>
        <v>2122.936251260217</v>
      </c>
      <c r="FH128" s="28">
        <f>IF($E128="","No Port",((F128/24/Shipping!$V$44+F128/24/Shipping!$V$50+Shipping!$V$59+Shipping!$V$64)*Carriers!$AB$39*wacc_nl))</f>
        <v>26.730137655614449</v>
      </c>
      <c r="FI128" s="100">
        <f>H2_retrieval!$T$25*h2_demand_kt/1000+(co2_liq_e_demand+co2_st_e_demand*2)*Storage!$U$12*co2_density/lng_density/1000000</f>
        <v>236.51371749646054</v>
      </c>
      <c r="FJ128" s="28">
        <f>IFERROR((((EX128+EZ128+FC128)*(1+H2_retrieval!$T$34)+FH128)*1000000/H2_retrieval!$T$8)+h2_regen_lng,"")</f>
        <v>6729.9898224874978</v>
      </c>
      <c r="FK128" s="149">
        <f>(lh2_invest*(M128+1/lh2_lifetime)/lh2_prod+lh2_opex+lh2_e_demand*1000*$AU128/100+Carriers!$AD$18/Carriers!$AD$23*BD128)*(FM128+lh2_st_ab_losses)/1000000</f>
        <v>51351.534536481107</v>
      </c>
      <c r="FL128" s="28">
        <f>lh2_st_nl_cost*lh2_st_nl_demand/1000000+(lh2_st_invest*(M128+1/lh2_st_lifetime+lh2_st_opex)/(Storage!$Y$63/1000000)+lh2_st_e_demand*1000*$AU128/100)*(FM128+lh2_st_ab_losses)/1000000+((FM128+lh2_st_ab_losses)/365.25*short_st_duration_hrs/24)*(h2_short_st_invest*(1/gh2_short_st_lifetime+$M128+h2_short_st_opex)+h2_short_st_e_demand*1000*$AU128/100)/1000000</f>
        <v>55684.910681551693</v>
      </c>
      <c r="FM128" s="63">
        <f>Storage!$Y$57/((1-Shipping!$Z$37)^($F128/24/Shipping!$Z$44+0.5*Shipping!$Z$59))</f>
        <v>13948202.261907157</v>
      </c>
      <c r="FN128" s="28">
        <f>IF($E128="","No Port",IF(G128="Panama","Ship cannot pass through Panama",((F128/24/Shipping!$Z$44+F128/24/Shipping!$Z$50+Shipping!$Z$59+Shipping!$Z$64)*(Shipping!$Z$22+wacc_nl*Shipping!$Z$19/365.25*1000000+Shipping!$Z$35)+(F128/24/Shipping!$Z$44*Shipping!$Z$45+Shipping!$Z$64*Shipping!$Z$65)*IF(bunker_choice="HFO",$H128,IF(bunker_choice="hydrogen",$BD128*hfo_e_density_lhv/h2_e_density_lhv,(FK128+FL128)*1000000/FM128*hfo_e_density_lhv/lh2_e_density_lhv))+(F128/24/Shipping!$Z$50*Shipping!$Z$51+Shipping!$Z$59*Shipping!$Z$60)*IF(bunker_choice="HFO",bunker_price_ROT,IF(bunker_choice="hydrogen",$BD128*hfo_e_density_lhv/h2_e_density_lhv,(FK128+FL128)*1000000/FM128*hfo_e_density_lhv/lh2_e_density_lhv))+Shipping!$Z$73+IF(G128="Panama",Shipping!$Z$55,0)+IF(G128="Suez",Shipping!$Z$56,0))/Shipping!$Z$31*(FM128+lh2_st_ab_losses)/1000000)+IF(inland_transport_to_port="hv dc grid",$BM128/100*1000*FP128,IF(inland_transport_to_port="pipeline",$BN128,0)))</f>
        <v>5621.7335765417938</v>
      </c>
      <c r="FO128" s="28">
        <f t="shared" si="128"/>
        <v>112658.1787945746</v>
      </c>
      <c r="FP128" s="29">
        <f>((Carriers!$AD$18/Carriers!$AD$23*alk_el_e_demand)+lh2_e_demand)*(FM128+lh2_st_ab_losses)/1000000+lh2_st_e_demand*FM128/1000000</f>
        <v>808.2815180465708</v>
      </c>
      <c r="FQ128" s="100">
        <f t="shared" si="165"/>
        <v>1.361902463475859</v>
      </c>
      <c r="FR128" s="28">
        <f>IFERROR(FO128*1000000/Storage!$Y$12,"")</f>
        <v>8283.689617248132</v>
      </c>
      <c r="FS128" s="100">
        <f>H2_retrieval!$V$25*h2_demand_kt/1000</f>
        <v>8.16</v>
      </c>
      <c r="FT128" s="28">
        <f>IFERROR(FR128*(1+H2_retrieval!$V$34)/Carrier_properties!$U$7+H2_retrieval!$V$38,"")</f>
        <v>8315.6583431166</v>
      </c>
      <c r="FU128" s="12"/>
      <c r="FV128" s="24">
        <f t="shared" si="129"/>
        <v>2.3803963149323337</v>
      </c>
      <c r="FW128" s="24" t="str">
        <f t="shared" si="143"/>
        <v/>
      </c>
      <c r="FX128" s="24" t="str">
        <f t="shared" si="144"/>
        <v/>
      </c>
      <c r="FY128" s="24">
        <f t="shared" si="130"/>
        <v>2.3803963149323337</v>
      </c>
      <c r="FZ128" s="28">
        <f t="shared" si="145"/>
        <v>2706.9178052524071</v>
      </c>
      <c r="GA128" s="28">
        <f t="shared" si="137"/>
        <v>626.23622637297069</v>
      </c>
      <c r="GB128" s="28">
        <f t="shared" si="138"/>
        <v>408.31381903813821</v>
      </c>
      <c r="GC128" s="28">
        <f t="shared" si="139"/>
        <v>700.4814273311672</v>
      </c>
      <c r="GD128" s="28">
        <f t="shared" si="140"/>
        <v>1021.683083908907</v>
      </c>
      <c r="GE128" s="28">
        <f t="shared" si="141"/>
        <v>1783.1355123788258</v>
      </c>
      <c r="GF128" s="28">
        <f t="shared" si="142"/>
        <v>1871.9651599335</v>
      </c>
      <c r="GG128" s="12"/>
      <c r="GH128" s="12"/>
      <c r="GI128" s="12"/>
      <c r="GJ128" s="12"/>
      <c r="GK128" s="12"/>
      <c r="GL128" s="12"/>
      <c r="GM128" s="12"/>
      <c r="GN128" s="12"/>
      <c r="GO128" s="12"/>
      <c r="GP128" s="12"/>
      <c r="GQ128" s="12"/>
      <c r="GR128" s="12"/>
      <c r="GS128" s="12"/>
      <c r="GT128" s="12"/>
      <c r="GU128" s="12"/>
      <c r="GV128" s="12"/>
      <c r="GW128" s="12"/>
      <c r="GX128" s="12"/>
      <c r="GY128" s="12"/>
      <c r="GZ128" s="12"/>
      <c r="HA128" s="12"/>
      <c r="HB128" s="12"/>
      <c r="HC128" s="12"/>
      <c r="HD128" s="12"/>
      <c r="HE128" s="12"/>
      <c r="HF128" s="12"/>
    </row>
    <row r="129" spans="1:214" x14ac:dyDescent="0.2">
      <c r="A129" s="154" t="s">
        <v>130</v>
      </c>
      <c r="B129" s="12">
        <v>7744</v>
      </c>
      <c r="C129" s="12">
        <v>0</v>
      </c>
      <c r="D129" s="12">
        <f t="shared" si="111"/>
        <v>1</v>
      </c>
      <c r="E129" s="12" t="s">
        <v>783</v>
      </c>
      <c r="F129" s="12">
        <v>4045</v>
      </c>
      <c r="G129" s="12"/>
      <c r="H129" s="16">
        <f t="shared" si="166"/>
        <v>382.75862068965517</v>
      </c>
      <c r="I129" s="16">
        <v>156000</v>
      </c>
      <c r="J129" s="16">
        <f t="shared" si="113"/>
        <v>222.83703068536735</v>
      </c>
      <c r="K129" s="16">
        <f t="shared" si="114"/>
        <v>267.4044368224408</v>
      </c>
      <c r="L129" s="103">
        <v>0.129</v>
      </c>
      <c r="M129" s="103">
        <f t="shared" si="167"/>
        <v>0.13265113464548278</v>
      </c>
      <c r="N129" s="122">
        <f t="shared" si="116"/>
        <v>0.85</v>
      </c>
      <c r="O129" s="46">
        <f t="shared" si="168"/>
        <v>40</v>
      </c>
      <c r="P129" s="70">
        <f t="array" ref="P129">SUMPRODUCT(IF(Solar_data!A$4:A$777=A129,Solar_data!C$4:C$777),IF(Solar_data!A$4:A$777=A129,Solar_data!I$4:I$777))/SUMIF(Solar_data!A$4:A$777,A129,Solar_data!I$4:I$777)</f>
        <v>1913.3850333290586</v>
      </c>
      <c r="Q129" s="16">
        <f t="array" ref="Q129">MAX(IF(Solar_data!$A$777:'Solar_data'!$A$4=Country_details!$A129,Solar_data!$C$4:'Solar_data'!$C$777))</f>
        <v>2281.25</v>
      </c>
      <c r="R129" s="16">
        <f t="array" ref="R129">MIN(IF(Solar_data!$A$777:'Solar_data'!$A$4=Country_details!A129,Solar_data!$C$4:'Solar_data'!$C$777))</f>
        <v>1733.75</v>
      </c>
      <c r="S129" s="24">
        <f t="shared" si="149"/>
        <v>2.6114592037591651</v>
      </c>
      <c r="T129" s="24">
        <f t="shared" si="150"/>
        <v>2.1903460627385019</v>
      </c>
      <c r="U129" s="24">
        <f t="shared" si="151"/>
        <v>2.882034293076976</v>
      </c>
      <c r="V129" s="16">
        <f t="array" ref="V129">SUM(IF(Solar_data!$A$777:'Solar_data'!$A$4=Country_details!$A129,Solar_data!$I$4:'Solar_data'!$I$777))</f>
        <v>1026.2638634068082</v>
      </c>
      <c r="W129" s="148"/>
      <c r="X129" s="16" t="str">
        <f>IFERROR(INDEX(Onshore_wind_data!$J$5:'Onshore_wind_data'!$J$221,MATCH(A129,Onshore_wind_data!$B$5:'Onshore_wind_data'!$B$221,0)),"")</f>
        <v/>
      </c>
      <c r="Y129" s="16" t="str">
        <f>IFERROR(INDEX(Onshore_wind_data!$K$5:'Onshore_wind_data'!$K$221,MATCH(A129,Onshore_wind_data!$B$5:'Onshore_wind_data'!$B$221,0)),"")</f>
        <v/>
      </c>
      <c r="Z129" s="16" t="str">
        <f>IFERROR(INDEX(Onshore_wind_data!$L$5:'Onshore_wind_data'!$L$221,MATCH(A129,Onshore_wind_data!$B$5:'Onshore_wind_data'!$B$221,0)),"")</f>
        <v/>
      </c>
      <c r="AA129" s="24" t="str">
        <f t="shared" si="169"/>
        <v/>
      </c>
      <c r="AB129" s="24" t="str">
        <f t="shared" si="170"/>
        <v/>
      </c>
      <c r="AC129" s="24" t="str">
        <f t="shared" si="171"/>
        <v/>
      </c>
      <c r="AD129" s="16">
        <f>IFERROR(INDEX(Onshore_wind_data!$I$5:'Onshore_wind_data'!$I$221,MATCH(A129,Onshore_wind_data!$B$5:'Onshore_wind_data'!$B$221,0)),"")</f>
        <v>0</v>
      </c>
      <c r="AE129" s="148"/>
      <c r="AF129" s="16">
        <f>INDEX(Offshore_wind_data!$AA$7:$AA$192,MATCH(Country_details!A129,Offshore_wind_data!$A$7:$A$192,0))</f>
        <v>3339.6795153350995</v>
      </c>
      <c r="AG129" s="16">
        <f>INDEX(Offshore_wind_data!$Y$7:$Y$192,MATCH(Country_details!A129,Offshore_wind_data!$A$7:$A$192,0))</f>
        <v>3504</v>
      </c>
      <c r="AH129" s="16">
        <f>INDEX(Offshore_wind_data!$Z$7:$Z$192,MATCH(Country_details!A129,Offshore_wind_data!$A$7:$A$192,0))</f>
        <v>3153.6</v>
      </c>
      <c r="AI129" s="24">
        <f t="shared" si="152"/>
        <v>8.4951740788579411</v>
      </c>
      <c r="AJ129" s="24">
        <f t="shared" si="153"/>
        <v>8.0967919093514809</v>
      </c>
      <c r="AK129" s="24">
        <f t="shared" si="154"/>
        <v>8.9964354548349785</v>
      </c>
      <c r="AL129" s="16">
        <f>INDEX(Offshore_wind_data!$W$7:$W$191,MATCH(A129,Offshore_wind_data!$A$7:$A$191,0))</f>
        <v>1058.4112319999999</v>
      </c>
      <c r="AM129" s="148"/>
      <c r="AN129" s="12">
        <v>0.6</v>
      </c>
      <c r="AO129" s="12">
        <v>0.6</v>
      </c>
      <c r="AP129" s="34"/>
      <c r="AQ129" s="15">
        <f t="shared" si="155"/>
        <v>50</v>
      </c>
      <c r="AR129" s="12">
        <f t="shared" si="131"/>
        <v>30</v>
      </c>
      <c r="AS129" s="16">
        <f t="shared" si="121"/>
        <v>2054.6750954068084</v>
      </c>
      <c r="AT129" s="12"/>
      <c r="AU129" s="24">
        <f t="shared" si="147"/>
        <v>2.6114592037591651</v>
      </c>
      <c r="AV129" s="16">
        <f t="shared" si="148"/>
        <v>1913.3850333290586</v>
      </c>
      <c r="AW129" s="149">
        <f>HV_DC_Grid!$E$3/(1-AX129)*AU129/100*1000</f>
        <v>3083.8962657402017</v>
      </c>
      <c r="AX129" s="31">
        <f>(1-(1-HV_DC_Grid!$E$25)^(B129*C129*HV_DC_Grid!$E$8/1000))+(1-(1-HV_DC_Grid!$E$26)^(B129*D129*HV_DC_Grid!$E$8/1000))+HV_DC_Grid!$E$35*HV_DC_Grid!$E$28</f>
        <v>0.15319486171745189</v>
      </c>
      <c r="AY129" s="28">
        <f>B129*nl_e_demand/IF(hv_dc_flh="electricity FLH",$AV129,hv_dc_custom)*1000*hv_dc_capacity_multiplier*hv_dc_length_multiplier*1000*(C129*hv_dc_overhead_invest*(hv_dc_overhead_opex+M129+1/hv_dc_lifetime)+D129*hv_dc_sea_invest*(hv_dc_sea_opex+M129+1/hv_dc_lifetime))/1000000+HV_DC_Grid!$E$10*1000*hv_dc_station_invest*hv_dc_station_number*(hv_dc_station_opex+M129+1/hv_dc_lifetime)/1000000</f>
        <v>22065.860201289364</v>
      </c>
      <c r="AZ129" s="24">
        <f>(AW129+AY129)/(HV_DC_Grid!$E$3*1000)*100</f>
        <v>25.149756467029565</v>
      </c>
      <c r="BA129" s="28">
        <f>MIN(((Carriers!$F$26+Carriers!$F$27)*(alk_el_opex+wacc_nl+1/alk_el_lifetime)+IF(hv_dc_flh="electricity FLH",$AV129,hv_dc_custom)*AZ129/100)/(IF(hv_dc_flh="electricity FLH",$AV129,hv_dc_custom)/alk_el_e_demand)*1000,((Carriers!$H$26+Carriers!$H$27)*(pem_el_opex+wacc_nl+1/pem_el_lifetime)+IF(hv_dc_flh="electricity FLH",$AV129,hv_dc_custom)*AZ129/100)/(IF(hv_dc_flh="electricity FLH",$AV129,hv_dc_custom)/pem_el_e_demand)*1000)</f>
        <v>13073.601544309229</v>
      </c>
      <c r="BB129" s="12"/>
      <c r="BC129" s="12"/>
      <c r="BD129" s="149">
        <f>MIN(((Carriers!$F$26+Carriers!$F$27)*(alk_el_opex+M129+1/alk_el_lifetime)+$AV129*$AU129/100)/($AV129/alk_el_e_demand)*1000,((Carriers!$H$26+Carriers!$H$27)*(pem_el_opex+M129+1/pem_el_lifetime)+$AV129*$AU129/100)/($AV129/pem_el_e_demand)*1000)</f>
        <v>3183.1133164721587</v>
      </c>
      <c r="BE129" s="28">
        <f>Storage!$AC$50</f>
        <v>8.1664117557772418</v>
      </c>
      <c r="BF129" s="28">
        <f>((Pipeline!$D$22*Pipeline!$D$24*B129*(pipeline_opex+M129+1/pipeline_lifetime))*(Pipeline!$D$39/Pipeline!$D$3)+(Pipeline!$D$57*(pipeline_comp_opex+M129+1/pipeline_comp_lifetime)+Pipeline!$D$47*1000*Pipeline!$D$45*$AU129/100/1000000))*(Pipeline!$D$75/Pipeline!$D$45)</f>
        <v>18087.860871489022</v>
      </c>
      <c r="BG129" s="28">
        <f>BD129+(BE129+BF129)/Storage!$AC$12*1000000</f>
        <v>4513.7035578872174</v>
      </c>
      <c r="BH129" s="28"/>
      <c r="BI129" s="28"/>
      <c r="BJ129" s="28">
        <f>IF($E129="","No Port",BK129*HV_DC_Grid!$E$3*$AU129/100*1000)</f>
        <v>50.041593909986446</v>
      </c>
      <c r="BK129" s="31">
        <f>IFERROR((1-(1-HV_DC_Grid!$E$25)^(K129*HV_DC_Grid!$E$8/1000))+HV_DC_Grid!$E$35*HV_DC_Grid!$E$28,"")</f>
        <v>1.9162311185237799E-2</v>
      </c>
      <c r="BL129" s="28">
        <f>IFERROR(K129*nl_e_demand/IF(hv_dc_flh="electricity FLH",$AV129,hv_dc_custom)*1000*hv_dc_capacity_multiplier*hv_dc_length_multiplier*1000*(hv_dc_overhead_invest*(hv_dc_overhead_opex+M129+1/hv_dc_lifetime))/1000000+HV_DC_Grid!$E$10*1000*hv_dc_station_invest*hv_dc_station_number*(hv_dc_station_opex+M129+1/hv_dc_lifetime)/1000000,"")</f>
        <v>679.30486570457231</v>
      </c>
      <c r="BM129" s="29">
        <f>IFERROR((BJ129+BL129)/(HV_DC_Grid!$E$3*1000)*100,"")</f>
        <v>0.72934645961455868</v>
      </c>
      <c r="BN129" s="28">
        <f>IFERROR(((Pipeline!$D$22*Pipeline!$D$24*K129*(pipeline_opex+M129+1/pipeline_lifetime))*(Pipeline!$D$39/Pipeline!$D$3)+(Pipeline!$D$57*(pipeline_comp_opex+M129+1/pipeline_comp_lifetime)+Pipeline!$D$47*1000*Pipeline!$D$45*S129/100/1000000))*(Pipeline!$D$75/Pipeline!$D$45),"")</f>
        <v>707.8355641472092</v>
      </c>
      <c r="BO129" s="28"/>
      <c r="BP129" s="150">
        <f t="shared" si="172"/>
        <v>117.18859294341681</v>
      </c>
      <c r="BQ129" s="34">
        <f t="shared" si="173"/>
        <v>35.028698422709844</v>
      </c>
      <c r="BR129" s="151">
        <f>(nh3_invest*(M129+1/nh3_lifetime)/nh3_prod+nh3_opex+nh3_e_demand*1000*$AU129/100+Carriers!$N$18/Carriers!$N$23*BD129+Carriers!$N$19/Carriers!$N$23*BQ129)*(BT129+nh3_st_ab_losses)/1000000</f>
        <v>56322.914395314801</v>
      </c>
      <c r="BS129" s="63">
        <f>nh3_st_nl_cost*nh3_st_nl_demand/1000000+(nh3_st_invest*(M129+1/nh3_st_lifetime+nh3_st_opex)/(Storage!$G$63/1000000)+nh3_st_e_demand*1000*$AU129/100)*(BT129+nh3_st_ab_losses)/1000000+Carriers!$N$18/Carriers!$N$23*((BT129+nh3_st_ab_losses)/365.25*short_st_duration_hrs/24)*(h2_short_st_invest*(1/gh2_short_st_lifetime+$M129+h2_short_st_opex)+h2_short_st_e_demand*1000*$AU129/100)/1000000+Carriers!$N$19/Carriers!$N$23*((BT129+nh3_st_ab_losses)/365.25*short_st_duration_hrs/24)*(n2_short_st_invest*(1/n2_short_st_lifetime+$M129+n2_short_st_opex)+n2_short_st_e_demand*1000*$AU129/100)/1000000</f>
        <v>3520.5998063485767</v>
      </c>
      <c r="BT129" s="63">
        <f>Storage!$G$57/((1-Shipping!$H$37)^(F129/24/Shipping!$H$44+0.5*Shipping!$H$59))</f>
        <v>78847174.729265913</v>
      </c>
      <c r="BU129" s="63">
        <f>IF($E129="","No Port",((F129/24/Shipping!$H$44+F129/24/Shipping!$H$50+Shipping!$H$59+Shipping!$H$64)*(Shipping!$H$22+wacc_nl*Shipping!$H$19/365.25*1000000+Shipping!$H$35)+(F129/24/Shipping!$H$44*Shipping!$H$45+Shipping!$H$64*Shipping!$H$65)*IF(bunker_choice="HFO",H129,IF(bunker_choice="hydrogen",BD129*hfo_e_density_lhv/h2_e_density_lhv,(BR129+BS129)*1000000/BT129*hfo_e_density_lhv/nh3_e_density_lhv))+(F129/24/Shipping!$H$50*Shipping!$H$51+Shipping!$H$59*Shipping!$H$60)*IF(bunker_choice="HFO",bunker_price_ROT,IF(bunker_choice="hydrogen",BD129*hfo_e_density_lhv/h2_e_density_lhv,(BR129+BS129)*1000000/BT129*hfo_e_density_lhv/nh3_e_density_lhv))+Shipping!$H$73+IF(G129="Panama",Shipping!$H$55,0)+IF(G129="Suez",Shipping!$H$56,0))/Shipping!$H$31*BT129/1000000+IF(inland_transport_to_port="hv dc grid",$BM129/100*1000*BW129,IF(inland_transport_to_port="pipeline",$BN129,0)))</f>
        <v>3568.1286364397765</v>
      </c>
      <c r="BV129" s="63">
        <f t="shared" si="174"/>
        <v>63411.642838103151</v>
      </c>
      <c r="BW129" s="33">
        <f>((Carriers!$N$18/Carriers!$N$23*alk_el_e_demand)+(Carriers!$N$19/Carriers!$N$23*n2_e_demand)+nh3_e_demand)*(BT129+nh3_st_ab_losses)/1000000+nh3_st_e_demand*BT129/1000000</f>
        <v>778.63727626716479</v>
      </c>
      <c r="BX129" s="33">
        <f t="shared" si="156"/>
        <v>0.76626754477640768</v>
      </c>
      <c r="BY129" s="63">
        <f>IFERROR(BV129*1000000/Storage!$G$12,"")</f>
        <v>828.22869418962114</v>
      </c>
      <c r="BZ129" s="63">
        <f>H2_retrieval!$F$25*h2_demand_kt/1000</f>
        <v>80</v>
      </c>
      <c r="CA129" s="63">
        <f>IFERROR(BY129*(1+H2_retrieval!$F$34)/Carrier_properties!$E$7+H2_retrieval!$F$38,"")</f>
        <v>5071.8467765630839</v>
      </c>
      <c r="CB129" s="149">
        <f>(FA_invest*(M129+1/FA_lifetime)/FA_prod+FA_opex+FA_e_demand*1000*$AU129/100+Carriers!$P$18/Carriers!$P$23*BD129+Carriers!$P$20/Carriers!$P$23*co2_liq_cost)*(CF129+FA_st_ab_losses)/1000000</f>
        <v>110393.69566231653</v>
      </c>
      <c r="CC129" s="86">
        <f>(FA_invest*(M129+1/FA_lifetime)/FA_prod+FA_opex+FA_e_demand*1000*$AU129/100+Carriers!$P$18/Carriers!$P$23*BD129+Carriers!$P$20/Carriers!$P$23*BP129)*(CF129+FA_st_ab_losses)/1000000</f>
        <v>138721.87295029953</v>
      </c>
      <c r="CD129" s="63">
        <f>FA_st_nl_cost*FA_st_nl_demand/1000000+(FA_st_invest*(M129+1/FA_st_lifetime+FA_st_opex)/(Storage!$I$63/1000000)+FA_st_e_demand*1000*$AU129/100)*(CF129+FA_st_ab_losses)/1000000+co2_st_nl_cost*Storage!$I$12*co2_density/FA_density/1000000+(co2_st_opex_lev+co2_st_invest_lev+co2_st_e_demand*1000*$AU129/100)*Storage!$I$12/1000000+co2_st_invest_lev*Storage!$I$12*co2_st_lifetime*M129/1000000+Carriers!$P$18/Carriers!$P$23*((CF129+FA_st_ab_losses)/365.25*short_st_duration_hrs/24)*(h2_short_st_invest*(1/gh2_short_st_lifetime+$M129+h2_short_st_opex)+h2_short_st_e_demand*1000*$AU129/100)/1000000+Carriers!$P$20/Carriers!$P$23*((CF129+FA_st_ab_losses)/365.25*short_st_duration_hrs/24)*(co2_short_st_invest*(1/co2_short_st_lifetime+$M129+co2_short_st_opex)+co2_short_st_e_demand*1000*$AU129/100)/1000000</f>
        <v>12003.742109583014</v>
      </c>
      <c r="CE129" s="63">
        <f>FA_st_nl_cost*FA_st_nl_demand/1000000+(FA_st_invest*(M129+1/FA_st_lifetime+FA_st_opex)/(Storage!$I$63/1000000)+FA_st_e_demand*1000*$AU129/100)*(CF129+FA_st_ab_losses)/1000000+Carriers!$P$18/Carriers!$P$23*((CF129+FA_st_ab_losses)/365.25*short_st_duration_hrs/24)*(h2_short_st_invest*(1/gh2_short_st_lifetime+$M129+h2_short_st_opex)+h2_short_st_e_demand*1000*$AU129/100)/1000000+Carriers!$P$20/Carriers!$P$23*((CF129+FA_st_ab_losses)/365.25*short_st_duration_hrs/24)*(co2_short_st_invest*(1/co2_short_st_lifetime+$M129+co2_short_st_opex)+co2_short_st_e_demand*1000*$AU129/100)/1000000</f>
        <v>5228.2558502751417</v>
      </c>
      <c r="CF129" s="63">
        <f>Storage!$I$57/((1-Shipping!$J$37)^($F129/24/Shipping!$J$44+0.5*Shipping!$J$59))</f>
        <v>310425396.82539684</v>
      </c>
      <c r="CG129" s="28">
        <f>IF($E129="","No Port",((F129/24/Shipping!$J$44+F129/24/Shipping!$J$50+Shipping!$J$59+Shipping!$J$64)*(Shipping!$J$22+wacc_nl*Shipping!$J$19/365.25*1000000+Shipping!$J$35)+(F129/24/Shipping!$J$44*Shipping!$J$45+Shipping!$J$64*Shipping!$J$65)*IF(bunker_choice="HFO",$H129,IF(bunker_choice="hydrogen",$BD129*hfo_e_density_lhv/h2_e_density_lhv,(CB129+CD129)*1000000/CF129*hfo_e_density_lhv/FA_e_density_lhv))+(F129/24/Shipping!$J$50*Shipping!$J$51+Shipping!$J$59*Shipping!$J$60)*IF(bunker_choice="HFO",bunker_price_ROT,IF(bunker_choice="hydrogen",$BD129*hfo_e_density_lhv/h2_e_density_lhv,(CB129+CD129)*1000000/CF129*hfo_e_density_lhv/FA_e_density_lhv))+Shipping!$J$73+IF(G129="Panama",Shipping!$J$55,0)+IF(G129="Suez",Shipping!$J$56,0))/Shipping!$J$31*CF129/1000000+IF(inland_transport_to_port="hv dc grid",$BM129/100*1000*CI129,IF(inland_transport_to_port="pipeline",$BN129,0)))</f>
        <v>13317.999764925757</v>
      </c>
      <c r="CH129" s="28">
        <f t="shared" si="132"/>
        <v>157268.12856550043</v>
      </c>
      <c r="CI129" s="29">
        <f>((Carriers!$P$18/Carriers!$P$23*alk_el_e_demand)+FA_e_demand)*(CF129+FA_st_ab_losses)/1000000+FA_st_e_demand*CF129/1000000</f>
        <v>1897.8881241622576</v>
      </c>
      <c r="CJ129" s="29">
        <f t="shared" si="157"/>
        <v>0.46563809523809524</v>
      </c>
      <c r="CK129" s="28">
        <f>IFERROR(CH129*1000000/Storage!$I$12,"")</f>
        <v>506.62133373693683</v>
      </c>
      <c r="CL129" s="28">
        <f>IF($E129="","No Port",((F129/24/Shipping!$J$44+F129/24/Shipping!$J$50+Shipping!$J$59+Shipping!$J$64)*Carriers!$P$39*wacc_nl))</f>
        <v>212.39327517360022</v>
      </c>
      <c r="CM129" s="29">
        <f>H2_retrieval!$H$25*h2_demand_kt/1000+(co2_liq_e_demand+co2_st_e_demand*2)*Storage!$I$12*co2_density/FA_density/1000000</f>
        <v>94.204253879484654</v>
      </c>
      <c r="CN129" s="28">
        <f>IFERROR((((CB129+CD129+CG129)*(1+H2_retrieval!$H$34)+CL129)*1000000/H2_retrieval!$H$8)+h2_regen_fa,"")</f>
        <v>10084.3808098257</v>
      </c>
      <c r="CO129" s="149">
        <f>(meoh_invest*(M129+1/meoh_lifetime)/meoh_prod+meoh_opex+meoh_e_demand*1000*$AU129/100+Carriers!$R$18/Carriers!$R$23*BD129+Carriers!$R$20/Carriers!$R$23*co2_liq_cost)*(CS129+meoh_st_ab_losses)/1000000</f>
        <v>69512.757372042353</v>
      </c>
      <c r="CP129" s="86">
        <f>(meoh_invest*(M129+1/meoh_lifetime)/meoh_prod+meoh_opex+meoh_e_demand*1000*$AU129/100+Carriers!$R$18/Carriers!$R$23*BD129+Carriers!$R$20/Carriers!$R$23*BP129)*(CS129+meoh_st_ab_losses)/1000000</f>
        <v>86142.271982943988</v>
      </c>
      <c r="CQ129" s="63">
        <f>meoh_st_nl_cost*meoh_st_nl_demand/1000000+(meoh_st_invest*(M129+1/meoh_st_lifetime+meoh_st_opex)/(Storage!$K$63/1000000)+meoh_st_e_demand*1000*$AU129/100)*(CS129+meoh_st_ab_losses)/1000000+co2_st_nl_cost*Storage!$K$12*co2_density/meoh_density/1000000+(co2_st_opex_lev+co2_st_invest_lev+co2_st_e_demand*1000*IFERROR(MIN(S129,AA129,AI129),S129)/100)*Storage!$K$12/1000000+co2_st_invest_lev*Storage!$K$12*co2_st_lifetime*M129/1000000+Carriers!$R$18/Carriers!$R$23*((CS129+meoh_st_ab_losses)/365.25*short_st_duration_hrs/24)*(h2_short_st_invest*(1/gh2_short_st_lifetime+$M129+h2_short_st_opex)+h2_short_st_e_demand*1000*$AU129/100)/1000000+Carriers!$R$20/Carriers!$R$23*((CF129+meoh_st_ab_losses)/365.25*short_st_duration_hrs/24)*(co2_short_st_invest*(1/co2_short_st_lifetime+$M129+co2_short_st_opex)+co2_short_st_e_demand*1000*$AU129/100)/1000000</f>
        <v>5026.0773877965066</v>
      </c>
      <c r="CR129" s="63">
        <f>meoh_st_nl_cost*meoh_st_nl_demand/1000000+(meoh_st_invest*(M129+1/meoh_st_lifetime+meoh_st_opex)/(Storage!$K$63/1000000)+meoh_st_e_demand*1000*$AU129/100)*(CS129+meoh_st_ab_losses)/1000000+Carriers!$R$18/Carriers!$R$23*((CS129+meoh_st_ab_losses)/365.25*short_st_duration_hrs/24)*(h2_short_st_invest*(1/gh2_short_st_lifetime+$M129+h2_short_st_opex)+h2_short_st_e_demand*1000*$AU129/100)/1000000+Carriers!$R$20/Carriers!$R$23*((CF129+meoh_st_ab_losses)/365.25*short_st_duration_hrs/24)*(co2_short_st_invest*(1/co2_short_st_lifetime+$M129+co2_short_st_opex)+co2_short_st_e_demand*1000*$AU129/100)/1000000</f>
        <v>2068.8526390739007</v>
      </c>
      <c r="CS129" s="63">
        <f>Storage!$K$57/((1-Shipping!$L$37)^($F129/24/Shipping!$L$44+0.5*Shipping!$L$59))</f>
        <v>108044444.44444443</v>
      </c>
      <c r="CT129" s="28">
        <f>IF($E129="","No Port",IF(AND(ship_choice="VLCC",G129="Panama"),"Ship cannot pass through Panama",IF(ship_choice="VLCC",((F129/24/Shipping!$AD$44+F129/24/Shipping!$AD$50+Shipping!$AD$59+Shipping!$AD$64)*(Shipping!$AD$22+wacc_nl*Shipping!$AD$19/365.25*1000000+Shipping!$AD$35)+(F129/24/Shipping!$AD$44*Shipping!$AD$45+Shipping!$AD$64*Shipping!$AD$65)*IF(bunker_choice="HFO",$H129,IF(bunker_choice="hydrogen",$BD129*hfo_e_density_lhv/h2_e_density_lhv,(CO129+CQ129)*1000000/CS129*hfo_e_density_lhv/meoh_e_density_lhv))+(F129/24/Shipping!$AD$50*Shipping!$AD$51+Shipping!$AD$59*Shipping!$AD$60)*IF(bunker_choice="HFO",bunker_price_ROT,IF(bunker_choice="hydrogen",$BD129*hfo_e_density_lhv/h2_e_density_lhv,(CO129+CQ129)*1000000/CS129*hfo_e_density_lhv/meoh_e_density_lhv))+Shipping!$AD$73+IF(G129="Panama",Shipping!$AD$55,0)+IF(G129="Suez",Shipping!$AD$56,0))/Shipping!$AD$31*CS129/1000000+IF(inland_transport_to_port="hv dc grid",$BM129/100*1000*CV129,IF(inland_transport_to_port="pipeline",$BN129,0)),((F129/24/Shipping!$L$44+F129/24/Shipping!$L$50+Shipping!$L$59+Shipping!$L$64)*(Shipping!$L$22+wacc_nl*Shipping!$L$19/365.25*1000000+Shipping!$L$35)+(F129/24/Shipping!$L$44*Shipping!$L$45+Shipping!$L$64*Shipping!$L$65)*IF(bunker_choice="HFO",$H129,IF(bunker_choice="hydrogen",$BD129*hfo_e_density_lhv/h2_e_density_lhv,(CO129+CQ129)*1000000/CS129*hfo_e_density_lhv/meoh_e_density_lhv))+(F129/24/Shipping!$L$50*Shipping!$L$51+Shipping!$L$59*Shipping!$L$60)*IF(bunker_choice="HFO",bunker_price_ROT,IF(bunker_choice="hydrogen",$BD129*hfo_e_density_lhv/h2_e_density_lhv,(CO129+CQ129)*1000000/CS129*hfo_e_density_lhv/meoh_e_density_lhv))+Shipping!$L$73+IF(G129="Panama",Shipping!$L$55,0)+IF(G129="Suez",Shipping!$L$56,0))/Shipping!$L$31*CS129/1000000+IF(inland_transport_to_port="hv dc grid",$BM129/100*1000*CV129,IF(inland_transport_to_port="pipeline",$BN129,0)))))</f>
        <v>4841.2293954100423</v>
      </c>
      <c r="CU129" s="28">
        <f t="shared" si="133"/>
        <v>93052.354017427933</v>
      </c>
      <c r="CV129" s="29">
        <f>((Carriers!$R$18/Carriers!$R$23*alk_el_e_demand)+meoh_e_demand)*(CS129+meoh_st_ab_losses)/1000000+meoh_st_e_demand*CS129/1000000</f>
        <v>1119.9789871111109</v>
      </c>
      <c r="CW129" s="29">
        <f t="shared" si="158"/>
        <v>0.16206666666666666</v>
      </c>
      <c r="CX129" s="28">
        <f>IFERROR(CU129*1000000/Storage!$K$12,"")</f>
        <v>861.24145018187107</v>
      </c>
      <c r="CY129" s="28">
        <f>IF($E129="","No Port",((F129/24/Shipping!$L$44+F129/24/Shipping!$L$50+Shipping!$L$59+Shipping!$L$64)*Carriers!$R$39*wacc_nl))</f>
        <v>75.936013835855803</v>
      </c>
      <c r="CZ129" s="29">
        <f>H2_retrieval!$J$25*h2_demand_kt/1000+(co2_liq_e_demand+co2_st_e_demand*2)*Storage!$K$12*co2_density/meoh_density/1000000</f>
        <v>251.05079059698966</v>
      </c>
      <c r="DA129" s="28">
        <f>IFERROR((((CO129+CQ129+CT129)*(1+H2_retrieval!$J$34)+CY129)*1000000/H2_retrieval!$J$8)+h2_regen_meoh,"")</f>
        <v>7012.4814968052906</v>
      </c>
      <c r="DB129" s="149">
        <f>(DBT_invest*(M129+1/DBT_lifetime)/DBT_prod+DBT_opex+DBT_e_demand*1000*$AU129/100+Carriers!$T$18/Carriers!$T$23*BD129)*(DD129+DBT_st_ab_losses)/1000000</f>
        <v>46634.823618805458</v>
      </c>
      <c r="DC129" s="28">
        <f>2*(DBT_st_nl_cost*DBT_st_nl_demand/1000000+(DBT_st_invest*(M129+1/DBT_st_lifetime+DBT_st_opex)/(Storage!$M$63/1000000)+DBT_st_e_demand*1000*$AU129/100)*(DD129+DBT_st_ab_losses)/1000000)+Carriers!$T$18/Carriers!$T$23*((DD129+DBT_st_ab_losses)/365.25*short_st_duration_hrs/24)*(h2_short_st_invest*(1/gh2_short_st_lifetime+$M129+h2_short_st_opex)+h2_short_st_e_demand*1000*$AU129/100)/1000000</f>
        <v>4249.9234981900845</v>
      </c>
      <c r="DD129" s="63">
        <f>Storage!$M$57/((1-Shipping!$N$37)^($F129/24/Shipping!$N$44+0.5*Shipping!$N$59))</f>
        <v>219354838.70967743</v>
      </c>
      <c r="DE129" s="28">
        <f>IF($E129="","No Port",IF(AND(ship_choice="VLCC",G129="Panama"),"Ship cannot pass through Panama",IF(ship_choice="VLCC",((F129/24/Shipping!$AD$44+F129/24/Shipping!$AD$50+Shipping!$AD$59+Shipping!$AD$64)*(Shipping!$AD$22+wacc_nl*Shipping!$AD$19/365.25*1000000+Shipping!$AD$35)+(F129/24/Shipping!$AD$44*Shipping!$AD$45+Shipping!$AD$64*Shipping!$AD$65)*IF(bunker_choice="HFO",$H129,IF(bunker_choice="hydrogen",$BD129*hfo_e_density_lhv/h2_e_density_lhv,(DB129+DC129)*1000000/DD129*hfo_e_density_lhv/DBT_e_density_lhv))+(F129/24/Shipping!$AD$50*Shipping!$AD$51+Shipping!$AD$59*Shipping!$AD$60)*IF(bunker_choice="HFO",bunker_price_ROT,IF(bunker_choice="hydrogen",$BD129*hfo_e_density_lhv/h2_e_density_lhv,(DB129+DC129)*1000000/DD129*hfo_e_density_lhv/DBT_e_density_lhv))+Shipping!$AD$73+IF(G129="Panama",Shipping!$AD$55,0)+IF(G129="Suez",Shipping!$AD$56,0))/Shipping!$AD$31*DD129/1000000+IF(inland_transport_to_port="hv dc grid",$BM129/100*1000*DG129,IF(inland_transport_to_port="pipeline",$BN129,0)),((F129/24/Shipping!$N$44+F129/24/Shipping!$N$50+Shipping!$N$59+Shipping!$N$64)*(Shipping!$N$22+wacc_nl*Shipping!$N$19/365.25*1000000+Shipping!$N$35)+(F129/24/Shipping!$N$44*Shipping!$N$45+Shipping!$N$64*Shipping!$N$65)*IF(bunker_choice="HFO",$H129,IF(bunker_choice="hydrogen",$BD129*hfo_e_density_lhv/h2_e_density_lhv,(DB129+DC129)*1000000/DD129*hfo_e_density_lhv/DBT_e_density_lhv))+(F129/24/Shipping!$N$50*Shipping!$N$51+Shipping!$N$59*Shipping!$N$60)*IF(bunker_choice="HFO",bunker_price_ROT,IF(bunker_choice="hydrogen",$BD129*hfo_e_density_lhv/h2_e_density_lhv,(DB129+DC129)*1000000/DD129*hfo_e_density_lhv/DBT_e_density_lhv))+Shipping!$N$73+IF(G129="Panama",Shipping!$N$55,0)+IF(G129="Suez",Shipping!$N$56,0))/Shipping!$N$31*Shipping!$N$86/1000000+IF(inland_transport_to_port="hv dc grid",$BM129/100*1000*DG129,IF(inland_transport_to_port="pipeline",$BN129,0)))))</f>
        <v>8500.3598827333517</v>
      </c>
      <c r="DF129" s="28">
        <f t="shared" si="159"/>
        <v>59385.106999728887</v>
      </c>
      <c r="DG129" s="29">
        <f>((Carriers!$T$18/Carriers!$T$23*alk_el_e_demand)+DBT_e_demand)*(DD129+DBT_st_ab_losses)/1000000+DBT_st_e_demand*DD129/1000000</f>
        <v>703.88335483870969</v>
      </c>
      <c r="DH129" s="29">
        <f t="shared" si="160"/>
        <v>0.21935483870967742</v>
      </c>
      <c r="DI129" s="28">
        <f>IFERROR(DF129*1000000/Storage!$M$12,"")</f>
        <v>270.72622308699931</v>
      </c>
      <c r="DJ129" s="28">
        <f>IF($E129="","No Port",((F129/24/Shipping!$N$44+F129/24/Shipping!$N$50+Shipping!$N$59+Shipping!$N$64)*Carriers!$T$39*wacc_nl))</f>
        <v>5530.669384610952</v>
      </c>
      <c r="DK129" s="100">
        <f>H2_retrieval!$L$25*h2_demand_kt/1000+(co2_liq_e_demand+co2_st_e_demand*2)*Storage!$M$12*co2_density/DBT_density/1000000</f>
        <v>206.61934861671787</v>
      </c>
      <c r="DL129" s="28">
        <f>IFERROR(((DF129*(1+H2_retrieval!$L$34)+DJ129)*1000000/H2_retrieval!$L$8)+h2_regen_lohc,"")</f>
        <v>5243.8686324284899</v>
      </c>
      <c r="DM129" s="149">
        <f t="shared" si="175"/>
        <v>51553.375414554845</v>
      </c>
      <c r="DN129" s="16">
        <f>2*(nabh4_st_nl_cost*nabh4_st_nl_demand/1000000+(nabh4_st_invest*(M129+1/nabh4_st_lifetime+nabh4_st_opex)/(Storage!$O$63/1000000)+nabh4_st_e_demand*1000*$AU129/100)*(DO129+nabh4_st_ab_losses)/1000000)+(h2_demand_kt*1000/365.25*short_st_duration_hrs/24)*(h2_short_st_invest*(1/gh2_short_st_lifetime+$M129+h2_short_st_opex)+h2_short_st_e_demand*1000*$AU129/100)/1000000</f>
        <v>1439.1313218501327</v>
      </c>
      <c r="DO129" s="63">
        <f>Storage!$O$57/((1-Shipping!$P$37)^($F129/24/Shipping!$P$44+0.5*Shipping!$P$59))</f>
        <v>63920000</v>
      </c>
      <c r="DP129" s="16">
        <f>IF($E129="","No Port",((F129/24/Shipping!$P$44+F129/24/Shipping!$P$50+Shipping!$P$59+Shipping!$P$64)*(Shipping!$P$22+wacc_nl*Shipping!$P$19/365.25*1000000+Shipping!$P$35)+(F129/24/Shipping!$P$44*Shipping!$P$45+Shipping!$P$64*Shipping!$P$65)*IF(bunker_choice="HFO",$H129,IF(bunker_choice="hydrogen",$BD129*hfo_e_density_lhv/h2_e_density_lhv,(DM129+DN129)*1000000/DO129*hfo_e_density_lhv/nabh4_e_density_lhv))+(F129/24/Shipping!$P$50*Shipping!$P$51+Shipping!$P$59*Shipping!$P$60)*IF(bunker_choice="HFO",bunker_price_ROT,IF(bunker_choice="hydrogen",$BD129*hfo_e_density_lhv/h2_e_density_lhv,(DM129+DN129)*1000000/DO129*hfo_e_density_lhv/nabh4_e_density_lhv))+Shipping!$P$73+IF(G129="Panama",Shipping!$P$55,0)+IF(G129="Suez",Shipping!$P$56,0))/Shipping!$P$31*(DO129+nabh4_st_ab_losses)/1000000+IF(inland_transport_to_port="hv dc grid",$BM129/100*1000*DR129,IF(inland_transport_to_port="pipeline",$BN129,0)))</f>
        <v>2711.1186611251733</v>
      </c>
      <c r="DQ129" s="28">
        <f t="shared" si="146"/>
        <v>55703.625397530152</v>
      </c>
      <c r="DR129" s="29">
        <f>((Carriers!$V$18/Carriers!$V$23*alk_el_e_demand)+nabh4_e_demand)*(DO129+nabh4_st_ab_losses)/1000000+nabh4_st_e_demand*DO129/1000000</f>
        <v>980.02139682539689</v>
      </c>
      <c r="DS129" s="28">
        <f t="shared" si="161"/>
        <v>3.1960000000000002</v>
      </c>
      <c r="DT129" s="28">
        <f>IFERROR(DQ129*1000000/Storage!$O$12,"")</f>
        <v>871.45846992381337</v>
      </c>
      <c r="DU129" s="28">
        <f>IF($E129="","No Port",((F129/24/Shipping!$P$44+F129/24/Shipping!$P$50+Shipping!$P$59+Shipping!$P$64)*Carriers!$V$39*wacc_nl))</f>
        <v>517.51560137946126</v>
      </c>
      <c r="DV129" s="100">
        <f>H2_retrieval!$N$25*h2_demand_kt/1000+(co2_liq_e_demand+co2_st_e_demand*2)*Storage!$O$12*co2_density/nabh4_density/1000000</f>
        <v>18.783638728971958</v>
      </c>
      <c r="DW129" s="28">
        <f>IFERROR(((DQ129*(1+H2_retrieval!$N$34)+DU129)*1000000/H2_retrieval!$N$8)+h2_regen_nabh4,"")</f>
        <v>4222.69873301389</v>
      </c>
      <c r="DX129" s="149">
        <f>(Dme_invest*(M129+1/Dme_lifetime)/Dme_prod+Dme_opex+Dme_e_demand*1000*$AU129/100+Carriers!$X$21/Carriers!$X$23*(CO129*1000000/CS129))*(EB129+Dme_st_ab_losses)/1000000</f>
        <v>97526.871586687223</v>
      </c>
      <c r="DY129" s="86">
        <f>(Dme_invest*(M129+1/Dme_lifetime)/Dme_prod+Dme_opex+Dme_e_demand*1000*$AU129/100+Carriers!$X$21/Carriers!$X$23*(CP129*1000000/CS129))*(EB129+Dme_st_ab_losses)/1000000</f>
        <v>120087.53559570717</v>
      </c>
      <c r="DZ129" s="63">
        <f>Dme_st_nl_cost*Dme_st_nl_demand/1000000+(Dme_st_invest*(M129+1/Dme_st_lifetime+Dme_st_opex)/(Storage!$Q$63/1000000)+Dme_st_e_demand*1000*$AU129/100)*(EB129+Dme_st_ab_losses)/1000000+co2_st_nl_cost*Storage!$Q$12*co2_density/Dme_density/1000000+(co2_st_opex_lev+co2_st_invest_lev+co2_st_e_demand*1000*$AU129/100)*Storage!$Q$12/1000000+co2_st_invest_lev*Storage!$Q$12*co2_st_lifetime*M129/1000000+(h2_demand_kt*1000/365.25*short_st_duration_hrs/24)*(h2_short_st_invest*(1/gh2_short_st_lifetime+$M129+h2_short_st_opex)+h2_short_st_e_demand*1000*$AU129/100)/1000000</f>
        <v>6054.8441553273287</v>
      </c>
      <c r="EA129" s="63">
        <f>Dme_st_nl_cost*Dme_st_nl_demand/1000000+(Dme_st_invest*(M129+1/Dme_st_lifetime+Dme_st_opex)/(Storage!$Q$63/1000000)+Dme_st_e_demand*1000*$AU129/100)*(EB129+Dme_st_ab_losses)/1000000+(h2_demand_kt*1000/365.25*short_st_duration_hrs/24)*(h2_short_st_invest*(1/gh2_short_st_lifetime+$M129+h2_short_st_opex)+h2_short_st_e_demand*1000*$AU129/100)/1000000</f>
        <v>3093.8133148913635</v>
      </c>
      <c r="EB129" s="63">
        <f>Storage!$Q$57/((1-Shipping!$R$37)^($F129/24/Shipping!$R$44+0.5*Shipping!$R$59))</f>
        <v>103547089.94708996</v>
      </c>
      <c r="EC129" s="153">
        <f>IF($E129="","No Port",IF(AND(ship_choice="VLCC",G129="Panama"),"Ship cannot pass through Panama",IF(ship_choice="VLCC",((F129/24/Shipping!$AD$44+F129/24/Shipping!$AD$50+Shipping!$AD$59+Shipping!$AD$64)*(Shipping!$AD$22+wacc_nl*Shipping!$AD$19/365.25*1000000+Shipping!$AD$35)+(F129/24/Shipping!$AD$44*Shipping!$AD$45+Shipping!$AD$64*Shipping!$AD$65)*IF(bunker_choice="HFO",$H129,IF(bunker_choice="hydrogen",$BD129*hfo_e_density_lhv/h2_e_density_lhv,(DX129+DZ129)*1000000/EB129*hfo_e_density_lhv/Dme_e_density_lhv))+(F129/24/Shipping!$AD$50*Shipping!$AD$51+Shipping!$AD$59*Shipping!$AD$60)*IF(bunker_choice="HFO",bunker_price_ROT,IF(bunker_choice="hydrogen",$BD129*hfo_e_density_lhv/h2_e_density_lhv,(DX129+DZ129)*1000000/EB129*hfo_e_density_lhv/Dme_e_density_lhv))+Shipping!$AD$73+IF(G129="Panama",Shipping!$AD$55,0)+IF(G129="Suez",Shipping!$AD$56,0))/Shipping!$AD$31*(EB129+Dme_st_ab_losses)/1000000+IF(inland_transport_to_port="hv dc grid",$BM129/100*1000*EE129,IF(inland_transport_to_port="pipeline",$BN129,0)),((F129/24/Shipping!$R$44+F129/24/Shipping!$R$50+Shipping!$R$59+Shipping!$R$64)*(Shipping!$R$22+wacc_nl*Shipping!$R$19/365.25*1000000+Shipping!$R$35)+(F129/24/Shipping!$R$44*Shipping!$R$45+Shipping!$R$64*Shipping!$R$65)*IF(bunker_choice="HFO",$H129,IF(bunker_choice="hydrogen",$BD129*hfo_e_density_lhv/h2_e_density_lhv,(DX129+DZ129)*1000000/EB129*hfo_e_density_lhv/Dme_e_density_lhv))+(F129/24/Shipping!$R$50*Shipping!$R$51+Shipping!$R$59*Shipping!$R$60)*IF(bunker_choice="HFO",bunker_price_ROT,IF(bunker_choice="hydrogen",$BD129*hfo_e_density_lhv/h2_e_density_lhv,(DX129+DZ129)*1000000/EB129*hfo_e_density_lhv/Dme_e_density_lhv))+Shipping!$R$73+IF(G129="Panama",Shipping!$R$55,0)+IF(G129="Suez",Shipping!$R$56,0))/Shipping!$R$31*(EB129+Dme_st_ab_losses)/1000000+IF(inland_transport_to_port="hv dc grid",$BM129/100*1000*EE129,IF(inland_transport_to_port="pipeline",$BN129,0)))))</f>
        <v>4853.6257975810249</v>
      </c>
      <c r="ED129" s="28">
        <f t="shared" si="134"/>
        <v>128034.97470817956</v>
      </c>
      <c r="EE129" s="29">
        <f>(Dme_e_demand)*(EB129+Dme_st_ab_losses)/1000000+Dme_st_e_demand*DZ129/1000000+$CV129*(Carriers!$X$21/Carriers!$X$23*EB129)/$CS129</f>
        <v>1550.2168207154973</v>
      </c>
      <c r="EF129" s="29">
        <f t="shared" si="162"/>
        <v>1.0354708994708997</v>
      </c>
      <c r="EG129" s="28">
        <f>IFERROR(ED129*1000000/Storage!$Q$12,"")</f>
        <v>1236.490323133198</v>
      </c>
      <c r="EH129" s="28">
        <f>IF($E129="","No Port",((F129/24/Shipping!$R$44+F129/24/Shipping!$R$50+Shipping!$R$59+Shipping!$R$64)*Carriers!$X$39*wacc_nl))</f>
        <v>78.535234725101787</v>
      </c>
      <c r="EI129" s="100">
        <f>H2_retrieval!$P$25*h2_demand_kt/1000+(co2_liq_e_demand+co2_st_e_demand*2)*Storage!$Q$12*co2_density/Dme_density/1000000</f>
        <v>252.45335899349112</v>
      </c>
      <c r="EJ129" s="28">
        <f>IFERROR((((DX129+DZ129+EC129)*(1+H2_retrieval!$P$34)+EH129)*1000000/H2_retrieval!$P$8)+h2_regen_dme,"")</f>
        <v>9149.0900707196943</v>
      </c>
      <c r="EK129" s="149">
        <f>(ome_invest*(M129+1/ome_lifetime)/ome_prod+ome_opex+ome_e_demand*1000*$AU129/100+Carriers!$Z$21/Carriers!$Z$23*(CO129*1000000/CS129))*(EO129+ome_st_ab_losses)/1000000</f>
        <v>211673.89472801372</v>
      </c>
      <c r="EL129" s="86">
        <f>(ome_invest*(M129+1/ome_lifetime)/ome_prod+ome_opex+ome_e_demand*1000*$AU129/100+Carriers!$Z$21/Carriers!$Z$23*(CP129*1000000/CS129))*(EO129+ome_st_ab_losses)/1000000</f>
        <v>259033.12021023742</v>
      </c>
      <c r="EM129" s="63">
        <f>ome_st_nl_cost*ome_st_nl_demand/1000000+(ome_st_invest*(M129+1/ome_st_lifetime+ome_st_opex)/(Storage!$S$63/1000000)+ome_st_e_demand*1000*$AU129/100)*(EO129+ome_st_ab_losses)/1000000+co2_st_nl_cost*Storage!$S$12*co2_density/ome_density/1000000+(co2_st_opex_lev+co2_st_invest_lev+co2_st_e_demand*1000*$AU129/100)*Storage!$S$12/1000000+co2_st_invest_lev*Storage!$S$12*co2_st_lifetime*M129/1000000+(h2_demand_kt*1000/365.25*short_st_duration_hrs/24)*(h2_short_st_invest*(1/gh2_short_st_lifetime+$M129+h2_short_st_opex)+h2_short_st_e_demand*1000*$AU129/100)/1000000</f>
        <v>5191.0350570860155</v>
      </c>
      <c r="EN129" s="63">
        <f>ome_st_nl_cost*ome_st_nl_demand/1000000+(ome_st_invest*(M129+1/ome_st_lifetime+ome_st_opex)/(Storage!$S$63/1000000)+ome_st_e_demand*1000*$AU129/100)*(EO129+ome_st_ab_losses)/1000000+(h2_demand_kt*1000/365.25*short_st_duration_hrs/24)*(h2_short_st_invest*(1/gh2_short_st_lifetime+$M129+h2_short_st_opex)+h2_short_st_e_demand*1000*$AU129/100)/1000000</f>
        <v>1861.6375506577147</v>
      </c>
      <c r="EO129" s="63">
        <f>Storage!$S$57/((1-Shipping!$T$37)^($F129/24/Shipping!$T$44+0.5*Shipping!$T$59))</f>
        <v>128282539.68253967</v>
      </c>
      <c r="EP129" s="28">
        <f>IF($E129="","No Port",IF(AND(ship_choice="VLCC",G129="Panama"),"Ship cannot pass through Panama",IF(ship_choice="VLCC",((F129/24/Shipping!$AD$44+F129/24/Shipping!$AD$50+Shipping!$AD$59+Shipping!$AD$64)*(Shipping!$AD$22+wacc_nl*Shipping!$AD$19/365.25*1000000+Shipping!$AD$35)+(F129/24/Shipping!$AD$44*Shipping!$AD$45+Shipping!$AD$64*Shipping!$AD$65)*IF(bunker_choice="HFO",$H129,IF(bunker_choice="hydrogen",$BD129*hfo_e_density_lhv/h2_e_density_lhv,(EK129+EM129)*1000000/EO129*hfo_e_density_lhv/Dme_e_density_lhv))+(F129/24/Shipping!$AD$50*Shipping!$AD$51+Shipping!$AD$59*Shipping!$AD$60)*IF(bunker_choice="HFO",bunker_price_ROT,IF(bunker_choice="hydrogen",$BD129*hfo_e_density_lhv/h2_e_density_lhv,(EK129+EM129)*1000000/EO129*hfo_e_density_lhv/ome_e_density_lhv))+Shipping!$AD$73+IF(G129="Panama",Shipping!$AD$55,0)+IF(G129="Suez",Shipping!$AD$56,0))/Shipping!$AD$31*(EO129+ome_st_ab_losses)/1000000+IF(inland_transport_to_port="hv dc grid",$BM129/100*1000*ER129,IF(inland_transport_to_port="pipeline",$BN129,0)),((F129/24/Shipping!$T$44+F129/24/Shipping!$T$50+Shipping!$T$59+Shipping!$T$64)*(Shipping!$T$22+wacc_nl*Shipping!$T$19/365.25*1000000+Shipping!$T$35)+(F129/24/Shipping!$T$44*Shipping!$T$45+Shipping!$T$64*Shipping!$T$65)*IF(bunker_choice="HFO",$H129,IF(bunker_choice="hydrogen",$BD129*hfo_e_density_lhv/h2_e_density_lhv,(EK129+EM129)*1000000/EO129*hfo_e_density_lhv/Dme_e_density_lhv))+(F129/24/Shipping!$T$50*Shipping!$T$51+Shipping!$T$59*Shipping!$T$60)*IF(bunker_choice="HFO",bunker_price_ROT,IF(bunker_choice="hydrogen",$BD129*hfo_e_density_lhv/h2_e_density_lhv,(EK129+EM129)*1000000/EO129*hfo_e_density_lhv/ome_e_density_lhv))+Shipping!$T$73+IF(G129="Panama",Shipping!$T$55,0)+IF(G129="Suez",Shipping!$T$56,0))/Shipping!$T$31*(EO129+ome_st_ab_losses)/1000000+IF(inland_transport_to_port="hv dc grid",$BM129/100*1000*ER129,IF(inland_transport_to_port="pipeline",$BN129,0)))))</f>
        <v>5347.7684261037193</v>
      </c>
      <c r="EQ129" s="28">
        <f t="shared" si="135"/>
        <v>266242.52618699882</v>
      </c>
      <c r="ER129" s="29">
        <f>(ome_e_demand)*(EO129+ome_st_ab_losses)/1000000+ome_st_e_demand*EM129/1000000+$CV129*(Carriers!$Z$21/Carriers!$Z$23*EO129)/$CS129</f>
        <v>3352.081457927336</v>
      </c>
      <c r="ES129" s="29">
        <f t="shared" si="163"/>
        <v>0.1924238095238095</v>
      </c>
      <c r="ET129" s="28">
        <f>IFERROR(EQ129*1000000/Storage!$S$12,"")</f>
        <v>2075.4385347052544</v>
      </c>
      <c r="EU129" s="28">
        <f>IF($E129="","No Port",((F129/24/Shipping!$T$44+F129/24/Shipping!$T$50+Shipping!$T$59+Shipping!$T$64)*Carriers!$Z$39*wacc_nl))</f>
        <v>90.159792651263345</v>
      </c>
      <c r="EV129" s="100">
        <f>H2_retrieval!$R$25*h2_demand_kt/1000+(co2_liq_e_demand+co2_st_e_demand*2)*Storage!$S$12*co2_density/ome_density/1000000</f>
        <v>254.51942895252085</v>
      </c>
      <c r="EW129" s="28">
        <f>IFERROR((((EK129+EM129+EP129)*(1+H2_retrieval!$R$34)+EU129)*1000000/H2_retrieval!$R$8)+h2_regen_ome,"")</f>
        <v>17515.926925832493</v>
      </c>
      <c r="EX129" s="149">
        <f>(sng_invest*(M129+1/sng_lifetime)/sng_prod+lng_invest*(M129+1/lng_lifetime)/lng_prod+sng_opex+lng_opex+(sng_e_demand+lng_e_demand)*1000*$AU129/100+Carriers!$AB$18/Carriers!$AB$23*BD129+Carriers!$AB$20/Carriers!$AB$23*co2_liq_cost)*(FB129+lng_st_ab_losses)/1000000</f>
        <v>75118.720738684526</v>
      </c>
      <c r="EY129" s="86">
        <f>(sng_invest*(M129+1/sng_lifetime)/sng_prod+lng_invest*(M129+1/lng_lifetime)/lng_prod+sng_opex+lng_opex+(sng_e_demand+lng_e_demand)*1000*$AU129/100+Carriers!$AB$18/Carriers!$AB$23*BD129+Carriers!$AB$20/Carriers!$AB$23*BP129)*(FB129+lng_st_ab_losses)/1000000</f>
        <v>87576.185002233819</v>
      </c>
      <c r="EZ129" s="63">
        <f>lng_st_nl_cost*lng_st_nl_demand/1000000+(lng_st_invest*(M129+1/lng_st_lifetime+lng_st_opex)/(Storage!$U$63/1000000)+lng_st_e_demand*1000*$AU129/100)*(FB129+lng_st_ab_losses)/1000000+co2_st_nl_cost*Storage!$U$12*co2_density/lng_density/1000000+(co2_st_opex_lev+co2_st_invest_lev+co2_st_e_demand*1000*$AU129/100)*Storage!$U$12/1000000+co2_st_invest_lev*Storage!$U$12*co2_st_lifetime*M129/1000000+Carriers!$AB$18/Carriers!$AB$23*((FB129+lng_st_ab_losses)/365.25*short_st_duration_hrs/24)*(h2_short_st_invest*(1/gh2_short_st_lifetime+$M129+h2_short_st_opex)+h2_short_st_e_demand*1000*$AU129/100)/1000000+Carriers!$AB$20/Carriers!$AB$23*((FB129+lng_st_ab_losses)/365.25*short_st_duration_hrs/24)*(co2_short_st_invest*(1/co2_short_st_lifetime+$M129+co2_short_st_opex)+co2_short_st_e_demand*1000*$AU129/100)/1000000</f>
        <v>6443.2498682758296</v>
      </c>
      <c r="FA129" s="63">
        <f>lng_st_nl_cost*lng_st_nl_demand/1000000+(lng_st_invest*(M129+1/lng_st_lifetime+lng_st_opex)/(Storage!$U$63/1000000)+lng_st_e_demand*1000*$AU129/100)*(FB129+lng_st_ab_losses)/1000000+Carriers!$AB$18/Carriers!$AB$23*((FB129+lng_st_ab_losses)/365.25*short_st_duration_hrs/24)*(h2_short_st_invest*(1/gh2_short_st_lifetime+$M129+h2_short_st_opex)+h2_short_st_e_demand*1000*$AU129/100)/1000000+Carriers!$AB$20/Carriers!$AB$23*((FB129+lng_st_ab_losses)/365.25*short_st_duration_hrs/24)*(co2_short_st_invest*(1/co2_short_st_lifetime+$M129+co2_short_st_opex)+co2_short_st_e_demand*1000*$AU129/100)/1000000</f>
        <v>4845.0185108758569</v>
      </c>
      <c r="FB129" s="63">
        <f>Storage!$U$57/((1-Shipping!$V$37)^($F129/24/Shipping!$V$44+0.5*Shipping!$V$59))</f>
        <v>41240411.940620124</v>
      </c>
      <c r="FC129" s="28">
        <f>IF($E129="","No Port",IF(G129="Panama","Ship cannot pass through Panama",((F129/24/Shipping!$V$44+F129/24/Shipping!$V$50+Shipping!$V$59+Shipping!$V$64)*(Shipping!$V$22+wacc_nl*Shipping!$V$19/365.25*1000000+Shipping!$V$35)+(F129/24/Shipping!$V$44*Shipping!$V$45+Shipping!$V$64*Shipping!$V$65)*IF(bunker_choice="HFO",$H129,IF(bunker_choice="hydrogen",$BD129*hfo_e_density_lhv/h2_e_density_lhv,(EX129+EZ129)*1000000/FB129*hfo_e_density_lhv/lng_e_density_lhv))+(F129/24/Shipping!$V$50*Shipping!$V$51+Shipping!$V$59*Shipping!$V$60)*IF(bunker_choice="HFO",bunker_price_ROT,IF(bunker_choice="hydrogen",$BD129*hfo_e_density_lhv/h2_e_density_lhv,(EX129+EZ129)*1000000/FB129*hfo_e_density_lhv/lng_e_density_lhv))+Shipping!$V$73+IF(G129="Panama",Shipping!$V$55,0)+IF(G129="Suez",Shipping!$V$56,0))/Shipping!$V$31*(FB129+lng_st_ab_losses)/1000000)+IF(inland_transport_to_port="hv dc grid",$BM129/100*1000*FE129,IF(inland_transport_to_port="pipeline",$BN129,0)))</f>
        <v>2255.1214511561607</v>
      </c>
      <c r="FD129" s="28">
        <f t="shared" si="136"/>
        <v>94676.324964265834</v>
      </c>
      <c r="FE129" s="29">
        <f>((Carriers!$AB$18/Carriers!$AB$23*alk_el_e_demand)+sng_e_demand+lng_e_demand)*(FB129+lng_st_ab_losses)/1000000+lng_st_e_demand*EZ129/1000000</f>
        <v>1106.0351531650244</v>
      </c>
      <c r="FF129" s="29">
        <f t="shared" si="164"/>
        <v>0.8126185861001558</v>
      </c>
      <c r="FG129" s="28">
        <f>IFERROR(FD129*1000000/Storage!$U$12,"")</f>
        <v>2332.8412362127456</v>
      </c>
      <c r="FH129" s="28">
        <f>IF($E129="","No Port",((F129/24/Shipping!$V$44+F129/24/Shipping!$V$50+Shipping!$V$59+Shipping!$V$64)*Carriers!$AB$39*wacc_nl))</f>
        <v>26.678944225393412</v>
      </c>
      <c r="FI129" s="100">
        <f>H2_retrieval!$T$25*h2_demand_kt/1000+(co2_liq_e_demand+co2_st_e_demand*2)*Storage!$U$12*co2_density/lng_density/1000000</f>
        <v>236.51371749646054</v>
      </c>
      <c r="FJ129" s="28">
        <f>IFERROR((((EX129+EZ129+FC129)*(1+H2_retrieval!$T$34)+FH129)*1000000/H2_retrieval!$T$8)+h2_regen_lng,"")</f>
        <v>7335.1117051330202</v>
      </c>
      <c r="FK129" s="149">
        <f>(lh2_invest*(M129+1/lh2_lifetime)/lh2_prod+lh2_opex+lh2_e_demand*1000*$AU129/100+Carriers!$AD$18/Carriers!$AD$23*BD129)*(FM129+lh2_st_ab_losses)/1000000</f>
        <v>58373.37180932238</v>
      </c>
      <c r="FL129" s="28">
        <f>lh2_st_nl_cost*lh2_st_nl_demand/1000000+(lh2_st_invest*(M129+1/lh2_st_lifetime+lh2_st_opex)/(Storage!$Y$63/1000000)+lh2_st_e_demand*1000*$AU129/100)*(FM129+lh2_st_ab_losses)/1000000+((FM129+lh2_st_ab_losses)/365.25*short_st_duration_hrs/24)*(h2_short_st_invest*(1/gh2_short_st_lifetime+$M129+h2_short_st_opex)+h2_short_st_e_demand*1000*$AU129/100)/1000000</f>
        <v>56182.556669117963</v>
      </c>
      <c r="FM129" s="63">
        <f>Storage!$Y$57/((1-Shipping!$Z$37)^($F129/24/Shipping!$Z$44+0.5*Shipping!$Z$59))</f>
        <v>13947484.061823463</v>
      </c>
      <c r="FN129" s="28">
        <f>IF($E129="","No Port",IF(G129="Panama","Ship cannot pass through Panama",((F129/24/Shipping!$Z$44+F129/24/Shipping!$Z$50+Shipping!$Z$59+Shipping!$Z$64)*(Shipping!$Z$22+wacc_nl*Shipping!$Z$19/365.25*1000000+Shipping!$Z$35)+(F129/24/Shipping!$Z$44*Shipping!$Z$45+Shipping!$Z$64*Shipping!$Z$65)*IF(bunker_choice="HFO",$H129,IF(bunker_choice="hydrogen",$BD129*hfo_e_density_lhv/h2_e_density_lhv,(FK129+FL129)*1000000/FM129*hfo_e_density_lhv/lh2_e_density_lhv))+(F129/24/Shipping!$Z$50*Shipping!$Z$51+Shipping!$Z$59*Shipping!$Z$60)*IF(bunker_choice="HFO",bunker_price_ROT,IF(bunker_choice="hydrogen",$BD129*hfo_e_density_lhv/h2_e_density_lhv,(FK129+FL129)*1000000/FM129*hfo_e_density_lhv/lh2_e_density_lhv))+Shipping!$Z$73+IF(G129="Panama",Shipping!$Z$55,0)+IF(G129="Suez",Shipping!$Z$56,0))/Shipping!$Z$31*(FM129+lh2_st_ab_losses)/1000000)+IF(inland_transport_to_port="hv dc grid",$BM129/100*1000*FP129,IF(inland_transport_to_port="pipeline",$BN129,0)))</f>
        <v>3460.1335818280832</v>
      </c>
      <c r="FO129" s="28">
        <f t="shared" si="128"/>
        <v>118016.06206026842</v>
      </c>
      <c r="FP129" s="29">
        <f>((Carriers!$AD$18/Carriers!$AD$23*alk_el_e_demand)+lh2_e_demand)*(FM129+lh2_st_ab_losses)/1000000+lh2_st_e_demand*FM129/1000000</f>
        <v>808.23995580772748</v>
      </c>
      <c r="FQ129" s="100">
        <f t="shared" si="165"/>
        <v>1.361902463475859</v>
      </c>
      <c r="FR129" s="28">
        <f>IFERROR(FO129*1000000/Storage!$Y$12,"")</f>
        <v>8677.6516220785597</v>
      </c>
      <c r="FS129" s="100">
        <f>H2_retrieval!$V$25*h2_demand_kt/1000</f>
        <v>8.16</v>
      </c>
      <c r="FT129" s="28">
        <f>IFERROR(FR129*(1+H2_retrieval!$V$34)/Carrier_properties!$U$7+H2_retrieval!$V$38,"")</f>
        <v>8709.6203479470278</v>
      </c>
      <c r="FU129" s="12"/>
      <c r="FV129" s="24">
        <f t="shared" si="129"/>
        <v>2.6114592037591651</v>
      </c>
      <c r="FW129" s="24" t="str">
        <f t="shared" si="143"/>
        <v/>
      </c>
      <c r="FX129" s="24">
        <f t="shared" si="144"/>
        <v>8.4951740788579411</v>
      </c>
      <c r="FY129" s="24">
        <f t="shared" si="130"/>
        <v>2.6114592037591651</v>
      </c>
      <c r="FZ129" s="28">
        <f t="shared" si="145"/>
        <v>3183.1133164721587</v>
      </c>
      <c r="GA129" s="28">
        <f t="shared" si="137"/>
        <v>714.33015309309849</v>
      </c>
      <c r="GB129" s="28">
        <f t="shared" si="138"/>
        <v>446.87668718138298</v>
      </c>
      <c r="GC129" s="28">
        <f t="shared" si="139"/>
        <v>797.28552843119701</v>
      </c>
      <c r="GD129" s="28">
        <f t="shared" si="140"/>
        <v>1159.7383920404618</v>
      </c>
      <c r="GE129" s="28">
        <f t="shared" si="141"/>
        <v>2019.239101839313</v>
      </c>
      <c r="GF129" s="28">
        <f t="shared" si="142"/>
        <v>2123.5526242640376</v>
      </c>
      <c r="GG129" s="12"/>
      <c r="GH129" s="12"/>
      <c r="GI129" s="12"/>
      <c r="GJ129" s="12"/>
      <c r="GK129" s="12"/>
      <c r="GL129" s="12"/>
      <c r="GM129" s="12"/>
      <c r="GN129" s="12"/>
      <c r="GO129" s="12"/>
      <c r="GP129" s="12"/>
      <c r="GQ129" s="12"/>
      <c r="GR129" s="12"/>
      <c r="GS129" s="12"/>
      <c r="GT129" s="12"/>
      <c r="GU129" s="12"/>
      <c r="GV129" s="12"/>
      <c r="GW129" s="12"/>
      <c r="GX129" s="12"/>
      <c r="GY129" s="12"/>
      <c r="GZ129" s="12"/>
      <c r="HA129" s="12"/>
      <c r="HB129" s="12"/>
      <c r="HC129" s="12"/>
      <c r="HD129" s="12"/>
      <c r="HE129" s="12"/>
      <c r="HF129" s="12"/>
    </row>
    <row r="130" spans="1:214" x14ac:dyDescent="0.2">
      <c r="A130" s="154" t="s">
        <v>131</v>
      </c>
      <c r="B130" s="12">
        <v>9110</v>
      </c>
      <c r="C130" s="12">
        <v>0.9</v>
      </c>
      <c r="D130" s="12">
        <f t="shared" si="111"/>
        <v>9.9999999999999978E-2</v>
      </c>
      <c r="E130" s="12"/>
      <c r="F130" s="12"/>
      <c r="G130" s="12"/>
      <c r="H130" s="16">
        <f t="shared" si="166"/>
        <v>382.75862068965517</v>
      </c>
      <c r="I130" s="16"/>
      <c r="J130" s="16">
        <f t="shared" si="113"/>
        <v>0</v>
      </c>
      <c r="K130" s="16" t="str">
        <f t="shared" si="114"/>
        <v/>
      </c>
      <c r="L130" s="103">
        <v>0.122</v>
      </c>
      <c r="M130" s="103">
        <f t="shared" si="167"/>
        <v>0.12770138717717694</v>
      </c>
      <c r="N130" s="122">
        <f t="shared" si="116"/>
        <v>0.9</v>
      </c>
      <c r="O130" s="46">
        <f t="shared" si="168"/>
        <v>40</v>
      </c>
      <c r="P130" s="70">
        <f t="array" ref="P130">SUMPRODUCT(IF(Solar_data!A$4:A$777=A130,Solar_data!C$4:C$777),IF(Solar_data!A$4:A$777=A130,Solar_data!I$4:I$777))/SUMIF(Solar_data!A$4:A$777,A130,Solar_data!I$4:I$777)</f>
        <v>2098.75</v>
      </c>
      <c r="Q130" s="16">
        <f t="array" ref="Q130">MAX(IF(Solar_data!$A$777:'Solar_data'!$A$4=Country_details!$A130,Solar_data!$C$4:'Solar_data'!$C$777))</f>
        <v>2098.75</v>
      </c>
      <c r="R130" s="16">
        <f t="array" ref="R130">MIN(IF(Solar_data!$A$777:'Solar_data'!$A$4=Country_details!A130,Solar_data!$C$4:'Solar_data'!$C$777))</f>
        <v>2098.75</v>
      </c>
      <c r="S130" s="24">
        <f t="shared" si="149"/>
        <v>2.1840800077075251</v>
      </c>
      <c r="T130" s="24">
        <f t="shared" si="150"/>
        <v>2.1840800077075251</v>
      </c>
      <c r="U130" s="24">
        <f t="shared" si="151"/>
        <v>2.1840800077075251</v>
      </c>
      <c r="V130" s="16">
        <f t="array" ref="V130">SUM(IF(Solar_data!$A$777:'Solar_data'!$A$4=Country_details!$A130,Solar_data!$I$4:'Solar_data'!$I$777))</f>
        <v>143.17152009834538</v>
      </c>
      <c r="W130" s="148"/>
      <c r="X130" s="16" t="str">
        <f>IFERROR(INDEX(Onshore_wind_data!$J$5:'Onshore_wind_data'!$J$221,MATCH(A130,Onshore_wind_data!$B$5:'Onshore_wind_data'!$B$221,0)),"")</f>
        <v/>
      </c>
      <c r="Y130" s="16" t="str">
        <f>IFERROR(INDEX(Onshore_wind_data!$K$5:'Onshore_wind_data'!$K$221,MATCH(A130,Onshore_wind_data!$B$5:'Onshore_wind_data'!$B$221,0)),"")</f>
        <v/>
      </c>
      <c r="Z130" s="16" t="str">
        <f>IFERROR(INDEX(Onshore_wind_data!$L$5:'Onshore_wind_data'!$L$221,MATCH(A130,Onshore_wind_data!$B$5:'Onshore_wind_data'!$B$221,0)),"")</f>
        <v/>
      </c>
      <c r="AA130" s="24" t="str">
        <f t="shared" si="169"/>
        <v/>
      </c>
      <c r="AB130" s="24" t="str">
        <f t="shared" si="170"/>
        <v/>
      </c>
      <c r="AC130" s="24" t="str">
        <f t="shared" si="171"/>
        <v/>
      </c>
      <c r="AD130" s="16">
        <f>IFERROR(INDEX(Onshore_wind_data!$I$5:'Onshore_wind_data'!$I$221,MATCH(A130,Onshore_wind_data!$B$5:'Onshore_wind_data'!$B$221,0)),"")</f>
        <v>0</v>
      </c>
      <c r="AE130" s="148"/>
      <c r="AF130" s="16" t="str">
        <f>INDEX(Offshore_wind_data!$AA$7:$AA$192,MATCH(Country_details!A130,Offshore_wind_data!$A$7:$A$192,0))</f>
        <v/>
      </c>
      <c r="AG130" s="16" t="str">
        <f>INDEX(Offshore_wind_data!$Y$7:$Y$192,MATCH(Country_details!A130,Offshore_wind_data!$A$7:$A$192,0))</f>
        <v/>
      </c>
      <c r="AH130" s="16" t="str">
        <f>INDEX(Offshore_wind_data!$Z$7:$Z$192,MATCH(Country_details!A130,Offshore_wind_data!$A$7:$A$192,0))</f>
        <v/>
      </c>
      <c r="AI130" s="24" t="str">
        <f t="shared" si="152"/>
        <v/>
      </c>
      <c r="AJ130" s="24" t="str">
        <f t="shared" si="153"/>
        <v/>
      </c>
      <c r="AK130" s="24" t="str">
        <f t="shared" si="154"/>
        <v/>
      </c>
      <c r="AL130" s="16">
        <f>INDEX(Offshore_wind_data!$W$7:$W$191,MATCH(A130,Offshore_wind_data!$A$7:$A$191,0))</f>
        <v>0</v>
      </c>
      <c r="AM130" s="148"/>
      <c r="AN130" s="12">
        <v>1.4</v>
      </c>
      <c r="AO130" s="12">
        <v>2.1</v>
      </c>
      <c r="AP130" s="34"/>
      <c r="AQ130" s="15">
        <f t="shared" si="155"/>
        <v>50</v>
      </c>
      <c r="AR130" s="12">
        <f t="shared" si="131"/>
        <v>105</v>
      </c>
      <c r="AS130" s="16">
        <f t="shared" si="121"/>
        <v>38.171520098345383</v>
      </c>
      <c r="AT130" s="12"/>
      <c r="AU130" s="24">
        <f t="shared" si="147"/>
        <v>2.1840800077075251</v>
      </c>
      <c r="AV130" s="16">
        <f t="shared" si="148"/>
        <v>2098.75</v>
      </c>
      <c r="AW130" s="149">
        <f>HV_DC_Grid!$E$3/(1-AX130)*AU130/100*1000</f>
        <v>2657.7445000641505</v>
      </c>
      <c r="AX130" s="31">
        <f>(1-(1-HV_DC_Grid!$E$25)^(B130*C130*HV_DC_Grid!$E$8/1000))+(1-(1-HV_DC_Grid!$E$26)^(B130*D130*HV_DC_Grid!$E$8/1000))+HV_DC_Grid!$E$35*HV_DC_Grid!$E$28</f>
        <v>0.17822047692891196</v>
      </c>
      <c r="AY130" s="28">
        <f>B130*nl_e_demand/IF(hv_dc_flh="electricity FLH",$AV130,hv_dc_custom)*1000*hv_dc_capacity_multiplier*hv_dc_length_multiplier*1000*(C130*hv_dc_overhead_invest*(hv_dc_overhead_opex+M130+1/hv_dc_lifetime)+D130*hv_dc_sea_invest*(hv_dc_sea_opex+M130+1/hv_dc_lifetime))/1000000+HV_DC_Grid!$E$10*1000*hv_dc_station_invest*hv_dc_station_number*(hv_dc_station_opex+M130+1/hv_dc_lifetime)/1000000</f>
        <v>9937.3784194904874</v>
      </c>
      <c r="AZ130" s="24">
        <f>(AW130+AY130)/(HV_DC_Grid!$E$3*1000)*100</f>
        <v>12.595122919554639</v>
      </c>
      <c r="BA130" s="28">
        <f>MIN(((Carriers!$F$26+Carriers!$F$27)*(alk_el_opex+wacc_nl+1/alk_el_lifetime)+IF(hv_dc_flh="electricity FLH",$AV130,hv_dc_custom)*AZ130/100)/(IF(hv_dc_flh="electricity FLH",$AV130,hv_dc_custom)/alk_el_e_demand)*1000,((Carriers!$H$26+Carriers!$H$27)*(pem_el_opex+wacc_nl+1/pem_el_lifetime)+IF(hv_dc_flh="electricity FLH",$AV130,hv_dc_custom)*AZ130/100)/(IF(hv_dc_flh="electricity FLH",$AV130,hv_dc_custom)/pem_el_e_demand)*1000)</f>
        <v>6794.1610536423605</v>
      </c>
      <c r="BB130" s="12"/>
      <c r="BC130" s="12"/>
      <c r="BD130" s="149">
        <f>MIN(((Carriers!$F$26+Carriers!$F$27)*(alk_el_opex+M130+1/alk_el_lifetime)+$AV130*$AU130/100)/($AV130/alk_el_e_demand)*1000,((Carriers!$H$26+Carriers!$H$27)*(pem_el_opex+M130+1/pem_el_lifetime)+$AV130*$AU130/100)/($AV130/pem_el_e_demand)*1000)</f>
        <v>2758.5116354775059</v>
      </c>
      <c r="BE130" s="28">
        <f>Storage!$AC$50</f>
        <v>8.1664117557772418</v>
      </c>
      <c r="BF130" s="28">
        <f>((Pipeline!$D$22*Pipeline!$D$24*B130*(pipeline_opex+M130+1/pipeline_lifetime))*(Pipeline!$D$39/Pipeline!$D$3)+(Pipeline!$D$57*(pipeline_comp_opex+M130+1/pipeline_comp_lifetime)+Pipeline!$D$47*1000*Pipeline!$D$45*$AU130/100/1000000))*(Pipeline!$D$75/Pipeline!$D$45)</f>
        <v>20720.789654359709</v>
      </c>
      <c r="BG130" s="28">
        <f>BD130+(BE130+BF130)/Storage!$AC$12*1000000</f>
        <v>4282.6995815154096</v>
      </c>
      <c r="BH130" s="28"/>
      <c r="BI130" s="28"/>
      <c r="BJ130" s="28" t="str">
        <f>IF($E130="","No Port",BK130*HV_DC_Grid!$E$3*$AU130/100*1000)</f>
        <v>No Port</v>
      </c>
      <c r="BK130" s="31" t="str">
        <f>IFERROR((1-(1-HV_DC_Grid!$E$25)^(K130*HV_DC_Grid!$E$8/1000))+HV_DC_Grid!$E$35*HV_DC_Grid!$E$28,"")</f>
        <v/>
      </c>
      <c r="BL130" s="28" t="str">
        <f>IFERROR(K130*nl_e_demand/IF(hv_dc_flh="electricity FLH",$AV130,hv_dc_custom)*1000*hv_dc_capacity_multiplier*hv_dc_length_multiplier*1000*(hv_dc_overhead_invest*(hv_dc_overhead_opex+M130+1/hv_dc_lifetime))/1000000+HV_DC_Grid!$E$10*1000*hv_dc_station_invest*hv_dc_station_number*(hv_dc_station_opex+M130+1/hv_dc_lifetime)/1000000,"")</f>
        <v/>
      </c>
      <c r="BM130" s="29" t="str">
        <f>IFERROR((BJ130+BL130)/(HV_DC_Grid!$E$3*1000)*100,"")</f>
        <v/>
      </c>
      <c r="BN130" s="28" t="str">
        <f>IFERROR(((Pipeline!$D$22*Pipeline!$D$24*K130*(pipeline_opex+M130+1/pipeline_lifetime))*(Pipeline!$D$39/Pipeline!$D$3)+(Pipeline!$D$57*(pipeline_comp_opex+M130+1/pipeline_comp_lifetime)+Pipeline!$D$47*1000*Pipeline!$D$45*S130/100/1000000))*(Pipeline!$D$75/Pipeline!$D$45),"")</f>
        <v/>
      </c>
      <c r="BO130" s="28"/>
      <c r="BP130" s="150">
        <f t="shared" si="172"/>
        <v>112.36313363097986</v>
      </c>
      <c r="BQ130" s="34">
        <f t="shared" si="173"/>
        <v>33.789372545456118</v>
      </c>
      <c r="BR130" s="151">
        <f>(nh3_invest*(M130+1/nh3_lifetime)/nh3_prod+nh3_opex+nh3_e_demand*1000*$AU130/100+Carriers!$N$18/Carriers!$N$23*BD130+Carriers!$N$19/Carriers!$N$23*BQ130)*(BT130+nh3_st_ab_losses)/1000000</f>
        <v>48626.718275234729</v>
      </c>
      <c r="BS130" s="63">
        <f>nh3_st_nl_cost*nh3_st_nl_demand/1000000+(nh3_st_invest*(M130+1/nh3_st_lifetime+nh3_st_opex)/(Storage!$G$63/1000000)+nh3_st_e_demand*1000*$AU130/100)*(BT130+nh3_st_ab_losses)/1000000+Carriers!$N$18/Carriers!$N$23*((BT130+nh3_st_ab_losses)/365.25*short_st_duration_hrs/24)*(h2_short_st_invest*(1/gh2_short_st_lifetime+$M130+h2_short_st_opex)+h2_short_st_e_demand*1000*$AU130/100)/1000000+Carriers!$N$19/Carriers!$N$23*((BT130+nh3_st_ab_losses)/365.25*short_st_duration_hrs/24)*(n2_short_st_invest*(1/n2_short_st_lifetime+$M130+n2_short_st_opex)+n2_short_st_e_demand*1000*$AU130/100)/1000000</f>
        <v>3401.5669083226262</v>
      </c>
      <c r="BT130" s="63">
        <f>Storage!$G$57/((1-Shipping!$H$37)^(F130/24/Shipping!$H$44+0.5*Shipping!$H$59))</f>
        <v>76857210.785724297</v>
      </c>
      <c r="BU130" s="63" t="str">
        <f>IF($E130="","No Port",((F130/24/Shipping!$H$44+F130/24/Shipping!$H$50+Shipping!$H$59+Shipping!$H$64)*(Shipping!$H$22+wacc_nl*Shipping!$H$19/365.25*1000000+Shipping!$H$35)+(F130/24/Shipping!$H$44*Shipping!$H$45+Shipping!$H$64*Shipping!$H$65)*IF(bunker_choice="HFO",H130,IF(bunker_choice="hydrogen",BD130*hfo_e_density_lhv/h2_e_density_lhv,(BR130+BS130)*1000000/BT130*hfo_e_density_lhv/nh3_e_density_lhv))+(F130/24/Shipping!$H$50*Shipping!$H$51+Shipping!$H$59*Shipping!$H$60)*IF(bunker_choice="HFO",bunker_price_ROT,IF(bunker_choice="hydrogen",BD130*hfo_e_density_lhv/h2_e_density_lhv,(BR130+BS130)*1000000/BT130*hfo_e_density_lhv/nh3_e_density_lhv))+Shipping!$H$73+IF(G130="Panama",Shipping!$H$55,0)+IF(G130="Suez",Shipping!$H$56,0))/Shipping!$H$31*BT130/1000000+IF(inland_transport_to_port="hv dc grid",$BM130/100*1000*BW130,IF(inland_transport_to_port="pipeline",$BN130,0)))</f>
        <v>No Port</v>
      </c>
      <c r="BV130" s="63" t="str">
        <f t="shared" si="174"/>
        <v/>
      </c>
      <c r="BW130" s="33">
        <f>((Carriers!$N$18/Carriers!$N$23*alk_el_e_demand)+(Carriers!$N$19/Carriers!$N$23*n2_e_demand)+nh3_e_demand)*(BT130+nh3_st_ab_losses)/1000000+nh3_st_e_demand*BT130/1000000</f>
        <v>759.00171168026975</v>
      </c>
      <c r="BX130" s="33">
        <f t="shared" si="156"/>
        <v>0.76626754477640768</v>
      </c>
      <c r="BY130" s="63" t="str">
        <f>IFERROR(BV130*1000000/Storage!$G$12,"")</f>
        <v/>
      </c>
      <c r="BZ130" s="63">
        <f>H2_retrieval!$F$25*h2_demand_kt/1000</f>
        <v>80</v>
      </c>
      <c r="CA130" s="63" t="str">
        <f>IFERROR(BY130*(1+H2_retrieval!$F$34)/Carrier_properties!$E$7+H2_retrieval!$F$38,"")</f>
        <v/>
      </c>
      <c r="CB130" s="149">
        <f>(FA_invest*(M130+1/FA_lifetime)/FA_prod+FA_opex+FA_e_demand*1000*$AU130/100+Carriers!$P$18/Carriers!$P$23*BD130+Carriers!$P$20/Carriers!$P$23*co2_liq_cost)*(CF130+FA_st_ab_losses)/1000000</f>
        <v>97940.953392137992</v>
      </c>
      <c r="CC130" s="86">
        <f>(FA_invest*(M130+1/FA_lifetime)/FA_prod+FA_opex+FA_e_demand*1000*$AU130/100+Carriers!$P$18/Carriers!$P$23*BD130+Carriers!$P$20/Carriers!$P$23*BP130)*(CF130+FA_st_ab_losses)/1000000</f>
        <v>125025.73832401076</v>
      </c>
      <c r="CD130" s="63">
        <f>FA_st_nl_cost*FA_st_nl_demand/1000000+(FA_st_invest*(M130+1/FA_st_lifetime+FA_st_opex)/(Storage!$I$63/1000000)+FA_st_e_demand*1000*$AU130/100)*(CF130+FA_st_ab_losses)/1000000+co2_st_nl_cost*Storage!$I$12*co2_density/FA_density/1000000+(co2_st_opex_lev+co2_st_invest_lev+co2_st_e_demand*1000*$AU130/100)*Storage!$I$12/1000000+co2_st_invest_lev*Storage!$I$12*co2_st_lifetime*M130/1000000+Carriers!$P$18/Carriers!$P$23*((CF130+FA_st_ab_losses)/365.25*short_st_duration_hrs/24)*(h2_short_st_invest*(1/gh2_short_st_lifetime+$M130+h2_short_st_opex)+h2_short_st_e_demand*1000*$AU130/100)/1000000+Carriers!$P$20/Carriers!$P$23*((CF130+FA_st_ab_losses)/365.25*short_st_duration_hrs/24)*(co2_short_st_invest*(1/co2_short_st_lifetime+$M130+co2_short_st_opex)+co2_short_st_e_demand*1000*$AU130/100)/1000000</f>
        <v>11709.524937945493</v>
      </c>
      <c r="CE130" s="63">
        <f>FA_st_nl_cost*FA_st_nl_demand/1000000+(FA_st_invest*(M130+1/FA_st_lifetime+FA_st_opex)/(Storage!$I$63/1000000)+FA_st_e_demand*1000*$AU130/100)*(CF130+FA_st_ab_losses)/1000000+Carriers!$P$18/Carriers!$P$23*((CF130+FA_st_ab_losses)/365.25*short_st_duration_hrs/24)*(h2_short_st_invest*(1/gh2_short_st_lifetime+$M130+h2_short_st_opex)+h2_short_st_e_demand*1000*$AU130/100)/1000000+Carriers!$P$20/Carriers!$P$23*((CF130+FA_st_ab_losses)/365.25*short_st_duration_hrs/24)*(co2_short_st_invest*(1/co2_short_st_lifetime+$M130+co2_short_st_opex)+co2_short_st_e_demand*1000*$AU130/100)/1000000</f>
        <v>5138.7619229298589</v>
      </c>
      <c r="CF130" s="63">
        <f>Storage!$I$57/((1-Shipping!$J$37)^($F130/24/Shipping!$J$44+0.5*Shipping!$J$59))</f>
        <v>310425396.82539684</v>
      </c>
      <c r="CG130" s="28" t="str">
        <f>IF($E130="","No Port",((F130/24/Shipping!$J$44+F130/24/Shipping!$J$50+Shipping!$J$59+Shipping!$J$64)*(Shipping!$J$22+wacc_nl*Shipping!$J$19/365.25*1000000+Shipping!$J$35)+(F130/24/Shipping!$J$44*Shipping!$J$45+Shipping!$J$64*Shipping!$J$65)*IF(bunker_choice="HFO",$H130,IF(bunker_choice="hydrogen",$BD130*hfo_e_density_lhv/h2_e_density_lhv,(CB130+CD130)*1000000/CF130*hfo_e_density_lhv/FA_e_density_lhv))+(F130/24/Shipping!$J$50*Shipping!$J$51+Shipping!$J$59*Shipping!$J$60)*IF(bunker_choice="HFO",bunker_price_ROT,IF(bunker_choice="hydrogen",$BD130*hfo_e_density_lhv/h2_e_density_lhv,(CB130+CD130)*1000000/CF130*hfo_e_density_lhv/FA_e_density_lhv))+Shipping!$J$73+IF(G130="Panama",Shipping!$J$55,0)+IF(G130="Suez",Shipping!$J$56,0))/Shipping!$J$31*CF130/1000000+IF(inland_transport_to_port="hv dc grid",$BM130/100*1000*CI130,IF(inland_transport_to_port="pipeline",$BN130,0)))</f>
        <v>No Port</v>
      </c>
      <c r="CH130" s="28" t="str">
        <f t="shared" si="132"/>
        <v/>
      </c>
      <c r="CI130" s="29">
        <f>((Carriers!$P$18/Carriers!$P$23*alk_el_e_demand)+FA_e_demand)*(CF130+FA_st_ab_losses)/1000000+FA_st_e_demand*CF130/1000000</f>
        <v>1897.8881241622576</v>
      </c>
      <c r="CJ130" s="29">
        <f t="shared" si="157"/>
        <v>0.46563809523809524</v>
      </c>
      <c r="CK130" s="28" t="str">
        <f>IFERROR(CH130*1000000/Storage!$I$12,"")</f>
        <v/>
      </c>
      <c r="CL130" s="28" t="str">
        <f>IF($E130="","No Port",((F130/24/Shipping!$J$44+F130/24/Shipping!$J$50+Shipping!$J$59+Shipping!$J$64)*Carriers!$P$39*wacc_nl))</f>
        <v>No Port</v>
      </c>
      <c r="CM130" s="29">
        <f>H2_retrieval!$H$25*h2_demand_kt/1000+(co2_liq_e_demand+co2_st_e_demand*2)*Storage!$I$12*co2_density/FA_density/1000000</f>
        <v>94.204253879484654</v>
      </c>
      <c r="CN130" s="28" t="str">
        <f>IFERROR((((CB130+CD130+CG130)*(1+H2_retrieval!$H$34)+CL130)*1000000/H2_retrieval!$H$8)+h2_regen_fa,"")</f>
        <v/>
      </c>
      <c r="CO130" s="149">
        <f>(meoh_invest*(M130+1/meoh_lifetime)/meoh_prod+meoh_opex+meoh_e_demand*1000*$AU130/100+Carriers!$R$18/Carriers!$R$23*BD130+Carriers!$R$20/Carriers!$R$23*co2_liq_cost)*(CS130+meoh_st_ab_losses)/1000000</f>
        <v>60432.112562941453</v>
      </c>
      <c r="CP130" s="86">
        <f>(meoh_invest*(M130+1/meoh_lifetime)/meoh_prod+meoh_opex+meoh_e_demand*1000*$AU130/100+Carriers!$R$18/Carriers!$R$23*BD130+Carriers!$R$20/Carriers!$R$23*BP130)*(CS130+meoh_st_ab_losses)/1000000</f>
        <v>76331.717475000958</v>
      </c>
      <c r="CQ130" s="63">
        <f>meoh_st_nl_cost*meoh_st_nl_demand/1000000+(meoh_st_invest*(M130+1/meoh_st_lifetime+meoh_st_opex)/(Storage!$K$63/1000000)+meoh_st_e_demand*1000*$AU130/100)*(CS130+meoh_st_ab_losses)/1000000+co2_st_nl_cost*Storage!$K$12*co2_density/meoh_density/1000000+(co2_st_opex_lev+co2_st_invest_lev+co2_st_e_demand*1000*IFERROR(MIN(S130,AA130,AI130),S130)/100)*Storage!$K$12/1000000+co2_st_invest_lev*Storage!$K$12*co2_st_lifetime*M130/1000000+Carriers!$R$18/Carriers!$R$23*((CS130+meoh_st_ab_losses)/365.25*short_st_duration_hrs/24)*(h2_short_st_invest*(1/gh2_short_st_lifetime+$M130+h2_short_st_opex)+h2_short_st_e_demand*1000*$AU130/100)/1000000+Carriers!$R$20/Carriers!$R$23*((CF130+meoh_st_ab_losses)/365.25*short_st_duration_hrs/24)*(co2_short_st_invest*(1/co2_short_st_lifetime+$M130+co2_short_st_opex)+co2_short_st_e_demand*1000*$AU130/100)/1000000</f>
        <v>4913.9040602178884</v>
      </c>
      <c r="CR130" s="63">
        <f>meoh_st_nl_cost*meoh_st_nl_demand/1000000+(meoh_st_invest*(M130+1/meoh_st_lifetime+meoh_st_opex)/(Storage!$K$63/1000000)+meoh_st_e_demand*1000*$AU130/100)*(CS130+meoh_st_ab_losses)/1000000+Carriers!$R$18/Carriers!$R$23*((CS130+meoh_st_ab_losses)/365.25*short_st_duration_hrs/24)*(h2_short_st_invest*(1/gh2_short_st_lifetime+$M130+h2_short_st_opex)+h2_short_st_e_demand*1000*$AU130/100)/1000000+Carriers!$R$20/Carriers!$R$23*((CF130+meoh_st_ab_losses)/365.25*short_st_duration_hrs/24)*(co2_short_st_invest*(1/co2_short_st_lifetime+$M130+co2_short_st_opex)+co2_short_st_e_demand*1000*$AU130/100)/1000000</f>
        <v>2027.933820374466</v>
      </c>
      <c r="CS130" s="63">
        <f>Storage!$K$57/((1-Shipping!$L$37)^($F130/24/Shipping!$L$44+0.5*Shipping!$L$59))</f>
        <v>108044444.44444443</v>
      </c>
      <c r="CT130" s="28" t="str">
        <f>IF($E130="","No Port",IF(AND(ship_choice="VLCC",G130="Panama"),"Ship cannot pass through Panama",IF(ship_choice="VLCC",((F130/24/Shipping!$AD$44+F130/24/Shipping!$AD$50+Shipping!$AD$59+Shipping!$AD$64)*(Shipping!$AD$22+wacc_nl*Shipping!$AD$19/365.25*1000000+Shipping!$AD$35)+(F130/24/Shipping!$AD$44*Shipping!$AD$45+Shipping!$AD$64*Shipping!$AD$65)*IF(bunker_choice="HFO",$H130,IF(bunker_choice="hydrogen",$BD130*hfo_e_density_lhv/h2_e_density_lhv,(CO130+CQ130)*1000000/CS130*hfo_e_density_lhv/meoh_e_density_lhv))+(F130/24/Shipping!$AD$50*Shipping!$AD$51+Shipping!$AD$59*Shipping!$AD$60)*IF(bunker_choice="HFO",bunker_price_ROT,IF(bunker_choice="hydrogen",$BD130*hfo_e_density_lhv/h2_e_density_lhv,(CO130+CQ130)*1000000/CS130*hfo_e_density_lhv/meoh_e_density_lhv))+Shipping!$AD$73+IF(G130="Panama",Shipping!$AD$55,0)+IF(G130="Suez",Shipping!$AD$56,0))/Shipping!$AD$31*CS130/1000000+IF(inland_transport_to_port="hv dc grid",$BM130/100*1000*CV130,IF(inland_transport_to_port="pipeline",$BN130,0)),((F130/24/Shipping!$L$44+F130/24/Shipping!$L$50+Shipping!$L$59+Shipping!$L$64)*(Shipping!$L$22+wacc_nl*Shipping!$L$19/365.25*1000000+Shipping!$L$35)+(F130/24/Shipping!$L$44*Shipping!$L$45+Shipping!$L$64*Shipping!$L$65)*IF(bunker_choice="HFO",$H130,IF(bunker_choice="hydrogen",$BD130*hfo_e_density_lhv/h2_e_density_lhv,(CO130+CQ130)*1000000/CS130*hfo_e_density_lhv/meoh_e_density_lhv))+(F130/24/Shipping!$L$50*Shipping!$L$51+Shipping!$L$59*Shipping!$L$60)*IF(bunker_choice="HFO",bunker_price_ROT,IF(bunker_choice="hydrogen",$BD130*hfo_e_density_lhv/h2_e_density_lhv,(CO130+CQ130)*1000000/CS130*hfo_e_density_lhv/meoh_e_density_lhv))+Shipping!$L$73+IF(G130="Panama",Shipping!$L$55,0)+IF(G130="Suez",Shipping!$L$56,0))/Shipping!$L$31*CS130/1000000+IF(inland_transport_to_port="hv dc grid",$BM130/100*1000*CV130,IF(inland_transport_to_port="pipeline",$BN130,0)))))</f>
        <v>No Port</v>
      </c>
      <c r="CU130" s="28" t="str">
        <f t="shared" si="133"/>
        <v/>
      </c>
      <c r="CV130" s="29">
        <f>((Carriers!$R$18/Carriers!$R$23*alk_el_e_demand)+meoh_e_demand)*(CS130+meoh_st_ab_losses)/1000000+meoh_st_e_demand*CS130/1000000</f>
        <v>1119.9789871111109</v>
      </c>
      <c r="CW130" s="29">
        <f t="shared" si="158"/>
        <v>0.16206666666666666</v>
      </c>
      <c r="CX130" s="28" t="str">
        <f>IFERROR(CU130*1000000/Storage!$K$12,"")</f>
        <v/>
      </c>
      <c r="CY130" s="28" t="str">
        <f>IF($E130="","No Port",((F130/24/Shipping!$L$44+F130/24/Shipping!$L$50+Shipping!$L$59+Shipping!$L$64)*Carriers!$R$39*wacc_nl))</f>
        <v>No Port</v>
      </c>
      <c r="CZ130" s="29">
        <f>H2_retrieval!$J$25*h2_demand_kt/1000+(co2_liq_e_demand+co2_st_e_demand*2)*Storage!$K$12*co2_density/meoh_density/1000000</f>
        <v>251.05079059698966</v>
      </c>
      <c r="DA130" s="28" t="str">
        <f>IFERROR((((CO130+CQ130+CT130)*(1+H2_retrieval!$J$34)+CY130)*1000000/H2_retrieval!$J$8)+h2_regen_meoh,"")</f>
        <v/>
      </c>
      <c r="DB130" s="149">
        <f>(DBT_invest*(M130+1/DBT_lifetime)/DBT_prod+DBT_opex+DBT_e_demand*1000*$AU130/100+Carriers!$T$18/Carriers!$T$23*BD130)*(DD130+DBT_st_ab_losses)/1000000</f>
        <v>40784.369466299911</v>
      </c>
      <c r="DC130" s="28">
        <f>2*(DBT_st_nl_cost*DBT_st_nl_demand/1000000+(DBT_st_invest*(M130+1/DBT_st_lifetime+DBT_st_opex)/(Storage!$M$63/1000000)+DBT_st_e_demand*1000*$AU130/100)*(DD130+DBT_st_ab_losses)/1000000)+Carriers!$T$18/Carriers!$T$23*((DD130+DBT_st_ab_losses)/365.25*short_st_duration_hrs/24)*(h2_short_st_invest*(1/gh2_short_st_lifetime+$M130+h2_short_st_opex)+h2_short_st_e_demand*1000*$AU130/100)/1000000</f>
        <v>4177.6077947482063</v>
      </c>
      <c r="DD130" s="63">
        <f>Storage!$M$57/((1-Shipping!$N$37)^($F130/24/Shipping!$N$44+0.5*Shipping!$N$59))</f>
        <v>219354838.70967743</v>
      </c>
      <c r="DE130" s="28" t="str">
        <f>IF($E130="","No Port",IF(AND(ship_choice="VLCC",G130="Panama"),"Ship cannot pass through Panama",IF(ship_choice="VLCC",((F130/24/Shipping!$AD$44+F130/24/Shipping!$AD$50+Shipping!$AD$59+Shipping!$AD$64)*(Shipping!$AD$22+wacc_nl*Shipping!$AD$19/365.25*1000000+Shipping!$AD$35)+(F130/24/Shipping!$AD$44*Shipping!$AD$45+Shipping!$AD$64*Shipping!$AD$65)*IF(bunker_choice="HFO",$H130,IF(bunker_choice="hydrogen",$BD130*hfo_e_density_lhv/h2_e_density_lhv,(DB130+DC130)*1000000/DD130*hfo_e_density_lhv/DBT_e_density_lhv))+(F130/24/Shipping!$AD$50*Shipping!$AD$51+Shipping!$AD$59*Shipping!$AD$60)*IF(bunker_choice="HFO",bunker_price_ROT,IF(bunker_choice="hydrogen",$BD130*hfo_e_density_lhv/h2_e_density_lhv,(DB130+DC130)*1000000/DD130*hfo_e_density_lhv/DBT_e_density_lhv))+Shipping!$AD$73+IF(G130="Panama",Shipping!$AD$55,0)+IF(G130="Suez",Shipping!$AD$56,0))/Shipping!$AD$31*DD130/1000000+IF(inland_transport_to_port="hv dc grid",$BM130/100*1000*DG130,IF(inland_transport_to_port="pipeline",$BN130,0)),((F130/24/Shipping!$N$44+F130/24/Shipping!$N$50+Shipping!$N$59+Shipping!$N$64)*(Shipping!$N$22+wacc_nl*Shipping!$N$19/365.25*1000000+Shipping!$N$35)+(F130/24/Shipping!$N$44*Shipping!$N$45+Shipping!$N$64*Shipping!$N$65)*IF(bunker_choice="HFO",$H130,IF(bunker_choice="hydrogen",$BD130*hfo_e_density_lhv/h2_e_density_lhv,(DB130+DC130)*1000000/DD130*hfo_e_density_lhv/DBT_e_density_lhv))+(F130/24/Shipping!$N$50*Shipping!$N$51+Shipping!$N$59*Shipping!$N$60)*IF(bunker_choice="HFO",bunker_price_ROT,IF(bunker_choice="hydrogen",$BD130*hfo_e_density_lhv/h2_e_density_lhv,(DB130+DC130)*1000000/DD130*hfo_e_density_lhv/DBT_e_density_lhv))+Shipping!$N$73+IF(G130="Panama",Shipping!$N$55,0)+IF(G130="Suez",Shipping!$N$56,0))/Shipping!$N$31*Shipping!$N$86/1000000+IF(inland_transport_to_port="hv dc grid",$BM130/100*1000*DG130,IF(inland_transport_to_port="pipeline",$BN130,0)))))</f>
        <v>No Port</v>
      </c>
      <c r="DF130" s="28" t="str">
        <f t="shared" si="159"/>
        <v/>
      </c>
      <c r="DG130" s="29">
        <f>((Carriers!$T$18/Carriers!$T$23*alk_el_e_demand)+DBT_e_demand)*(DD130+DBT_st_ab_losses)/1000000+DBT_st_e_demand*DD130/1000000</f>
        <v>703.88335483870969</v>
      </c>
      <c r="DH130" s="29">
        <f t="shared" si="160"/>
        <v>0.21935483870967742</v>
      </c>
      <c r="DI130" s="28" t="str">
        <f>IFERROR(DF130*1000000/Storage!$M$12,"")</f>
        <v/>
      </c>
      <c r="DJ130" s="28" t="str">
        <f>IF($E130="","No Port",((F130/24/Shipping!$N$44+F130/24/Shipping!$N$50+Shipping!$N$59+Shipping!$N$64)*Carriers!$T$39*wacc_nl))</f>
        <v>No Port</v>
      </c>
      <c r="DK130" s="100">
        <f>H2_retrieval!$L$25*h2_demand_kt/1000+(co2_liq_e_demand+co2_st_e_demand*2)*Storage!$M$12*co2_density/DBT_density/1000000</f>
        <v>206.61934861671787</v>
      </c>
      <c r="DL130" s="28" t="str">
        <f>IFERROR(((DF130*(1+H2_retrieval!$L$34)+DJ130)*1000000/H2_retrieval!$L$8)+h2_regen_lohc,"")</f>
        <v/>
      </c>
      <c r="DM130" s="149">
        <f t="shared" si="175"/>
        <v>46967.322671147886</v>
      </c>
      <c r="DN130" s="16">
        <f>2*(nabh4_st_nl_cost*nabh4_st_nl_demand/1000000+(nabh4_st_invest*(M130+1/nabh4_st_lifetime+nabh4_st_opex)/(Storage!$O$63/1000000)+nabh4_st_e_demand*1000*$AU130/100)*(DO130+nabh4_st_ab_losses)/1000000)+(h2_demand_kt*1000/365.25*short_st_duration_hrs/24)*(h2_short_st_invest*(1/gh2_short_st_lifetime+$M130+h2_short_st_opex)+h2_short_st_e_demand*1000*$AU130/100)/1000000</f>
        <v>1391.0063057586581</v>
      </c>
      <c r="DO130" s="63">
        <f>Storage!$O$57/((1-Shipping!$P$37)^($F130/24/Shipping!$P$44+0.5*Shipping!$P$59))</f>
        <v>63920000</v>
      </c>
      <c r="DP130" s="16" t="str">
        <f>IF($E130="","No Port",((F130/24/Shipping!$P$44+F130/24/Shipping!$P$50+Shipping!$P$59+Shipping!$P$64)*(Shipping!$P$22+wacc_nl*Shipping!$P$19/365.25*1000000+Shipping!$P$35)+(F130/24/Shipping!$P$44*Shipping!$P$45+Shipping!$P$64*Shipping!$P$65)*IF(bunker_choice="HFO",$H130,IF(bunker_choice="hydrogen",$BD130*hfo_e_density_lhv/h2_e_density_lhv,(DM130+DN130)*1000000/DO130*hfo_e_density_lhv/nabh4_e_density_lhv))+(F130/24/Shipping!$P$50*Shipping!$P$51+Shipping!$P$59*Shipping!$P$60)*IF(bunker_choice="HFO",bunker_price_ROT,IF(bunker_choice="hydrogen",$BD130*hfo_e_density_lhv/h2_e_density_lhv,(DM130+DN130)*1000000/DO130*hfo_e_density_lhv/nabh4_e_density_lhv))+Shipping!$P$73+IF(G130="Panama",Shipping!$P$55,0)+IF(G130="Suez",Shipping!$P$56,0))/Shipping!$P$31*(DO130+nabh4_st_ab_losses)/1000000+IF(inland_transport_to_port="hv dc grid",$BM130/100*1000*DR130,IF(inland_transport_to_port="pipeline",$BN130,0)))</f>
        <v>No Port</v>
      </c>
      <c r="DQ130" s="28" t="str">
        <f t="shared" si="146"/>
        <v/>
      </c>
      <c r="DR130" s="29">
        <f>((Carriers!$V$18/Carriers!$V$23*alk_el_e_demand)+nabh4_e_demand)*(DO130+nabh4_st_ab_losses)/1000000+nabh4_st_e_demand*DO130/1000000</f>
        <v>980.02139682539689</v>
      </c>
      <c r="DS130" s="28">
        <f t="shared" si="161"/>
        <v>3.1960000000000002</v>
      </c>
      <c r="DT130" s="28" t="str">
        <f>IFERROR(DQ130*1000000/Storage!$O$12,"")</f>
        <v/>
      </c>
      <c r="DU130" s="28" t="str">
        <f>IF($E130="","No Port",((F130/24/Shipping!$P$44+F130/24/Shipping!$P$50+Shipping!$P$59+Shipping!$P$64)*Carriers!$V$39*wacc_nl))</f>
        <v>No Port</v>
      </c>
      <c r="DV130" s="100">
        <f>H2_retrieval!$N$25*h2_demand_kt/1000+(co2_liq_e_demand+co2_st_e_demand*2)*Storage!$O$12*co2_density/nabh4_density/1000000</f>
        <v>18.783638728971958</v>
      </c>
      <c r="DW130" s="28" t="str">
        <f>IFERROR(((DQ130*(1+H2_retrieval!$N$34)+DU130)*1000000/H2_retrieval!$N$8)+h2_regen_nabh4,"")</f>
        <v/>
      </c>
      <c r="DX130" s="149">
        <f>(Dme_invest*(M130+1/Dme_lifetime)/Dme_prod+Dme_opex+Dme_e_demand*1000*$AU130/100+Carriers!$X$21/Carriers!$X$23*(CO130*1000000/CS130))*(EB130+Dme_st_ab_losses)/1000000</f>
        <v>85015.181767251022</v>
      </c>
      <c r="DY130" s="86">
        <f>(Dme_invest*(M130+1/Dme_lifetime)/Dme_prod+Dme_opex+Dme_e_demand*1000*$AU130/100+Carriers!$X$21/Carriers!$X$23*(CP130*1000000/CS130))*(EB130+Dme_st_ab_losses)/1000000</f>
        <v>106585.60355586925</v>
      </c>
      <c r="DZ130" s="63">
        <f>Dme_st_nl_cost*Dme_st_nl_demand/1000000+(Dme_st_invest*(M130+1/Dme_st_lifetime+Dme_st_opex)/(Storage!$Q$63/1000000)+Dme_st_e_demand*1000*$AU130/100)*(EB130+Dme_st_ab_losses)/1000000+co2_st_nl_cost*Storage!$Q$12*co2_density/Dme_density/1000000+(co2_st_opex_lev+co2_st_invest_lev+co2_st_e_demand*1000*$AU130/100)*Storage!$Q$12/1000000+co2_st_invest_lev*Storage!$Q$12*co2_st_lifetime*M130/1000000+(h2_demand_kt*1000/365.25*short_st_duration_hrs/24)*(h2_short_st_invest*(1/gh2_short_st_lifetime+$M130+h2_short_st_opex)+h2_short_st_e_demand*1000*$AU130/100)/1000000</f>
        <v>5930.1666676336663</v>
      </c>
      <c r="EA130" s="63">
        <f>Dme_st_nl_cost*Dme_st_nl_demand/1000000+(Dme_st_invest*(M130+1/Dme_st_lifetime+Dme_st_opex)/(Storage!$Q$63/1000000)+Dme_st_e_demand*1000*$AU130/100)*(EB130+Dme_st_ab_losses)/1000000+(h2_demand_kt*1000/365.25*short_st_duration_hrs/24)*(h2_short_st_invest*(1/gh2_short_st_lifetime+$M130+h2_short_st_opex)+h2_short_st_e_demand*1000*$AU130/100)/1000000</f>
        <v>3037.4243641788171</v>
      </c>
      <c r="EB130" s="63">
        <f>Storage!$Q$57/((1-Shipping!$R$37)^($F130/24/Shipping!$R$44+0.5*Shipping!$R$59))</f>
        <v>103547089.94708996</v>
      </c>
      <c r="EC130" s="153" t="str">
        <f>IF($E130="","No Port",IF(AND(ship_choice="VLCC",G130="Panama"),"Ship cannot pass through Panama",IF(ship_choice="VLCC",((F130/24/Shipping!$AD$44+F130/24/Shipping!$AD$50+Shipping!$AD$59+Shipping!$AD$64)*(Shipping!$AD$22+wacc_nl*Shipping!$AD$19/365.25*1000000+Shipping!$AD$35)+(F130/24/Shipping!$AD$44*Shipping!$AD$45+Shipping!$AD$64*Shipping!$AD$65)*IF(bunker_choice="HFO",$H130,IF(bunker_choice="hydrogen",$BD130*hfo_e_density_lhv/h2_e_density_lhv,(DX130+DZ130)*1000000/EB130*hfo_e_density_lhv/Dme_e_density_lhv))+(F130/24/Shipping!$AD$50*Shipping!$AD$51+Shipping!$AD$59*Shipping!$AD$60)*IF(bunker_choice="HFO",bunker_price_ROT,IF(bunker_choice="hydrogen",$BD130*hfo_e_density_lhv/h2_e_density_lhv,(DX130+DZ130)*1000000/EB130*hfo_e_density_lhv/Dme_e_density_lhv))+Shipping!$AD$73+IF(G130="Panama",Shipping!$AD$55,0)+IF(G130="Suez",Shipping!$AD$56,0))/Shipping!$AD$31*(EB130+Dme_st_ab_losses)/1000000+IF(inland_transport_to_port="hv dc grid",$BM130/100*1000*EE130,IF(inland_transport_to_port="pipeline",$BN130,0)),((F130/24/Shipping!$R$44+F130/24/Shipping!$R$50+Shipping!$R$59+Shipping!$R$64)*(Shipping!$R$22+wacc_nl*Shipping!$R$19/365.25*1000000+Shipping!$R$35)+(F130/24/Shipping!$R$44*Shipping!$R$45+Shipping!$R$64*Shipping!$R$65)*IF(bunker_choice="HFO",$H130,IF(bunker_choice="hydrogen",$BD130*hfo_e_density_lhv/h2_e_density_lhv,(DX130+DZ130)*1000000/EB130*hfo_e_density_lhv/Dme_e_density_lhv))+(F130/24/Shipping!$R$50*Shipping!$R$51+Shipping!$R$59*Shipping!$R$60)*IF(bunker_choice="HFO",bunker_price_ROT,IF(bunker_choice="hydrogen",$BD130*hfo_e_density_lhv/h2_e_density_lhv,(DX130+DZ130)*1000000/EB130*hfo_e_density_lhv/Dme_e_density_lhv))+Shipping!$R$73+IF(G130="Panama",Shipping!$R$55,0)+IF(G130="Suez",Shipping!$R$56,0))/Shipping!$R$31*(EB130+Dme_st_ab_losses)/1000000+IF(inland_transport_to_port="hv dc grid",$BM130/100*1000*EE130,IF(inland_transport_to_port="pipeline",$BN130,0)))))</f>
        <v>No Port</v>
      </c>
      <c r="ED130" s="28" t="str">
        <f t="shared" si="134"/>
        <v/>
      </c>
      <c r="EE130" s="29">
        <f>(Dme_e_demand)*(EB130+Dme_st_ab_losses)/1000000+Dme_st_e_demand*DZ130/1000000+$CV130*(Carriers!$X$21/Carriers!$X$23*EB130)/$CS130</f>
        <v>1550.2168194687224</v>
      </c>
      <c r="EF130" s="29">
        <f t="shared" si="162"/>
        <v>1.0354708994708997</v>
      </c>
      <c r="EG130" s="28" t="str">
        <f>IFERROR(ED130*1000000/Storage!$Q$12,"")</f>
        <v/>
      </c>
      <c r="EH130" s="28" t="str">
        <f>IF($E130="","No Port",((F130/24/Shipping!$R$44+F130/24/Shipping!$R$50+Shipping!$R$59+Shipping!$R$64)*Carriers!$X$39*wacc_nl))</f>
        <v>No Port</v>
      </c>
      <c r="EI130" s="100">
        <f>H2_retrieval!$P$25*h2_demand_kt/1000+(co2_liq_e_demand+co2_st_e_demand*2)*Storage!$Q$12*co2_density/Dme_density/1000000</f>
        <v>252.45335899349112</v>
      </c>
      <c r="EJ130" s="28" t="str">
        <f>IFERROR((((DX130+DZ130+EC130)*(1+H2_retrieval!$P$34)+EH130)*1000000/H2_retrieval!$P$8)+h2_regen_dme,"")</f>
        <v/>
      </c>
      <c r="EK130" s="149">
        <f>(ome_invest*(M130+1/ome_lifetime)/ome_prod+ome_opex+ome_e_demand*1000*$AU130/100+Carriers!$Z$21/Carriers!$Z$23*(CO130*1000000/CS130))*(EO130+ome_st_ab_losses)/1000000</f>
        <v>184898.34518211981</v>
      </c>
      <c r="EL130" s="86">
        <f>(ome_invest*(M130+1/ome_lifetime)/ome_prod+ome_opex+ome_e_demand*1000*$AU130/100+Carriers!$Z$21/Carriers!$Z$23*(CP130*1000000/CS130))*(EO130+ome_st_ab_losses)/1000000</f>
        <v>230178.85948016593</v>
      </c>
      <c r="EM130" s="63">
        <f>ome_st_nl_cost*ome_st_nl_demand/1000000+(ome_st_invest*(M130+1/ome_st_lifetime+ome_st_opex)/(Storage!$S$63/1000000)+ome_st_e_demand*1000*$AU130/100)*(EO130+ome_st_ab_losses)/1000000+co2_st_nl_cost*Storage!$S$12*co2_density/ome_density/1000000+(co2_st_opex_lev+co2_st_invest_lev+co2_st_e_demand*1000*$AU130/100)*Storage!$S$12/1000000+co2_st_invest_lev*Storage!$S$12*co2_st_lifetime*M130/1000000+(h2_demand_kt*1000/365.25*short_st_duration_hrs/24)*(h2_short_st_invest*(1/gh2_short_st_lifetime+$M130+h2_short_st_opex)+h2_short_st_e_demand*1000*$AU130/100)/1000000</f>
        <v>5071.7008993254176</v>
      </c>
      <c r="EN130" s="63">
        <f>ome_st_nl_cost*ome_st_nl_demand/1000000+(ome_st_invest*(M130+1/ome_st_lifetime+ome_st_opex)/(Storage!$S$63/1000000)+ome_st_e_demand*1000*$AU130/100)*(EO130+ome_st_ab_losses)/1000000+(h2_demand_kt*1000/365.25*short_st_duration_hrs/24)*(h2_short_st_invest*(1/gh2_short_st_lifetime+$M130+h2_short_st_opex)+h2_short_st_e_demand*1000*$AU130/100)/1000000</f>
        <v>1826.9047753176073</v>
      </c>
      <c r="EO130" s="63">
        <f>Storage!$S$57/((1-Shipping!$T$37)^($F130/24/Shipping!$T$44+0.5*Shipping!$T$59))</f>
        <v>128282539.68253967</v>
      </c>
      <c r="EP130" s="28" t="str">
        <f>IF($E130="","No Port",IF(AND(ship_choice="VLCC",G130="Panama"),"Ship cannot pass through Panama",IF(ship_choice="VLCC",((F130/24/Shipping!$AD$44+F130/24/Shipping!$AD$50+Shipping!$AD$59+Shipping!$AD$64)*(Shipping!$AD$22+wacc_nl*Shipping!$AD$19/365.25*1000000+Shipping!$AD$35)+(F130/24/Shipping!$AD$44*Shipping!$AD$45+Shipping!$AD$64*Shipping!$AD$65)*IF(bunker_choice="HFO",$H130,IF(bunker_choice="hydrogen",$BD130*hfo_e_density_lhv/h2_e_density_lhv,(EK130+EM130)*1000000/EO130*hfo_e_density_lhv/Dme_e_density_lhv))+(F130/24/Shipping!$AD$50*Shipping!$AD$51+Shipping!$AD$59*Shipping!$AD$60)*IF(bunker_choice="HFO",bunker_price_ROT,IF(bunker_choice="hydrogen",$BD130*hfo_e_density_lhv/h2_e_density_lhv,(EK130+EM130)*1000000/EO130*hfo_e_density_lhv/ome_e_density_lhv))+Shipping!$AD$73+IF(G130="Panama",Shipping!$AD$55,0)+IF(G130="Suez",Shipping!$AD$56,0))/Shipping!$AD$31*(EO130+ome_st_ab_losses)/1000000+IF(inland_transport_to_port="hv dc grid",$BM130/100*1000*ER130,IF(inland_transport_to_port="pipeline",$BN130,0)),((F130/24/Shipping!$T$44+F130/24/Shipping!$T$50+Shipping!$T$59+Shipping!$T$64)*(Shipping!$T$22+wacc_nl*Shipping!$T$19/365.25*1000000+Shipping!$T$35)+(F130/24/Shipping!$T$44*Shipping!$T$45+Shipping!$T$64*Shipping!$T$65)*IF(bunker_choice="HFO",$H130,IF(bunker_choice="hydrogen",$BD130*hfo_e_density_lhv/h2_e_density_lhv,(EK130+EM130)*1000000/EO130*hfo_e_density_lhv/Dme_e_density_lhv))+(F130/24/Shipping!$T$50*Shipping!$T$51+Shipping!$T$59*Shipping!$T$60)*IF(bunker_choice="HFO",bunker_price_ROT,IF(bunker_choice="hydrogen",$BD130*hfo_e_density_lhv/h2_e_density_lhv,(EK130+EM130)*1000000/EO130*hfo_e_density_lhv/ome_e_density_lhv))+Shipping!$T$73+IF(G130="Panama",Shipping!$T$55,0)+IF(G130="Suez",Shipping!$T$56,0))/Shipping!$T$31*(EO130+ome_st_ab_losses)/1000000+IF(inland_transport_to_port="hv dc grid",$BM130/100*1000*ER130,IF(inland_transport_to_port="pipeline",$BN130,0)))))</f>
        <v>No Port</v>
      </c>
      <c r="EQ130" s="28" t="str">
        <f t="shared" si="135"/>
        <v/>
      </c>
      <c r="ER130" s="29">
        <f>(ome_e_demand)*(EO130+ome_st_ab_losses)/1000000+ome_st_e_demand*EM130/1000000+$CV130*(Carriers!$Z$21/Carriers!$Z$23*EO130)/$CS130</f>
        <v>3352.0814577483347</v>
      </c>
      <c r="ES130" s="29">
        <f t="shared" si="163"/>
        <v>0.1924238095238095</v>
      </c>
      <c r="ET130" s="28" t="str">
        <f>IFERROR(EQ130*1000000/Storage!$S$12,"")</f>
        <v/>
      </c>
      <c r="EU130" s="28" t="str">
        <f>IF($E130="","No Port",((F130/24/Shipping!$T$44+F130/24/Shipping!$T$50+Shipping!$T$59+Shipping!$T$64)*Carriers!$Z$39*wacc_nl))</f>
        <v>No Port</v>
      </c>
      <c r="EV130" s="100">
        <f>H2_retrieval!$R$25*h2_demand_kt/1000+(co2_liq_e_demand+co2_st_e_demand*2)*Storage!$S$12*co2_density/ome_density/1000000</f>
        <v>254.51942895252085</v>
      </c>
      <c r="EW130" s="28" t="str">
        <f>IFERROR((((EK130+EM130+EP130)*(1+H2_retrieval!$R$34)+EU130)*1000000/H2_retrieval!$R$8)+h2_regen_ome,"")</f>
        <v/>
      </c>
      <c r="EX130" s="149">
        <f>(sng_invest*(M130+1/sng_lifetime)/sng_prod+lng_invest*(M130+1/lng_lifetime)/lng_prod+sng_opex+lng_opex+(sng_e_demand+lng_e_demand)*1000*$AU130/100+Carriers!$AB$18/Carriers!$AB$23*BD130+Carriers!$AB$20/Carriers!$AB$23*co2_liq_cost)*(FB130+lng_st_ab_losses)/1000000</f>
        <v>65121.319357896937</v>
      </c>
      <c r="EY130" s="86">
        <f>(sng_invest*(M130+1/sng_lifetime)/sng_prod+lng_invest*(M130+1/lng_lifetime)/lng_prod+sng_opex+lng_opex+(sng_e_demand+lng_e_demand)*1000*$AU130/100+Carriers!$AB$18/Carriers!$AB$23*BD130+Carriers!$AB$20/Carriers!$AB$23*BP130)*(FB130+lng_st_ab_losses)/1000000</f>
        <v>76878.1816190635</v>
      </c>
      <c r="EZ130" s="63">
        <f>lng_st_nl_cost*lng_st_nl_demand/1000000+(lng_st_invest*(M130+1/lng_st_lifetime+lng_st_opex)/(Storage!$U$63/1000000)+lng_st_e_demand*1000*$AU130/100)*(FB130+lng_st_ab_losses)/1000000+co2_st_nl_cost*Storage!$U$12*co2_density/lng_density/1000000+(co2_st_opex_lev+co2_st_invest_lev+co2_st_e_demand*1000*$AU130/100)*Storage!$U$12/1000000+co2_st_invest_lev*Storage!$U$12*co2_st_lifetime*M130/1000000+Carriers!$AB$18/Carriers!$AB$23*((FB130+lng_st_ab_losses)/365.25*short_st_duration_hrs/24)*(h2_short_st_invest*(1/gh2_short_st_lifetime+$M130+h2_short_st_opex)+h2_short_st_e_demand*1000*$AU130/100)/1000000+Carriers!$AB$20/Carriers!$AB$23*((FB130+lng_st_ab_losses)/365.25*short_st_duration_hrs/24)*(co2_short_st_invest*(1/co2_short_st_lifetime+$M130+co2_short_st_opex)+co2_short_st_e_demand*1000*$AU130/100)/1000000</f>
        <v>6290.5354637451355</v>
      </c>
      <c r="FA130" s="63">
        <f>lng_st_nl_cost*lng_st_nl_demand/1000000+(lng_st_invest*(M130+1/lng_st_lifetime+lng_st_opex)/(Storage!$U$63/1000000)+lng_st_e_demand*1000*$AU130/100)*(FB130+lng_st_ab_losses)/1000000+Carriers!$AB$18/Carriers!$AB$23*((FB130+lng_st_ab_losses)/365.25*short_st_duration_hrs/24)*(h2_short_st_invest*(1/gh2_short_st_lifetime+$M130+h2_short_st_opex)+h2_short_st_e_demand*1000*$AU130/100)/1000000+Carriers!$AB$20/Carriers!$AB$23*((FB130+lng_st_ab_losses)/365.25*short_st_duration_hrs/24)*(co2_short_st_invest*(1/co2_short_st_lifetime+$M130+co2_short_st_opex)+co2_short_st_e_demand*1000*$AU130/100)/1000000</f>
        <v>4719.0690367533271</v>
      </c>
      <c r="FB130" s="63">
        <f>Storage!$U$57/((1-Shipping!$V$37)^($F130/24/Shipping!$V$44+0.5*Shipping!$V$59))</f>
        <v>40707231.50721889</v>
      </c>
      <c r="FC130" s="28" t="str">
        <f>IF($E130="","No Port",IF(G130="Panama","Ship cannot pass through Panama",((F130/24/Shipping!$V$44+F130/24/Shipping!$V$50+Shipping!$V$59+Shipping!$V$64)*(Shipping!$V$22+wacc_nl*Shipping!$V$19/365.25*1000000+Shipping!$V$35)+(F130/24/Shipping!$V$44*Shipping!$V$45+Shipping!$V$64*Shipping!$V$65)*IF(bunker_choice="HFO",$H130,IF(bunker_choice="hydrogen",$BD130*hfo_e_density_lhv/h2_e_density_lhv,(EX130+EZ130)*1000000/FB130*hfo_e_density_lhv/lng_e_density_lhv))+(F130/24/Shipping!$V$50*Shipping!$V$51+Shipping!$V$59*Shipping!$V$60)*IF(bunker_choice="HFO",bunker_price_ROT,IF(bunker_choice="hydrogen",$BD130*hfo_e_density_lhv/h2_e_density_lhv,(EX130+EZ130)*1000000/FB130*hfo_e_density_lhv/lng_e_density_lhv))+Shipping!$V$73+IF(G130="Panama",Shipping!$V$55,0)+IF(G130="Suez",Shipping!$V$56,0))/Shipping!$V$31*(FB130+lng_st_ab_losses)/1000000)+IF(inland_transport_to_port="hv dc grid",$BM130/100*1000*FE130,IF(inland_transport_to_port="pipeline",$BN130,0)))</f>
        <v>No Port</v>
      </c>
      <c r="FD130" s="28" t="str">
        <f t="shared" si="136"/>
        <v/>
      </c>
      <c r="FE130" s="29">
        <f>((Carriers!$AB$18/Carriers!$AB$23*alk_el_e_demand)+sng_e_demand+lng_e_demand)*(FB130+lng_st_ab_losses)/1000000+lng_st_e_demand*EZ130/1000000</f>
        <v>1091.7518848393586</v>
      </c>
      <c r="FF130" s="29">
        <f t="shared" si="164"/>
        <v>0.8126185861001558</v>
      </c>
      <c r="FG130" s="28" t="str">
        <f>IFERROR(FD130*1000000/Storage!$U$12,"")</f>
        <v/>
      </c>
      <c r="FH130" s="28" t="str">
        <f>IF($E130="","No Port",((F130/24/Shipping!$V$44+F130/24/Shipping!$V$50+Shipping!$V$59+Shipping!$V$64)*Carriers!$AB$39*wacc_nl))</f>
        <v>No Port</v>
      </c>
      <c r="FI130" s="100">
        <f>H2_retrieval!$T$25*h2_demand_kt/1000+(co2_liq_e_demand+co2_st_e_demand*2)*Storage!$U$12*co2_density/lng_density/1000000</f>
        <v>236.51371749646054</v>
      </c>
      <c r="FJ130" s="28" t="str">
        <f>IFERROR((((EX130+EZ130+FC130)*(1+H2_retrieval!$T$34)+FH130)*1000000/H2_retrieval!$T$8)+h2_regen_lng,"")</f>
        <v/>
      </c>
      <c r="FK130" s="149">
        <f>(lh2_invest*(M130+1/lh2_lifetime)/lh2_prod+lh2_opex+lh2_e_demand*1000*$AU130/100+Carriers!$AD$18/Carriers!$AD$23*BD130)*(FM130+lh2_st_ab_losses)/1000000</f>
        <v>50702.981976185503</v>
      </c>
      <c r="FL130" s="28">
        <f>lh2_st_nl_cost*lh2_st_nl_demand/1000000+(lh2_st_invest*(M130+1/lh2_st_lifetime+lh2_st_opex)/(Storage!$Y$63/1000000)+lh2_st_e_demand*1000*$AU130/100)*(FM130+lh2_st_ab_losses)/1000000+((FM130+lh2_st_ab_losses)/365.25*short_st_duration_hrs/24)*(h2_short_st_invest*(1/gh2_short_st_lifetime+$M130+h2_short_st_opex)+h2_short_st_e_demand*1000*$AU130/100)/1000000</f>
        <v>54635.638832158715</v>
      </c>
      <c r="FM130" s="63">
        <f>Storage!$Y$57/((1-Shipping!$Z$37)^($F130/24/Shipping!$Z$44+0.5*Shipping!$Z$59))</f>
        <v>13659984.090217989</v>
      </c>
      <c r="FN130" s="28" t="str">
        <f>IF($E130="","No Port",IF(G130="Panama","Ship cannot pass through Panama",((F130/24/Shipping!$Z$44+F130/24/Shipping!$Z$50+Shipping!$Z$59+Shipping!$Z$64)*(Shipping!$Z$22+wacc_nl*Shipping!$Z$19/365.25*1000000+Shipping!$Z$35)+(F130/24/Shipping!$Z$44*Shipping!$Z$45+Shipping!$Z$64*Shipping!$Z$65)*IF(bunker_choice="HFO",$H130,IF(bunker_choice="hydrogen",$BD130*hfo_e_density_lhv/h2_e_density_lhv,(FK130+FL130)*1000000/FM130*hfo_e_density_lhv/lh2_e_density_lhv))+(F130/24/Shipping!$Z$50*Shipping!$Z$51+Shipping!$Z$59*Shipping!$Z$60)*IF(bunker_choice="HFO",bunker_price_ROT,IF(bunker_choice="hydrogen",$BD130*hfo_e_density_lhv/h2_e_density_lhv,(FK130+FL130)*1000000/FM130*hfo_e_density_lhv/lh2_e_density_lhv))+Shipping!$Z$73+IF(G130="Panama",Shipping!$Z$55,0)+IF(G130="Suez",Shipping!$Z$56,0))/Shipping!$Z$31*(FM130+lh2_st_ab_losses)/1000000)+IF(inland_transport_to_port="hv dc grid",$BM130/100*1000*FP130,IF(inland_transport_to_port="pipeline",$BN130,0)))</f>
        <v>No Port</v>
      </c>
      <c r="FO130" s="28" t="str">
        <f t="shared" si="128"/>
        <v/>
      </c>
      <c r="FP130" s="29">
        <f>((Carriers!$AD$18/Carriers!$AD$23*alk_el_e_demand)+lh2_e_demand)*(FM130+lh2_st_ab_losses)/1000000+lh2_st_e_demand*FM130/1000000</f>
        <v>791.60233245091877</v>
      </c>
      <c r="FQ130" s="100">
        <f t="shared" si="165"/>
        <v>1.361902463475859</v>
      </c>
      <c r="FR130" s="28" t="str">
        <f>IFERROR(FO130*1000000/Storage!$Y$12,"")</f>
        <v/>
      </c>
      <c r="FS130" s="100">
        <f>H2_retrieval!$V$25*h2_demand_kt/1000</f>
        <v>8.16</v>
      </c>
      <c r="FT130" s="28" t="str">
        <f>IFERROR(FR130*(1+H2_retrieval!$V$34)/Carrier_properties!$U$7+H2_retrieval!$V$38,"")</f>
        <v/>
      </c>
      <c r="FU130" s="12"/>
      <c r="FV130" s="24">
        <f t="shared" si="129"/>
        <v>2.1840800077075251</v>
      </c>
      <c r="FW130" s="24" t="str">
        <f t="shared" si="143"/>
        <v/>
      </c>
      <c r="FX130" s="24" t="str">
        <f t="shared" si="144"/>
        <v/>
      </c>
      <c r="FY130" s="24">
        <f t="shared" si="130"/>
        <v>2.1840800077075251</v>
      </c>
      <c r="FZ130" s="28">
        <f t="shared" si="145"/>
        <v>2758.5116354775059</v>
      </c>
      <c r="GA130" s="28">
        <f t="shared" si="137"/>
        <v>632.68908379728509</v>
      </c>
      <c r="GB130" s="28">
        <f t="shared" si="138"/>
        <v>402.75615205006329</v>
      </c>
      <c r="GC130" s="28">
        <f t="shared" si="139"/>
        <v>706.48442747327101</v>
      </c>
      <c r="GD130" s="28">
        <f t="shared" si="140"/>
        <v>1029.3442684901324</v>
      </c>
      <c r="GE130" s="28">
        <f t="shared" si="141"/>
        <v>1794.311681463344</v>
      </c>
      <c r="GF130" s="28">
        <f t="shared" si="142"/>
        <v>1888.5632545517171</v>
      </c>
      <c r="GG130" s="12"/>
      <c r="GH130" s="12"/>
      <c r="GI130" s="12"/>
      <c r="GJ130" s="12"/>
      <c r="GK130" s="12"/>
      <c r="GL130" s="12"/>
      <c r="GM130" s="12"/>
      <c r="GN130" s="12"/>
      <c r="GO130" s="12"/>
      <c r="GP130" s="12"/>
      <c r="GQ130" s="12"/>
      <c r="GR130" s="12"/>
      <c r="GS130" s="12"/>
      <c r="GT130" s="12"/>
      <c r="GU130" s="12"/>
      <c r="GV130" s="12"/>
      <c r="GW130" s="12"/>
      <c r="GX130" s="12"/>
      <c r="GY130" s="12"/>
      <c r="GZ130" s="12"/>
      <c r="HA130" s="12"/>
      <c r="HB130" s="12"/>
      <c r="HC130" s="12"/>
      <c r="HD130" s="12"/>
      <c r="HE130" s="12"/>
      <c r="HF130" s="12"/>
    </row>
    <row r="131" spans="1:214" x14ac:dyDescent="0.2">
      <c r="A131" s="154" t="s">
        <v>132</v>
      </c>
      <c r="B131" s="12">
        <v>1210</v>
      </c>
      <c r="C131" s="12">
        <v>0.9</v>
      </c>
      <c r="D131" s="12">
        <f t="shared" si="111"/>
        <v>9.9999999999999978E-2</v>
      </c>
      <c r="E131" s="12" t="s">
        <v>784</v>
      </c>
      <c r="F131" s="12">
        <v>501</v>
      </c>
      <c r="G131" s="12"/>
      <c r="H131" s="16">
        <f t="shared" si="166"/>
        <v>382.75862068965517</v>
      </c>
      <c r="I131" s="16">
        <v>407310</v>
      </c>
      <c r="J131" s="16">
        <f t="shared" si="113"/>
        <v>360.07054828397139</v>
      </c>
      <c r="K131" s="16">
        <f t="shared" si="114"/>
        <v>432.08465794076568</v>
      </c>
      <c r="L131" s="103">
        <v>4.9000000000000002E-2</v>
      </c>
      <c r="M131" s="103">
        <f t="shared" si="167"/>
        <v>7.6082592150558973E-2</v>
      </c>
      <c r="N131" s="122">
        <f t="shared" si="116"/>
        <v>0.9</v>
      </c>
      <c r="O131" s="46">
        <f t="shared" si="168"/>
        <v>40</v>
      </c>
      <c r="P131" s="70">
        <f t="array" ref="P131">SUMPRODUCT(IF(Solar_data!A$4:A$777=A131,Solar_data!C$4:C$777),IF(Solar_data!A$4:A$777=A131,Solar_data!I$4:I$777))/SUMIF(Solar_data!A$4:A$777,A131,Solar_data!I$4:I$777)</f>
        <v>1047.6461683799819</v>
      </c>
      <c r="Q131" s="16">
        <f t="array" ref="Q131">MAX(IF(Solar_data!$A$777:'Solar_data'!$A$4=Country_details!$A131,Solar_data!$C$4:'Solar_data'!$C$777))</f>
        <v>1368.75</v>
      </c>
      <c r="R131" s="16">
        <f t="array" ref="R131">MIN(IF(Solar_data!$A$777:'Solar_data'!$A$4=Country_details!A131,Solar_data!$C$4:'Solar_data'!$C$777))</f>
        <v>1003.75</v>
      </c>
      <c r="S131" s="24">
        <f t="shared" si="149"/>
        <v>3.0286219538749752</v>
      </c>
      <c r="T131" s="24">
        <f t="shared" si="150"/>
        <v>2.3181181263551505</v>
      </c>
      <c r="U131" s="24">
        <f t="shared" si="151"/>
        <v>3.1610701723024786</v>
      </c>
      <c r="V131" s="16">
        <f t="array" ref="V131">SUM(IF(Solar_data!$A$777:'Solar_data'!$A$4=Country_details!$A131,Solar_data!$I$4:'Solar_data'!$I$777))</f>
        <v>1945.1566616011112</v>
      </c>
      <c r="W131" s="148"/>
      <c r="X131" s="16">
        <f>IFERROR(INDEX(Onshore_wind_data!$J$5:'Onshore_wind_data'!$J$221,MATCH(A131,Onshore_wind_data!$B$5:'Onshore_wind_data'!$B$221,0)),"")</f>
        <v>3349.3356274630496</v>
      </c>
      <c r="Y131" s="16">
        <f>IFERROR(INDEX(Onshore_wind_data!$K$5:'Onshore_wind_data'!$K$221,MATCH(A131,Onshore_wind_data!$B$5:'Onshore_wind_data'!$B$221,0)),"")</f>
        <v>3971</v>
      </c>
      <c r="Z131" s="16">
        <f>IFERROR(INDEX(Onshore_wind_data!$L$5:'Onshore_wind_data'!$L$221,MATCH(A131,Onshore_wind_data!$B$5:'Onshore_wind_data'!$B$221,0)),"")</f>
        <v>2847.5</v>
      </c>
      <c r="AA131" s="24">
        <f t="shared" si="169"/>
        <v>3.1650557327269504</v>
      </c>
      <c r="AB131" s="24">
        <f t="shared" si="170"/>
        <v>2.6695628125229272</v>
      </c>
      <c r="AC131" s="24">
        <f t="shared" si="171"/>
        <v>3.7228565157255638</v>
      </c>
      <c r="AD131" s="16">
        <f>IFERROR(INDEX(Onshore_wind_data!$I$5:'Onshore_wind_data'!$I$221,MATCH(A131,Onshore_wind_data!$B$5:'Onshore_wind_data'!$B$221,0)),"")</f>
        <v>2130.262867125</v>
      </c>
      <c r="AE131" s="148"/>
      <c r="AF131" s="16">
        <f>INDEX(Offshore_wind_data!$AA$7:$AA$192,MATCH(Country_details!A131,Offshore_wind_data!$A$7:$A$192,0))</f>
        <v>3818.8422497616784</v>
      </c>
      <c r="AG131" s="16">
        <f>INDEX(Offshore_wind_data!$Y$7:$Y$192,MATCH(Country_details!A131,Offshore_wind_data!$A$7:$A$192,0))</f>
        <v>4204.8</v>
      </c>
      <c r="AH131" s="16">
        <f>INDEX(Offshore_wind_data!$Z$7:$Z$192,MATCH(Country_details!A131,Offshore_wind_data!$A$7:$A$192,0))</f>
        <v>3153.6</v>
      </c>
      <c r="AI131" s="24">
        <f t="shared" si="152"/>
        <v>5.3554353815883786</v>
      </c>
      <c r="AJ131" s="24">
        <f t="shared" si="153"/>
        <v>4.8638610400205131</v>
      </c>
      <c r="AK131" s="24">
        <f t="shared" si="154"/>
        <v>6.4851480533606853</v>
      </c>
      <c r="AL131" s="16">
        <f>INDEX(Offshore_wind_data!$W$7:$W$191,MATCH(A131,Offshore_wind_data!$A$7:$A$191,0))</f>
        <v>1602.3862080000004</v>
      </c>
      <c r="AM131" s="148"/>
      <c r="AN131" s="12">
        <v>9.9</v>
      </c>
      <c r="AO131" s="12">
        <v>11.6</v>
      </c>
      <c r="AP131" s="34">
        <f>5.131*11.63</f>
        <v>59.673530000000007</v>
      </c>
      <c r="AQ131" s="15">
        <f t="shared" si="155"/>
        <v>50</v>
      </c>
      <c r="AR131" s="12">
        <f t="shared" si="131"/>
        <v>580</v>
      </c>
      <c r="AS131" s="16">
        <f t="shared" si="121"/>
        <v>5097.8057367261117</v>
      </c>
      <c r="AT131" s="12"/>
      <c r="AU131" s="24">
        <f t="shared" si="147"/>
        <v>3.1325483601044377</v>
      </c>
      <c r="AV131" s="16">
        <f t="shared" si="148"/>
        <v>4396.9817958430313</v>
      </c>
      <c r="AW131" s="149">
        <f>HV_DC_Grid!$E$3/(1-AX131)*AU131/100*1000</f>
        <v>3253.5698908595273</v>
      </c>
      <c r="AX131" s="31">
        <f>(1-(1-HV_DC_Grid!$E$25)^(B131*C131*HV_DC_Grid!$E$8/1000))+(1-(1-HV_DC_Grid!$E$26)^(B131*D131*HV_DC_Grid!$E$8/1000))+HV_DC_Grid!$E$35*HV_DC_Grid!$E$28</f>
        <v>3.7196536363052521E-2</v>
      </c>
      <c r="AY131" s="28">
        <f>B131*nl_e_demand/IF(hv_dc_flh="electricity FLH",$AV131,hv_dc_custom)*1000*hv_dc_capacity_multiplier*hv_dc_length_multiplier*1000*(C131*hv_dc_overhead_invest*(hv_dc_overhead_opex+M131+1/hv_dc_lifetime)+D131*hv_dc_sea_invest*(hv_dc_sea_opex+M131+1/hv_dc_lifetime))/1000000+HV_DC_Grid!$E$10*1000*hv_dc_station_invest*hv_dc_station_number*(hv_dc_station_opex+M131+1/hv_dc_lifetime)/1000000</f>
        <v>1149.3691497796481</v>
      </c>
      <c r="AZ131" s="24">
        <f>(AW131+AY131)/(HV_DC_Grid!$E$3*1000)*100</f>
        <v>4.4029390406391755</v>
      </c>
      <c r="BA131" s="28">
        <f>MIN(((Carriers!$F$26+Carriers!$F$27)*(alk_el_opex+wacc_nl+1/alk_el_lifetime)+IF(hv_dc_flh="electricity FLH",$AV131,hv_dc_custom)*AZ131/100)/(IF(hv_dc_flh="electricity FLH",$AV131,hv_dc_custom)/alk_el_e_demand)*1000,((Carriers!$H$26+Carriers!$H$27)*(pem_el_opex+wacc_nl+1/pem_el_lifetime)+IF(hv_dc_flh="electricity FLH",$AV131,hv_dc_custom)*AZ131/100)/(IF(hv_dc_flh="electricity FLH",$AV131,hv_dc_custom)/pem_el_e_demand)*1000)</f>
        <v>2585.8361950434887</v>
      </c>
      <c r="BB131" s="12"/>
      <c r="BC131" s="12"/>
      <c r="BD131" s="149">
        <f>MIN(((Carriers!$F$26+Carriers!$F$27)*(alk_el_opex+M131+1/alk_el_lifetime)+$AV131*$AU131/100)/($AV131/alk_el_e_demand)*1000,((Carriers!$H$26+Carriers!$H$27)*(pem_el_opex+M131+1/pem_el_lifetime)+$AV131*$AU131/100)/($AV131/pem_el_e_demand)*1000)</f>
        <v>2179.2694671710628</v>
      </c>
      <c r="BE131" s="28">
        <f>Storage!$AC$50</f>
        <v>8.1664117557772418</v>
      </c>
      <c r="BF131" s="28">
        <f>((Pipeline!$D$22*Pipeline!$D$24*B131*(pipeline_opex+M131+1/pipeline_lifetime))*(Pipeline!$D$39/Pipeline!$D$3)+(Pipeline!$D$57*(pipeline_comp_opex+M131+1/pipeline_comp_lifetime)+Pipeline!$D$47*1000*Pipeline!$D$45*$AU131/100/1000000))*(Pipeline!$D$75/Pipeline!$D$45)</f>
        <v>2104.5938126936658</v>
      </c>
      <c r="BG131" s="28">
        <f>BD131+(BE131+BF131)/Storage!$AC$12*1000000</f>
        <v>2334.6194836746981</v>
      </c>
      <c r="BH131" s="28"/>
      <c r="BI131" s="28"/>
      <c r="BJ131" s="28">
        <f>IF($E131="","No Port",BK131*HV_DC_Grid!$E$3*$AU131/100*1000)</f>
        <v>69.944281094665129</v>
      </c>
      <c r="BK131" s="31">
        <f>IFERROR((1-(1-HV_DC_Grid!$E$25)^(K131*HV_DC_Grid!$E$8/1000))+HV_DC_Grid!$E$35*HV_DC_Grid!$E$28,"")</f>
        <v>2.2328236647664465E-2</v>
      </c>
      <c r="BL131" s="28">
        <f>IFERROR(K131*nl_e_demand/IF(hv_dc_flh="electricity FLH",$AV131,hv_dc_custom)*1000*hv_dc_capacity_multiplier*hv_dc_length_multiplier*1000*(hv_dc_overhead_invest*(hv_dc_overhead_opex+M131+1/hv_dc_lifetime))/1000000+HV_DC_Grid!$E$10*1000*hv_dc_station_invest*hv_dc_station_number*(hv_dc_station_opex+M131+1/hv_dc_lifetime)/1000000,"")</f>
        <v>546.68264591332832</v>
      </c>
      <c r="BM131" s="29">
        <f>IFERROR((BJ131+BL131)/(HV_DC_Grid!$E$3*1000)*100,"")</f>
        <v>0.61662692700799349</v>
      </c>
      <c r="BN131" s="28">
        <f>IFERROR(((Pipeline!$D$22*Pipeline!$D$24*K131*(pipeline_opex+M131+1/pipeline_lifetime))*(Pipeline!$D$39/Pipeline!$D$3)+(Pipeline!$D$57*(pipeline_comp_opex+M131+1/pipeline_comp_lifetime)+Pipeline!$D$47*1000*Pipeline!$D$45*S131/100/1000000))*(Pipeline!$D$75/Pipeline!$D$45),"")</f>
        <v>810.94204651019845</v>
      </c>
      <c r="BO131" s="28"/>
      <c r="BP131" s="150">
        <f t="shared" si="172"/>
        <v>91.770312055853893</v>
      </c>
      <c r="BQ131" s="34">
        <f t="shared" si="173"/>
        <v>26.712559209217122</v>
      </c>
      <c r="BR131" s="151">
        <f>(nh3_invest*(M131+1/nh3_lifetime)/nh3_prod+nh3_opex+nh3_e_demand*1000*$AU131/100+Carriers!$N$18/Carriers!$N$23*BD131+Carriers!$N$19/Carriers!$N$23*BQ131)*(BT131+nh3_st_ab_losses)/1000000</f>
        <v>38937.227118196264</v>
      </c>
      <c r="BS131" s="63">
        <f>nh3_st_nl_cost*nh3_st_nl_demand/1000000+(nh3_st_invest*(M131+1/nh3_st_lifetime+nh3_st_opex)/(Storage!$G$63/1000000)+nh3_st_e_demand*1000*$AU131/100)*(BT131+nh3_st_ab_losses)/1000000+Carriers!$N$18/Carriers!$N$23*((BT131+nh3_st_ab_losses)/365.25*short_st_duration_hrs/24)*(h2_short_st_invest*(1/gh2_short_st_lifetime+$M131+h2_short_st_opex)+h2_short_st_e_demand*1000*$AU131/100)/1000000+Carriers!$N$19/Carriers!$N$23*((BT131+nh3_st_ab_losses)/365.25*short_st_duration_hrs/24)*(n2_short_st_invest*(1/n2_short_st_lifetime+$M131+n2_short_st_opex)+n2_short_st_e_demand*1000*$AU131/100)/1000000</f>
        <v>2815.4107486350176</v>
      </c>
      <c r="BT131" s="63">
        <f>Storage!$G$57/((1-Shipping!$H$37)^(F131/24/Shipping!$H$44+0.5*Shipping!$H$59))</f>
        <v>77100929.851352245</v>
      </c>
      <c r="BU131" s="63">
        <f>IF($E131="","No Port",((F131/24/Shipping!$H$44+F131/24/Shipping!$H$50+Shipping!$H$59+Shipping!$H$64)*(Shipping!$H$22+wacc_nl*Shipping!$H$19/365.25*1000000+Shipping!$H$35)+(F131/24/Shipping!$H$44*Shipping!$H$45+Shipping!$H$64*Shipping!$H$65)*IF(bunker_choice="HFO",H131,IF(bunker_choice="hydrogen",BD131*hfo_e_density_lhv/h2_e_density_lhv,(BR131+BS131)*1000000/BT131*hfo_e_density_lhv/nh3_e_density_lhv))+(F131/24/Shipping!$H$50*Shipping!$H$51+Shipping!$H$59*Shipping!$H$60)*IF(bunker_choice="HFO",bunker_price_ROT,IF(bunker_choice="hydrogen",BD131*hfo_e_density_lhv/h2_e_density_lhv,(BR131+BS131)*1000000/BT131*hfo_e_density_lhv/nh3_e_density_lhv))+Shipping!$H$73+IF(G131="Panama",Shipping!$H$55,0)+IF(G131="Suez",Shipping!$H$56,0))/Shipping!$H$31*BT131/1000000+IF(inland_transport_to_port="hv dc grid",$BM131/100*1000*BW131,IF(inland_transport_to_port="pipeline",$BN131,0)))</f>
        <v>1500.1149259079004</v>
      </c>
      <c r="BV131" s="63">
        <f t="shared" si="174"/>
        <v>43252.752792739186</v>
      </c>
      <c r="BW131" s="33">
        <f>((Carriers!$N$18/Carriers!$N$23*alk_el_e_demand)+(Carriers!$N$19/Carriers!$N$23*n2_e_demand)+nh3_e_demand)*(BT131+nh3_st_ab_losses)/1000000+nh3_st_e_demand*BT131/1000000</f>
        <v>761.40656000414344</v>
      </c>
      <c r="BX131" s="33">
        <f t="shared" si="156"/>
        <v>0.76626754477640768</v>
      </c>
      <c r="BY131" s="63">
        <f>IFERROR(BV131*1000000/Storage!$G$12,"")</f>
        <v>564.93049797018091</v>
      </c>
      <c r="BZ131" s="63">
        <f>H2_retrieval!$F$25*h2_demand_kt/1000</f>
        <v>80</v>
      </c>
      <c r="CA131" s="63">
        <f>IFERROR(BY131*(1+H2_retrieval!$F$34)/Carrier_properties!$E$7+H2_retrieval!$F$38,"")</f>
        <v>3589.5754496980876</v>
      </c>
      <c r="CB131" s="149">
        <f>(FA_invest*(M131+1/FA_lifetime)/FA_prod+FA_opex+FA_e_demand*1000*$AU131/100+Carriers!$P$18/Carriers!$P$23*BD131+Carriers!$P$20/Carriers!$P$23*co2_liq_cost)*(CF131+FA_st_ab_losses)/1000000</f>
        <v>90323.812647166589</v>
      </c>
      <c r="CC131" s="86">
        <f>(FA_invest*(M131+1/FA_lifetime)/FA_prod+FA_opex+FA_e_demand*1000*$AU131/100+Carriers!$P$18/Carriers!$P$23*BD131+Carriers!$P$20/Carriers!$P$23*BP131)*(CF131+FA_st_ab_losses)/1000000</f>
        <v>112102.37587465989</v>
      </c>
      <c r="CD131" s="63">
        <f>FA_st_nl_cost*FA_st_nl_demand/1000000+(FA_st_invest*(M131+1/FA_st_lifetime+FA_st_opex)/(Storage!$I$63/1000000)+FA_st_e_demand*1000*$AU131/100)*(CF131+FA_st_ab_losses)/1000000+co2_st_nl_cost*Storage!$I$12*co2_density/FA_density/1000000+(co2_st_opex_lev+co2_st_invest_lev+co2_st_e_demand*1000*$AU131/100)*Storage!$I$12/1000000+co2_st_invest_lev*Storage!$I$12*co2_st_lifetime*M131/1000000+Carriers!$P$18/Carriers!$P$23*((CF131+FA_st_ab_losses)/365.25*short_st_duration_hrs/24)*(h2_short_st_invest*(1/gh2_short_st_lifetime+$M131+h2_short_st_opex)+h2_short_st_e_demand*1000*$AU131/100)/1000000+Carriers!$P$20/Carriers!$P$23*((CF131+FA_st_ab_losses)/365.25*short_st_duration_hrs/24)*(co2_short_st_invest*(1/co2_short_st_lifetime+$M131+co2_short_st_opex)+co2_short_st_e_demand*1000*$AU131/100)/1000000</f>
        <v>10345.772085007615</v>
      </c>
      <c r="CE131" s="63">
        <f>FA_st_nl_cost*FA_st_nl_demand/1000000+(FA_st_invest*(M131+1/FA_st_lifetime+FA_st_opex)/(Storage!$I$63/1000000)+FA_st_e_demand*1000*$AU131/100)*(CF131+FA_st_ab_losses)/1000000+Carriers!$P$18/Carriers!$P$23*((CF131+FA_st_ab_losses)/365.25*short_st_duration_hrs/24)*(h2_short_st_invest*(1/gh2_short_st_lifetime+$M131+h2_short_st_opex)+h2_short_st_e_demand*1000*$AU131/100)/1000000+Carriers!$P$20/Carriers!$P$23*((CF131+FA_st_ab_losses)/365.25*short_st_duration_hrs/24)*(co2_short_st_invest*(1/co2_short_st_lifetime+$M131+co2_short_st_opex)+co2_short_st_e_demand*1000*$AU131/100)/1000000</f>
        <v>4231.9995205654614</v>
      </c>
      <c r="CF131" s="63">
        <f>Storage!$I$57/((1-Shipping!$J$37)^($F131/24/Shipping!$J$44+0.5*Shipping!$J$59))</f>
        <v>310425396.82539684</v>
      </c>
      <c r="CG131" s="28">
        <f>IF($E131="","No Port",((F131/24/Shipping!$J$44+F131/24/Shipping!$J$50+Shipping!$J$59+Shipping!$J$64)*(Shipping!$J$22+wacc_nl*Shipping!$J$19/365.25*1000000+Shipping!$J$35)+(F131/24/Shipping!$J$44*Shipping!$J$45+Shipping!$J$64*Shipping!$J$65)*IF(bunker_choice="HFO",$H131,IF(bunker_choice="hydrogen",$BD131*hfo_e_density_lhv/h2_e_density_lhv,(CB131+CD131)*1000000/CF131*hfo_e_density_lhv/FA_e_density_lhv))+(F131/24/Shipping!$J$50*Shipping!$J$51+Shipping!$J$59*Shipping!$J$60)*IF(bunker_choice="HFO",bunker_price_ROT,IF(bunker_choice="hydrogen",$BD131*hfo_e_density_lhv/h2_e_density_lhv,(CB131+CD131)*1000000/CF131*hfo_e_density_lhv/FA_e_density_lhv))+Shipping!$J$73+IF(G131="Panama",Shipping!$J$55,0)+IF(G131="Suez",Shipping!$J$56,0))/Shipping!$J$31*CF131/1000000+IF(inland_transport_to_port="hv dc grid",$BM131/100*1000*CI131,IF(inland_transport_to_port="pipeline",$BN131,0)))</f>
        <v>3584.7908613038967</v>
      </c>
      <c r="CH131" s="28">
        <f t="shared" si="132"/>
        <v>119919.16625652925</v>
      </c>
      <c r="CI131" s="29">
        <f>((Carriers!$P$18/Carriers!$P$23*alk_el_e_demand)+FA_e_demand)*(CF131+FA_st_ab_losses)/1000000+FA_st_e_demand*CF131/1000000</f>
        <v>1897.8881241622576</v>
      </c>
      <c r="CJ131" s="29">
        <f t="shared" si="157"/>
        <v>0.46563809523809524</v>
      </c>
      <c r="CK131" s="28">
        <f>IFERROR(CH131*1000000/Storage!$I$12,"")</f>
        <v>386.3059127342583</v>
      </c>
      <c r="CL131" s="28">
        <f>IF($E131="","No Port",((F131/24/Shipping!$J$44+F131/24/Shipping!$J$50+Shipping!$J$59+Shipping!$J$64)*Carriers!$P$39*wacc_nl))</f>
        <v>65.520735229163307</v>
      </c>
      <c r="CM131" s="29">
        <f>H2_retrieval!$H$25*h2_demand_kt/1000+(co2_liq_e_demand+co2_st_e_demand*2)*Storage!$I$12*co2_density/FA_density/1000000</f>
        <v>94.204253879484654</v>
      </c>
      <c r="CN131" s="28">
        <f>IFERROR((((CB131+CD131+CG131)*(1+H2_retrieval!$H$34)+CL131)*1000000/H2_retrieval!$H$8)+h2_regen_fa,"")</f>
        <v>7760.2679801719023</v>
      </c>
      <c r="CO131" s="149">
        <f>(meoh_invest*(M131+1/meoh_lifetime)/meoh_prod+meoh_opex+meoh_e_demand*1000*$AU131/100+Carriers!$R$18/Carriers!$R$23*BD131+Carriers!$R$20/Carriers!$R$23*co2_liq_cost)*(CS131+meoh_st_ab_losses)/1000000</f>
        <v>48618.367930254848</v>
      </c>
      <c r="CP131" s="86">
        <f>(meoh_invest*(M131+1/meoh_lifetime)/meoh_prod+meoh_opex+meoh_e_demand*1000*$AU131/100+Carriers!$R$18/Carriers!$R$23*BD131+Carriers!$R$20/Carriers!$R$23*BP131)*(CS131+meoh_st_ab_losses)/1000000</f>
        <v>61403.05688903507</v>
      </c>
      <c r="CQ131" s="63">
        <f>meoh_st_nl_cost*meoh_st_nl_demand/1000000+(meoh_st_invest*(M131+1/meoh_st_lifetime+meoh_st_opex)/(Storage!$K$63/1000000)+meoh_st_e_demand*1000*$AU131/100)*(CS131+meoh_st_ab_losses)/1000000+co2_st_nl_cost*Storage!$K$12*co2_density/meoh_density/1000000+(co2_st_opex_lev+co2_st_invest_lev+co2_st_e_demand*1000*IFERROR(MIN(S131,AA131,AI131),S131)/100)*Storage!$K$12/1000000+co2_st_invest_lev*Storage!$K$12*co2_st_lifetime*M131/1000000+Carriers!$R$18/Carriers!$R$23*((CS131+meoh_st_ab_losses)/365.25*short_st_duration_hrs/24)*(h2_short_st_invest*(1/gh2_short_st_lifetime+$M131+h2_short_st_opex)+h2_short_st_e_demand*1000*$AU131/100)/1000000+Carriers!$R$20/Carriers!$R$23*((CF131+meoh_st_ab_losses)/365.25*short_st_duration_hrs/24)*(co2_short_st_invest*(1/co2_short_st_lifetime+$M131+co2_short_st_opex)+co2_short_st_e_demand*1000*$AU131/100)/1000000</f>
        <v>4327.9008873715838</v>
      </c>
      <c r="CR131" s="63">
        <f>meoh_st_nl_cost*meoh_st_nl_demand/1000000+(meoh_st_invest*(M131+1/meoh_st_lifetime+meoh_st_opex)/(Storage!$K$63/1000000)+meoh_st_e_demand*1000*$AU131/100)*(CS131+meoh_st_ab_losses)/1000000+Carriers!$R$18/Carriers!$R$23*((CS131+meoh_st_ab_losses)/365.25*short_st_duration_hrs/24)*(h2_short_st_invest*(1/gh2_short_st_lifetime+$M131+h2_short_st_opex)+h2_short_st_e_demand*1000*$AU131/100)/1000000+Carriers!$R$20/Carriers!$R$23*((CF131+meoh_st_ab_losses)/365.25*short_st_duration_hrs/24)*(co2_short_st_invest*(1/co2_short_st_lifetime+$M131+co2_short_st_opex)+co2_short_st_e_demand*1000*$AU131/100)/1000000</f>
        <v>1612.2161476374688</v>
      </c>
      <c r="CS131" s="63">
        <f>Storage!$K$57/((1-Shipping!$L$37)^($F131/24/Shipping!$L$44+0.5*Shipping!$L$59))</f>
        <v>108044444.44444443</v>
      </c>
      <c r="CT131" s="28">
        <f>IF($E131="","No Port",IF(AND(ship_choice="VLCC",G131="Panama"),"Ship cannot pass through Panama",IF(ship_choice="VLCC",((F131/24/Shipping!$AD$44+F131/24/Shipping!$AD$50+Shipping!$AD$59+Shipping!$AD$64)*(Shipping!$AD$22+wacc_nl*Shipping!$AD$19/365.25*1000000+Shipping!$AD$35)+(F131/24/Shipping!$AD$44*Shipping!$AD$45+Shipping!$AD$64*Shipping!$AD$65)*IF(bunker_choice="HFO",$H131,IF(bunker_choice="hydrogen",$BD131*hfo_e_density_lhv/h2_e_density_lhv,(CO131+CQ131)*1000000/CS131*hfo_e_density_lhv/meoh_e_density_lhv))+(F131/24/Shipping!$AD$50*Shipping!$AD$51+Shipping!$AD$59*Shipping!$AD$60)*IF(bunker_choice="HFO",bunker_price_ROT,IF(bunker_choice="hydrogen",$BD131*hfo_e_density_lhv/h2_e_density_lhv,(CO131+CQ131)*1000000/CS131*hfo_e_density_lhv/meoh_e_density_lhv))+Shipping!$AD$73+IF(G131="Panama",Shipping!$AD$55,0)+IF(G131="Suez",Shipping!$AD$56,0))/Shipping!$AD$31*CS131/1000000+IF(inland_transport_to_port="hv dc grid",$BM131/100*1000*CV131,IF(inland_transport_to_port="pipeline",$BN131,0)),((F131/24/Shipping!$L$44+F131/24/Shipping!$L$50+Shipping!$L$59+Shipping!$L$64)*(Shipping!$L$22+wacc_nl*Shipping!$L$19/365.25*1000000+Shipping!$L$35)+(F131/24/Shipping!$L$44*Shipping!$L$45+Shipping!$L$64*Shipping!$L$65)*IF(bunker_choice="HFO",$H131,IF(bunker_choice="hydrogen",$BD131*hfo_e_density_lhv/h2_e_density_lhv,(CO131+CQ131)*1000000/CS131*hfo_e_density_lhv/meoh_e_density_lhv))+(F131/24/Shipping!$L$50*Shipping!$L$51+Shipping!$L$59*Shipping!$L$60)*IF(bunker_choice="HFO",bunker_price_ROT,IF(bunker_choice="hydrogen",$BD131*hfo_e_density_lhv/h2_e_density_lhv,(CO131+CQ131)*1000000/CS131*hfo_e_density_lhv/meoh_e_density_lhv))+Shipping!$L$73+IF(G131="Panama",Shipping!$L$55,0)+IF(G131="Suez",Shipping!$L$56,0))/Shipping!$L$31*CS131/1000000+IF(inland_transport_to_port="hv dc grid",$BM131/100*1000*CV131,IF(inland_transport_to_port="pipeline",$BN131,0)))))</f>
        <v>1712.9806845038488</v>
      </c>
      <c r="CU131" s="28">
        <f t="shared" si="133"/>
        <v>64728.253721176385</v>
      </c>
      <c r="CV131" s="29">
        <f>((Carriers!$R$18/Carriers!$R$23*alk_el_e_demand)+meoh_e_demand)*(CS131+meoh_st_ab_losses)/1000000+meoh_st_e_demand*CS131/1000000</f>
        <v>1119.9789871111109</v>
      </c>
      <c r="CW131" s="29">
        <f t="shared" si="158"/>
        <v>0.16206666666666666</v>
      </c>
      <c r="CX131" s="28">
        <f>IFERROR(CU131*1000000/Storage!$K$12,"")</f>
        <v>599.08914386115543</v>
      </c>
      <c r="CY131" s="28">
        <f>IF($E131="","No Port",((F131/24/Shipping!$L$44+F131/24/Shipping!$L$50+Shipping!$L$59+Shipping!$L$64)*Carriers!$R$39*wacc_nl))</f>
        <v>23.053869399960153</v>
      </c>
      <c r="CZ131" s="29">
        <f>H2_retrieval!$J$25*h2_demand_kt/1000+(co2_liq_e_demand+co2_st_e_demand*2)*Storage!$K$12*co2_density/meoh_density/1000000</f>
        <v>251.05079059698966</v>
      </c>
      <c r="DA131" s="28">
        <f>IFERROR((((CO131+CQ131+CT131)*(1+H2_retrieval!$J$34)+CY131)*1000000/H2_retrieval!$J$8)+h2_regen_meoh,"")</f>
        <v>5190.8861440439277</v>
      </c>
      <c r="DB131" s="149">
        <f>(DBT_invest*(M131+1/DBT_lifetime)/DBT_prod+DBT_opex+DBT_e_demand*1000*$AU131/100+Carriers!$T$18/Carriers!$T$23*BD131)*(DD131+DBT_st_ab_losses)/1000000</f>
        <v>32387.44767656703</v>
      </c>
      <c r="DC131" s="28">
        <f>2*(DBT_st_nl_cost*DBT_st_nl_demand/1000000+(DBT_st_invest*(M131+1/DBT_st_lifetime+DBT_st_opex)/(Storage!$M$63/1000000)+DBT_st_e_demand*1000*$AU131/100)*(DD131+DBT_st_ab_losses)/1000000)+Carriers!$T$18/Carriers!$T$23*((DD131+DBT_st_ab_losses)/365.25*short_st_duration_hrs/24)*(h2_short_st_invest*(1/gh2_short_st_lifetime+$M131+h2_short_st_opex)+h2_short_st_e_demand*1000*$AU131/100)/1000000</f>
        <v>3447.2395189312856</v>
      </c>
      <c r="DD131" s="63">
        <f>Storage!$M$57/((1-Shipping!$N$37)^($F131/24/Shipping!$N$44+0.5*Shipping!$N$59))</f>
        <v>219354838.70967743</v>
      </c>
      <c r="DE131" s="28">
        <f>IF($E131="","No Port",IF(AND(ship_choice="VLCC",G131="Panama"),"Ship cannot pass through Panama",IF(ship_choice="VLCC",((F131/24/Shipping!$AD$44+F131/24/Shipping!$AD$50+Shipping!$AD$59+Shipping!$AD$64)*(Shipping!$AD$22+wacc_nl*Shipping!$AD$19/365.25*1000000+Shipping!$AD$35)+(F131/24/Shipping!$AD$44*Shipping!$AD$45+Shipping!$AD$64*Shipping!$AD$65)*IF(bunker_choice="HFO",$H131,IF(bunker_choice="hydrogen",$BD131*hfo_e_density_lhv/h2_e_density_lhv,(DB131+DC131)*1000000/DD131*hfo_e_density_lhv/DBT_e_density_lhv))+(F131/24/Shipping!$AD$50*Shipping!$AD$51+Shipping!$AD$59*Shipping!$AD$60)*IF(bunker_choice="HFO",bunker_price_ROT,IF(bunker_choice="hydrogen",$BD131*hfo_e_density_lhv/h2_e_density_lhv,(DB131+DC131)*1000000/DD131*hfo_e_density_lhv/DBT_e_density_lhv))+Shipping!$AD$73+IF(G131="Panama",Shipping!$AD$55,0)+IF(G131="Suez",Shipping!$AD$56,0))/Shipping!$AD$31*DD131/1000000+IF(inland_transport_to_port="hv dc grid",$BM131/100*1000*DG131,IF(inland_transport_to_port="pipeline",$BN131,0)),((F131/24/Shipping!$N$44+F131/24/Shipping!$N$50+Shipping!$N$59+Shipping!$N$64)*(Shipping!$N$22+wacc_nl*Shipping!$N$19/365.25*1000000+Shipping!$N$35)+(F131/24/Shipping!$N$44*Shipping!$N$45+Shipping!$N$64*Shipping!$N$65)*IF(bunker_choice="HFO",$H131,IF(bunker_choice="hydrogen",$BD131*hfo_e_density_lhv/h2_e_density_lhv,(DB131+DC131)*1000000/DD131*hfo_e_density_lhv/DBT_e_density_lhv))+(F131/24/Shipping!$N$50*Shipping!$N$51+Shipping!$N$59*Shipping!$N$60)*IF(bunker_choice="HFO",bunker_price_ROT,IF(bunker_choice="hydrogen",$BD131*hfo_e_density_lhv/h2_e_density_lhv,(DB131+DC131)*1000000/DD131*hfo_e_density_lhv/DBT_e_density_lhv))+Shipping!$N$73+IF(G131="Panama",Shipping!$N$55,0)+IF(G131="Suez",Shipping!$N$56,0))/Shipping!$N$31*Shipping!$N$86/1000000+IF(inland_transport_to_port="hv dc grid",$BM131/100*1000*DG131,IF(inland_transport_to_port="pipeline",$BN131,0)))))</f>
        <v>2479.1881976049199</v>
      </c>
      <c r="DF131" s="28">
        <f t="shared" si="159"/>
        <v>38313.875393103233</v>
      </c>
      <c r="DG131" s="29">
        <f>((Carriers!$T$18/Carriers!$T$23*alk_el_e_demand)+DBT_e_demand)*(DD131+DBT_st_ab_losses)/1000000+DBT_st_e_demand*DD131/1000000</f>
        <v>703.88335483870969</v>
      </c>
      <c r="DH131" s="29">
        <f t="shared" si="160"/>
        <v>0.21935483870967742</v>
      </c>
      <c r="DI131" s="28">
        <f>IFERROR(DF131*1000000/Storage!$M$12,"")</f>
        <v>174.66619664502943</v>
      </c>
      <c r="DJ131" s="28">
        <f>IF($E131="","No Port",((F131/24/Shipping!$N$44+F131/24/Shipping!$N$50+Shipping!$N$59+Shipping!$N$64)*Carriers!$T$39*wacc_nl))</f>
        <v>1679.0890546716296</v>
      </c>
      <c r="DK131" s="100">
        <f>H2_retrieval!$L$25*h2_demand_kt/1000+(co2_liq_e_demand+co2_st_e_demand*2)*Storage!$M$12*co2_density/DBT_density/1000000</f>
        <v>206.61934861671787</v>
      </c>
      <c r="DL131" s="28">
        <f>IFERROR(((DF131*(1+H2_retrieval!$L$34)+DJ131)*1000000/H2_retrieval!$L$8)+h2_regen_lohc,"")</f>
        <v>3411.3089312104757</v>
      </c>
      <c r="DM131" s="149">
        <f t="shared" si="175"/>
        <v>51942.887026680488</v>
      </c>
      <c r="DN131" s="16">
        <f>2*(nabh4_st_nl_cost*nabh4_st_nl_demand/1000000+(nabh4_st_invest*(M131+1/nabh4_st_lifetime+nabh4_st_opex)/(Storage!$O$63/1000000)+nabh4_st_e_demand*1000*$AU131/100)*(DO131+nabh4_st_ab_losses)/1000000)+(h2_demand_kt*1000/365.25*short_st_duration_hrs/24)*(h2_short_st_invest*(1/gh2_short_st_lifetime+$M131+h2_short_st_opex)+h2_short_st_e_demand*1000*$AU131/100)/1000000</f>
        <v>1234.7128548471183</v>
      </c>
      <c r="DO131" s="63">
        <f>Storage!$O$57/((1-Shipping!$P$37)^($F131/24/Shipping!$P$44+0.5*Shipping!$P$59))</f>
        <v>63920000</v>
      </c>
      <c r="DP131" s="16">
        <f>IF($E131="","No Port",((F131/24/Shipping!$P$44+F131/24/Shipping!$P$50+Shipping!$P$59+Shipping!$P$64)*(Shipping!$P$22+wacc_nl*Shipping!$P$19/365.25*1000000+Shipping!$P$35)+(F131/24/Shipping!$P$44*Shipping!$P$45+Shipping!$P$64*Shipping!$P$65)*IF(bunker_choice="HFO",$H131,IF(bunker_choice="hydrogen",$BD131*hfo_e_density_lhv/h2_e_density_lhv,(DM131+DN131)*1000000/DO131*hfo_e_density_lhv/nabh4_e_density_lhv))+(F131/24/Shipping!$P$50*Shipping!$P$51+Shipping!$P$59*Shipping!$P$60)*IF(bunker_choice="HFO",bunker_price_ROT,IF(bunker_choice="hydrogen",$BD131*hfo_e_density_lhv/h2_e_density_lhv,(DM131+DN131)*1000000/DO131*hfo_e_density_lhv/nabh4_e_density_lhv))+Shipping!$P$73+IF(G131="Panama",Shipping!$P$55,0)+IF(G131="Suez",Shipping!$P$56,0))/Shipping!$P$31*(DO131+nabh4_st_ab_losses)/1000000+IF(inland_transport_to_port="hv dc grid",$BM131/100*1000*DR131,IF(inland_transport_to_port="pipeline",$BN131,0)))</f>
        <v>1234.115397365963</v>
      </c>
      <c r="DQ131" s="28">
        <f t="shared" si="146"/>
        <v>54411.715278893564</v>
      </c>
      <c r="DR131" s="29">
        <f>((Carriers!$V$18/Carriers!$V$23*alk_el_e_demand)+nabh4_e_demand)*(DO131+nabh4_st_ab_losses)/1000000+nabh4_st_e_demand*DO131/1000000</f>
        <v>980.02139682539689</v>
      </c>
      <c r="DS131" s="28">
        <f t="shared" si="161"/>
        <v>3.1960000000000002</v>
      </c>
      <c r="DT131" s="28">
        <f>IFERROR(DQ131*1000000/Storage!$O$12,"")</f>
        <v>851.24711012036232</v>
      </c>
      <c r="DU131" s="28">
        <f>IF($E131="","No Port",((F131/24/Shipping!$P$44+F131/24/Shipping!$P$50+Shipping!$P$59+Shipping!$P$64)*Carriers!$V$39*wacc_nl))</f>
        <v>172.72572069953296</v>
      </c>
      <c r="DV131" s="100">
        <f>H2_retrieval!$N$25*h2_demand_kt/1000+(co2_liq_e_demand+co2_st_e_demand*2)*Storage!$O$12*co2_density/nabh4_density/1000000</f>
        <v>18.783638728971958</v>
      </c>
      <c r="DW131" s="28">
        <f>IFERROR(((DQ131*(1+H2_retrieval!$N$34)+DU131)*1000000/H2_retrieval!$N$8)+h2_regen_nabh4,"")</f>
        <v>4100.4532770073283</v>
      </c>
      <c r="DX131" s="149">
        <f>(Dme_invest*(M131+1/Dme_lifetime)/Dme_prod+Dme_opex+Dme_e_demand*1000*$AU131/100+Carriers!$X$21/Carriers!$X$23*(CO131*1000000/CS131))*(EB131+Dme_st_ab_losses)/1000000</f>
        <v>68712.350108226368</v>
      </c>
      <c r="DY131" s="86">
        <f>(Dme_invest*(M131+1/Dme_lifetime)/Dme_prod+Dme_opex+Dme_e_demand*1000*$AU131/100+Carriers!$X$21/Carriers!$X$23*(CP131*1000000/CS131))*(EB131+Dme_st_ab_losses)/1000000</f>
        <v>86056.877522741779</v>
      </c>
      <c r="DZ131" s="63">
        <f>Dme_st_nl_cost*Dme_st_nl_demand/1000000+(Dme_st_invest*(M131+1/Dme_st_lifetime+Dme_st_opex)/(Storage!$Q$63/1000000)+Dme_st_e_demand*1000*$AU131/100)*(EB131+Dme_st_ab_losses)/1000000+co2_st_nl_cost*Storage!$Q$12*co2_density/Dme_density/1000000+(co2_st_opex_lev+co2_st_invest_lev+co2_st_e_demand*1000*$AU131/100)*Storage!$Q$12/1000000+co2_st_invest_lev*Storage!$Q$12*co2_st_lifetime*M131/1000000+(h2_demand_kt*1000/365.25*short_st_duration_hrs/24)*(h2_short_st_invest*(1/gh2_short_st_lifetime+$M131+h2_short_st_opex)+h2_short_st_e_demand*1000*$AU131/100)/1000000</f>
        <v>5245.7581044336057</v>
      </c>
      <c r="EA131" s="63">
        <f>Dme_st_nl_cost*Dme_st_nl_demand/1000000+(Dme_st_invest*(M131+1/Dme_st_lifetime+Dme_st_opex)/(Storage!$Q$63/1000000)+Dme_st_e_demand*1000*$AU131/100)*(EB131+Dme_st_ab_losses)/1000000+(h2_demand_kt*1000/365.25*short_st_duration_hrs/24)*(h2_short_st_invest*(1/gh2_short_st_lifetime+$M131+h2_short_st_opex)+h2_short_st_e_demand*1000*$AU131/100)/1000000</f>
        <v>2505.4518831241521</v>
      </c>
      <c r="EB131" s="63">
        <f>Storage!$Q$57/((1-Shipping!$R$37)^($F131/24/Shipping!$R$44+0.5*Shipping!$R$59))</f>
        <v>103547089.94708996</v>
      </c>
      <c r="EC131" s="153">
        <f>IF($E131="","No Port",IF(AND(ship_choice="VLCC",G131="Panama"),"Ship cannot pass through Panama",IF(ship_choice="VLCC",((F131/24/Shipping!$AD$44+F131/24/Shipping!$AD$50+Shipping!$AD$59+Shipping!$AD$64)*(Shipping!$AD$22+wacc_nl*Shipping!$AD$19/365.25*1000000+Shipping!$AD$35)+(F131/24/Shipping!$AD$44*Shipping!$AD$45+Shipping!$AD$64*Shipping!$AD$65)*IF(bunker_choice="HFO",$H131,IF(bunker_choice="hydrogen",$BD131*hfo_e_density_lhv/h2_e_density_lhv,(DX131+DZ131)*1000000/EB131*hfo_e_density_lhv/Dme_e_density_lhv))+(F131/24/Shipping!$AD$50*Shipping!$AD$51+Shipping!$AD$59*Shipping!$AD$60)*IF(bunker_choice="HFO",bunker_price_ROT,IF(bunker_choice="hydrogen",$BD131*hfo_e_density_lhv/h2_e_density_lhv,(DX131+DZ131)*1000000/EB131*hfo_e_density_lhv/Dme_e_density_lhv))+Shipping!$AD$73+IF(G131="Panama",Shipping!$AD$55,0)+IF(G131="Suez",Shipping!$AD$56,0))/Shipping!$AD$31*(EB131+Dme_st_ab_losses)/1000000+IF(inland_transport_to_port="hv dc grid",$BM131/100*1000*EE131,IF(inland_transport_to_port="pipeline",$BN131,0)),((F131/24/Shipping!$R$44+F131/24/Shipping!$R$50+Shipping!$R$59+Shipping!$R$64)*(Shipping!$R$22+wacc_nl*Shipping!$R$19/365.25*1000000+Shipping!$R$35)+(F131/24/Shipping!$R$44*Shipping!$R$45+Shipping!$R$64*Shipping!$R$65)*IF(bunker_choice="HFO",$H131,IF(bunker_choice="hydrogen",$BD131*hfo_e_density_lhv/h2_e_density_lhv,(DX131+DZ131)*1000000/EB131*hfo_e_density_lhv/Dme_e_density_lhv))+(F131/24/Shipping!$R$50*Shipping!$R$51+Shipping!$R$59*Shipping!$R$60)*IF(bunker_choice="HFO",bunker_price_ROT,IF(bunker_choice="hydrogen",$BD131*hfo_e_density_lhv/h2_e_density_lhv,(DX131+DZ131)*1000000/EB131*hfo_e_density_lhv/Dme_e_density_lhv))+Shipping!$R$73+IF(G131="Panama",Shipping!$R$55,0)+IF(G131="Suez",Shipping!$R$56,0))/Shipping!$R$31*(EB131+Dme_st_ab_losses)/1000000+IF(inland_transport_to_port="hv dc grid",$BM131/100*1000*EE131,IF(inland_transport_to_port="pipeline",$BN131,0)))))</f>
        <v>1775.3420044117868</v>
      </c>
      <c r="ED131" s="28">
        <f t="shared" si="134"/>
        <v>90337.671410277719</v>
      </c>
      <c r="EE131" s="29">
        <f>(Dme_e_demand)*(EB131+Dme_st_ab_losses)/1000000+Dme_st_e_demand*DZ131/1000000+$CV131*(Carriers!$X$21/Carriers!$X$23*EB131)/$CS131</f>
        <v>1550.2168126246368</v>
      </c>
      <c r="EF131" s="29">
        <f t="shared" si="162"/>
        <v>1.0354708994708997</v>
      </c>
      <c r="EG131" s="28">
        <f>IFERROR(ED131*1000000/Storage!$Q$12,"")</f>
        <v>872.43080859576139</v>
      </c>
      <c r="EH131" s="28">
        <f>IF($E131="","No Port",((F131/24/Shipping!$R$44+F131/24/Shipping!$R$50+Shipping!$R$59+Shipping!$R$64)*Carriers!$X$39*wacc_nl))</f>
        <v>22.818200680628731</v>
      </c>
      <c r="EI131" s="100">
        <f>H2_retrieval!$P$25*h2_demand_kt/1000+(co2_liq_e_demand+co2_st_e_demand*2)*Storage!$Q$12*co2_density/Dme_density/1000000</f>
        <v>252.45335899349112</v>
      </c>
      <c r="EJ131" s="28">
        <f>IFERROR((((DX131+DZ131+EC131)*(1+H2_retrieval!$P$34)+EH131)*1000000/H2_retrieval!$P$8)+h2_regen_dme,"")</f>
        <v>6740.4423974426154</v>
      </c>
      <c r="EK131" s="149">
        <f>(ome_invest*(M131+1/ome_lifetime)/ome_prod+ome_opex+ome_e_demand*1000*$AU131/100+Carriers!$Z$21/Carriers!$Z$23*(CO131*1000000/CS131))*(EO131+ome_st_ab_losses)/1000000</f>
        <v>150497.61176983902</v>
      </c>
      <c r="EL131" s="86">
        <f>(ome_invest*(M131+1/ome_lifetime)/ome_prod+ome_opex+ome_e_demand*1000*$AU131/100+Carriers!$Z$21/Carriers!$Z$23*(CP131*1000000/CS131))*(EO131+ome_st_ab_losses)/1000000</f>
        <v>186907.15115122573</v>
      </c>
      <c r="EM131" s="63">
        <f>ome_st_nl_cost*ome_st_nl_demand/1000000+(ome_st_invest*(M131+1/ome_st_lifetime+ome_st_opex)/(Storage!$S$63/1000000)+ome_st_e_demand*1000*$AU131/100)*(EO131+ome_st_ab_losses)/1000000+co2_st_nl_cost*Storage!$S$12*co2_density/ome_density/1000000+(co2_st_opex_lev+co2_st_invest_lev+co2_st_e_demand*1000*$AU131/100)*Storage!$S$12/1000000+co2_st_invest_lev*Storage!$S$12*co2_st_lifetime*M131/1000000+(h2_demand_kt*1000/365.25*short_st_duration_hrs/24)*(h2_short_st_invest*(1/gh2_short_st_lifetime+$M131+h2_short_st_opex)+h2_short_st_e_demand*1000*$AU131/100)/1000000</f>
        <v>4531.1058897794801</v>
      </c>
      <c r="EN131" s="63">
        <f>ome_st_nl_cost*ome_st_nl_demand/1000000+(ome_st_invest*(M131+1/ome_st_lifetime+ome_st_opex)/(Storage!$S$63/1000000)+ome_st_e_demand*1000*$AU131/100)*(EO131+ome_st_ab_losses)/1000000+(h2_demand_kt*1000/365.25*short_st_duration_hrs/24)*(h2_short_st_invest*(1/gh2_short_st_lifetime+$M131+h2_short_st_opex)+h2_short_st_e_demand*1000*$AU131/100)/1000000</f>
        <v>1475.1599571856395</v>
      </c>
      <c r="EO131" s="63">
        <f>Storage!$S$57/((1-Shipping!$T$37)^($F131/24/Shipping!$T$44+0.5*Shipping!$T$59))</f>
        <v>128282539.68253967</v>
      </c>
      <c r="EP131" s="28">
        <f>IF($E131="","No Port",IF(AND(ship_choice="VLCC",G131="Panama"),"Ship cannot pass through Panama",IF(ship_choice="VLCC",((F131/24/Shipping!$AD$44+F131/24/Shipping!$AD$50+Shipping!$AD$59+Shipping!$AD$64)*(Shipping!$AD$22+wacc_nl*Shipping!$AD$19/365.25*1000000+Shipping!$AD$35)+(F131/24/Shipping!$AD$44*Shipping!$AD$45+Shipping!$AD$64*Shipping!$AD$65)*IF(bunker_choice="HFO",$H131,IF(bunker_choice="hydrogen",$BD131*hfo_e_density_lhv/h2_e_density_lhv,(EK131+EM131)*1000000/EO131*hfo_e_density_lhv/Dme_e_density_lhv))+(F131/24/Shipping!$AD$50*Shipping!$AD$51+Shipping!$AD$59*Shipping!$AD$60)*IF(bunker_choice="HFO",bunker_price_ROT,IF(bunker_choice="hydrogen",$BD131*hfo_e_density_lhv/h2_e_density_lhv,(EK131+EM131)*1000000/EO131*hfo_e_density_lhv/ome_e_density_lhv))+Shipping!$AD$73+IF(G131="Panama",Shipping!$AD$55,0)+IF(G131="Suez",Shipping!$AD$56,0))/Shipping!$AD$31*(EO131+ome_st_ab_losses)/1000000+IF(inland_transport_to_port="hv dc grid",$BM131/100*1000*ER131,IF(inland_transport_to_port="pipeline",$BN131,0)),((F131/24/Shipping!$T$44+F131/24/Shipping!$T$50+Shipping!$T$59+Shipping!$T$64)*(Shipping!$T$22+wacc_nl*Shipping!$T$19/365.25*1000000+Shipping!$T$35)+(F131/24/Shipping!$T$44*Shipping!$T$45+Shipping!$T$64*Shipping!$T$65)*IF(bunker_choice="HFO",$H131,IF(bunker_choice="hydrogen",$BD131*hfo_e_density_lhv/h2_e_density_lhv,(EK131+EM131)*1000000/EO131*hfo_e_density_lhv/Dme_e_density_lhv))+(F131/24/Shipping!$T$50*Shipping!$T$51+Shipping!$T$59*Shipping!$T$60)*IF(bunker_choice="HFO",bunker_price_ROT,IF(bunker_choice="hydrogen",$BD131*hfo_e_density_lhv/h2_e_density_lhv,(EK131+EM131)*1000000/EO131*hfo_e_density_lhv/ome_e_density_lhv))+Shipping!$T$73+IF(G131="Panama",Shipping!$T$55,0)+IF(G131="Suez",Shipping!$T$56,0))/Shipping!$T$31*(EO131+ome_st_ab_losses)/1000000+IF(inland_transport_to_port="hv dc grid",$BM131/100*1000*ER131,IF(inland_transport_to_port="pipeline",$BN131,0)))))</f>
        <v>1811.6775891876609</v>
      </c>
      <c r="EQ131" s="28">
        <f t="shared" si="135"/>
        <v>190193.98869759904</v>
      </c>
      <c r="ER131" s="29">
        <f>(ome_e_demand)*(EO131+ome_st_ab_losses)/1000000+ome_st_e_demand*EM131/1000000+$CV131*(Carriers!$Z$21/Carriers!$Z$23*EO131)/$CS131</f>
        <v>3352.0814569374425</v>
      </c>
      <c r="ES131" s="29">
        <f t="shared" si="163"/>
        <v>0.1924238095238095</v>
      </c>
      <c r="ET131" s="28">
        <f>IFERROR(EQ131*1000000/Storage!$S$12,"")</f>
        <v>1482.6178930372862</v>
      </c>
      <c r="EU131" s="28">
        <f>IF($E131="","No Port",((F131/24/Shipping!$T$44+F131/24/Shipping!$T$50+Shipping!$T$59+Shipping!$T$64)*Carriers!$Z$39*wacc_nl))</f>
        <v>27.372151630222422</v>
      </c>
      <c r="EV131" s="100">
        <f>H2_retrieval!$R$25*h2_demand_kt/1000+(co2_liq_e_demand+co2_st_e_demand*2)*Storage!$S$12*co2_density/ome_density/1000000</f>
        <v>254.51942895252085</v>
      </c>
      <c r="EW131" s="28">
        <f>IFERROR((((EK131+EM131+EP131)*(1+H2_retrieval!$R$34)+EU131)*1000000/H2_retrieval!$R$8)+h2_regen_ome,"")</f>
        <v>12704.523204992909</v>
      </c>
      <c r="EX131" s="149">
        <f>(sng_invest*(M131+1/sng_lifetime)/sng_prod+lng_invest*(M131+1/lng_lifetime)/lng_prod+sng_opex+lng_opex+(sng_e_demand+lng_e_demand)*1000*$AU131/100+Carriers!$AB$18/Carriers!$AB$23*BD131+Carriers!$AB$20/Carriers!$AB$23*co2_liq_cost)*(FB131+lng_st_ab_losses)/1000000</f>
        <v>52051.341888571274</v>
      </c>
      <c r="EY131" s="86">
        <f>(sng_invest*(M131+1/sng_lifetime)/sng_prod+lng_invest*(M131+1/lng_lifetime)/lng_prod+sng_opex+lng_opex+(sng_e_demand+lng_e_demand)*1000*$AU131/100+Carriers!$AB$18/Carriers!$AB$23*BD131+Carriers!$AB$20/Carriers!$AB$23*BP131)*(FB131+lng_st_ab_losses)/1000000</f>
        <v>61520.130637301401</v>
      </c>
      <c r="EZ131" s="63">
        <f>lng_st_nl_cost*lng_st_nl_demand/1000000+(lng_st_invest*(M131+1/lng_st_lifetime+lng_st_opex)/(Storage!$U$63/1000000)+lng_st_e_demand*1000*$AU131/100)*(FB131+lng_st_ab_losses)/1000000+co2_st_nl_cost*Storage!$U$12*co2_density/lng_density/1000000+(co2_st_opex_lev+co2_st_invest_lev+co2_st_e_demand*1000*$AU131/100)*Storage!$U$12/1000000+co2_st_invest_lev*Storage!$U$12*co2_st_lifetime*M131/1000000+Carriers!$AB$18/Carriers!$AB$23*((FB131+lng_st_ab_losses)/365.25*short_st_duration_hrs/24)*(h2_short_st_invest*(1/gh2_short_st_lifetime+$M131+h2_short_st_opex)+h2_short_st_e_demand*1000*$AU131/100)/1000000+Carriers!$AB$20/Carriers!$AB$23*((FB131+lng_st_ab_losses)/365.25*short_st_duration_hrs/24)*(co2_short_st_invest*(1/co2_short_st_lifetime+$M131+co2_short_st_opex)+co2_short_st_e_demand*1000*$AU131/100)/1000000</f>
        <v>5398.4671800550013</v>
      </c>
      <c r="FA131" s="63">
        <f>lng_st_nl_cost*lng_st_nl_demand/1000000+(lng_st_invest*(M131+1/lng_st_lifetime+lng_st_opex)/(Storage!$U$63/1000000)+lng_st_e_demand*1000*$AU131/100)*(FB131+lng_st_ab_losses)/1000000+Carriers!$AB$18/Carriers!$AB$23*((FB131+lng_st_ab_losses)/365.25*short_st_duration_hrs/24)*(h2_short_st_invest*(1/gh2_short_st_lifetime+$M131+h2_short_st_opex)+h2_short_st_e_demand*1000*$AU131/100)/1000000+Carriers!$AB$20/Carriers!$AB$23*((FB131+lng_st_ab_losses)/365.25*short_st_duration_hrs/24)*(co2_short_st_invest*(1/co2_short_st_lifetime+$M131+co2_short_st_opex)+co2_short_st_e_demand*1000*$AU131/100)/1000000</f>
        <v>3886.746375252214</v>
      </c>
      <c r="FB131" s="63">
        <f>Storage!$U$57/((1-Shipping!$V$37)^($F131/24/Shipping!$V$44+0.5*Shipping!$V$59))</f>
        <v>40772893.590193488</v>
      </c>
      <c r="FC131" s="28">
        <f>IF($E131="","No Port",IF(G131="Panama","Ship cannot pass through Panama",((F131/24/Shipping!$V$44+F131/24/Shipping!$V$50+Shipping!$V$59+Shipping!$V$64)*(Shipping!$V$22+wacc_nl*Shipping!$V$19/365.25*1000000+Shipping!$V$35)+(F131/24/Shipping!$V$44*Shipping!$V$45+Shipping!$V$64*Shipping!$V$65)*IF(bunker_choice="HFO",$H131,IF(bunker_choice="hydrogen",$BD131*hfo_e_density_lhv/h2_e_density_lhv,(EX131+EZ131)*1000000/FB131*hfo_e_density_lhv/lng_e_density_lhv))+(F131/24/Shipping!$V$50*Shipping!$V$51+Shipping!$V$59*Shipping!$V$60)*IF(bunker_choice="HFO",bunker_price_ROT,IF(bunker_choice="hydrogen",$BD131*hfo_e_density_lhv/h2_e_density_lhv,(EX131+EZ131)*1000000/FB131*hfo_e_density_lhv/lng_e_density_lhv))+Shipping!$V$73+IF(G131="Panama",Shipping!$V$55,0)+IF(G131="Suez",Shipping!$V$56,0))/Shipping!$V$31*(FB131+lng_st_ab_losses)/1000000)+IF(inland_transport_to_port="hv dc grid",$BM131/100*1000*FE131,IF(inland_transport_to_port="pipeline",$BN131,0)))</f>
        <v>1175.7201086242535</v>
      </c>
      <c r="FD131" s="28">
        <f t="shared" si="136"/>
        <v>66582.597121177867</v>
      </c>
      <c r="FE131" s="29">
        <f>((Carriers!$AB$18/Carriers!$AB$23*alk_el_e_demand)+sng_e_demand+lng_e_demand)*(FB131+lng_st_ab_losses)/1000000+lng_st_e_demand*EZ131/1000000</f>
        <v>1093.5108755636572</v>
      </c>
      <c r="FF131" s="29">
        <f t="shared" si="164"/>
        <v>0.8126185861001558</v>
      </c>
      <c r="FG131" s="28">
        <f>IFERROR(FD131*1000000/Storage!$U$12,"")</f>
        <v>1640.6068596034909</v>
      </c>
      <c r="FH131" s="28">
        <f>IF($E131="","No Port",((F131/24/Shipping!$V$44+F131/24/Shipping!$V$50+Shipping!$V$59+Shipping!$V$64)*Carriers!$AB$39*wacc_nl))</f>
        <v>8.53599255505641</v>
      </c>
      <c r="FI131" s="100">
        <f>H2_retrieval!$T$25*h2_demand_kt/1000+(co2_liq_e_demand+co2_st_e_demand*2)*Storage!$U$12*co2_density/lng_density/1000000</f>
        <v>236.51371749646054</v>
      </c>
      <c r="FJ131" s="28">
        <f>IFERROR((((EX131+EZ131+FC131)*(1+H2_retrieval!$T$34)+FH131)*1000000/H2_retrieval!$T$8)+h2_regen_lng,"")</f>
        <v>5481.4568645053505</v>
      </c>
      <c r="FK131" s="149">
        <f>(lh2_invest*(M131+1/lh2_lifetime)/lh2_prod+lh2_opex+lh2_e_demand*1000*$AU131/100+Carriers!$AD$18/Carriers!$AD$23*BD131)*(FM131+lh2_st_ab_losses)/1000000</f>
        <v>40726.921687722694</v>
      </c>
      <c r="FL131" s="28">
        <f>lh2_st_nl_cost*lh2_st_nl_demand/1000000+(lh2_st_invest*(M131+1/lh2_st_lifetime+lh2_st_opex)/(Storage!$Y$63/1000000)+lh2_st_e_demand*1000*$AU131/100)*(FM131+lh2_st_ab_losses)/1000000+((FM131+lh2_st_ab_losses)/365.25*short_st_duration_hrs/24)*(h2_short_st_invest*(1/gh2_short_st_lifetime+$M131+h2_short_st_opex)+h2_short_st_e_demand*1000*$AU131/100)/1000000</f>
        <v>45840.615494676342</v>
      </c>
      <c r="FM131" s="63">
        <f>Storage!$Y$57/((1-Shipping!$Z$37)^($F131/24/Shipping!$Z$44+0.5*Shipping!$Z$59))</f>
        <v>13695268.805688873</v>
      </c>
      <c r="FN131" s="28">
        <f>IF($E131="","No Port",IF(G131="Panama","Ship cannot pass through Panama",((F131/24/Shipping!$Z$44+F131/24/Shipping!$Z$50+Shipping!$Z$59+Shipping!$Z$64)*(Shipping!$Z$22+wacc_nl*Shipping!$Z$19/365.25*1000000+Shipping!$Z$35)+(F131/24/Shipping!$Z$44*Shipping!$Z$45+Shipping!$Z$64*Shipping!$Z$65)*IF(bunker_choice="HFO",$H131,IF(bunker_choice="hydrogen",$BD131*hfo_e_density_lhv/h2_e_density_lhv,(FK131+FL131)*1000000/FM131*hfo_e_density_lhv/lh2_e_density_lhv))+(F131/24/Shipping!$Z$50*Shipping!$Z$51+Shipping!$Z$59*Shipping!$Z$60)*IF(bunker_choice="HFO",bunker_price_ROT,IF(bunker_choice="hydrogen",$BD131*hfo_e_density_lhv/h2_e_density_lhv,(FK131+FL131)*1000000/FM131*hfo_e_density_lhv/lh2_e_density_lhv))+Shipping!$Z$73+IF(G131="Panama",Shipping!$Z$55,0)+IF(G131="Suez",Shipping!$Z$56,0))/Shipping!$Z$31*(FM131+lh2_st_ab_losses)/1000000)+IF(inland_transport_to_port="hv dc grid",$BM131/100*1000*FP131,IF(inland_transport_to_port="pipeline",$BN131,0)))</f>
        <v>1524.9818895004109</v>
      </c>
      <c r="FO131" s="28">
        <f t="shared" si="128"/>
        <v>88092.519071899456</v>
      </c>
      <c r="FP131" s="29">
        <f>((Carriers!$AD$18/Carriers!$AD$23*alk_el_e_demand)+lh2_e_demand)*(FM131+lh2_st_ab_losses)/1000000+lh2_st_e_demand*FM131/1000000</f>
        <v>793.64425893521866</v>
      </c>
      <c r="FQ131" s="100">
        <f t="shared" si="165"/>
        <v>1.361902463475859</v>
      </c>
      <c r="FR131" s="28">
        <f>IFERROR(FO131*1000000/Storage!$Y$12,"")</f>
        <v>6477.3911082279019</v>
      </c>
      <c r="FS131" s="100">
        <f>H2_retrieval!$V$25*h2_demand_kt/1000</f>
        <v>8.16</v>
      </c>
      <c r="FT131" s="28">
        <f>IFERROR(FR131*(1+H2_retrieval!$V$34)/Carrier_properties!$U$7+H2_retrieval!$V$38,"")</f>
        <v>6509.359834096369</v>
      </c>
      <c r="FU131" s="12"/>
      <c r="FV131" s="24">
        <f t="shared" si="129"/>
        <v>3.0286219538749752</v>
      </c>
      <c r="FW131" s="24">
        <f t="shared" si="143"/>
        <v>3.1650557327269504</v>
      </c>
      <c r="FX131" s="24">
        <f t="shared" si="144"/>
        <v>5.3554353815883786</v>
      </c>
      <c r="FY131" s="24">
        <f t="shared" si="130"/>
        <v>3.0286219538749752</v>
      </c>
      <c r="FZ131" s="28">
        <f t="shared" si="145"/>
        <v>2179.2694671710628</v>
      </c>
      <c r="GA131" s="28">
        <f t="shared" si="137"/>
        <v>505.01631035145499</v>
      </c>
      <c r="GB131" s="28">
        <f t="shared" si="138"/>
        <v>361.12501432256676</v>
      </c>
      <c r="GC131" s="28">
        <f t="shared" si="139"/>
        <v>568.31294940489067</v>
      </c>
      <c r="GD131" s="28">
        <f t="shared" si="140"/>
        <v>831.08929055094404</v>
      </c>
      <c r="GE131" s="28">
        <f t="shared" si="141"/>
        <v>1456.9960308999507</v>
      </c>
      <c r="GF131" s="28">
        <f t="shared" si="142"/>
        <v>1508.8487772204116</v>
      </c>
      <c r="GG131" s="12"/>
      <c r="GH131" s="12"/>
      <c r="GI131" s="12"/>
      <c r="GJ131" s="12"/>
      <c r="GK131" s="12"/>
      <c r="GL131" s="12"/>
      <c r="GM131" s="12"/>
      <c r="GN131" s="12"/>
      <c r="GO131" s="12"/>
      <c r="GP131" s="12"/>
      <c r="GQ131" s="12"/>
      <c r="GR131" s="12"/>
      <c r="GS131" s="12"/>
      <c r="GT131" s="12"/>
      <c r="GU131" s="12"/>
      <c r="GV131" s="12"/>
      <c r="GW131" s="12"/>
      <c r="GX131" s="12"/>
      <c r="GY131" s="12"/>
      <c r="GZ131" s="12"/>
      <c r="HA131" s="12"/>
      <c r="HB131" s="12"/>
      <c r="HC131" s="12"/>
      <c r="HD131" s="12"/>
      <c r="HE131" s="12"/>
      <c r="HF131" s="12"/>
    </row>
    <row r="132" spans="1:214" x14ac:dyDescent="0.2">
      <c r="A132" s="154" t="s">
        <v>133</v>
      </c>
      <c r="B132" s="12">
        <v>628</v>
      </c>
      <c r="C132" s="12">
        <v>1</v>
      </c>
      <c r="D132" s="12">
        <f t="shared" si="111"/>
        <v>0</v>
      </c>
      <c r="E132" s="12"/>
      <c r="F132" s="12"/>
      <c r="G132" s="12"/>
      <c r="H132" s="16">
        <f t="shared" si="166"/>
        <v>382.75862068965517</v>
      </c>
      <c r="I132" s="16">
        <v>39528</v>
      </c>
      <c r="J132" s="16">
        <f t="shared" si="113"/>
        <v>112.17019738358704</v>
      </c>
      <c r="K132" s="16" t="str">
        <f t="shared" si="114"/>
        <v/>
      </c>
      <c r="L132" s="103">
        <v>3.9E-2</v>
      </c>
      <c r="M132" s="103">
        <f t="shared" si="167"/>
        <v>6.9011524338693495E-2</v>
      </c>
      <c r="N132" s="122">
        <f t="shared" si="116"/>
        <v>0.9</v>
      </c>
      <c r="O132" s="46">
        <f t="shared" si="168"/>
        <v>40</v>
      </c>
      <c r="P132" s="70">
        <f t="array" ref="P132">SUMPRODUCT(IF(Solar_data!A$4:A$777=A132,Solar_data!C$4:C$777),IF(Solar_data!A$4:A$777=A132,Solar_data!I$4:I$777))/SUMIF(Solar_data!A$4:A$777,A132,Solar_data!I$4:I$777)</f>
        <v>1462.8761624238239</v>
      </c>
      <c r="Q132" s="16">
        <f t="array" ref="Q132">MAX(IF(Solar_data!$A$777:'Solar_data'!$A$4=Country_details!$A132,Solar_data!$C$4:'Solar_data'!$C$777))</f>
        <v>1916.25</v>
      </c>
      <c r="R132" s="16">
        <f t="array" ref="R132">MIN(IF(Solar_data!$A$777:'Solar_data'!$A$4=Country_details!A132,Solar_data!$C$4:'Solar_data'!$C$777))</f>
        <v>1186.25</v>
      </c>
      <c r="S132" s="24">
        <f t="shared" si="149"/>
        <v>2.0368424945740737</v>
      </c>
      <c r="T132" s="24">
        <f t="shared" si="150"/>
        <v>1.5549371595169155</v>
      </c>
      <c r="U132" s="24">
        <f t="shared" si="151"/>
        <v>2.511821565373479</v>
      </c>
      <c r="V132" s="16">
        <f t="array" ref="V132">SUM(IF(Solar_data!$A$777:'Solar_data'!$A$4=Country_details!$A132,Solar_data!$I$4:'Solar_data'!$I$777))</f>
        <v>245.783381268618</v>
      </c>
      <c r="W132" s="148"/>
      <c r="X132" s="16">
        <f>IFERROR(INDEX(Onshore_wind_data!$J$5:'Onshore_wind_data'!$J$221,MATCH(A132,Onshore_wind_data!$B$5:'Onshore_wind_data'!$B$221,0)),"")</f>
        <v>3076.1274854649537</v>
      </c>
      <c r="Y132" s="16">
        <f>IFERROR(INDEX(Onshore_wind_data!$K$5:'Onshore_wind_data'!$K$221,MATCH(A132,Onshore_wind_data!$B$5:'Onshore_wind_data'!$B$221,0)),"")</f>
        <v>3285.5</v>
      </c>
      <c r="Z132" s="16">
        <f>IFERROR(INDEX(Onshore_wind_data!$L$5:'Onshore_wind_data'!$L$221,MATCH(A132,Onshore_wind_data!$B$5:'Onshore_wind_data'!$B$221,0)),"")</f>
        <v>2847.5</v>
      </c>
      <c r="AA132" s="24">
        <f t="shared" si="169"/>
        <v>3.2670940308786243</v>
      </c>
      <c r="AB132" s="24">
        <f t="shared" si="170"/>
        <v>3.0588944592860212</v>
      </c>
      <c r="AC132" s="24">
        <f t="shared" si="171"/>
        <v>3.5294109731287873</v>
      </c>
      <c r="AD132" s="16">
        <f>IFERROR(INDEX(Onshore_wind_data!$I$5:'Onshore_wind_data'!$I$221,MATCH(A132,Onshore_wind_data!$B$5:'Onshore_wind_data'!$B$221,0)),"")</f>
        <v>68.913715025000002</v>
      </c>
      <c r="AE132" s="148"/>
      <c r="AF132" s="16" t="str">
        <f>INDEX(Offshore_wind_data!$AA$7:$AA$192,MATCH(Country_details!A132,Offshore_wind_data!$A$7:$A$192,0))</f>
        <v/>
      </c>
      <c r="AG132" s="16" t="str">
        <f>INDEX(Offshore_wind_data!$Y$7:$Y$192,MATCH(Country_details!A132,Offshore_wind_data!$A$7:$A$192,0))</f>
        <v/>
      </c>
      <c r="AH132" s="16" t="str">
        <f>INDEX(Offshore_wind_data!$Z$7:$Z$192,MATCH(Country_details!A132,Offshore_wind_data!$A$7:$A$192,0))</f>
        <v/>
      </c>
      <c r="AI132" s="24" t="str">
        <f t="shared" si="152"/>
        <v/>
      </c>
      <c r="AJ132" s="24" t="str">
        <f t="shared" si="153"/>
        <v/>
      </c>
      <c r="AK132" s="24" t="str">
        <f t="shared" si="154"/>
        <v/>
      </c>
      <c r="AL132" s="16">
        <f>INDEX(Offshore_wind_data!$W$7:$W$191,MATCH(A132,Offshore_wind_data!$A$7:$A$191,0))</f>
        <v>0</v>
      </c>
      <c r="AM132" s="148"/>
      <c r="AN132" s="12">
        <v>8.5</v>
      </c>
      <c r="AO132" s="12">
        <v>9.9</v>
      </c>
      <c r="AP132" s="34">
        <f>3.304*11.63</f>
        <v>38.425519999999999</v>
      </c>
      <c r="AQ132" s="15">
        <f t="shared" si="155"/>
        <v>50</v>
      </c>
      <c r="AR132" s="12">
        <f t="shared" si="131"/>
        <v>495</v>
      </c>
      <c r="AS132" s="16">
        <f t="shared" si="121"/>
        <v>-180.30290370638198</v>
      </c>
      <c r="AT132" s="12"/>
      <c r="AU132" s="24">
        <f t="shared" si="147"/>
        <v>2.8705960798178642</v>
      </c>
      <c r="AV132" s="16">
        <f t="shared" si="148"/>
        <v>4539.0036478887778</v>
      </c>
      <c r="AW132" s="149">
        <f>HV_DC_Grid!$E$3/(1-AX132)*AU132/100*1000</f>
        <v>2947.4706153512811</v>
      </c>
      <c r="AX132" s="31">
        <f>(1-(1-HV_DC_Grid!$E$25)^(B132*C132*HV_DC_Grid!$E$8/1000))+(1-(1-HV_DC_Grid!$E$26)^(B132*D132*HV_DC_Grid!$E$8/1000))+HV_DC_Grid!$E$35*HV_DC_Grid!$E$28</f>
        <v>2.6081527372328037E-2</v>
      </c>
      <c r="AY132" s="28">
        <f>B132*nl_e_demand/IF(hv_dc_flh="electricity FLH",$AV132,hv_dc_custom)*1000*hv_dc_capacity_multiplier*hv_dc_length_multiplier*1000*(C132*hv_dc_overhead_invest*(hv_dc_overhead_opex+M132+1/hv_dc_lifetime)+D132*hv_dc_sea_invest*(hv_dc_sea_opex+M132+1/hv_dc_lifetime))/1000000+HV_DC_Grid!$E$10*1000*hv_dc_station_invest*hv_dc_station_number*(hv_dc_station_opex+M132+1/hv_dc_lifetime)/1000000</f>
        <v>619.47599711736427</v>
      </c>
      <c r="AZ132" s="24">
        <f>(AW132+AY132)/(HV_DC_Grid!$E$3*1000)*100</f>
        <v>3.5669466124686453</v>
      </c>
      <c r="BA132" s="28">
        <f>MIN(((Carriers!$F$26+Carriers!$F$27)*(alk_el_opex+wacc_nl+1/alk_el_lifetime)+IF(hv_dc_flh="electricity FLH",$AV132,hv_dc_custom)*AZ132/100)/(IF(hv_dc_flh="electricity FLH",$AV132,hv_dc_custom)/alk_el_e_demand)*1000,((Carriers!$H$26+Carriers!$H$27)*(pem_el_opex+wacc_nl+1/pem_el_lifetime)+IF(hv_dc_flh="electricity FLH",$AV132,hv_dc_custom)*AZ132/100)/(IF(hv_dc_flh="electricity FLH",$AV132,hv_dc_custom)/pem_el_e_demand)*1000)</f>
        <v>2156.3868846922869</v>
      </c>
      <c r="BB132" s="12"/>
      <c r="BC132" s="12"/>
      <c r="BD132" s="149">
        <f>MIN(((Carriers!$F$26+Carriers!$F$27)*(alk_el_opex+M132+1/alk_el_lifetime)+$AV132*$AU132/100)/($AV132/alk_el_e_demand)*1000,((Carriers!$H$26+Carriers!$H$27)*(pem_el_opex+M132+1/pem_el_lifetime)+$AV132*$AU132/100)/($AV132/pem_el_e_demand)*1000)</f>
        <v>1998.8579570663799</v>
      </c>
      <c r="BE132" s="28">
        <f>Storage!$AC$50</f>
        <v>8.1664117557772418</v>
      </c>
      <c r="BF132" s="28">
        <f>((Pipeline!$D$22*Pipeline!$D$24*B132*(pipeline_opex+M132+1/pipeline_lifetime))*(Pipeline!$D$39/Pipeline!$D$3)+(Pipeline!$D$57*(pipeline_comp_opex+M132+1/pipeline_comp_lifetime)+Pipeline!$D$47*1000*Pipeline!$D$45*$AU132/100/1000000))*(Pipeline!$D$75/Pipeline!$D$45)</f>
        <v>1078.9616037461778</v>
      </c>
      <c r="BG132" s="28">
        <f>BD132+(BE132+BF132)/Storage!$AC$12*1000000</f>
        <v>2078.7938405591708</v>
      </c>
      <c r="BH132" s="28"/>
      <c r="BI132" s="28"/>
      <c r="BJ132" s="28" t="str">
        <f>IF($E132="","No Port",BK132*HV_DC_Grid!$E$3*$AU132/100*1000)</f>
        <v>No Port</v>
      </c>
      <c r="BK132" s="31" t="str">
        <f>IFERROR((1-(1-HV_DC_Grid!$E$25)^(K132*HV_DC_Grid!$E$8/1000))+HV_DC_Grid!$E$35*HV_DC_Grid!$E$28,"")</f>
        <v/>
      </c>
      <c r="BL132" s="28" t="str">
        <f>IFERROR(K132*nl_e_demand/IF(hv_dc_flh="electricity FLH",$AV132,hv_dc_custom)*1000*hv_dc_capacity_multiplier*hv_dc_length_multiplier*1000*(hv_dc_overhead_invest*(hv_dc_overhead_opex+M132+1/hv_dc_lifetime))/1000000+HV_DC_Grid!$E$10*1000*hv_dc_station_invest*hv_dc_station_number*(hv_dc_station_opex+M132+1/hv_dc_lifetime)/1000000,"")</f>
        <v/>
      </c>
      <c r="BM132" s="29" t="str">
        <f>IFERROR((BJ132+BL132)/(HV_DC_Grid!$E$3*1000)*100,"")</f>
        <v/>
      </c>
      <c r="BN132" s="28" t="str">
        <f>IFERROR(((Pipeline!$D$22*Pipeline!$D$24*K132*(pipeline_opex+M132+1/pipeline_lifetime))*(Pipeline!$D$39/Pipeline!$D$3)+(Pipeline!$D$57*(pipeline_comp_opex+M132+1/pipeline_comp_lifetime)+Pipeline!$D$47*1000*Pipeline!$D$45*S132/100/1000000))*(Pipeline!$D$75/Pipeline!$D$45),"")</f>
        <v/>
      </c>
      <c r="BO132" s="28"/>
      <c r="BP132" s="150">
        <f t="shared" si="172"/>
        <v>86.794040608345</v>
      </c>
      <c r="BQ132" s="34">
        <f t="shared" si="173"/>
        <v>25.31919762910103</v>
      </c>
      <c r="BR132" s="151">
        <f>(nh3_invest*(M132+1/nh3_lifetime)/nh3_prod+nh3_opex+nh3_e_demand*1000*$AU132/100+Carriers!$N$18/Carriers!$N$23*BD132+Carriers!$N$19/Carriers!$N$23*BQ132)*(BT132+nh3_st_ab_losses)/1000000</f>
        <v>35868.693588805982</v>
      </c>
      <c r="BS132" s="63">
        <f>nh3_st_nl_cost*nh3_st_nl_demand/1000000+(nh3_st_invest*(M132+1/nh3_st_lifetime+nh3_st_opex)/(Storage!$G$63/1000000)+nh3_st_e_demand*1000*$AU132/100)*(BT132+nh3_st_ab_losses)/1000000+Carriers!$N$18/Carriers!$N$23*((BT132+nh3_st_ab_losses)/365.25*short_st_duration_hrs/24)*(h2_short_st_invest*(1/gh2_short_st_lifetime+$M132+h2_short_st_opex)+h2_short_st_e_demand*1000*$AU132/100)/1000000+Carriers!$N$19/Carriers!$N$23*((BT132+nh3_st_ab_losses)/365.25*short_st_duration_hrs/24)*(n2_short_st_invest*(1/n2_short_st_lifetime+$M132+n2_short_st_opex)+n2_short_st_e_demand*1000*$AU132/100)/1000000</f>
        <v>2726.301549984722</v>
      </c>
      <c r="BT132" s="63">
        <f>Storage!$G$57/((1-Shipping!$H$37)^(F132/24/Shipping!$H$44+0.5*Shipping!$H$59))</f>
        <v>76857210.785724297</v>
      </c>
      <c r="BU132" s="63" t="str">
        <f>IF($E132="","No Port",((F132/24/Shipping!$H$44+F132/24/Shipping!$H$50+Shipping!$H$59+Shipping!$H$64)*(Shipping!$H$22+wacc_nl*Shipping!$H$19/365.25*1000000+Shipping!$H$35)+(F132/24/Shipping!$H$44*Shipping!$H$45+Shipping!$H$64*Shipping!$H$65)*IF(bunker_choice="HFO",H132,IF(bunker_choice="hydrogen",BD132*hfo_e_density_lhv/h2_e_density_lhv,(BR132+BS132)*1000000/BT132*hfo_e_density_lhv/nh3_e_density_lhv))+(F132/24/Shipping!$H$50*Shipping!$H$51+Shipping!$H$59*Shipping!$H$60)*IF(bunker_choice="HFO",bunker_price_ROT,IF(bunker_choice="hydrogen",BD132*hfo_e_density_lhv/h2_e_density_lhv,(BR132+BS132)*1000000/BT132*hfo_e_density_lhv/nh3_e_density_lhv))+Shipping!$H$73+IF(G132="Panama",Shipping!$H$55,0)+IF(G132="Suez",Shipping!$H$56,0))/Shipping!$H$31*BT132/1000000+IF(inland_transport_to_port="hv dc grid",$BM132/100*1000*BW132,IF(inland_transport_to_port="pipeline",$BN132,0)))</f>
        <v>No Port</v>
      </c>
      <c r="BV132" s="63" t="str">
        <f t="shared" si="174"/>
        <v/>
      </c>
      <c r="BW132" s="33">
        <f>((Carriers!$N$18/Carriers!$N$23*alk_el_e_demand)+(Carriers!$N$19/Carriers!$N$23*n2_e_demand)+nh3_e_demand)*(BT132+nh3_st_ab_losses)/1000000+nh3_st_e_demand*BT132/1000000</f>
        <v>759.00171168026975</v>
      </c>
      <c r="BX132" s="33">
        <f t="shared" si="156"/>
        <v>0.76626754477640768</v>
      </c>
      <c r="BY132" s="63" t="str">
        <f>IFERROR(BV132*1000000/Storage!$G$12,"")</f>
        <v/>
      </c>
      <c r="BZ132" s="63">
        <f>H2_retrieval!$F$25*h2_demand_kt/1000</f>
        <v>80</v>
      </c>
      <c r="CA132" s="63" t="str">
        <f>IFERROR(BY132*(1+H2_retrieval!$F$34)/Carrier_properties!$E$7+H2_retrieval!$F$38,"")</f>
        <v/>
      </c>
      <c r="CB132" s="149">
        <f>(FA_invest*(M132+1/FA_lifetime)/FA_prod+FA_opex+FA_e_demand*1000*$AU132/100+Carriers!$P$18/Carriers!$P$23*BD132+Carriers!$P$20/Carriers!$P$23*co2_liq_cost)*(CF132+FA_st_ab_losses)/1000000</f>
        <v>83685.438663303896</v>
      </c>
      <c r="CC132" s="86">
        <f>(FA_invest*(M132+1/FA_lifetime)/FA_prod+FA_opex+FA_e_demand*1000*$AU132/100+Carriers!$P$18/Carriers!$P$23*BD132+Carriers!$P$20/Carriers!$P$23*BP132)*(CF132+FA_st_ab_losses)/1000000</f>
        <v>104181.74926381622</v>
      </c>
      <c r="CD132" s="63">
        <f>FA_st_nl_cost*FA_st_nl_demand/1000000+(FA_st_invest*(M132+1/FA_st_lifetime+FA_st_opex)/(Storage!$I$63/1000000)+FA_st_e_demand*1000*$AU132/100)*(CF132+FA_st_ab_losses)/1000000+co2_st_nl_cost*Storage!$I$12*co2_density/FA_density/1000000+(co2_st_opex_lev+co2_st_invest_lev+co2_st_e_demand*1000*$AU132/100)*Storage!$I$12/1000000+co2_st_invest_lev*Storage!$I$12*co2_st_lifetime*M132/1000000+Carriers!$P$18/Carriers!$P$23*((CF132+FA_st_ab_losses)/365.25*short_st_duration_hrs/24)*(h2_short_st_invest*(1/gh2_short_st_lifetime+$M132+h2_short_st_opex)+h2_short_st_e_demand*1000*$AU132/100)/1000000+Carriers!$P$20/Carriers!$P$23*((CF132+FA_st_ab_losses)/365.25*short_st_duration_hrs/24)*(co2_short_st_invest*(1/co2_short_st_lifetime+$M132+co2_short_st_opex)+co2_short_st_e_demand*1000*$AU132/100)/1000000</f>
        <v>10035.383831286867</v>
      </c>
      <c r="CE132" s="63">
        <f>FA_st_nl_cost*FA_st_nl_demand/1000000+(FA_st_invest*(M132+1/FA_st_lifetime+FA_st_opex)/(Storage!$I$63/1000000)+FA_st_e_demand*1000*$AU132/100)*(CF132+FA_st_ab_losses)/1000000+Carriers!$P$18/Carriers!$P$23*((CF132+FA_st_ab_losses)/365.25*short_st_duration_hrs/24)*(h2_short_st_invest*(1/gh2_short_st_lifetime+$M132+h2_short_st_opex)+h2_short_st_e_demand*1000*$AU132/100)/1000000+Carriers!$P$20/Carriers!$P$23*((CF132+FA_st_ab_losses)/365.25*short_st_duration_hrs/24)*(co2_short_st_invest*(1/co2_short_st_lifetime+$M132+co2_short_st_opex)+co2_short_st_e_demand*1000*$AU132/100)/1000000</f>
        <v>4105.8620327776935</v>
      </c>
      <c r="CF132" s="63">
        <f>Storage!$I$57/((1-Shipping!$J$37)^($F132/24/Shipping!$J$44+0.5*Shipping!$J$59))</f>
        <v>310425396.82539684</v>
      </c>
      <c r="CG132" s="28" t="str">
        <f>IF($E132="","No Port",((F132/24/Shipping!$J$44+F132/24/Shipping!$J$50+Shipping!$J$59+Shipping!$J$64)*(Shipping!$J$22+wacc_nl*Shipping!$J$19/365.25*1000000+Shipping!$J$35)+(F132/24/Shipping!$J$44*Shipping!$J$45+Shipping!$J$64*Shipping!$J$65)*IF(bunker_choice="HFO",$H132,IF(bunker_choice="hydrogen",$BD132*hfo_e_density_lhv/h2_e_density_lhv,(CB132+CD132)*1000000/CF132*hfo_e_density_lhv/FA_e_density_lhv))+(F132/24/Shipping!$J$50*Shipping!$J$51+Shipping!$J$59*Shipping!$J$60)*IF(bunker_choice="HFO",bunker_price_ROT,IF(bunker_choice="hydrogen",$BD132*hfo_e_density_lhv/h2_e_density_lhv,(CB132+CD132)*1000000/CF132*hfo_e_density_lhv/FA_e_density_lhv))+Shipping!$J$73+IF(G132="Panama",Shipping!$J$55,0)+IF(G132="Suez",Shipping!$J$56,0))/Shipping!$J$31*CF132/1000000+IF(inland_transport_to_port="hv dc grid",$BM132/100*1000*CI132,IF(inland_transport_to_port="pipeline",$BN132,0)))</f>
        <v>No Port</v>
      </c>
      <c r="CH132" s="28" t="str">
        <f t="shared" si="132"/>
        <v/>
      </c>
      <c r="CI132" s="29">
        <f>((Carriers!$P$18/Carriers!$P$23*alk_el_e_demand)+FA_e_demand)*(CF132+FA_st_ab_losses)/1000000+FA_st_e_demand*CF132/1000000</f>
        <v>1897.8881241622576</v>
      </c>
      <c r="CJ132" s="29">
        <f t="shared" si="157"/>
        <v>0.46563809523809524</v>
      </c>
      <c r="CK132" s="28" t="str">
        <f>IFERROR(CH132*1000000/Storage!$I$12,"")</f>
        <v/>
      </c>
      <c r="CL132" s="28" t="str">
        <f>IF($E132="","No Port",((F132/24/Shipping!$J$44+F132/24/Shipping!$J$50+Shipping!$J$59+Shipping!$J$64)*Carriers!$P$39*wacc_nl))</f>
        <v>No Port</v>
      </c>
      <c r="CM132" s="29">
        <f>H2_retrieval!$H$25*h2_demand_kt/1000+(co2_liq_e_demand+co2_st_e_demand*2)*Storage!$I$12*co2_density/FA_density/1000000</f>
        <v>94.204253879484654</v>
      </c>
      <c r="CN132" s="28" t="str">
        <f>IFERROR((((CB132+CD132+CG132)*(1+H2_retrieval!$H$34)+CL132)*1000000/H2_retrieval!$H$8)+h2_regen_fa,"")</f>
        <v/>
      </c>
      <c r="CO132" s="149">
        <f>(meoh_invest*(M132+1/meoh_lifetime)/meoh_prod+meoh_opex+meoh_e_demand*1000*$AU132/100+Carriers!$R$18/Carriers!$R$23*BD132+Carriers!$R$20/Carriers!$R$23*co2_liq_cost)*(CS132+meoh_st_ab_losses)/1000000</f>
        <v>44702.085304451808</v>
      </c>
      <c r="CP132" s="86">
        <f>(meoh_invest*(M132+1/meoh_lifetime)/meoh_prod+meoh_opex+meoh_e_demand*1000*$AU132/100+Carriers!$R$18/Carriers!$R$23*BD132+Carriers!$R$20/Carriers!$R$23*BP132)*(CS132+meoh_st_ab_losses)/1000000</f>
        <v>56734.052385700852</v>
      </c>
      <c r="CQ132" s="63">
        <f>meoh_st_nl_cost*meoh_st_nl_demand/1000000+(meoh_st_invest*(M132+1/meoh_st_lifetime+meoh_st_opex)/(Storage!$K$63/1000000)+meoh_st_e_demand*1000*$AU132/100)*(CS132+meoh_st_ab_losses)/1000000+co2_st_nl_cost*Storage!$K$12*co2_density/meoh_density/1000000+(co2_st_opex_lev+co2_st_invest_lev+co2_st_e_demand*1000*IFERROR(MIN(S132,AA132,AI132),S132)/100)*Storage!$K$12/1000000+co2_st_invest_lev*Storage!$K$12*co2_st_lifetime*M132/1000000+Carriers!$R$18/Carriers!$R$23*((CS132+meoh_st_ab_losses)/365.25*short_st_duration_hrs/24)*(h2_short_st_invest*(1/gh2_short_st_lifetime+$M132+h2_short_st_opex)+h2_short_st_e_demand*1000*$AU132/100)/1000000+Carriers!$R$20/Carriers!$R$23*((CF132+meoh_st_ab_losses)/365.25*short_st_duration_hrs/24)*(co2_short_st_invest*(1/co2_short_st_lifetime+$M132+co2_short_st_opex)+co2_short_st_e_demand*1000*$AU132/100)/1000000</f>
        <v>4127.1724939242604</v>
      </c>
      <c r="CR132" s="63">
        <f>meoh_st_nl_cost*meoh_st_nl_demand/1000000+(meoh_st_invest*(M132+1/meoh_st_lifetime+meoh_st_opex)/(Storage!$K$63/1000000)+meoh_st_e_demand*1000*$AU132/100)*(CS132+meoh_st_ab_losses)/1000000+Carriers!$R$18/Carriers!$R$23*((CS132+meoh_st_ab_losses)/365.25*short_st_duration_hrs/24)*(h2_short_st_invest*(1/gh2_short_st_lifetime+$M132+h2_short_st_opex)+h2_short_st_e_demand*1000*$AU132/100)/1000000+Carriers!$R$20/Carriers!$R$23*((CF132+meoh_st_ab_losses)/365.25*short_st_duration_hrs/24)*(co2_short_st_invest*(1/co2_short_st_lifetime+$M132+co2_short_st_opex)+co2_short_st_e_demand*1000*$AU132/100)/1000000</f>
        <v>1554.4705307026816</v>
      </c>
      <c r="CS132" s="63">
        <f>Storage!$K$57/((1-Shipping!$L$37)^($F132/24/Shipping!$L$44+0.5*Shipping!$L$59))</f>
        <v>108044444.44444443</v>
      </c>
      <c r="CT132" s="28" t="str">
        <f>IF($E132="","No Port",IF(AND(ship_choice="VLCC",G132="Panama"),"Ship cannot pass through Panama",IF(ship_choice="VLCC",((F132/24/Shipping!$AD$44+F132/24/Shipping!$AD$50+Shipping!$AD$59+Shipping!$AD$64)*(Shipping!$AD$22+wacc_nl*Shipping!$AD$19/365.25*1000000+Shipping!$AD$35)+(F132/24/Shipping!$AD$44*Shipping!$AD$45+Shipping!$AD$64*Shipping!$AD$65)*IF(bunker_choice="HFO",$H132,IF(bunker_choice="hydrogen",$BD132*hfo_e_density_lhv/h2_e_density_lhv,(CO132+CQ132)*1000000/CS132*hfo_e_density_lhv/meoh_e_density_lhv))+(F132/24/Shipping!$AD$50*Shipping!$AD$51+Shipping!$AD$59*Shipping!$AD$60)*IF(bunker_choice="HFO",bunker_price_ROT,IF(bunker_choice="hydrogen",$BD132*hfo_e_density_lhv/h2_e_density_lhv,(CO132+CQ132)*1000000/CS132*hfo_e_density_lhv/meoh_e_density_lhv))+Shipping!$AD$73+IF(G132="Panama",Shipping!$AD$55,0)+IF(G132="Suez",Shipping!$AD$56,0))/Shipping!$AD$31*CS132/1000000+IF(inland_transport_to_port="hv dc grid",$BM132/100*1000*CV132,IF(inland_transport_to_port="pipeline",$BN132,0)),((F132/24/Shipping!$L$44+F132/24/Shipping!$L$50+Shipping!$L$59+Shipping!$L$64)*(Shipping!$L$22+wacc_nl*Shipping!$L$19/365.25*1000000+Shipping!$L$35)+(F132/24/Shipping!$L$44*Shipping!$L$45+Shipping!$L$64*Shipping!$L$65)*IF(bunker_choice="HFO",$H132,IF(bunker_choice="hydrogen",$BD132*hfo_e_density_lhv/h2_e_density_lhv,(CO132+CQ132)*1000000/CS132*hfo_e_density_lhv/meoh_e_density_lhv))+(F132/24/Shipping!$L$50*Shipping!$L$51+Shipping!$L$59*Shipping!$L$60)*IF(bunker_choice="HFO",bunker_price_ROT,IF(bunker_choice="hydrogen",$BD132*hfo_e_density_lhv/h2_e_density_lhv,(CO132+CQ132)*1000000/CS132*hfo_e_density_lhv/meoh_e_density_lhv))+Shipping!$L$73+IF(G132="Panama",Shipping!$L$55,0)+IF(G132="Suez",Shipping!$L$56,0))/Shipping!$L$31*CS132/1000000+IF(inland_transport_to_port="hv dc grid",$BM132/100*1000*CV132,IF(inland_transport_to_port="pipeline",$BN132,0)))))</f>
        <v>No Port</v>
      </c>
      <c r="CU132" s="28" t="str">
        <f t="shared" si="133"/>
        <v/>
      </c>
      <c r="CV132" s="29">
        <f>((Carriers!$R$18/Carriers!$R$23*alk_el_e_demand)+meoh_e_demand)*(CS132+meoh_st_ab_losses)/1000000+meoh_st_e_demand*CS132/1000000</f>
        <v>1119.9789871111109</v>
      </c>
      <c r="CW132" s="29">
        <f t="shared" si="158"/>
        <v>0.16206666666666666</v>
      </c>
      <c r="CX132" s="28" t="str">
        <f>IFERROR(CU132*1000000/Storage!$K$12,"")</f>
        <v/>
      </c>
      <c r="CY132" s="28" t="str">
        <f>IF($E132="","No Port",((F132/24/Shipping!$L$44+F132/24/Shipping!$L$50+Shipping!$L$59+Shipping!$L$64)*Carriers!$R$39*wacc_nl))</f>
        <v>No Port</v>
      </c>
      <c r="CZ132" s="29">
        <f>H2_retrieval!$J$25*h2_demand_kt/1000+(co2_liq_e_demand+co2_st_e_demand*2)*Storage!$K$12*co2_density/meoh_density/1000000</f>
        <v>251.05079059698966</v>
      </c>
      <c r="DA132" s="28" t="str">
        <f>IFERROR((((CO132+CQ132+CT132)*(1+H2_retrieval!$J$34)+CY132)*1000000/H2_retrieval!$J$8)+h2_regen_meoh,"")</f>
        <v/>
      </c>
      <c r="DB132" s="149">
        <f>(DBT_invest*(M132+1/DBT_lifetime)/DBT_prod+DBT_opex+DBT_e_demand*1000*$AU132/100+Carriers!$T$18/Carriers!$T$23*BD132)*(DD132+DBT_st_ab_losses)/1000000</f>
        <v>29843.004600637967</v>
      </c>
      <c r="DC132" s="28">
        <f>2*(DBT_st_nl_cost*DBT_st_nl_demand/1000000+(DBT_st_invest*(M132+1/DBT_st_lifetime+DBT_st_opex)/(Storage!$M$63/1000000)+DBT_st_e_demand*1000*$AU132/100)*(DD132+DBT_st_ab_losses)/1000000)+Carriers!$T$18/Carriers!$T$23*((DD132+DBT_st_ab_losses)/365.25*short_st_duration_hrs/24)*(h2_short_st_invest*(1/gh2_short_st_lifetime+$M132+h2_short_st_opex)+h2_short_st_e_demand*1000*$AU132/100)/1000000</f>
        <v>3345.46499326299</v>
      </c>
      <c r="DD132" s="63">
        <f>Storage!$M$57/((1-Shipping!$N$37)^($F132/24/Shipping!$N$44+0.5*Shipping!$N$59))</f>
        <v>219354838.70967743</v>
      </c>
      <c r="DE132" s="28" t="str">
        <f>IF($E132="","No Port",IF(AND(ship_choice="VLCC",G132="Panama"),"Ship cannot pass through Panama",IF(ship_choice="VLCC",((F132/24/Shipping!$AD$44+F132/24/Shipping!$AD$50+Shipping!$AD$59+Shipping!$AD$64)*(Shipping!$AD$22+wacc_nl*Shipping!$AD$19/365.25*1000000+Shipping!$AD$35)+(F132/24/Shipping!$AD$44*Shipping!$AD$45+Shipping!$AD$64*Shipping!$AD$65)*IF(bunker_choice="HFO",$H132,IF(bunker_choice="hydrogen",$BD132*hfo_e_density_lhv/h2_e_density_lhv,(DB132+DC132)*1000000/DD132*hfo_e_density_lhv/DBT_e_density_lhv))+(F132/24/Shipping!$AD$50*Shipping!$AD$51+Shipping!$AD$59*Shipping!$AD$60)*IF(bunker_choice="HFO",bunker_price_ROT,IF(bunker_choice="hydrogen",$BD132*hfo_e_density_lhv/h2_e_density_lhv,(DB132+DC132)*1000000/DD132*hfo_e_density_lhv/DBT_e_density_lhv))+Shipping!$AD$73+IF(G132="Panama",Shipping!$AD$55,0)+IF(G132="Suez",Shipping!$AD$56,0))/Shipping!$AD$31*DD132/1000000+IF(inland_transport_to_port="hv dc grid",$BM132/100*1000*DG132,IF(inland_transport_to_port="pipeline",$BN132,0)),((F132/24/Shipping!$N$44+F132/24/Shipping!$N$50+Shipping!$N$59+Shipping!$N$64)*(Shipping!$N$22+wacc_nl*Shipping!$N$19/365.25*1000000+Shipping!$N$35)+(F132/24/Shipping!$N$44*Shipping!$N$45+Shipping!$N$64*Shipping!$N$65)*IF(bunker_choice="HFO",$H132,IF(bunker_choice="hydrogen",$BD132*hfo_e_density_lhv/h2_e_density_lhv,(DB132+DC132)*1000000/DD132*hfo_e_density_lhv/DBT_e_density_lhv))+(F132/24/Shipping!$N$50*Shipping!$N$51+Shipping!$N$59*Shipping!$N$60)*IF(bunker_choice="HFO",bunker_price_ROT,IF(bunker_choice="hydrogen",$BD132*hfo_e_density_lhv/h2_e_density_lhv,(DB132+DC132)*1000000/DD132*hfo_e_density_lhv/DBT_e_density_lhv))+Shipping!$N$73+IF(G132="Panama",Shipping!$N$55,0)+IF(G132="Suez",Shipping!$N$56,0))/Shipping!$N$31*Shipping!$N$86/1000000+IF(inland_transport_to_port="hv dc grid",$BM132/100*1000*DG132,IF(inland_transport_to_port="pipeline",$BN132,0)))))</f>
        <v>No Port</v>
      </c>
      <c r="DF132" s="28" t="str">
        <f t="shared" si="159"/>
        <v/>
      </c>
      <c r="DG132" s="29">
        <f>((Carriers!$T$18/Carriers!$T$23*alk_el_e_demand)+DBT_e_demand)*(DD132+DBT_st_ab_losses)/1000000+DBT_st_e_demand*DD132/1000000</f>
        <v>703.88335483870969</v>
      </c>
      <c r="DH132" s="29">
        <f t="shared" si="160"/>
        <v>0.21935483870967742</v>
      </c>
      <c r="DI132" s="28" t="str">
        <f>IFERROR(DF132*1000000/Storage!$M$12,"")</f>
        <v/>
      </c>
      <c r="DJ132" s="28" t="str">
        <f>IF($E132="","No Port",((F132/24/Shipping!$N$44+F132/24/Shipping!$N$50+Shipping!$N$59+Shipping!$N$64)*Carriers!$T$39*wacc_nl))</f>
        <v>No Port</v>
      </c>
      <c r="DK132" s="100">
        <f>H2_retrieval!$L$25*h2_demand_kt/1000+(co2_liq_e_demand+co2_st_e_demand*2)*Storage!$M$12*co2_density/DBT_density/1000000</f>
        <v>206.61934861671787</v>
      </c>
      <c r="DL132" s="28" t="str">
        <f>IFERROR(((DF132*(1+H2_retrieval!$L$34)+DJ132)*1000000/H2_retrieval!$L$8)+h2_regen_lohc,"")</f>
        <v/>
      </c>
      <c r="DM132" s="149">
        <f t="shared" si="175"/>
        <v>48796.49317438322</v>
      </c>
      <c r="DN132" s="16">
        <f>2*(nabh4_st_nl_cost*nabh4_st_nl_demand/1000000+(nabh4_st_invest*(M132+1/nabh4_st_lifetime+nabh4_st_opex)/(Storage!$O$63/1000000)+nabh4_st_e_demand*1000*$AU132/100)*(DO132+nabh4_st_ab_losses)/1000000)+(h2_demand_kt*1000/365.25*short_st_duration_hrs/24)*(h2_short_st_invest*(1/gh2_short_st_lifetime+$M132+h2_short_st_opex)+h2_short_st_e_demand*1000*$AU132/100)/1000000</f>
        <v>1188.2489946691253</v>
      </c>
      <c r="DO132" s="63">
        <f>Storage!$O$57/((1-Shipping!$P$37)^($F132/24/Shipping!$P$44+0.5*Shipping!$P$59))</f>
        <v>63920000</v>
      </c>
      <c r="DP132" s="16" t="str">
        <f>IF($E132="","No Port",((F132/24/Shipping!$P$44+F132/24/Shipping!$P$50+Shipping!$P$59+Shipping!$P$64)*(Shipping!$P$22+wacc_nl*Shipping!$P$19/365.25*1000000+Shipping!$P$35)+(F132/24/Shipping!$P$44*Shipping!$P$45+Shipping!$P$64*Shipping!$P$65)*IF(bunker_choice="HFO",$H132,IF(bunker_choice="hydrogen",$BD132*hfo_e_density_lhv/h2_e_density_lhv,(DM132+DN132)*1000000/DO132*hfo_e_density_lhv/nabh4_e_density_lhv))+(F132/24/Shipping!$P$50*Shipping!$P$51+Shipping!$P$59*Shipping!$P$60)*IF(bunker_choice="HFO",bunker_price_ROT,IF(bunker_choice="hydrogen",$BD132*hfo_e_density_lhv/h2_e_density_lhv,(DM132+DN132)*1000000/DO132*hfo_e_density_lhv/nabh4_e_density_lhv))+Shipping!$P$73+IF(G132="Panama",Shipping!$P$55,0)+IF(G132="Suez",Shipping!$P$56,0))/Shipping!$P$31*(DO132+nabh4_st_ab_losses)/1000000+IF(inland_transport_to_port="hv dc grid",$BM132/100*1000*DR132,IF(inland_transport_to_port="pipeline",$BN132,0)))</f>
        <v>No Port</v>
      </c>
      <c r="DQ132" s="28" t="str">
        <f t="shared" si="146"/>
        <v/>
      </c>
      <c r="DR132" s="29">
        <f>((Carriers!$V$18/Carriers!$V$23*alk_el_e_demand)+nabh4_e_demand)*(DO132+nabh4_st_ab_losses)/1000000+nabh4_st_e_demand*DO132/1000000</f>
        <v>980.02139682539689</v>
      </c>
      <c r="DS132" s="28">
        <f t="shared" si="161"/>
        <v>3.1960000000000002</v>
      </c>
      <c r="DT132" s="28" t="str">
        <f>IFERROR(DQ132*1000000/Storage!$O$12,"")</f>
        <v/>
      </c>
      <c r="DU132" s="28" t="str">
        <f>IF($E132="","No Port",((F132/24/Shipping!$P$44+F132/24/Shipping!$P$50+Shipping!$P$59+Shipping!$P$64)*Carriers!$V$39*wacc_nl))</f>
        <v>No Port</v>
      </c>
      <c r="DV132" s="100">
        <f>H2_retrieval!$N$25*h2_demand_kt/1000+(co2_liq_e_demand+co2_st_e_demand*2)*Storage!$O$12*co2_density/nabh4_density/1000000</f>
        <v>18.783638728971958</v>
      </c>
      <c r="DW132" s="28" t="str">
        <f>IFERROR(((DQ132*(1+H2_retrieval!$N$34)+DU132)*1000000/H2_retrieval!$N$8)+h2_regen_nabh4,"")</f>
        <v/>
      </c>
      <c r="DX132" s="149">
        <f>(Dme_invest*(M132+1/Dme_lifetime)/Dme_prod+Dme_opex+Dme_e_demand*1000*$AU132/100+Carriers!$X$21/Carriers!$X$23*(CO132*1000000/CS132))*(EB132+Dme_st_ab_losses)/1000000</f>
        <v>63236.108706372339</v>
      </c>
      <c r="DY132" s="86">
        <f>(Dme_invest*(M132+1/Dme_lifetime)/Dme_prod+Dme_opex+Dme_e_demand*1000*$AU132/100+Carriers!$X$21/Carriers!$X$23*(CP132*1000000/CS132))*(EB132+Dme_st_ab_losses)/1000000</f>
        <v>79559.445438624112</v>
      </c>
      <c r="DZ132" s="63">
        <f>Dme_st_nl_cost*Dme_st_nl_demand/1000000+(Dme_st_invest*(M132+1/Dme_st_lifetime+Dme_st_opex)/(Storage!$Q$63/1000000)+Dme_st_e_demand*1000*$AU132/100)*(EB132+Dme_st_ab_losses)/1000000+co2_st_nl_cost*Storage!$Q$12*co2_density/Dme_density/1000000+(co2_st_opex_lev+co2_st_invest_lev+co2_st_e_demand*1000*$AU132/100)*Storage!$Q$12/1000000+co2_st_invest_lev*Storage!$Q$12*co2_st_lifetime*M132/1000000+(h2_demand_kt*1000/365.25*short_st_duration_hrs/24)*(h2_short_st_invest*(1/gh2_short_st_lifetime+$M132+h2_short_st_opex)+h2_short_st_e_demand*1000*$AU132/100)/1000000</f>
        <v>5107.3596024165208</v>
      </c>
      <c r="EA132" s="63">
        <f>Dme_st_nl_cost*Dme_st_nl_demand/1000000+(Dme_st_invest*(M132+1/Dme_st_lifetime+Dme_st_opex)/(Storage!$Q$63/1000000)+Dme_st_e_demand*1000*$AU132/100)*(EB132+Dme_st_ab_losses)/1000000+(h2_demand_kt*1000/365.25*short_st_duration_hrs/24)*(h2_short_st_invest*(1/gh2_short_st_lifetime+$M132+h2_short_st_opex)+h2_short_st_e_demand*1000*$AU132/100)/1000000</f>
        <v>2428.5130130443781</v>
      </c>
      <c r="EB132" s="63">
        <f>Storage!$Q$57/((1-Shipping!$R$37)^($F132/24/Shipping!$R$44+0.5*Shipping!$R$59))</f>
        <v>103547089.94708996</v>
      </c>
      <c r="EC132" s="153" t="str">
        <f>IF($E132="","No Port",IF(AND(ship_choice="VLCC",G132="Panama"),"Ship cannot pass through Panama",IF(ship_choice="VLCC",((F132/24/Shipping!$AD$44+F132/24/Shipping!$AD$50+Shipping!$AD$59+Shipping!$AD$64)*(Shipping!$AD$22+wacc_nl*Shipping!$AD$19/365.25*1000000+Shipping!$AD$35)+(F132/24/Shipping!$AD$44*Shipping!$AD$45+Shipping!$AD$64*Shipping!$AD$65)*IF(bunker_choice="HFO",$H132,IF(bunker_choice="hydrogen",$BD132*hfo_e_density_lhv/h2_e_density_lhv,(DX132+DZ132)*1000000/EB132*hfo_e_density_lhv/Dme_e_density_lhv))+(F132/24/Shipping!$AD$50*Shipping!$AD$51+Shipping!$AD$59*Shipping!$AD$60)*IF(bunker_choice="HFO",bunker_price_ROT,IF(bunker_choice="hydrogen",$BD132*hfo_e_density_lhv/h2_e_density_lhv,(DX132+DZ132)*1000000/EB132*hfo_e_density_lhv/Dme_e_density_lhv))+Shipping!$AD$73+IF(G132="Panama",Shipping!$AD$55,0)+IF(G132="Suez",Shipping!$AD$56,0))/Shipping!$AD$31*(EB132+Dme_st_ab_losses)/1000000+IF(inland_transport_to_port="hv dc grid",$BM132/100*1000*EE132,IF(inland_transport_to_port="pipeline",$BN132,0)),((F132/24/Shipping!$R$44+F132/24/Shipping!$R$50+Shipping!$R$59+Shipping!$R$64)*(Shipping!$R$22+wacc_nl*Shipping!$R$19/365.25*1000000+Shipping!$R$35)+(F132/24/Shipping!$R$44*Shipping!$R$45+Shipping!$R$64*Shipping!$R$65)*IF(bunker_choice="HFO",$H132,IF(bunker_choice="hydrogen",$BD132*hfo_e_density_lhv/h2_e_density_lhv,(DX132+DZ132)*1000000/EB132*hfo_e_density_lhv/Dme_e_density_lhv))+(F132/24/Shipping!$R$50*Shipping!$R$51+Shipping!$R$59*Shipping!$R$60)*IF(bunker_choice="HFO",bunker_price_ROT,IF(bunker_choice="hydrogen",$BD132*hfo_e_density_lhv/h2_e_density_lhv,(DX132+DZ132)*1000000/EB132*hfo_e_density_lhv/Dme_e_density_lhv))+Shipping!$R$73+IF(G132="Panama",Shipping!$R$55,0)+IF(G132="Suez",Shipping!$R$56,0))/Shipping!$R$31*(EB132+Dme_st_ab_losses)/1000000+IF(inland_transport_to_port="hv dc grid",$BM132/100*1000*EE132,IF(inland_transport_to_port="pipeline",$BN132,0)))))</f>
        <v>No Port</v>
      </c>
      <c r="ED132" s="28" t="str">
        <f t="shared" si="134"/>
        <v/>
      </c>
      <c r="EE132" s="29">
        <f>(Dme_e_demand)*(EB132+Dme_st_ab_losses)/1000000+Dme_st_e_demand*DZ132/1000000+$CV132*(Carriers!$X$21/Carriers!$X$23*EB132)/$CS132</f>
        <v>1550.2168112406519</v>
      </c>
      <c r="EF132" s="29">
        <f t="shared" si="162"/>
        <v>1.0354708994708997</v>
      </c>
      <c r="EG132" s="28" t="str">
        <f>IFERROR(ED132*1000000/Storage!$Q$12,"")</f>
        <v/>
      </c>
      <c r="EH132" s="28" t="str">
        <f>IF($E132="","No Port",((F132/24/Shipping!$R$44+F132/24/Shipping!$R$50+Shipping!$R$59+Shipping!$R$64)*Carriers!$X$39*wacc_nl))</f>
        <v>No Port</v>
      </c>
      <c r="EI132" s="100">
        <f>H2_retrieval!$P$25*h2_demand_kt/1000+(co2_liq_e_demand+co2_st_e_demand*2)*Storage!$Q$12*co2_density/Dme_density/1000000</f>
        <v>252.45335899349112</v>
      </c>
      <c r="EJ132" s="28" t="str">
        <f>IFERROR((((DX132+DZ132+EC132)*(1+H2_retrieval!$P$34)+EH132)*1000000/H2_retrieval!$P$8)+h2_regen_dme,"")</f>
        <v/>
      </c>
      <c r="EK132" s="149">
        <f>(ome_invest*(M132+1/ome_lifetime)/ome_prod+ome_opex+ome_e_demand*1000*$AU132/100+Carriers!$Z$21/Carriers!$Z$23*(CO132*1000000/CS132))*(EO132+ome_st_ab_losses)/1000000</f>
        <v>138604.04419171903</v>
      </c>
      <c r="EL132" s="86">
        <f>(ome_invest*(M132+1/ome_lifetime)/ome_prod+ome_opex+ome_e_demand*1000*$AU132/100+Carriers!$Z$21/Carriers!$Z$23*(CP132*1000000/CS132))*(EO132+ome_st_ab_losses)/1000000</f>
        <v>172869.90554295853</v>
      </c>
      <c r="EM132" s="63">
        <f>ome_st_nl_cost*ome_st_nl_demand/1000000+(ome_st_invest*(M132+1/ome_st_lifetime+ome_st_opex)/(Storage!$S$63/1000000)+ome_st_e_demand*1000*$AU132/100)*(EO132+ome_st_ab_losses)/1000000+co2_st_nl_cost*Storage!$S$12*co2_density/ome_density/1000000+(co2_st_opex_lev+co2_st_invest_lev+co2_st_e_demand*1000*$AU132/100)*Storage!$S$12/1000000+co2_st_invest_lev*Storage!$S$12*co2_st_lifetime*M132/1000000+(h2_demand_kt*1000/365.25*short_st_duration_hrs/24)*(h2_short_st_invest*(1/gh2_short_st_lifetime+$M132+h2_short_st_opex)+h2_short_st_e_demand*1000*$AU132/100)/1000000</f>
        <v>4406.0215543331742</v>
      </c>
      <c r="EN132" s="63">
        <f>ome_st_nl_cost*ome_st_nl_demand/1000000+(ome_st_invest*(M132+1/ome_st_lifetime+ome_st_opex)/(Storage!$S$63/1000000)+ome_st_e_demand*1000*$AU132/100)*(EO132+ome_st_ab_losses)/1000000+(h2_demand_kt*1000/365.25*short_st_duration_hrs/24)*(h2_short_st_invest*(1/gh2_short_st_lifetime+$M132+h2_short_st_opex)+h2_short_st_e_demand*1000*$AU132/100)/1000000</f>
        <v>1426.2168023065615</v>
      </c>
      <c r="EO132" s="63">
        <f>Storage!$S$57/((1-Shipping!$T$37)^($F132/24/Shipping!$T$44+0.5*Shipping!$T$59))</f>
        <v>128282539.68253967</v>
      </c>
      <c r="EP132" s="28" t="str">
        <f>IF($E132="","No Port",IF(AND(ship_choice="VLCC",G132="Panama"),"Ship cannot pass through Panama",IF(ship_choice="VLCC",((F132/24/Shipping!$AD$44+F132/24/Shipping!$AD$50+Shipping!$AD$59+Shipping!$AD$64)*(Shipping!$AD$22+wacc_nl*Shipping!$AD$19/365.25*1000000+Shipping!$AD$35)+(F132/24/Shipping!$AD$44*Shipping!$AD$45+Shipping!$AD$64*Shipping!$AD$65)*IF(bunker_choice="HFO",$H132,IF(bunker_choice="hydrogen",$BD132*hfo_e_density_lhv/h2_e_density_lhv,(EK132+EM132)*1000000/EO132*hfo_e_density_lhv/Dme_e_density_lhv))+(F132/24/Shipping!$AD$50*Shipping!$AD$51+Shipping!$AD$59*Shipping!$AD$60)*IF(bunker_choice="HFO",bunker_price_ROT,IF(bunker_choice="hydrogen",$BD132*hfo_e_density_lhv/h2_e_density_lhv,(EK132+EM132)*1000000/EO132*hfo_e_density_lhv/ome_e_density_lhv))+Shipping!$AD$73+IF(G132="Panama",Shipping!$AD$55,0)+IF(G132="Suez",Shipping!$AD$56,0))/Shipping!$AD$31*(EO132+ome_st_ab_losses)/1000000+IF(inland_transport_to_port="hv dc grid",$BM132/100*1000*ER132,IF(inland_transport_to_port="pipeline",$BN132,0)),((F132/24/Shipping!$T$44+F132/24/Shipping!$T$50+Shipping!$T$59+Shipping!$T$64)*(Shipping!$T$22+wacc_nl*Shipping!$T$19/365.25*1000000+Shipping!$T$35)+(F132/24/Shipping!$T$44*Shipping!$T$45+Shipping!$T$64*Shipping!$T$65)*IF(bunker_choice="HFO",$H132,IF(bunker_choice="hydrogen",$BD132*hfo_e_density_lhv/h2_e_density_lhv,(EK132+EM132)*1000000/EO132*hfo_e_density_lhv/Dme_e_density_lhv))+(F132/24/Shipping!$T$50*Shipping!$T$51+Shipping!$T$59*Shipping!$T$60)*IF(bunker_choice="HFO",bunker_price_ROT,IF(bunker_choice="hydrogen",$BD132*hfo_e_density_lhv/h2_e_density_lhv,(EK132+EM132)*1000000/EO132*hfo_e_density_lhv/ome_e_density_lhv))+Shipping!$T$73+IF(G132="Panama",Shipping!$T$55,0)+IF(G132="Suez",Shipping!$T$56,0))/Shipping!$T$31*(EO132+ome_st_ab_losses)/1000000+IF(inland_transport_to_port="hv dc grid",$BM132/100*1000*ER132,IF(inland_transport_to_port="pipeline",$BN132,0)))))</f>
        <v>No Port</v>
      </c>
      <c r="EQ132" s="28" t="str">
        <f t="shared" si="135"/>
        <v/>
      </c>
      <c r="ER132" s="29">
        <f>(ome_e_demand)*(EO132+ome_st_ab_losses)/1000000+ome_st_e_demand*EM132/1000000+$CV132*(Carriers!$Z$21/Carriers!$Z$23*EO132)/$CS132</f>
        <v>3352.081456749816</v>
      </c>
      <c r="ES132" s="29">
        <f t="shared" si="163"/>
        <v>0.1924238095238095</v>
      </c>
      <c r="ET132" s="28" t="str">
        <f>IFERROR(EQ132*1000000/Storage!$S$12,"")</f>
        <v/>
      </c>
      <c r="EU132" s="28" t="str">
        <f>IF($E132="","No Port",((F132/24/Shipping!$T$44+F132/24/Shipping!$T$50+Shipping!$T$59+Shipping!$T$64)*Carriers!$Z$39*wacc_nl))</f>
        <v>No Port</v>
      </c>
      <c r="EV132" s="100">
        <f>H2_retrieval!$R$25*h2_demand_kt/1000+(co2_liq_e_demand+co2_st_e_demand*2)*Storage!$S$12*co2_density/ome_density/1000000</f>
        <v>254.51942895252085</v>
      </c>
      <c r="EW132" s="28" t="str">
        <f>IFERROR((((EK132+EM132+EP132)*(1+H2_retrieval!$R$34)+EU132)*1000000/H2_retrieval!$R$8)+h2_regen_ome,"")</f>
        <v/>
      </c>
      <c r="EX132" s="149">
        <f>(sng_invest*(M132+1/sng_lifetime)/sng_prod+lng_invest*(M132+1/lng_lifetime)/lng_prod+sng_opex+lng_opex+(sng_e_demand+lng_e_demand)*1000*$AU132/100+Carriers!$AB$18/Carriers!$AB$23*BD132+Carriers!$AB$20/Carriers!$AB$23*co2_liq_cost)*(FB132+lng_st_ab_losses)/1000000</f>
        <v>47942.314275805096</v>
      </c>
      <c r="EY132" s="86">
        <f>(sng_invest*(M132+1/sng_lifetime)/sng_prod+lng_invest*(M132+1/lng_lifetime)/lng_prod+sng_opex+lng_opex+(sng_e_demand+lng_e_demand)*1000*$AU132/100+Carriers!$AB$18/Carriers!$AB$23*BD132+Carriers!$AB$20/Carriers!$AB$23*BP132)*(FB132+lng_st_ab_losses)/1000000</f>
        <v>56839.276212126068</v>
      </c>
      <c r="EZ132" s="63">
        <f>lng_st_nl_cost*lng_st_nl_demand/1000000+(lng_st_invest*(M132+1/lng_st_lifetime+lng_st_opex)/(Storage!$U$63/1000000)+lng_st_e_demand*1000*$AU132/100)*(FB132+lng_st_ab_losses)/1000000+co2_st_nl_cost*Storage!$U$12*co2_density/lng_density/1000000+(co2_st_opex_lev+co2_st_invest_lev+co2_st_e_demand*1000*$AU132/100)*Storage!$U$12/1000000+co2_st_invest_lev*Storage!$U$12*co2_st_lifetime*M132/1000000+Carriers!$AB$18/Carriers!$AB$23*((FB132+lng_st_ab_losses)/365.25*short_st_duration_hrs/24)*(h2_short_st_invest*(1/gh2_short_st_lifetime+$M132+h2_short_st_opex)+h2_short_st_e_demand*1000*$AU132/100)/1000000+Carriers!$AB$20/Carriers!$AB$23*((FB132+lng_st_ab_losses)/365.25*short_st_duration_hrs/24)*(co2_short_st_invest*(1/co2_short_st_lifetime+$M132+co2_short_st_opex)+co2_short_st_e_demand*1000*$AU132/100)/1000000</f>
        <v>5252.995318649635</v>
      </c>
      <c r="FA132" s="63">
        <f>lng_st_nl_cost*lng_st_nl_demand/1000000+(lng_st_invest*(M132+1/lng_st_lifetime+lng_st_opex)/(Storage!$U$63/1000000)+lng_st_e_demand*1000*$AU132/100)*(FB132+lng_st_ab_losses)/1000000+Carriers!$AB$18/Carriers!$AB$23*((FB132+lng_st_ab_losses)/365.25*short_st_duration_hrs/24)*(h2_short_st_invest*(1/gh2_short_st_lifetime+$M132+h2_short_st_opex)+h2_short_st_e_demand*1000*$AU132/100)/1000000+Carriers!$AB$20/Carriers!$AB$23*((FB132+lng_st_ab_losses)/365.25*short_st_duration_hrs/24)*(co2_short_st_invest*(1/co2_short_st_lifetime+$M132+co2_short_st_opex)+co2_short_st_e_demand*1000*$AU132/100)/1000000</f>
        <v>3765.362931089825</v>
      </c>
      <c r="FB132" s="63">
        <f>Storage!$U$57/((1-Shipping!$V$37)^($F132/24/Shipping!$V$44+0.5*Shipping!$V$59))</f>
        <v>40707231.50721889</v>
      </c>
      <c r="FC132" s="28" t="str">
        <f>IF($E132="","No Port",IF(G132="Panama","Ship cannot pass through Panama",((F132/24/Shipping!$V$44+F132/24/Shipping!$V$50+Shipping!$V$59+Shipping!$V$64)*(Shipping!$V$22+wacc_nl*Shipping!$V$19/365.25*1000000+Shipping!$V$35)+(F132/24/Shipping!$V$44*Shipping!$V$45+Shipping!$V$64*Shipping!$V$65)*IF(bunker_choice="HFO",$H132,IF(bunker_choice="hydrogen",$BD132*hfo_e_density_lhv/h2_e_density_lhv,(EX132+EZ132)*1000000/FB132*hfo_e_density_lhv/lng_e_density_lhv))+(F132/24/Shipping!$V$50*Shipping!$V$51+Shipping!$V$59*Shipping!$V$60)*IF(bunker_choice="HFO",bunker_price_ROT,IF(bunker_choice="hydrogen",$BD132*hfo_e_density_lhv/h2_e_density_lhv,(EX132+EZ132)*1000000/FB132*hfo_e_density_lhv/lng_e_density_lhv))+Shipping!$V$73+IF(G132="Panama",Shipping!$V$55,0)+IF(G132="Suez",Shipping!$V$56,0))/Shipping!$V$31*(FB132+lng_st_ab_losses)/1000000)+IF(inland_transport_to_port="hv dc grid",$BM132/100*1000*FE132,IF(inland_transport_to_port="pipeline",$BN132,0)))</f>
        <v>No Port</v>
      </c>
      <c r="FD132" s="28" t="str">
        <f t="shared" si="136"/>
        <v/>
      </c>
      <c r="FE132" s="29">
        <f>((Carriers!$AB$18/Carriers!$AB$23*alk_el_e_demand)+sng_e_demand+lng_e_demand)*(FB132+lng_st_ab_losses)/1000000+lng_st_e_demand*EZ132/1000000</f>
        <v>1091.7518640885557</v>
      </c>
      <c r="FF132" s="29">
        <f t="shared" si="164"/>
        <v>0.8126185861001558</v>
      </c>
      <c r="FG132" s="28" t="str">
        <f>IFERROR(FD132*1000000/Storage!$U$12,"")</f>
        <v/>
      </c>
      <c r="FH132" s="28" t="str">
        <f>IF($E132="","No Port",((F132/24/Shipping!$V$44+F132/24/Shipping!$V$50+Shipping!$V$59+Shipping!$V$64)*Carriers!$AB$39*wacc_nl))</f>
        <v>No Port</v>
      </c>
      <c r="FI132" s="100">
        <f>H2_retrieval!$T$25*h2_demand_kt/1000+(co2_liq_e_demand+co2_st_e_demand*2)*Storage!$U$12*co2_density/lng_density/1000000</f>
        <v>236.51371749646054</v>
      </c>
      <c r="FJ132" s="28" t="str">
        <f>IFERROR((((EX132+EZ132+FC132)*(1+H2_retrieval!$T$34)+FH132)*1000000/H2_retrieval!$T$8)+h2_regen_lng,"")</f>
        <v/>
      </c>
      <c r="FK132" s="149">
        <f>(lh2_invest*(M132+1/lh2_lifetime)/lh2_prod+lh2_opex+lh2_e_demand*1000*$AU132/100+Carriers!$AD$18/Carriers!$AD$23*BD132)*(FM132+lh2_st_ab_losses)/1000000</f>
        <v>37515.681411142352</v>
      </c>
      <c r="FL132" s="28">
        <f>lh2_st_nl_cost*lh2_st_nl_demand/1000000+(lh2_st_invest*(M132+1/lh2_st_lifetime+lh2_st_opex)/(Storage!$Y$63/1000000)+lh2_st_e_demand*1000*$AU132/100)*(FM132+lh2_st_ab_losses)/1000000+((FM132+lh2_st_ab_losses)/365.25*short_st_duration_hrs/24)*(h2_short_st_invest*(1/gh2_short_st_lifetime+$M132+h2_short_st_opex)+h2_short_st_e_demand*1000*$AU132/100)/1000000</f>
        <v>44562.546443413579</v>
      </c>
      <c r="FM132" s="63">
        <f>Storage!$Y$57/((1-Shipping!$Z$37)^($F132/24/Shipping!$Z$44+0.5*Shipping!$Z$59))</f>
        <v>13659984.090217989</v>
      </c>
      <c r="FN132" s="28" t="str">
        <f>IF($E132="","No Port",IF(G132="Panama","Ship cannot pass through Panama",((F132/24/Shipping!$Z$44+F132/24/Shipping!$Z$50+Shipping!$Z$59+Shipping!$Z$64)*(Shipping!$Z$22+wacc_nl*Shipping!$Z$19/365.25*1000000+Shipping!$Z$35)+(F132/24/Shipping!$Z$44*Shipping!$Z$45+Shipping!$Z$64*Shipping!$Z$65)*IF(bunker_choice="HFO",$H132,IF(bunker_choice="hydrogen",$BD132*hfo_e_density_lhv/h2_e_density_lhv,(FK132+FL132)*1000000/FM132*hfo_e_density_lhv/lh2_e_density_lhv))+(F132/24/Shipping!$Z$50*Shipping!$Z$51+Shipping!$Z$59*Shipping!$Z$60)*IF(bunker_choice="HFO",bunker_price_ROT,IF(bunker_choice="hydrogen",$BD132*hfo_e_density_lhv/h2_e_density_lhv,(FK132+FL132)*1000000/FM132*hfo_e_density_lhv/lh2_e_density_lhv))+Shipping!$Z$73+IF(G132="Panama",Shipping!$Z$55,0)+IF(G132="Suez",Shipping!$Z$56,0))/Shipping!$Z$31*(FM132+lh2_st_ab_losses)/1000000)+IF(inland_transport_to_port="hv dc grid",$BM132/100*1000*FP132,IF(inland_transport_to_port="pipeline",$BN132,0)))</f>
        <v>No Port</v>
      </c>
      <c r="FO132" s="28" t="str">
        <f t="shared" si="128"/>
        <v/>
      </c>
      <c r="FP132" s="29">
        <f>((Carriers!$AD$18/Carriers!$AD$23*alk_el_e_demand)+lh2_e_demand)*(FM132+lh2_st_ab_losses)/1000000+lh2_st_e_demand*FM132/1000000</f>
        <v>791.60233245091877</v>
      </c>
      <c r="FQ132" s="100">
        <f t="shared" si="165"/>
        <v>1.361902463475859</v>
      </c>
      <c r="FR132" s="28" t="str">
        <f>IFERROR(FO132*1000000/Storage!$Y$12,"")</f>
        <v/>
      </c>
      <c r="FS132" s="100">
        <f>H2_retrieval!$V$25*h2_demand_kt/1000</f>
        <v>8.16</v>
      </c>
      <c r="FT132" s="28" t="str">
        <f>IFERROR(FR132*(1+H2_retrieval!$V$34)/Carrier_properties!$U$7+H2_retrieval!$V$38,"")</f>
        <v/>
      </c>
      <c r="FU132" s="12"/>
      <c r="FV132" s="24">
        <f t="shared" si="129"/>
        <v>2.0368424945740737</v>
      </c>
      <c r="FW132" s="24">
        <f t="shared" si="143"/>
        <v>3.2670940308786243</v>
      </c>
      <c r="FX132" s="24" t="str">
        <f t="shared" si="144"/>
        <v/>
      </c>
      <c r="FY132" s="24">
        <f t="shared" si="130"/>
        <v>2.0368424945740737</v>
      </c>
      <c r="FZ132" s="28">
        <f t="shared" si="145"/>
        <v>1998.8579570663799</v>
      </c>
      <c r="GA132" s="28">
        <f t="shared" si="137"/>
        <v>466.69262678302073</v>
      </c>
      <c r="GB132" s="28">
        <f t="shared" si="138"/>
        <v>335.60961934572231</v>
      </c>
      <c r="GC132" s="28">
        <f t="shared" si="139"/>
        <v>525.09920965786478</v>
      </c>
      <c r="GD132" s="28">
        <f t="shared" si="140"/>
        <v>768.34071801802497</v>
      </c>
      <c r="GE132" s="28">
        <f t="shared" si="141"/>
        <v>1347.5715866770258</v>
      </c>
      <c r="GF132" s="28">
        <f t="shared" si="142"/>
        <v>1396.2943218589153</v>
      </c>
      <c r="GG132" s="12"/>
      <c r="GH132" s="12"/>
      <c r="GI132" s="12"/>
      <c r="GJ132" s="12"/>
      <c r="GK132" s="12"/>
      <c r="GL132" s="12"/>
      <c r="GM132" s="12"/>
      <c r="GN132" s="12"/>
      <c r="GO132" s="12"/>
      <c r="GP132" s="12"/>
      <c r="GQ132" s="12"/>
      <c r="GR132" s="12"/>
      <c r="GS132" s="12"/>
      <c r="GT132" s="12"/>
      <c r="GU132" s="12"/>
      <c r="GV132" s="12"/>
      <c r="GW132" s="12"/>
      <c r="GX132" s="12"/>
      <c r="GY132" s="12"/>
      <c r="GZ132" s="12"/>
      <c r="HA132" s="12"/>
      <c r="HB132" s="12"/>
      <c r="HC132" s="12"/>
      <c r="HD132" s="12"/>
      <c r="HE132" s="12"/>
      <c r="HF132" s="12"/>
    </row>
    <row r="133" spans="1:214" x14ac:dyDescent="0.2">
      <c r="A133" s="154" t="s">
        <v>277</v>
      </c>
      <c r="B133" s="12">
        <v>3286</v>
      </c>
      <c r="C133" s="12">
        <v>1</v>
      </c>
      <c r="D133" s="12">
        <f t="shared" si="111"/>
        <v>0</v>
      </c>
      <c r="E133" s="12" t="s">
        <v>785</v>
      </c>
      <c r="F133" s="12">
        <v>3363</v>
      </c>
      <c r="G133" s="12"/>
      <c r="H133" s="16">
        <f t="shared" si="166"/>
        <v>382.75862068965517</v>
      </c>
      <c r="I133" s="16">
        <v>183630</v>
      </c>
      <c r="J133" s="16">
        <f t="shared" si="113"/>
        <v>241.76692164133928</v>
      </c>
      <c r="K133" s="16">
        <f t="shared" si="114"/>
        <v>290.1203059696071</v>
      </c>
      <c r="L133" s="103">
        <v>0.113</v>
      </c>
      <c r="M133" s="103">
        <f t="shared" si="167"/>
        <v>0.12133742614649801</v>
      </c>
      <c r="N133" s="122">
        <f t="shared" si="116"/>
        <v>0.85</v>
      </c>
      <c r="O133" s="46">
        <f t="shared" si="168"/>
        <v>40</v>
      </c>
      <c r="P133" s="70">
        <f t="array" ref="P133">SUMPRODUCT(IF(Solar_data!A$4:A$777=A133,Solar_data!C$4:C$777),IF(Solar_data!A$4:A$777=A133,Solar_data!I$4:I$777))/SUMIF(Solar_data!A$4:A$777,A133,Solar_data!I$4:I$777)</f>
        <v>1831.5345077680486</v>
      </c>
      <c r="Q133" s="16">
        <f t="array" ref="Q133">MAX(IF(Solar_data!$A$777:'Solar_data'!$A$4=Country_details!$A133,Solar_data!$C$4:'Solar_data'!$C$777))</f>
        <v>2281.25</v>
      </c>
      <c r="R133" s="16">
        <f t="array" ref="R133">MIN(IF(Solar_data!$A$777:'Solar_data'!$A$4=Country_details!A133,Solar_data!$C$4:'Solar_data'!$C$777))</f>
        <v>1733.75</v>
      </c>
      <c r="S133" s="24">
        <f t="shared" si="149"/>
        <v>2.5493895428191569</v>
      </c>
      <c r="T133" s="24">
        <f t="shared" si="150"/>
        <v>2.0468142121276909</v>
      </c>
      <c r="U133" s="24">
        <f t="shared" si="151"/>
        <v>2.6931765949048567</v>
      </c>
      <c r="V133" s="16">
        <f t="array" ref="V133">SUM(IF(Solar_data!$A$777:'Solar_data'!$A$4=Country_details!$A133,Solar_data!$I$4:'Solar_data'!$I$777))</f>
        <v>1340.0992802265346</v>
      </c>
      <c r="W133" s="148"/>
      <c r="X133" s="16" t="str">
        <f>IFERROR(INDEX(Onshore_wind_data!$J$5:'Onshore_wind_data'!$J$221,MATCH(A133,Onshore_wind_data!$B$5:'Onshore_wind_data'!$B$221,0)),"")</f>
        <v/>
      </c>
      <c r="Y133" s="16" t="str">
        <f>IFERROR(INDEX(Onshore_wind_data!$K$5:'Onshore_wind_data'!$K$221,MATCH(A133,Onshore_wind_data!$B$5:'Onshore_wind_data'!$B$221,0)),"")</f>
        <v/>
      </c>
      <c r="Z133" s="16" t="str">
        <f>IFERROR(INDEX(Onshore_wind_data!$L$5:'Onshore_wind_data'!$L$221,MATCH(A133,Onshore_wind_data!$B$5:'Onshore_wind_data'!$B$221,0)),"")</f>
        <v/>
      </c>
      <c r="AA133" s="24" t="str">
        <f t="shared" si="169"/>
        <v/>
      </c>
      <c r="AB133" s="24" t="str">
        <f t="shared" si="170"/>
        <v/>
      </c>
      <c r="AC133" s="24" t="str">
        <f t="shared" si="171"/>
        <v/>
      </c>
      <c r="AD133" s="16">
        <f>IFERROR(INDEX(Onshore_wind_data!$I$5:'Onshore_wind_data'!$I$221,MATCH(A133,Onshore_wind_data!$B$5:'Onshore_wind_data'!$B$221,0)),"")</f>
        <v>0</v>
      </c>
      <c r="AE133" s="148"/>
      <c r="AF133" s="16" t="str">
        <f>INDEX(Offshore_wind_data!$AA$7:$AA$192,MATCH(Country_details!A133,Offshore_wind_data!$A$7:$A$192,0))</f>
        <v/>
      </c>
      <c r="AG133" s="16" t="str">
        <f>INDEX(Offshore_wind_data!$Y$7:$Y$192,MATCH(Country_details!A133,Offshore_wind_data!$A$7:$A$192,0))</f>
        <v/>
      </c>
      <c r="AH133" s="16" t="str">
        <f>INDEX(Offshore_wind_data!$Z$7:$Z$192,MATCH(Country_details!A133,Offshore_wind_data!$A$7:$A$192,0))</f>
        <v/>
      </c>
      <c r="AI133" s="24" t="str">
        <f t="shared" si="152"/>
        <v/>
      </c>
      <c r="AJ133" s="24" t="str">
        <f t="shared" si="153"/>
        <v/>
      </c>
      <c r="AK133" s="24" t="str">
        <f t="shared" si="154"/>
        <v/>
      </c>
      <c r="AL133" s="16">
        <f>INDEX(Offshore_wind_data!$W$7:$W$191,MATCH(A133,Offshore_wind_data!$A$7:$A$191,0))</f>
        <v>0</v>
      </c>
      <c r="AM133" s="148"/>
      <c r="AN133" s="12">
        <v>18.3</v>
      </c>
      <c r="AO133" s="12">
        <v>34</v>
      </c>
      <c r="AP133" s="34">
        <f>0.668*11.63</f>
        <v>7.7688400000000009</v>
      </c>
      <c r="AQ133" s="15">
        <f t="shared" si="155"/>
        <v>50</v>
      </c>
      <c r="AR133" s="12">
        <f t="shared" si="131"/>
        <v>1700</v>
      </c>
      <c r="AS133" s="16">
        <f t="shared" si="121"/>
        <v>-359.90071977346543</v>
      </c>
      <c r="AT133" s="12"/>
      <c r="AU133" s="24">
        <f t="shared" si="147"/>
        <v>2.5493895428191569</v>
      </c>
      <c r="AV133" s="16">
        <f t="shared" si="148"/>
        <v>1831.5345077680486</v>
      </c>
      <c r="AW133" s="149">
        <f>HV_DC_Grid!$E$3/(1-AX133)*AU133/100*1000</f>
        <v>2757.9484069627606</v>
      </c>
      <c r="AX133" s="31">
        <f>(1-(1-HV_DC_Grid!$E$25)^(B133*C133*HV_DC_Grid!$E$8/1000))+(1-(1-HV_DC_Grid!$E$26)^(B133*D133*HV_DC_Grid!$E$8/1000))+HV_DC_Grid!$E$35*HV_DC_Grid!$E$28</f>
        <v>7.5621017281205391E-2</v>
      </c>
      <c r="AY133" s="28">
        <f>B133*nl_e_demand/IF(hv_dc_flh="electricity FLH",$AV133,hv_dc_custom)*1000*hv_dc_capacity_multiplier*hv_dc_length_multiplier*1000*(C133*hv_dc_overhead_invest*(hv_dc_overhead_opex+M133+1/hv_dc_lifetime)+D133*hv_dc_sea_invest*(hv_dc_sea_opex+M133+1/hv_dc_lifetime))/1000000+HV_DC_Grid!$E$10*1000*hv_dc_station_invest*hv_dc_station_number*(hv_dc_station_opex+M133+1/hv_dc_lifetime)/1000000</f>
        <v>3125.1976556625868</v>
      </c>
      <c r="AZ133" s="24">
        <f>(AW133+AY133)/(HV_DC_Grid!$E$3*1000)*100</f>
        <v>5.8831460626253476</v>
      </c>
      <c r="BA133" s="28">
        <f>MIN(((Carriers!$F$26+Carriers!$F$27)*(alk_el_opex+wacc_nl+1/alk_el_lifetime)+IF(hv_dc_flh="electricity FLH",$AV133,hv_dc_custom)*AZ133/100)/(IF(hv_dc_flh="electricity FLH",$AV133,hv_dc_custom)/alk_el_e_demand)*1000,((Carriers!$H$26+Carriers!$H$27)*(pem_el_opex+wacc_nl+1/pem_el_lifetime)+IF(hv_dc_flh="electricity FLH",$AV133,hv_dc_custom)*AZ133/100)/(IF(hv_dc_flh="electricity FLH",$AV133,hv_dc_custom)/pem_el_e_demand)*1000)</f>
        <v>3346.2185422377852</v>
      </c>
      <c r="BB133" s="12"/>
      <c r="BC133" s="12"/>
      <c r="BD133" s="149">
        <f>MIN(((Carriers!$F$26+Carriers!$F$27)*(alk_el_opex+M133+1/alk_el_lifetime)+$AV133*$AU133/100)/($AV133/alk_el_e_demand)*1000,((Carriers!$H$26+Carriers!$H$27)*(pem_el_opex+M133+1/pem_el_lifetime)+$AV133*$AU133/100)/($AV133/pem_el_e_demand)*1000)</f>
        <v>3122.4662691004228</v>
      </c>
      <c r="BE133" s="28">
        <f>Storage!$AC$50</f>
        <v>8.1664117557772418</v>
      </c>
      <c r="BF133" s="28">
        <f>((Pipeline!$D$22*Pipeline!$D$24*B133*(pipeline_opex+M133+1/pipeline_lifetime))*(Pipeline!$D$39/Pipeline!$D$3)+(Pipeline!$D$57*(pipeline_comp_opex+M133+1/pipeline_comp_lifetime)+Pipeline!$D$47*1000*Pipeline!$D$45*$AU133/100/1000000))*(Pipeline!$D$75/Pipeline!$D$45)</f>
        <v>7285.129946814518</v>
      </c>
      <c r="BG133" s="28">
        <f>BD133+(BE133+BF133)/Storage!$AC$12*1000000</f>
        <v>3658.7380601717678</v>
      </c>
      <c r="BH133" s="28"/>
      <c r="BI133" s="28"/>
      <c r="BJ133" s="28">
        <f>IF($E133="","No Port",BK133*HV_DC_Grid!$E$3*$AU133/100*1000)</f>
        <v>49.967058207014894</v>
      </c>
      <c r="BK133" s="31">
        <f>IFERROR((1-(1-HV_DC_Grid!$E$25)^(K133*HV_DC_Grid!$E$8/1000))+HV_DC_Grid!$E$35*HV_DC_Grid!$E$28,"")</f>
        <v>1.9599616836805764E-2</v>
      </c>
      <c r="BL133" s="28">
        <f>IFERROR(K133*nl_e_demand/IF(hv_dc_flh="electricity FLH",$AV133,hv_dc_custom)*1000*hv_dc_capacity_multiplier*hv_dc_length_multiplier*1000*(hv_dc_overhead_invest*(hv_dc_overhead_opex+M133+1/hv_dc_lifetime))/1000000+HV_DC_Grid!$E$10*1000*hv_dc_station_invest*hv_dc_station_number*(hv_dc_station_opex+M133+1/hv_dc_lifetime)/1000000,"")</f>
        <v>652.21397990164348</v>
      </c>
      <c r="BM133" s="29">
        <f>IFERROR((BJ133+BL133)/(HV_DC_Grid!$E$3*1000)*100,"")</f>
        <v>0.7021810381086584</v>
      </c>
      <c r="BN133" s="28">
        <f>IFERROR(((Pipeline!$D$22*Pipeline!$D$24*K133*(pipeline_opex+M133+1/pipeline_lifetime))*(Pipeline!$D$39/Pipeline!$D$3)+(Pipeline!$D$57*(pipeline_comp_opex+M133+1/pipeline_comp_lifetime)+Pipeline!$D$47*1000*Pipeline!$D$45*S133/100/1000000))*(Pipeline!$D$75/Pipeline!$D$45),"")</f>
        <v>719.57159215175398</v>
      </c>
      <c r="BO133" s="28"/>
      <c r="BP133" s="150">
        <f t="shared" si="172"/>
        <v>111.19035555875438</v>
      </c>
      <c r="BQ133" s="34">
        <f t="shared" si="173"/>
        <v>33.185580811382373</v>
      </c>
      <c r="BR133" s="151">
        <f>(nh3_invest*(M133+1/nh3_lifetime)/nh3_prod+nh3_opex+nh3_e_demand*1000*$AU133/100+Carriers!$N$18/Carriers!$N$23*BD133+Carriers!$N$19/Carriers!$N$23*BQ133)*(BT133+nh3_st_ab_losses)/1000000</f>
        <v>54654.758047575131</v>
      </c>
      <c r="BS133" s="63">
        <f>nh3_st_nl_cost*nh3_st_nl_demand/1000000+(nh3_st_invest*(M133+1/nh3_st_lifetime+nh3_st_opex)/(Storage!$G$63/1000000)+nh3_st_e_demand*1000*$AU133/100)*(BT133+nh3_st_ab_losses)/1000000+Carriers!$N$18/Carriers!$N$23*((BT133+nh3_st_ab_losses)/365.25*short_st_duration_hrs/24)*(h2_short_st_invest*(1/gh2_short_st_lifetime+$M133+h2_short_st_opex)+h2_short_st_e_demand*1000*$AU133/100)/1000000+Carriers!$N$19/Carriers!$N$23*((BT133+nh3_st_ab_losses)/365.25*short_st_duration_hrs/24)*(n2_short_st_invest*(1/n2_short_st_lifetime+$M133+n2_short_st_opex)+n2_short_st_e_demand*1000*$AU133/100)/1000000</f>
        <v>3376.1559503002222</v>
      </c>
      <c r="BT133" s="63">
        <f>Storage!$G$57/((1-Shipping!$H$37)^(F133/24/Shipping!$H$44+0.5*Shipping!$H$59))</f>
        <v>78508085.144221604</v>
      </c>
      <c r="BU133" s="63">
        <f>IF($E133="","No Port",((F133/24/Shipping!$H$44+F133/24/Shipping!$H$50+Shipping!$H$59+Shipping!$H$64)*(Shipping!$H$22+wacc_nl*Shipping!$H$19/365.25*1000000+Shipping!$H$35)+(F133/24/Shipping!$H$44*Shipping!$H$45+Shipping!$H$64*Shipping!$H$65)*IF(bunker_choice="HFO",H133,IF(bunker_choice="hydrogen",BD133*hfo_e_density_lhv/h2_e_density_lhv,(BR133+BS133)*1000000/BT133*hfo_e_density_lhv/nh3_e_density_lhv))+(F133/24/Shipping!$H$50*Shipping!$H$51+Shipping!$H$59*Shipping!$H$60)*IF(bunker_choice="HFO",bunker_price_ROT,IF(bunker_choice="hydrogen",BD133*hfo_e_density_lhv/h2_e_density_lhv,(BR133+BS133)*1000000/BT133*hfo_e_density_lhv/nh3_e_density_lhv))+Shipping!$H$73+IF(G133="Panama",Shipping!$H$55,0)+IF(G133="Suez",Shipping!$H$56,0))/Shipping!$H$31*BT133/1000000+IF(inland_transport_to_port="hv dc grid",$BM133/100*1000*BW133,IF(inland_transport_to_port="pipeline",$BN133,0)))</f>
        <v>3146.4868930884445</v>
      </c>
      <c r="BV133" s="63">
        <f t="shared" si="174"/>
        <v>61177.4008909638</v>
      </c>
      <c r="BW133" s="33">
        <f>((Carriers!$N$18/Carriers!$N$23*alk_el_e_demand)+(Carriers!$N$19/Carriers!$N$23*n2_e_demand)+nh3_e_demand)*(BT133+nh3_st_ab_losses)/1000000+nh3_st_e_demand*BT133/1000000</f>
        <v>775.29137873495563</v>
      </c>
      <c r="BX133" s="33">
        <f t="shared" si="156"/>
        <v>0.76626754477640768</v>
      </c>
      <c r="BY133" s="63">
        <f>IFERROR(BV133*1000000/Storage!$G$12,"")</f>
        <v>799.04693501162069</v>
      </c>
      <c r="BZ133" s="63">
        <f>H2_retrieval!$F$25*h2_demand_kt/1000</f>
        <v>80</v>
      </c>
      <c r="CA133" s="63">
        <f>IFERROR(BY133*(1+H2_retrieval!$F$34)/Carrier_properties!$E$7+H2_retrieval!$F$38,"")</f>
        <v>4907.5642804498966</v>
      </c>
      <c r="CB133" s="149">
        <f>(FA_invest*(M133+1/FA_lifetime)/FA_prod+FA_opex+FA_e_demand*1000*$AU133/100+Carriers!$P$18/Carriers!$P$23*BD133+Carriers!$P$20/Carriers!$P$23*co2_liq_cost)*(CF133+FA_st_ab_losses)/1000000</f>
        <v>107365.92120359266</v>
      </c>
      <c r="CC133" s="86">
        <f>(FA_invest*(M133+1/FA_lifetime)/FA_prod+FA_opex+FA_e_demand*1000*$AU133/100+Carriers!$P$18/Carriers!$P$23*BD133+Carriers!$P$20/Carriers!$P$23*BP133)*(CF133+FA_st_ab_losses)/1000000</f>
        <v>134148.51245896704</v>
      </c>
      <c r="CD133" s="63">
        <f>FA_st_nl_cost*FA_st_nl_demand/1000000+(FA_st_invest*(M133+1/FA_st_lifetime+FA_st_opex)/(Storage!$I$63/1000000)+FA_st_e_demand*1000*$AU133/100)*(CF133+FA_st_ab_losses)/1000000+co2_st_nl_cost*Storage!$I$12*co2_density/FA_density/1000000+(co2_st_opex_lev+co2_st_invest_lev+co2_st_e_demand*1000*$AU133/100)*Storage!$I$12/1000000+co2_st_invest_lev*Storage!$I$12*co2_st_lifetime*M133/1000000+Carriers!$P$18/Carriers!$P$23*((CF133+FA_st_ab_losses)/365.25*short_st_duration_hrs/24)*(h2_short_st_invest*(1/gh2_short_st_lifetime+$M133+h2_short_st_opex)+h2_short_st_e_demand*1000*$AU133/100)/1000000+Carriers!$P$20/Carriers!$P$23*((CF133+FA_st_ab_losses)/365.25*short_st_duration_hrs/24)*(co2_short_st_invest*(1/co2_short_st_lifetime+$M133+co2_short_st_opex)+co2_short_st_e_demand*1000*$AU133/100)/1000000</f>
        <v>11619.712055797523</v>
      </c>
      <c r="CE133" s="63">
        <f>FA_st_nl_cost*FA_st_nl_demand/1000000+(FA_st_invest*(M133+1/FA_st_lifetime+FA_st_opex)/(Storage!$I$63/1000000)+FA_st_e_demand*1000*$AU133/100)*(CF133+FA_st_ab_losses)/1000000+Carriers!$P$18/Carriers!$P$23*((CF133+FA_st_ab_losses)/365.25*short_st_duration_hrs/24)*(h2_short_st_invest*(1/gh2_short_st_lifetime+$M133+h2_short_st_opex)+h2_short_st_e_demand*1000*$AU133/100)/1000000+Carriers!$P$20/Carriers!$P$23*((CF133+FA_st_ab_losses)/365.25*short_st_duration_hrs/24)*(co2_short_st_invest*(1/co2_short_st_lifetime+$M133+co2_short_st_opex)+co2_short_st_e_demand*1000*$AU133/100)/1000000</f>
        <v>5028.1883962188904</v>
      </c>
      <c r="CF133" s="63">
        <f>Storage!$I$57/((1-Shipping!$J$37)^($F133/24/Shipping!$J$44+0.5*Shipping!$J$59))</f>
        <v>310425396.82539684</v>
      </c>
      <c r="CG133" s="28">
        <f>IF($E133="","No Port",((F133/24/Shipping!$J$44+F133/24/Shipping!$J$50+Shipping!$J$59+Shipping!$J$64)*(Shipping!$J$22+wacc_nl*Shipping!$J$19/365.25*1000000+Shipping!$J$35)+(F133/24/Shipping!$J$44*Shipping!$J$45+Shipping!$J$64*Shipping!$J$65)*IF(bunker_choice="HFO",$H133,IF(bunker_choice="hydrogen",$BD133*hfo_e_density_lhv/h2_e_density_lhv,(CB133+CD133)*1000000/CF133*hfo_e_density_lhv/FA_e_density_lhv))+(F133/24/Shipping!$J$50*Shipping!$J$51+Shipping!$J$59*Shipping!$J$60)*IF(bunker_choice="HFO",bunker_price_ROT,IF(bunker_choice="hydrogen",$BD133*hfo_e_density_lhv/h2_e_density_lhv,(CB133+CD133)*1000000/CF133*hfo_e_density_lhv/FA_e_density_lhv))+Shipping!$J$73+IF(G133="Panama",Shipping!$J$55,0)+IF(G133="Suez",Shipping!$J$56,0))/Shipping!$J$31*CF133/1000000+IF(inland_transport_to_port="hv dc grid",$BM133/100*1000*CI133,IF(inland_transport_to_port="pipeline",$BN133,0)))</f>
        <v>11389.390643577099</v>
      </c>
      <c r="CH133" s="28">
        <f t="shared" si="132"/>
        <v>150566.09149876304</v>
      </c>
      <c r="CI133" s="29">
        <f>((Carriers!$P$18/Carriers!$P$23*alk_el_e_demand)+FA_e_demand)*(CF133+FA_st_ab_losses)/1000000+FA_st_e_demand*CF133/1000000</f>
        <v>1897.8881241622576</v>
      </c>
      <c r="CJ133" s="29">
        <f t="shared" si="157"/>
        <v>0.46563809523809524</v>
      </c>
      <c r="CK133" s="28">
        <f>IFERROR(CH133*1000000/Storage!$I$12,"")</f>
        <v>485.03148594974999</v>
      </c>
      <c r="CL133" s="28">
        <f>IF($E133="","No Port",((F133/24/Shipping!$J$44+F133/24/Shipping!$J$50+Shipping!$J$59+Shipping!$J$64)*Carriers!$P$39*wacc_nl))</f>
        <v>184.12942860415723</v>
      </c>
      <c r="CM133" s="29">
        <f>H2_retrieval!$H$25*h2_demand_kt/1000+(co2_liq_e_demand+co2_st_e_demand*2)*Storage!$I$12*co2_density/FA_density/1000000</f>
        <v>94.204253879484654</v>
      </c>
      <c r="CN133" s="28">
        <f>IFERROR((((CB133+CD133+CG133)*(1+H2_retrieval!$H$34)+CL133)*1000000/H2_retrieval!$H$8)+h2_regen_fa,"")</f>
        <v>9689.6251127354426</v>
      </c>
      <c r="CO133" s="149">
        <f>(meoh_invest*(M133+1/meoh_lifetime)/meoh_prod+meoh_opex+meoh_e_demand*1000*$AU133/100+Carriers!$R$18/Carriers!$R$23*BD133+Carriers!$R$20/Carriers!$R$23*co2_liq_cost)*(CS133+meoh_st_ab_losses)/1000000</f>
        <v>68174.929621520103</v>
      </c>
      <c r="CP133" s="86">
        <f>(meoh_invest*(M133+1/meoh_lifetime)/meoh_prod+meoh_opex+meoh_e_demand*1000*$AU133/100+Carriers!$R$18/Carriers!$R$23*BD133+Carriers!$R$20/Carriers!$R$23*BP133)*(CS133+meoh_st_ab_losses)/1000000</f>
        <v>83897.137516201285</v>
      </c>
      <c r="CQ133" s="63">
        <f>meoh_st_nl_cost*meoh_st_nl_demand/1000000+(meoh_st_invest*(M133+1/meoh_st_lifetime+meoh_st_opex)/(Storage!$K$63/1000000)+meoh_st_e_demand*1000*$AU133/100)*(CS133+meoh_st_ab_losses)/1000000+co2_st_nl_cost*Storage!$K$12*co2_density/meoh_density/1000000+(co2_st_opex_lev+co2_st_invest_lev+co2_st_e_demand*1000*IFERROR(MIN(S133,AA133,AI133),S133)/100)*Storage!$K$12/1000000+co2_st_invest_lev*Storage!$K$12*co2_st_lifetime*M133/1000000+Carriers!$R$18/Carriers!$R$23*((CS133+meoh_st_ab_losses)/365.25*short_st_duration_hrs/24)*(h2_short_st_invest*(1/gh2_short_st_lifetime+$M133+h2_short_st_opex)+h2_short_st_e_demand*1000*$AU133/100)/1000000+Carriers!$R$20/Carriers!$R$23*((CF133+meoh_st_ab_losses)/365.25*short_st_duration_hrs/24)*(co2_short_st_invest*(1/co2_short_st_lifetime+$M133+co2_short_st_opex)+co2_short_st_e_demand*1000*$AU133/100)/1000000</f>
        <v>4870.3827682244719</v>
      </c>
      <c r="CR133" s="63">
        <f>meoh_st_nl_cost*meoh_st_nl_demand/1000000+(meoh_st_invest*(M133+1/meoh_st_lifetime+meoh_st_opex)/(Storage!$K$63/1000000)+meoh_st_e_demand*1000*$AU133/100)*(CS133+meoh_st_ab_losses)/1000000+Carriers!$R$18/Carriers!$R$23*((CS133+meoh_st_ab_losses)/365.25*short_st_duration_hrs/24)*(h2_short_st_invest*(1/gh2_short_st_lifetime+$M133+h2_short_st_opex)+h2_short_st_e_demand*1000*$AU133/100)/1000000+Carriers!$R$20/Carriers!$R$23*((CF133+meoh_st_ab_losses)/365.25*short_st_duration_hrs/24)*(co2_short_st_invest*(1/co2_short_st_lifetime+$M133+co2_short_st_opex)+co2_short_st_e_demand*1000*$AU133/100)/1000000</f>
        <v>1977.1867268485182</v>
      </c>
      <c r="CS133" s="63">
        <f>Storage!$K$57/((1-Shipping!$L$37)^($F133/24/Shipping!$L$44+0.5*Shipping!$L$59))</f>
        <v>108044444.44444443</v>
      </c>
      <c r="CT133" s="28">
        <f>IF($E133="","No Port",IF(AND(ship_choice="VLCC",G133="Panama"),"Ship cannot pass through Panama",IF(ship_choice="VLCC",((F133/24/Shipping!$AD$44+F133/24/Shipping!$AD$50+Shipping!$AD$59+Shipping!$AD$64)*(Shipping!$AD$22+wacc_nl*Shipping!$AD$19/365.25*1000000+Shipping!$AD$35)+(F133/24/Shipping!$AD$44*Shipping!$AD$45+Shipping!$AD$64*Shipping!$AD$65)*IF(bunker_choice="HFO",$H133,IF(bunker_choice="hydrogen",$BD133*hfo_e_density_lhv/h2_e_density_lhv,(CO133+CQ133)*1000000/CS133*hfo_e_density_lhv/meoh_e_density_lhv))+(F133/24/Shipping!$AD$50*Shipping!$AD$51+Shipping!$AD$59*Shipping!$AD$60)*IF(bunker_choice="HFO",bunker_price_ROT,IF(bunker_choice="hydrogen",$BD133*hfo_e_density_lhv/h2_e_density_lhv,(CO133+CQ133)*1000000/CS133*hfo_e_density_lhv/meoh_e_density_lhv))+Shipping!$AD$73+IF(G133="Panama",Shipping!$AD$55,0)+IF(G133="Suez",Shipping!$AD$56,0))/Shipping!$AD$31*CS133/1000000+IF(inland_transport_to_port="hv dc grid",$BM133/100*1000*CV133,IF(inland_transport_to_port="pipeline",$BN133,0)),((F133/24/Shipping!$L$44+F133/24/Shipping!$L$50+Shipping!$L$59+Shipping!$L$64)*(Shipping!$L$22+wacc_nl*Shipping!$L$19/365.25*1000000+Shipping!$L$35)+(F133/24/Shipping!$L$44*Shipping!$L$45+Shipping!$L$64*Shipping!$L$65)*IF(bunker_choice="HFO",$H133,IF(bunker_choice="hydrogen",$BD133*hfo_e_density_lhv/h2_e_density_lhv,(CO133+CQ133)*1000000/CS133*hfo_e_density_lhv/meoh_e_density_lhv))+(F133/24/Shipping!$L$50*Shipping!$L$51+Shipping!$L$59*Shipping!$L$60)*IF(bunker_choice="HFO",bunker_price_ROT,IF(bunker_choice="hydrogen",$BD133*hfo_e_density_lhv/h2_e_density_lhv,(CO133+CQ133)*1000000/CS133*hfo_e_density_lhv/meoh_e_density_lhv))+Shipping!$L$73+IF(G133="Panama",Shipping!$L$55,0)+IF(G133="Suez",Shipping!$L$56,0))/Shipping!$L$31*CS133/1000000+IF(inland_transport_to_port="hv dc grid",$BM133/100*1000*CV133,IF(inland_transport_to_port="pipeline",$BN133,0)))))</f>
        <v>4215.1559087261212</v>
      </c>
      <c r="CU133" s="28">
        <f t="shared" si="133"/>
        <v>90089.480151775933</v>
      </c>
      <c r="CV133" s="29">
        <f>((Carriers!$R$18/Carriers!$R$23*alk_el_e_demand)+meoh_e_demand)*(CS133+meoh_st_ab_losses)/1000000+meoh_st_e_demand*CS133/1000000</f>
        <v>1119.9789871111109</v>
      </c>
      <c r="CW133" s="29">
        <f t="shared" si="158"/>
        <v>0.16206666666666666</v>
      </c>
      <c r="CX133" s="28">
        <f>IFERROR(CU133*1000000/Storage!$K$12,"")</f>
        <v>833.81871798229486</v>
      </c>
      <c r="CY133" s="28">
        <f>IF($E133="","No Port",((F133/24/Shipping!$L$44+F133/24/Shipping!$L$50+Shipping!$L$59+Shipping!$L$64)*Carriers!$R$39*wacc_nl))</f>
        <v>65.759483783575661</v>
      </c>
      <c r="CZ133" s="29">
        <f>H2_retrieval!$J$25*h2_demand_kt/1000+(co2_liq_e_demand+co2_st_e_demand*2)*Storage!$K$12*co2_density/meoh_density/1000000</f>
        <v>251.05079059698966</v>
      </c>
      <c r="DA133" s="28">
        <f>IFERROR((((CO133+CQ133+CT133)*(1+H2_retrieval!$J$34)+CY133)*1000000/H2_retrieval!$J$8)+h2_regen_meoh,"")</f>
        <v>6855.8805860089315</v>
      </c>
      <c r="DB133" s="149">
        <f>(DBT_invest*(M133+1/DBT_lifetime)/DBT_prod+DBT_opex+DBT_e_demand*1000*$AU133/100+Carriers!$T$18/Carriers!$T$23*BD133)*(DD133+DBT_st_ab_losses)/1000000</f>
        <v>45682.636269593182</v>
      </c>
      <c r="DC133" s="28">
        <f>2*(DBT_st_nl_cost*DBT_st_nl_demand/1000000+(DBT_st_invest*(M133+1/DBT_st_lifetime+DBT_st_opex)/(Storage!$M$63/1000000)+DBT_st_e_demand*1000*$AU133/100)*(DD133+DBT_st_ab_losses)/1000000)+Carriers!$T$18/Carriers!$T$23*((DD133+DBT_st_ab_losses)/365.25*short_st_duration_hrs/24)*(h2_short_st_invest*(1/gh2_short_st_lifetime+$M133+h2_short_st_opex)+h2_short_st_e_demand*1000*$AU133/100)/1000000</f>
        <v>4088.6551191254507</v>
      </c>
      <c r="DD133" s="63">
        <f>Storage!$M$57/((1-Shipping!$N$37)^($F133/24/Shipping!$N$44+0.5*Shipping!$N$59))</f>
        <v>219354838.70967743</v>
      </c>
      <c r="DE133" s="28">
        <f>IF($E133="","No Port",IF(AND(ship_choice="VLCC",G133="Panama"),"Ship cannot pass through Panama",IF(ship_choice="VLCC",((F133/24/Shipping!$AD$44+F133/24/Shipping!$AD$50+Shipping!$AD$59+Shipping!$AD$64)*(Shipping!$AD$22+wacc_nl*Shipping!$AD$19/365.25*1000000+Shipping!$AD$35)+(F133/24/Shipping!$AD$44*Shipping!$AD$45+Shipping!$AD$64*Shipping!$AD$65)*IF(bunker_choice="HFO",$H133,IF(bunker_choice="hydrogen",$BD133*hfo_e_density_lhv/h2_e_density_lhv,(DB133+DC133)*1000000/DD133*hfo_e_density_lhv/DBT_e_density_lhv))+(F133/24/Shipping!$AD$50*Shipping!$AD$51+Shipping!$AD$59*Shipping!$AD$60)*IF(bunker_choice="HFO",bunker_price_ROT,IF(bunker_choice="hydrogen",$BD133*hfo_e_density_lhv/h2_e_density_lhv,(DB133+DC133)*1000000/DD133*hfo_e_density_lhv/DBT_e_density_lhv))+Shipping!$AD$73+IF(G133="Panama",Shipping!$AD$55,0)+IF(G133="Suez",Shipping!$AD$56,0))/Shipping!$AD$31*DD133/1000000+IF(inland_transport_to_port="hv dc grid",$BM133/100*1000*DG133,IF(inland_transport_to_port="pipeline",$BN133,0)),((F133/24/Shipping!$N$44+F133/24/Shipping!$N$50+Shipping!$N$59+Shipping!$N$64)*(Shipping!$N$22+wacc_nl*Shipping!$N$19/365.25*1000000+Shipping!$N$35)+(F133/24/Shipping!$N$44*Shipping!$N$45+Shipping!$N$64*Shipping!$N$65)*IF(bunker_choice="HFO",$H133,IF(bunker_choice="hydrogen",$BD133*hfo_e_density_lhv/h2_e_density_lhv,(DB133+DC133)*1000000/DD133*hfo_e_density_lhv/DBT_e_density_lhv))+(F133/24/Shipping!$N$50*Shipping!$N$51+Shipping!$N$59*Shipping!$N$60)*IF(bunker_choice="HFO",bunker_price_ROT,IF(bunker_choice="hydrogen",$BD133*hfo_e_density_lhv/h2_e_density_lhv,(DB133+DC133)*1000000/DD133*hfo_e_density_lhv/DBT_e_density_lhv))+Shipping!$N$73+IF(G133="Panama",Shipping!$N$55,0)+IF(G133="Suez",Shipping!$N$56,0))/Shipping!$N$31*Shipping!$N$86/1000000+IF(inland_transport_to_port="hv dc grid",$BM133/100*1000*DG133,IF(inland_transport_to_port="pipeline",$BN133,0)))))</f>
        <v>7302.3421703933618</v>
      </c>
      <c r="DF133" s="28">
        <f t="shared" si="159"/>
        <v>57073.633559111993</v>
      </c>
      <c r="DG133" s="29">
        <f>((Carriers!$T$18/Carriers!$T$23*alk_el_e_demand)+DBT_e_demand)*(DD133+DBT_st_ab_losses)/1000000+DBT_st_e_demand*DD133/1000000</f>
        <v>703.88335483870969</v>
      </c>
      <c r="DH133" s="29">
        <f t="shared" si="160"/>
        <v>0.21935483870967742</v>
      </c>
      <c r="DI133" s="28">
        <f>IFERROR(DF133*1000000/Storage!$M$12,"")</f>
        <v>260.18862357830466</v>
      </c>
      <c r="DJ133" s="28">
        <f>IF($E133="","No Port",((F133/24/Shipping!$N$44+F133/24/Shipping!$N$50+Shipping!$N$59+Shipping!$N$64)*Carriers!$T$39*wacc_nl))</f>
        <v>4789.4792646847063</v>
      </c>
      <c r="DK133" s="100">
        <f>H2_retrieval!$L$25*h2_demand_kt/1000+(co2_liq_e_demand+co2_st_e_demand*2)*Storage!$M$12*co2_density/DBT_density/1000000</f>
        <v>206.61934861671787</v>
      </c>
      <c r="DL133" s="28">
        <f>IFERROR(((DF133*(1+H2_retrieval!$L$34)+DJ133)*1000000/H2_retrieval!$L$8)+h2_regen_lohc,"")</f>
        <v>5019.4080765061999</v>
      </c>
      <c r="DM133" s="149">
        <f t="shared" si="175"/>
        <v>50006.939281337807</v>
      </c>
      <c r="DN133" s="16">
        <f>2*(nabh4_st_nl_cost*nabh4_st_nl_demand/1000000+(nabh4_st_invest*(M133+1/nabh4_st_lifetime+nabh4_st_opex)/(Storage!$O$63/1000000)+nabh4_st_e_demand*1000*$AU133/100)*(DO133+nabh4_st_ab_losses)/1000000)+(h2_demand_kt*1000/365.25*short_st_duration_hrs/24)*(h2_short_st_invest*(1/gh2_short_st_lifetime+$M133+h2_short_st_opex)+h2_short_st_e_demand*1000*$AU133/100)/1000000</f>
        <v>1387.6164680553122</v>
      </c>
      <c r="DO133" s="63">
        <f>Storage!$O$57/((1-Shipping!$P$37)^($F133/24/Shipping!$P$44+0.5*Shipping!$P$59))</f>
        <v>63920000</v>
      </c>
      <c r="DP133" s="16">
        <f>IF($E133="","No Port",((F133/24/Shipping!$P$44+F133/24/Shipping!$P$50+Shipping!$P$59+Shipping!$P$64)*(Shipping!$P$22+wacc_nl*Shipping!$P$19/365.25*1000000+Shipping!$P$35)+(F133/24/Shipping!$P$44*Shipping!$P$45+Shipping!$P$64*Shipping!$P$65)*IF(bunker_choice="HFO",$H133,IF(bunker_choice="hydrogen",$BD133*hfo_e_density_lhv/h2_e_density_lhv,(DM133+DN133)*1000000/DO133*hfo_e_density_lhv/nabh4_e_density_lhv))+(F133/24/Shipping!$P$50*Shipping!$P$51+Shipping!$P$59*Shipping!$P$60)*IF(bunker_choice="HFO",bunker_price_ROT,IF(bunker_choice="hydrogen",$BD133*hfo_e_density_lhv/h2_e_density_lhv,(DM133+DN133)*1000000/DO133*hfo_e_density_lhv/nabh4_e_density_lhv))+Shipping!$P$73+IF(G133="Panama",Shipping!$P$55,0)+IF(G133="Suez",Shipping!$P$56,0))/Shipping!$P$31*(DO133+nabh4_st_ab_losses)/1000000+IF(inland_transport_to_port="hv dc grid",$BM133/100*1000*DR133,IF(inland_transport_to_port="pipeline",$BN133,0)))</f>
        <v>2409.6549284329276</v>
      </c>
      <c r="DQ133" s="28">
        <f t="shared" si="146"/>
        <v>53804.21067782605</v>
      </c>
      <c r="DR133" s="29">
        <f>((Carriers!$V$18/Carriers!$V$23*alk_el_e_demand)+nabh4_e_demand)*(DO133+nabh4_st_ab_losses)/1000000+nabh4_st_e_demand*DO133/1000000</f>
        <v>980.02139682539689</v>
      </c>
      <c r="DS133" s="28">
        <f t="shared" si="161"/>
        <v>3.1960000000000002</v>
      </c>
      <c r="DT133" s="28">
        <f>IFERROR(DQ133*1000000/Storage!$O$12,"")</f>
        <v>841.74297055422483</v>
      </c>
      <c r="DU133" s="28">
        <f>IF($E133="","No Port",((F133/24/Shipping!$P$44+F133/24/Shipping!$P$50+Shipping!$P$59+Shipping!$P$64)*Carriers!$V$39*wacc_nl))</f>
        <v>451.16495278360605</v>
      </c>
      <c r="DV133" s="100">
        <f>H2_retrieval!$N$25*h2_demand_kt/1000+(co2_liq_e_demand+co2_st_e_demand*2)*Storage!$O$12*co2_density/nabh4_density/1000000</f>
        <v>18.783638728971958</v>
      </c>
      <c r="DW133" s="28">
        <f>IFERROR(((DQ133*(1+H2_retrieval!$N$34)+DU133)*1000000/H2_retrieval!$N$8)+h2_regen_nabh4,"")</f>
        <v>4075.3639048746231</v>
      </c>
      <c r="DX133" s="149">
        <f>(Dme_invest*(M133+1/Dme_lifetime)/Dme_prod+Dme_opex+Dme_e_demand*1000*$AU133/100+Carriers!$X$21/Carriers!$X$23*(CO133*1000000/CS133))*(EB133+Dme_st_ab_losses)/1000000</f>
        <v>95565.09992626337</v>
      </c>
      <c r="DY133" s="86">
        <f>(Dme_invest*(M133+1/Dme_lifetime)/Dme_prod+Dme_opex+Dme_e_demand*1000*$AU133/100+Carriers!$X$21/Carriers!$X$23*(CP133*1000000/CS133))*(EB133+Dme_st_ab_losses)/1000000</f>
        <v>116894.85356557487</v>
      </c>
      <c r="DZ133" s="63">
        <f>Dme_st_nl_cost*Dme_st_nl_demand/1000000+(Dme_st_invest*(M133+1/Dme_st_lifetime+Dme_st_opex)/(Storage!$Q$63/1000000)+Dme_st_e_demand*1000*$AU133/100)*(EB133+Dme_st_ab_losses)/1000000+co2_st_nl_cost*Storage!$Q$12*co2_density/Dme_density/1000000+(co2_st_opex_lev+co2_st_invest_lev+co2_st_e_demand*1000*$AU133/100)*Storage!$Q$12/1000000+co2_st_invest_lev*Storage!$Q$12*co2_st_lifetime*M133/1000000+(h2_demand_kt*1000/365.25*short_st_duration_hrs/24)*(h2_short_st_invest*(1/gh2_short_st_lifetime+$M133+h2_short_st_opex)+h2_short_st_e_demand*1000*$AU133/100)/1000000</f>
        <v>5874.0830509062826</v>
      </c>
      <c r="EA133" s="63">
        <f>Dme_st_nl_cost*Dme_st_nl_demand/1000000+(Dme_st_invest*(M133+1/Dme_st_lifetime+Dme_st_opex)/(Storage!$Q$63/1000000)+Dme_st_e_demand*1000*$AU133/100)*(EB133+Dme_st_ab_losses)/1000000+(h2_demand_kt*1000/365.25*short_st_duration_hrs/24)*(h2_short_st_invest*(1/gh2_short_st_lifetime+$M133+h2_short_st_opex)+h2_short_st_e_demand*1000*$AU133/100)/1000000</f>
        <v>2974.4157202084671</v>
      </c>
      <c r="EB133" s="63">
        <f>Storage!$Q$57/((1-Shipping!$R$37)^($F133/24/Shipping!$R$44+0.5*Shipping!$R$59))</f>
        <v>103547089.94708996</v>
      </c>
      <c r="EC133" s="153">
        <f>IF($E133="","No Port",IF(AND(ship_choice="VLCC",G133="Panama"),"Ship cannot pass through Panama",IF(ship_choice="VLCC",((F133/24/Shipping!$AD$44+F133/24/Shipping!$AD$50+Shipping!$AD$59+Shipping!$AD$64)*(Shipping!$AD$22+wacc_nl*Shipping!$AD$19/365.25*1000000+Shipping!$AD$35)+(F133/24/Shipping!$AD$44*Shipping!$AD$45+Shipping!$AD$64*Shipping!$AD$65)*IF(bunker_choice="HFO",$H133,IF(bunker_choice="hydrogen",$BD133*hfo_e_density_lhv/h2_e_density_lhv,(DX133+DZ133)*1000000/EB133*hfo_e_density_lhv/Dme_e_density_lhv))+(F133/24/Shipping!$AD$50*Shipping!$AD$51+Shipping!$AD$59*Shipping!$AD$60)*IF(bunker_choice="HFO",bunker_price_ROT,IF(bunker_choice="hydrogen",$BD133*hfo_e_density_lhv/h2_e_density_lhv,(DX133+DZ133)*1000000/EB133*hfo_e_density_lhv/Dme_e_density_lhv))+Shipping!$AD$73+IF(G133="Panama",Shipping!$AD$55,0)+IF(G133="Suez",Shipping!$AD$56,0))/Shipping!$AD$31*(EB133+Dme_st_ab_losses)/1000000+IF(inland_transport_to_port="hv dc grid",$BM133/100*1000*EE133,IF(inland_transport_to_port="pipeline",$BN133,0)),((F133/24/Shipping!$R$44+F133/24/Shipping!$R$50+Shipping!$R$59+Shipping!$R$64)*(Shipping!$R$22+wacc_nl*Shipping!$R$19/365.25*1000000+Shipping!$R$35)+(F133/24/Shipping!$R$44*Shipping!$R$45+Shipping!$R$64*Shipping!$R$65)*IF(bunker_choice="HFO",$H133,IF(bunker_choice="hydrogen",$BD133*hfo_e_density_lhv/h2_e_density_lhv,(DX133+DZ133)*1000000/EB133*hfo_e_density_lhv/Dme_e_density_lhv))+(F133/24/Shipping!$R$50*Shipping!$R$51+Shipping!$R$59*Shipping!$R$60)*IF(bunker_choice="HFO",bunker_price_ROT,IF(bunker_choice="hydrogen",$BD133*hfo_e_density_lhv/h2_e_density_lhv,(DX133+DZ133)*1000000/EB133*hfo_e_density_lhv/Dme_e_density_lhv))+Shipping!$R$73+IF(G133="Panama",Shipping!$R$55,0)+IF(G133="Suez",Shipping!$R$56,0))/Shipping!$R$31*(EB133+Dme_st_ab_losses)/1000000+IF(inland_transport_to_port="hv dc grid",$BM133/100*1000*EE133,IF(inland_transport_to_port="pipeline",$BN133,0)))))</f>
        <v>4239.73085923697</v>
      </c>
      <c r="ED133" s="28">
        <f t="shared" si="134"/>
        <v>124109.0001450203</v>
      </c>
      <c r="EE133" s="29">
        <f>(Dme_e_demand)*(EB133+Dme_st_ab_losses)/1000000+Dme_st_e_demand*DZ133/1000000+$CV133*(Carriers!$X$21/Carriers!$X$23*EB133)/$CS133</f>
        <v>1550.2168189078864</v>
      </c>
      <c r="EF133" s="29">
        <f t="shared" si="162"/>
        <v>1.0354708994708997</v>
      </c>
      <c r="EG133" s="28">
        <f>IFERROR(ED133*1000000/Storage!$Q$12,"")</f>
        <v>1198.5754520811447</v>
      </c>
      <c r="EH133" s="28">
        <f>IF($E133="","No Port",((F133/24/Shipping!$R$44+F133/24/Shipping!$R$50+Shipping!$R$59+Shipping!$R$64)*Carriers!$X$39*wacc_nl))</f>
        <v>67.813164403902405</v>
      </c>
      <c r="EI133" s="100">
        <f>H2_retrieval!$P$25*h2_demand_kt/1000+(co2_liq_e_demand+co2_st_e_demand*2)*Storage!$Q$12*co2_density/Dme_density/1000000</f>
        <v>252.45335899349112</v>
      </c>
      <c r="EJ133" s="28">
        <f>IFERROR((((DX133+DZ133+EC133)*(1+H2_retrieval!$P$34)+EH133)*1000000/H2_retrieval!$P$8)+h2_regen_dme,"")</f>
        <v>8945.6231756086545</v>
      </c>
      <c r="EK133" s="149">
        <f>(ome_invest*(M133+1/ome_lifetime)/ome_prod+ome_opex+ome_e_demand*1000*$AU133/100+Carriers!$Z$21/Carriers!$Z$23*(CO133*1000000/CS133))*(EO133+ome_st_ab_losses)/1000000</f>
        <v>207259.46751994587</v>
      </c>
      <c r="EL133" s="86">
        <f>(ome_invest*(M133+1/ome_lifetime)/ome_prod+ome_opex+ome_e_demand*1000*$AU133/100+Carriers!$Z$21/Carriers!$Z$23*(CP133*1000000/CS133))*(EO133+ome_st_ab_losses)/1000000</f>
        <v>252034.7725234052</v>
      </c>
      <c r="EM133" s="63">
        <f>ome_st_nl_cost*ome_st_nl_demand/1000000+(ome_st_invest*(M133+1/ome_st_lifetime+ome_st_opex)/(Storage!$S$63/1000000)+ome_st_e_demand*1000*$AU133/100)*(EO133+ome_st_ab_losses)/1000000+co2_st_nl_cost*Storage!$S$12*co2_density/ome_density/1000000+(co2_st_opex_lev+co2_st_invest_lev+co2_st_e_demand*1000*$AU133/100)*Storage!$S$12/1000000+co2_st_invest_lev*Storage!$S$12*co2_st_lifetime*M133/1000000+(h2_demand_kt*1000/365.25*short_st_duration_hrs/24)*(h2_short_st_invest*(1/gh2_short_st_lifetime+$M133+h2_short_st_opex)+h2_short_st_e_demand*1000*$AU133/100)/1000000</f>
        <v>5037.3954011872038</v>
      </c>
      <c r="EN133" s="63">
        <f>ome_st_nl_cost*ome_st_nl_demand/1000000+(ome_st_invest*(M133+1/ome_st_lifetime+ome_st_opex)/(Storage!$S$63/1000000)+ome_st_e_demand*1000*$AU133/100)*(EO133+ome_st_ab_losses)/1000000+(h2_demand_kt*1000/365.25*short_st_duration_hrs/24)*(h2_short_st_invest*(1/gh2_short_st_lifetime+$M133+h2_short_st_opex)+h2_short_st_e_demand*1000*$AU133/100)/1000000</f>
        <v>1784.0199913438148</v>
      </c>
      <c r="EO133" s="63">
        <f>Storage!$S$57/((1-Shipping!$T$37)^($F133/24/Shipping!$T$44+0.5*Shipping!$T$59))</f>
        <v>128282539.68253967</v>
      </c>
      <c r="EP133" s="28">
        <f>IF($E133="","No Port",IF(AND(ship_choice="VLCC",G133="Panama"),"Ship cannot pass through Panama",IF(ship_choice="VLCC",((F133/24/Shipping!$AD$44+F133/24/Shipping!$AD$50+Shipping!$AD$59+Shipping!$AD$64)*(Shipping!$AD$22+wacc_nl*Shipping!$AD$19/365.25*1000000+Shipping!$AD$35)+(F133/24/Shipping!$AD$44*Shipping!$AD$45+Shipping!$AD$64*Shipping!$AD$65)*IF(bunker_choice="HFO",$H133,IF(bunker_choice="hydrogen",$BD133*hfo_e_density_lhv/h2_e_density_lhv,(EK133+EM133)*1000000/EO133*hfo_e_density_lhv/Dme_e_density_lhv))+(F133/24/Shipping!$AD$50*Shipping!$AD$51+Shipping!$AD$59*Shipping!$AD$60)*IF(bunker_choice="HFO",bunker_price_ROT,IF(bunker_choice="hydrogen",$BD133*hfo_e_density_lhv/h2_e_density_lhv,(EK133+EM133)*1000000/EO133*hfo_e_density_lhv/ome_e_density_lhv))+Shipping!$AD$73+IF(G133="Panama",Shipping!$AD$55,0)+IF(G133="Suez",Shipping!$AD$56,0))/Shipping!$AD$31*(EO133+ome_st_ab_losses)/1000000+IF(inland_transport_to_port="hv dc grid",$BM133/100*1000*ER133,IF(inland_transport_to_port="pipeline",$BN133,0)),((F133/24/Shipping!$T$44+F133/24/Shipping!$T$50+Shipping!$T$59+Shipping!$T$64)*(Shipping!$T$22+wacc_nl*Shipping!$T$19/365.25*1000000+Shipping!$T$35)+(F133/24/Shipping!$T$44*Shipping!$T$45+Shipping!$T$64*Shipping!$T$65)*IF(bunker_choice="HFO",$H133,IF(bunker_choice="hydrogen",$BD133*hfo_e_density_lhv/h2_e_density_lhv,(EK133+EM133)*1000000/EO133*hfo_e_density_lhv/Dme_e_density_lhv))+(F133/24/Shipping!$T$50*Shipping!$T$51+Shipping!$T$59*Shipping!$T$60)*IF(bunker_choice="HFO",bunker_price_ROT,IF(bunker_choice="hydrogen",$BD133*hfo_e_density_lhv/h2_e_density_lhv,(EK133+EM133)*1000000/EO133*hfo_e_density_lhv/ome_e_density_lhv))+Shipping!$T$73+IF(G133="Panama",Shipping!$T$55,0)+IF(G133="Suez",Shipping!$T$56,0))/Shipping!$T$31*(EO133+ome_st_ab_losses)/1000000+IF(inland_transport_to_port="hv dc grid",$BM133/100*1000*ER133,IF(inland_transport_to_port="pipeline",$BN133,0)))))</f>
        <v>4640.9325113134491</v>
      </c>
      <c r="EQ133" s="28">
        <f t="shared" si="135"/>
        <v>258459.72502606246</v>
      </c>
      <c r="ER133" s="29">
        <f>(ome_e_demand)*(EO133+ome_st_ab_losses)/1000000+ome_st_e_demand*EM133/1000000+$CV133*(Carriers!$Z$21/Carriers!$Z$23*EO133)/$CS133</f>
        <v>3352.0814576968764</v>
      </c>
      <c r="ES133" s="29">
        <f t="shared" si="163"/>
        <v>0.1924238095238095</v>
      </c>
      <c r="ET133" s="28">
        <f>IFERROR(EQ133*1000000/Storage!$S$12,"")</f>
        <v>2014.7693183006184</v>
      </c>
      <c r="EU133" s="28">
        <f>IF($E133="","No Port",((F133/24/Shipping!$T$44+F133/24/Shipping!$T$50+Shipping!$T$59+Shipping!$T$64)*Carriers!$Z$39*wacc_nl))</f>
        <v>78.077069407372278</v>
      </c>
      <c r="EV133" s="100">
        <f>H2_retrieval!$R$25*h2_demand_kt/1000+(co2_liq_e_demand+co2_st_e_demand*2)*Storage!$S$12*co2_density/ome_density/1000000</f>
        <v>254.51942895252085</v>
      </c>
      <c r="EW133" s="28">
        <f>IFERROR((((EK133+EM133+EP133)*(1+H2_retrieval!$R$34)+EU133)*1000000/H2_retrieval!$R$8)+h2_regen_ome,"")</f>
        <v>17127.177991861841</v>
      </c>
      <c r="EX133" s="149">
        <f>(sng_invest*(M133+1/sng_lifetime)/sng_prod+lng_invest*(M133+1/lng_lifetime)/lng_prod+sng_opex+lng_opex+(sng_e_demand+lng_e_demand)*1000*$AU133/100+Carriers!$AB$18/Carriers!$AB$23*BD133+Carriers!$AB$20/Carriers!$AB$23*co2_liq_cost)*(FB133+lng_st_ab_losses)/1000000</f>
        <v>73308.359243855768</v>
      </c>
      <c r="EY133" s="86">
        <f>(sng_invest*(M133+1/sng_lifetime)/sng_prod+lng_invest*(M133+1/lng_lifetime)/lng_prod+sng_opex+lng_opex+(sng_e_demand+lng_e_demand)*1000*$AU133/100+Carriers!$AB$18/Carriers!$AB$23*BD133+Carriers!$AB$20/Carriers!$AB$23*BP133)*(FB133+lng_st_ab_losses)/1000000</f>
        <v>85060.360902074535</v>
      </c>
      <c r="EZ133" s="63">
        <f>lng_st_nl_cost*lng_st_nl_demand/1000000+(lng_st_invest*(M133+1/lng_st_lifetime+lng_st_opex)/(Storage!$U$63/1000000)+lng_st_e_demand*1000*$AU133/100)*(FB133+lng_st_ab_losses)/1000000+co2_st_nl_cost*Storage!$U$12*co2_density/lng_density/1000000+(co2_st_opex_lev+co2_st_invest_lev+co2_st_e_demand*1000*$AU133/100)*Storage!$U$12/1000000+co2_st_invest_lev*Storage!$U$12*co2_st_lifetime*M133/1000000+Carriers!$AB$18/Carriers!$AB$23*((FB133+lng_st_ab_losses)/365.25*short_st_duration_hrs/24)*(h2_short_st_invest*(1/gh2_short_st_lifetime+$M133+h2_short_st_opex)+h2_short_st_e_demand*1000*$AU133/100)/1000000+Carriers!$AB$20/Carriers!$AB$23*((FB133+lng_st_ab_losses)/365.25*short_st_duration_hrs/24)*(co2_short_st_invest*(1/co2_short_st_lifetime+$M133+co2_short_st_opex)+co2_short_st_e_demand*1000*$AU133/100)/1000000</f>
        <v>6224.6937468643064</v>
      </c>
      <c r="FA133" s="63">
        <f>lng_st_nl_cost*lng_st_nl_demand/1000000+(lng_st_invest*(M133+1/lng_st_lifetime+lng_st_opex)/(Storage!$U$63/1000000)+lng_st_e_demand*1000*$AU133/100)*(FB133+lng_st_ab_losses)/1000000+Carriers!$AB$18/Carriers!$AB$23*((FB133+lng_st_ab_losses)/365.25*short_st_duration_hrs/24)*(h2_short_st_invest*(1/gh2_short_st_lifetime+$M133+h2_short_st_opex)+h2_short_st_e_demand*1000*$AU133/100)/1000000+Carriers!$AB$20/Carriers!$AB$23*((FB133+lng_st_ab_losses)/365.25*short_st_duration_hrs/24)*(co2_short_st_invest*(1/co2_short_st_lifetime+$M133+co2_short_st_opex)+co2_short_st_e_demand*1000*$AU133/100)/1000000</f>
        <v>4650.5131326834553</v>
      </c>
      <c r="FB133" s="63">
        <f>Storage!$U$57/((1-Shipping!$V$37)^($F133/24/Shipping!$V$44+0.5*Shipping!$V$59))</f>
        <v>41150029.02138079</v>
      </c>
      <c r="FC133" s="28">
        <f>IF($E133="","No Port",IF(G133="Panama","Ship cannot pass through Panama",((F133/24/Shipping!$V$44+F133/24/Shipping!$V$50+Shipping!$V$59+Shipping!$V$64)*(Shipping!$V$22+wacc_nl*Shipping!$V$19/365.25*1000000+Shipping!$V$35)+(F133/24/Shipping!$V$44*Shipping!$V$45+Shipping!$V$64*Shipping!$V$65)*IF(bunker_choice="HFO",$H133,IF(bunker_choice="hydrogen",$BD133*hfo_e_density_lhv/h2_e_density_lhv,(EX133+EZ133)*1000000/FB133*hfo_e_density_lhv/lng_e_density_lhv))+(F133/24/Shipping!$V$50*Shipping!$V$51+Shipping!$V$59*Shipping!$V$60)*IF(bunker_choice="HFO",bunker_price_ROT,IF(bunker_choice="hydrogen",$BD133*hfo_e_density_lhv/h2_e_density_lhv,(EX133+EZ133)*1000000/FB133*hfo_e_density_lhv/lng_e_density_lhv))+Shipping!$V$73+IF(G133="Panama",Shipping!$V$55,0)+IF(G133="Suez",Shipping!$V$56,0))/Shipping!$V$31*(FB133+lng_st_ab_losses)/1000000)+IF(inland_transport_to_port="hv dc grid",$BM133/100*1000*FE133,IF(inland_transport_to_port="pipeline",$BN133,0)))</f>
        <v>2031.5295525471058</v>
      </c>
      <c r="FD133" s="28">
        <f t="shared" si="136"/>
        <v>91742.403587305089</v>
      </c>
      <c r="FE133" s="29">
        <f>((Carriers!$AB$18/Carriers!$AB$23*alk_el_e_demand)+sng_e_demand+lng_e_demand)*(FB133+lng_st_ab_losses)/1000000+lng_st_e_demand*EZ133/1000000</f>
        <v>1103.6138986304973</v>
      </c>
      <c r="FF133" s="29">
        <f t="shared" si="164"/>
        <v>0.8126185861001558</v>
      </c>
      <c r="FG133" s="28">
        <f>IFERROR(FD133*1000000/Storage!$U$12,"")</f>
        <v>2260.5488994055931</v>
      </c>
      <c r="FH133" s="28">
        <f>IF($E133="","No Port",((F133/24/Shipping!$V$44+F133/24/Shipping!$V$50+Shipping!$V$59+Shipping!$V$64)*Carriers!$AB$39*wacc_nl))</f>
        <v>23.1875522843184</v>
      </c>
      <c r="FI133" s="100">
        <f>H2_retrieval!$T$25*h2_demand_kt/1000+(co2_liq_e_demand+co2_st_e_demand*2)*Storage!$U$12*co2_density/lng_density/1000000</f>
        <v>236.51371749646054</v>
      </c>
      <c r="FJ133" s="28">
        <f>IFERROR((((EX133+EZ133+FC133)*(1+H2_retrieval!$T$34)+FH133)*1000000/H2_retrieval!$T$8)+h2_regen_lng,"")</f>
        <v>7169.2292855160777</v>
      </c>
      <c r="FK133" s="149">
        <f>(lh2_invest*(M133+1/lh2_lifetime)/lh2_prod+lh2_opex+lh2_e_demand*1000*$AU133/100+Carriers!$AD$18/Carriers!$AD$23*BD133)*(FM133+lh2_st_ab_losses)/1000000</f>
        <v>56603.401217023718</v>
      </c>
      <c r="FL133" s="28">
        <f>lh2_st_nl_cost*lh2_st_nl_demand/1000000+(lh2_st_invest*(M133+1/lh2_st_lifetime+lh2_st_opex)/(Storage!$Y$63/1000000)+lh2_st_e_demand*1000*$AU133/100)*(FM133+lh2_st_ab_losses)/1000000+((FM133+lh2_st_ab_losses)/365.25*short_st_duration_hrs/24)*(h2_short_st_invest*(1/gh2_short_st_lifetime+$M133+h2_short_st_opex)+h2_short_st_e_demand*1000*$AU133/100)/1000000</f>
        <v>54086.705346209907</v>
      </c>
      <c r="FM133" s="63">
        <f>Storage!$Y$57/((1-Shipping!$Z$37)^($F133/24/Shipping!$Z$44+0.5*Shipping!$Z$59))</f>
        <v>13898589.979155382</v>
      </c>
      <c r="FN133" s="28">
        <f>IF($E133="","No Port",IF(G133="Panama","Ship cannot pass through Panama",((F133/24/Shipping!$Z$44+F133/24/Shipping!$Z$50+Shipping!$Z$59+Shipping!$Z$64)*(Shipping!$Z$22+wacc_nl*Shipping!$Z$19/365.25*1000000+Shipping!$Z$35)+(F133/24/Shipping!$Z$44*Shipping!$Z$45+Shipping!$Z$64*Shipping!$Z$65)*IF(bunker_choice="HFO",$H133,IF(bunker_choice="hydrogen",$BD133*hfo_e_density_lhv/h2_e_density_lhv,(FK133+FL133)*1000000/FM133*hfo_e_density_lhv/lh2_e_density_lhv))+(F133/24/Shipping!$Z$50*Shipping!$Z$51+Shipping!$Z$59*Shipping!$Z$60)*IF(bunker_choice="HFO",bunker_price_ROT,IF(bunker_choice="hydrogen",$BD133*hfo_e_density_lhv/h2_e_density_lhv,(FK133+FL133)*1000000/FM133*hfo_e_density_lhv/lh2_e_density_lhv))+Shipping!$Z$73+IF(G133="Panama",Shipping!$Z$55,0)+IF(G133="Suez",Shipping!$Z$56,0))/Shipping!$Z$31*(FM133+lh2_st_ab_losses)/1000000)+IF(inland_transport_to_port="hv dc grid",$BM133/100*1000*FP133,IF(inland_transport_to_port="pipeline",$BN133,0)))</f>
        <v>3067.1023010088866</v>
      </c>
      <c r="FO133" s="28">
        <f t="shared" si="128"/>
        <v>113757.20886424251</v>
      </c>
      <c r="FP133" s="29">
        <f>((Carriers!$AD$18/Carriers!$AD$23*alk_el_e_demand)+lh2_e_demand)*(FM133+lh2_st_ab_losses)/1000000+lh2_st_e_demand*FM133/1000000</f>
        <v>805.41045524372566</v>
      </c>
      <c r="FQ133" s="100">
        <f t="shared" si="165"/>
        <v>1.361902463475859</v>
      </c>
      <c r="FR133" s="28">
        <f>IFERROR(FO133*1000000/Storage!$Y$12,"")</f>
        <v>8364.5006517825368</v>
      </c>
      <c r="FS133" s="100">
        <f>H2_retrieval!$V$25*h2_demand_kt/1000</f>
        <v>8.16</v>
      </c>
      <c r="FT133" s="28">
        <f>IFERROR(FR133*(1+H2_retrieval!$V$34)/Carrier_properties!$U$7+H2_retrieval!$V$38,"")</f>
        <v>8396.4693776510048</v>
      </c>
      <c r="FU133" s="12"/>
      <c r="FV133" s="24">
        <f t="shared" si="129"/>
        <v>2.5493895428191569</v>
      </c>
      <c r="FW133" s="24" t="str">
        <f t="shared" si="143"/>
        <v/>
      </c>
      <c r="FX133" s="24" t="str">
        <f t="shared" si="144"/>
        <v/>
      </c>
      <c r="FY133" s="24">
        <f t="shared" si="130"/>
        <v>2.5493895428191569</v>
      </c>
      <c r="FZ133" s="28">
        <f t="shared" si="145"/>
        <v>3122.4662691004228</v>
      </c>
      <c r="GA133" s="28">
        <f t="shared" si="137"/>
        <v>696.16725394808418</v>
      </c>
      <c r="GB133" s="28">
        <f t="shared" si="138"/>
        <v>432.14412812499609</v>
      </c>
      <c r="GC133" s="28">
        <f t="shared" si="139"/>
        <v>776.50579766126248</v>
      </c>
      <c r="GD133" s="28">
        <f t="shared" si="140"/>
        <v>1128.9052509858586</v>
      </c>
      <c r="GE133" s="28">
        <f t="shared" si="141"/>
        <v>1964.6849302104147</v>
      </c>
      <c r="GF133" s="28">
        <f t="shared" si="142"/>
        <v>2067.079001520965</v>
      </c>
      <c r="GG133" s="12"/>
      <c r="GH133" s="12"/>
      <c r="GI133" s="12"/>
      <c r="GJ133" s="12"/>
      <c r="GK133" s="12"/>
      <c r="GL133" s="12"/>
      <c r="GM133" s="12"/>
      <c r="GN133" s="12"/>
      <c r="GO133" s="12"/>
      <c r="GP133" s="12"/>
      <c r="GQ133" s="12"/>
      <c r="GR133" s="12"/>
      <c r="GS133" s="12"/>
      <c r="GT133" s="12"/>
      <c r="GU133" s="12"/>
      <c r="GV133" s="12"/>
      <c r="GW133" s="12"/>
      <c r="GX133" s="12"/>
      <c r="GY133" s="12"/>
      <c r="GZ133" s="12"/>
      <c r="HA133" s="12"/>
      <c r="HB133" s="12"/>
      <c r="HC133" s="12"/>
      <c r="HD133" s="12"/>
      <c r="HE133" s="12"/>
      <c r="HF133" s="12"/>
    </row>
    <row r="134" spans="1:214" x14ac:dyDescent="0.2">
      <c r="A134" s="154" t="s">
        <v>134</v>
      </c>
      <c r="B134" s="12">
        <v>5157</v>
      </c>
      <c r="C134" s="12">
        <v>1</v>
      </c>
      <c r="D134" s="12">
        <f t="shared" si="111"/>
        <v>0</v>
      </c>
      <c r="E134" s="12"/>
      <c r="F134" s="12"/>
      <c r="G134" s="12"/>
      <c r="H134" s="16">
        <f t="shared" si="166"/>
        <v>382.75862068965517</v>
      </c>
      <c r="I134" s="16">
        <v>138786</v>
      </c>
      <c r="J134" s="16">
        <f t="shared" si="113"/>
        <v>210.18314838231817</v>
      </c>
      <c r="K134" s="16" t="str">
        <f t="shared" si="114"/>
        <v/>
      </c>
      <c r="L134" s="103">
        <v>0.17899999999999999</v>
      </c>
      <c r="M134" s="103">
        <f t="shared" si="167"/>
        <v>0.16800647370481014</v>
      </c>
      <c r="N134" s="122">
        <f t="shared" si="116"/>
        <v>0.85</v>
      </c>
      <c r="O134" s="46">
        <f t="shared" si="168"/>
        <v>40</v>
      </c>
      <c r="P134" s="70">
        <f t="array" ref="P134">SUMPRODUCT(IF(Solar_data!A$4:A$777=A134,Solar_data!C$4:C$777),IF(Solar_data!A$4:A$777=A134,Solar_data!I$4:I$777))/SUMIF(Solar_data!A$4:A$777,A134,Solar_data!I$4:I$777)</f>
        <v>1898.4596021794671</v>
      </c>
      <c r="Q134" s="16">
        <f t="array" ref="Q134">MAX(IF(Solar_data!$A$777:'Solar_data'!$A$4=Country_details!$A134,Solar_data!$C$4:'Solar_data'!$C$777))</f>
        <v>2281.25</v>
      </c>
      <c r="R134" s="16">
        <f t="array" ref="R134">MIN(IF(Solar_data!$A$777:'Solar_data'!$A$4=Country_details!A134,Solar_data!$C$4:'Solar_data'!$C$777))</f>
        <v>1733.75</v>
      </c>
      <c r="S134" s="24">
        <f t="shared" si="149"/>
        <v>3.1709666382179869</v>
      </c>
      <c r="T134" s="24">
        <f t="shared" si="150"/>
        <v>2.6388830958972851</v>
      </c>
      <c r="U134" s="24">
        <f t="shared" si="151"/>
        <v>3.4722145998648486</v>
      </c>
      <c r="V134" s="16">
        <f t="array" ref="V134">SUM(IF(Solar_data!$A$777:'Solar_data'!$A$4=Country_details!$A134,Solar_data!$I$4:'Solar_data'!$I$777))</f>
        <v>1045.8267018503179</v>
      </c>
      <c r="W134" s="148"/>
      <c r="X134" s="16" t="str">
        <f>IFERROR(INDEX(Onshore_wind_data!$J$5:'Onshore_wind_data'!$J$221,MATCH(A134,Onshore_wind_data!$B$5:'Onshore_wind_data'!$B$221,0)),"")</f>
        <v/>
      </c>
      <c r="Y134" s="16" t="str">
        <f>IFERROR(INDEX(Onshore_wind_data!$K$5:'Onshore_wind_data'!$K$221,MATCH(A134,Onshore_wind_data!$B$5:'Onshore_wind_data'!$B$221,0)),"")</f>
        <v/>
      </c>
      <c r="Z134" s="16" t="str">
        <f>IFERROR(INDEX(Onshore_wind_data!$L$5:'Onshore_wind_data'!$L$221,MATCH(A134,Onshore_wind_data!$B$5:'Onshore_wind_data'!$B$221,0)),"")</f>
        <v/>
      </c>
      <c r="AA134" s="24" t="str">
        <f t="shared" si="169"/>
        <v/>
      </c>
      <c r="AB134" s="24" t="str">
        <f t="shared" si="170"/>
        <v/>
      </c>
      <c r="AC134" s="24" t="str">
        <f t="shared" si="171"/>
        <v/>
      </c>
      <c r="AD134" s="16">
        <f>IFERROR(INDEX(Onshore_wind_data!$I$5:'Onshore_wind_data'!$I$221,MATCH(A134,Onshore_wind_data!$B$5:'Onshore_wind_data'!$B$221,0)),"")</f>
        <v>0</v>
      </c>
      <c r="AE134" s="148"/>
      <c r="AF134" s="16" t="str">
        <f>INDEX(Offshore_wind_data!$AA$7:$AA$192,MATCH(Country_details!A134,Offshore_wind_data!$A$7:$A$192,0))</f>
        <v/>
      </c>
      <c r="AG134" s="16" t="str">
        <f>INDEX(Offshore_wind_data!$Y$7:$Y$192,MATCH(Country_details!A134,Offshore_wind_data!$A$7:$A$192,0))</f>
        <v/>
      </c>
      <c r="AH134" s="16" t="str">
        <f>INDEX(Offshore_wind_data!$Z$7:$Z$192,MATCH(Country_details!A134,Offshore_wind_data!$A$7:$A$192,0))</f>
        <v/>
      </c>
      <c r="AI134" s="24" t="str">
        <f t="shared" si="152"/>
        <v/>
      </c>
      <c r="AJ134" s="24" t="str">
        <f t="shared" si="153"/>
        <v/>
      </c>
      <c r="AK134" s="24" t="str">
        <f t="shared" si="154"/>
        <v/>
      </c>
      <c r="AL134" s="16">
        <f>INDEX(Offshore_wind_data!$W$7:$W$191,MATCH(A134,Offshore_wind_data!$A$7:$A$191,0))</f>
        <v>0</v>
      </c>
      <c r="AM134" s="148"/>
      <c r="AN134" s="12">
        <v>8.9</v>
      </c>
      <c r="AO134" s="12">
        <v>14.5</v>
      </c>
      <c r="AP134" s="34">
        <f>0.302*11.63</f>
        <v>3.5122599999999999</v>
      </c>
      <c r="AQ134" s="15">
        <f t="shared" si="155"/>
        <v>50</v>
      </c>
      <c r="AR134" s="12">
        <f t="shared" si="131"/>
        <v>725</v>
      </c>
      <c r="AS134" s="16">
        <f t="shared" si="121"/>
        <v>320.82670185031793</v>
      </c>
      <c r="AT134" s="12"/>
      <c r="AU134" s="24">
        <f t="shared" si="147"/>
        <v>3.1709666382179869</v>
      </c>
      <c r="AV134" s="16">
        <f t="shared" si="148"/>
        <v>1898.4596021794671</v>
      </c>
      <c r="AW134" s="149">
        <f>HV_DC_Grid!$E$3/(1-AX134)*AU134/100*1000</f>
        <v>3558.8660725729028</v>
      </c>
      <c r="AX134" s="31">
        <f>(1-(1-HV_DC_Grid!$E$25)^(B134*C134*HV_DC_Grid!$E$8/1000))+(1-(1-HV_DC_Grid!$E$26)^(B134*D134*HV_DC_Grid!$E$8/1000))+HV_DC_Grid!$E$35*HV_DC_Grid!$E$28</f>
        <v>0.10899523231411788</v>
      </c>
      <c r="AY134" s="28">
        <f>B134*nl_e_demand/IF(hv_dc_flh="electricity FLH",$AV134,hv_dc_custom)*1000*hv_dc_capacity_multiplier*hv_dc_length_multiplier*1000*(C134*hv_dc_overhead_invest*(hv_dc_overhead_opex+M134+1/hv_dc_lifetime)+D134*hv_dc_sea_invest*(hv_dc_sea_opex+M134+1/hv_dc_lifetime))/1000000+HV_DC_Grid!$E$10*1000*hv_dc_station_invest*hv_dc_station_number*(hv_dc_station_opex+M134+1/hv_dc_lifetime)/1000000</f>
        <v>6063.5922428300255</v>
      </c>
      <c r="AZ134" s="24">
        <f>(AW134+AY134)/(HV_DC_Grid!$E$3*1000)*100</f>
        <v>9.6224583154029286</v>
      </c>
      <c r="BA134" s="28">
        <f>MIN(((Carriers!$F$26+Carriers!$F$27)*(alk_el_opex+wacc_nl+1/alk_el_lifetime)+IF(hv_dc_flh="electricity FLH",$AV134,hv_dc_custom)*AZ134/100)/(IF(hv_dc_flh="electricity FLH",$AV134,hv_dc_custom)/alk_el_e_demand)*1000,((Carriers!$H$26+Carriers!$H$27)*(pem_el_opex+wacc_nl+1/pem_el_lifetime)+IF(hv_dc_flh="electricity FLH",$AV134,hv_dc_custom)*AZ134/100)/(IF(hv_dc_flh="electricity FLH",$AV134,hv_dc_custom)/pem_el_e_demand)*1000)</f>
        <v>5267.103246489628</v>
      </c>
      <c r="BB134" s="12"/>
      <c r="BC134" s="12"/>
      <c r="BD134" s="149">
        <f>MIN(((Carriers!$F$26+Carriers!$F$27)*(alk_el_opex+M134+1/alk_el_lifetime)+$AV134*$AU134/100)/($AV134/alk_el_e_demand)*1000,((Carriers!$H$26+Carriers!$H$27)*(pem_el_opex+M134+1/pem_el_lifetime)+$AV134*$AU134/100)/($AV134/pem_el_e_demand)*1000)</f>
        <v>3819.8460619501079</v>
      </c>
      <c r="BE134" s="28">
        <f>Storage!$AC$50</f>
        <v>8.1664117557772418</v>
      </c>
      <c r="BF134" s="28">
        <f>((Pipeline!$D$22*Pipeline!$D$24*B134*(pipeline_opex+M134+1/pipeline_lifetime))*(Pipeline!$D$39/Pipeline!$D$3)+(Pipeline!$D$57*(pipeline_comp_opex+M134+1/pipeline_comp_lifetime)+Pipeline!$D$47*1000*Pipeline!$D$45*$AU134/100/1000000))*(Pipeline!$D$75/Pipeline!$D$45)</f>
        <v>14236.309553285118</v>
      </c>
      <c r="BG134" s="28">
        <f>BD134+(BE134+BF134)/Storage!$AC$12*1000000</f>
        <v>4867.2340005560563</v>
      </c>
      <c r="BH134" s="28"/>
      <c r="BI134" s="28"/>
      <c r="BJ134" s="28" t="str">
        <f>IF($E134="","No Port",BK134*HV_DC_Grid!$E$3*$AU134/100*1000)</f>
        <v>No Port</v>
      </c>
      <c r="BK134" s="31" t="str">
        <f>IFERROR((1-(1-HV_DC_Grid!$E$25)^(K134*HV_DC_Grid!$E$8/1000))+HV_DC_Grid!$E$35*HV_DC_Grid!$E$28,"")</f>
        <v/>
      </c>
      <c r="BL134" s="28" t="str">
        <f>IFERROR(K134*nl_e_demand/IF(hv_dc_flh="electricity FLH",$AV134,hv_dc_custom)*1000*hv_dc_capacity_multiplier*hv_dc_length_multiplier*1000*(hv_dc_overhead_invest*(hv_dc_overhead_opex+M134+1/hv_dc_lifetime))/1000000+HV_DC_Grid!$E$10*1000*hv_dc_station_invest*hv_dc_station_number*(hv_dc_station_opex+M134+1/hv_dc_lifetime)/1000000,"")</f>
        <v/>
      </c>
      <c r="BM134" s="29" t="str">
        <f>IFERROR((BJ134+BL134)/(HV_DC_Grid!$E$3*1000)*100,"")</f>
        <v/>
      </c>
      <c r="BN134" s="28" t="str">
        <f>IFERROR(((Pipeline!$D$22*Pipeline!$D$24*K134*(pipeline_opex+M134+1/pipeline_lifetime))*(Pipeline!$D$39/Pipeline!$D$3)+(Pipeline!$D$57*(pipeline_comp_opex+M134+1/pipeline_comp_lifetime)+Pipeline!$D$47*1000*Pipeline!$D$45*S134/100/1000000))*(Pipeline!$D$75/Pipeline!$D$45),"")</f>
        <v/>
      </c>
      <c r="BO134" s="28"/>
      <c r="BP134" s="150">
        <f t="shared" si="172"/>
        <v>137.94355336260401</v>
      </c>
      <c r="BQ134" s="34">
        <f t="shared" si="173"/>
        <v>41.183881764287335</v>
      </c>
      <c r="BR134" s="151">
        <f>(nh3_invest*(M134+1/nh3_lifetime)/nh3_prod+nh3_opex+nh3_e_demand*1000*$AU134/100+Carriers!$N$18/Carriers!$N$23*BD134+Carriers!$N$19/Carriers!$N$23*BQ134)*(BT134+nh3_st_ab_losses)/1000000</f>
        <v>65582.722018216271</v>
      </c>
      <c r="BS134" s="63">
        <f>nh3_st_nl_cost*nh3_st_nl_demand/1000000+(nh3_st_invest*(M134+1/nh3_st_lifetime+nh3_st_opex)/(Storage!$G$63/1000000)+nh3_st_e_demand*1000*$AU134/100)*(BT134+nh3_st_ab_losses)/1000000+Carriers!$N$18/Carriers!$N$23*((BT134+nh3_st_ab_losses)/365.25*short_st_duration_hrs/24)*(h2_short_st_invest*(1/gh2_short_st_lifetime+$M134+h2_short_st_opex)+h2_short_st_e_demand*1000*$AU134/100)/1000000+Carriers!$N$19/Carriers!$N$23*((BT134+nh3_st_ab_losses)/365.25*short_st_duration_hrs/24)*(n2_short_st_invest*(1/n2_short_st_lifetime+$M134+n2_short_st_opex)+n2_short_st_e_demand*1000*$AU134/100)/1000000</f>
        <v>3876.6235048342701</v>
      </c>
      <c r="BT134" s="63">
        <f>Storage!$G$57/((1-Shipping!$H$37)^(F134/24/Shipping!$H$44+0.5*Shipping!$H$59))</f>
        <v>76857210.785724297</v>
      </c>
      <c r="BU134" s="63" t="str">
        <f>IF($E134="","No Port",((F134/24/Shipping!$H$44+F134/24/Shipping!$H$50+Shipping!$H$59+Shipping!$H$64)*(Shipping!$H$22+wacc_nl*Shipping!$H$19/365.25*1000000+Shipping!$H$35)+(F134/24/Shipping!$H$44*Shipping!$H$45+Shipping!$H$64*Shipping!$H$65)*IF(bunker_choice="HFO",H134,IF(bunker_choice="hydrogen",BD134*hfo_e_density_lhv/h2_e_density_lhv,(BR134+BS134)*1000000/BT134*hfo_e_density_lhv/nh3_e_density_lhv))+(F134/24/Shipping!$H$50*Shipping!$H$51+Shipping!$H$59*Shipping!$H$60)*IF(bunker_choice="HFO",bunker_price_ROT,IF(bunker_choice="hydrogen",BD134*hfo_e_density_lhv/h2_e_density_lhv,(BR134+BS134)*1000000/BT134*hfo_e_density_lhv/nh3_e_density_lhv))+Shipping!$H$73+IF(G134="Panama",Shipping!$H$55,0)+IF(G134="Suez",Shipping!$H$56,0))/Shipping!$H$31*BT134/1000000+IF(inland_transport_to_port="hv dc grid",$BM134/100*1000*BW134,IF(inland_transport_to_port="pipeline",$BN134,0)))</f>
        <v>No Port</v>
      </c>
      <c r="BV134" s="63" t="str">
        <f t="shared" si="174"/>
        <v/>
      </c>
      <c r="BW134" s="33">
        <f>((Carriers!$N$18/Carriers!$N$23*alk_el_e_demand)+(Carriers!$N$19/Carriers!$N$23*n2_e_demand)+nh3_e_demand)*(BT134+nh3_st_ab_losses)/1000000+nh3_st_e_demand*BT134/1000000</f>
        <v>759.00171168026975</v>
      </c>
      <c r="BX134" s="33">
        <f t="shared" si="156"/>
        <v>0.76626754477640768</v>
      </c>
      <c r="BY134" s="63" t="str">
        <f>IFERROR(BV134*1000000/Storage!$G$12,"")</f>
        <v/>
      </c>
      <c r="BZ134" s="63">
        <f>H2_retrieval!$F$25*h2_demand_kt/1000</f>
        <v>80</v>
      </c>
      <c r="CA134" s="63" t="str">
        <f>IFERROR(BY134*(1+H2_retrieval!$F$34)/Carrier_properties!$E$7+H2_retrieval!$F$38,"")</f>
        <v/>
      </c>
      <c r="CB134" s="149">
        <f>(FA_invest*(M134+1/FA_lifetime)/FA_prod+FA_opex+FA_e_demand*1000*$AU134/100+Carriers!$P$18/Carriers!$P$23*BD134+Carriers!$P$20/Carriers!$P$23*co2_liq_cost)*(CF134+FA_st_ab_losses)/1000000</f>
        <v>131554.97076912777</v>
      </c>
      <c r="CC134" s="86">
        <f>(FA_invest*(M134+1/FA_lifetime)/FA_prod+FA_opex+FA_e_demand*1000*$AU134/100+Carriers!$P$18/Carriers!$P$23*BD134+Carriers!$P$20/Carriers!$P$23*BP134)*(CF134+FA_st_ab_losses)/1000000</f>
        <v>165231.1486236215</v>
      </c>
      <c r="CD134" s="63">
        <f>FA_st_nl_cost*FA_st_nl_demand/1000000+(FA_st_invest*(M134+1/FA_st_lifetime+FA_st_opex)/(Storage!$I$63/1000000)+FA_st_e_demand*1000*$AU134/100)*(CF134+FA_st_ab_losses)/1000000+co2_st_nl_cost*Storage!$I$12*co2_density/FA_density/1000000+(co2_st_opex_lev+co2_st_invest_lev+co2_st_e_demand*1000*$AU134/100)*Storage!$I$12/1000000+co2_st_invest_lev*Storage!$I$12*co2_st_lifetime*M134/1000000+Carriers!$P$18/Carriers!$P$23*((CF134+FA_st_ab_losses)/365.25*short_st_duration_hrs/24)*(h2_short_st_invest*(1/gh2_short_st_lifetime+$M134+h2_short_st_opex)+h2_short_st_e_demand*1000*$AU134/100)/1000000+Carriers!$P$20/Carriers!$P$23*((CF134+FA_st_ab_losses)/365.25*short_st_duration_hrs/24)*(co2_short_st_invest*(1/co2_short_st_lifetime+$M134+co2_short_st_opex)+co2_short_st_e_demand*1000*$AU134/100)/1000000</f>
        <v>13319.103024758773</v>
      </c>
      <c r="CE134" s="63">
        <f>FA_st_nl_cost*FA_st_nl_demand/1000000+(FA_st_invest*(M134+1/FA_st_lifetime+FA_st_opex)/(Storage!$I$63/1000000)+FA_st_e_demand*1000*$AU134/100)*(CF134+FA_st_ab_losses)/1000000+Carriers!$P$18/Carriers!$P$23*((CF134+FA_st_ab_losses)/365.25*short_st_duration_hrs/24)*(h2_short_st_invest*(1/gh2_short_st_lifetime+$M134+h2_short_st_opex)+h2_short_st_e_demand*1000*$AU134/100)/1000000+Carriers!$P$20/Carriers!$P$23*((CF134+FA_st_ab_losses)/365.25*short_st_duration_hrs/24)*(co2_short_st_invest*(1/co2_short_st_lifetime+$M134+co2_short_st_opex)+co2_short_st_e_demand*1000*$AU134/100)/1000000</f>
        <v>5855.2608212037521</v>
      </c>
      <c r="CF134" s="63">
        <f>Storage!$I$57/((1-Shipping!$J$37)^($F134/24/Shipping!$J$44+0.5*Shipping!$J$59))</f>
        <v>310425396.82539684</v>
      </c>
      <c r="CG134" s="28" t="str">
        <f>IF($E134="","No Port",((F134/24/Shipping!$J$44+F134/24/Shipping!$J$50+Shipping!$J$59+Shipping!$J$64)*(Shipping!$J$22+wacc_nl*Shipping!$J$19/365.25*1000000+Shipping!$J$35)+(F134/24/Shipping!$J$44*Shipping!$J$45+Shipping!$J$64*Shipping!$J$65)*IF(bunker_choice="HFO",$H134,IF(bunker_choice="hydrogen",$BD134*hfo_e_density_lhv/h2_e_density_lhv,(CB134+CD134)*1000000/CF134*hfo_e_density_lhv/FA_e_density_lhv))+(F134/24/Shipping!$J$50*Shipping!$J$51+Shipping!$J$59*Shipping!$J$60)*IF(bunker_choice="HFO",bunker_price_ROT,IF(bunker_choice="hydrogen",$BD134*hfo_e_density_lhv/h2_e_density_lhv,(CB134+CD134)*1000000/CF134*hfo_e_density_lhv/FA_e_density_lhv))+Shipping!$J$73+IF(G134="Panama",Shipping!$J$55,0)+IF(G134="Suez",Shipping!$J$56,0))/Shipping!$J$31*CF134/1000000+IF(inland_transport_to_port="hv dc grid",$BM134/100*1000*CI134,IF(inland_transport_to_port="pipeline",$BN134,0)))</f>
        <v>No Port</v>
      </c>
      <c r="CH134" s="28" t="str">
        <f t="shared" si="132"/>
        <v/>
      </c>
      <c r="CI134" s="29">
        <f>((Carriers!$P$18/Carriers!$P$23*alk_el_e_demand)+FA_e_demand)*(CF134+FA_st_ab_losses)/1000000+FA_st_e_demand*CF134/1000000</f>
        <v>1897.8881241622576</v>
      </c>
      <c r="CJ134" s="29">
        <f t="shared" si="157"/>
        <v>0.46563809523809524</v>
      </c>
      <c r="CK134" s="28" t="str">
        <f>IFERROR(CH134*1000000/Storage!$I$12,"")</f>
        <v/>
      </c>
      <c r="CL134" s="28" t="str">
        <f>IF($E134="","No Port",((F134/24/Shipping!$J$44+F134/24/Shipping!$J$50+Shipping!$J$59+Shipping!$J$64)*Carriers!$P$39*wacc_nl))</f>
        <v>No Port</v>
      </c>
      <c r="CM134" s="29">
        <f>H2_retrieval!$H$25*h2_demand_kt/1000+(co2_liq_e_demand+co2_st_e_demand*2)*Storage!$I$12*co2_density/FA_density/1000000</f>
        <v>94.204253879484654</v>
      </c>
      <c r="CN134" s="28" t="str">
        <f>IFERROR((((CB134+CD134+CG134)*(1+H2_retrieval!$H$34)+CL134)*1000000/H2_retrieval!$H$8)+h2_regen_fa,"")</f>
        <v/>
      </c>
      <c r="CO134" s="149">
        <f>(meoh_invest*(M134+1/meoh_lifetime)/meoh_prod+meoh_opex+meoh_e_demand*1000*$AU134/100+Carriers!$R$18/Carriers!$R$23*BD134+Carriers!$R$20/Carriers!$R$23*co2_liq_cost)*(CS134+meoh_st_ab_losses)/1000000</f>
        <v>83196.690888730445</v>
      </c>
      <c r="CP134" s="86">
        <f>(meoh_invest*(M134+1/meoh_lifetime)/meoh_prod+meoh_opex+meoh_e_demand*1000*$AU134/100+Carriers!$R$18/Carriers!$R$23*BD134+Carriers!$R$20/Carriers!$R$23*BP134)*(CS134+meoh_st_ab_losses)/1000000</f>
        <v>102965.64693477259</v>
      </c>
      <c r="CQ134" s="63">
        <f>meoh_st_nl_cost*meoh_st_nl_demand/1000000+(meoh_st_invest*(M134+1/meoh_st_lifetime+meoh_st_opex)/(Storage!$K$63/1000000)+meoh_st_e_demand*1000*$AU134/100)*(CS134+meoh_st_ab_losses)/1000000+co2_st_nl_cost*Storage!$K$12*co2_density/meoh_density/1000000+(co2_st_opex_lev+co2_st_invest_lev+co2_st_e_demand*1000*IFERROR(MIN(S134,AA134,AI134),S134)/100)*Storage!$K$12/1000000+co2_st_invest_lev*Storage!$K$12*co2_st_lifetime*M134/1000000+Carriers!$R$18/Carriers!$R$23*((CS134+meoh_st_ab_losses)/365.25*short_st_duration_hrs/24)*(h2_short_st_invest*(1/gh2_short_st_lifetime+$M134+h2_short_st_opex)+h2_short_st_e_demand*1000*$AU134/100)/1000000+Carriers!$R$20/Carriers!$R$23*((CF134+meoh_st_ab_losses)/365.25*short_st_duration_hrs/24)*(co2_short_st_invest*(1/co2_short_st_lifetime+$M134+co2_short_st_opex)+co2_short_st_e_demand*1000*$AU134/100)/1000000</f>
        <v>5552.8619670791913</v>
      </c>
      <c r="CR134" s="63">
        <f>meoh_st_nl_cost*meoh_st_nl_demand/1000000+(meoh_st_invest*(M134+1/meoh_st_lifetime+meoh_st_opex)/(Storage!$K$63/1000000)+meoh_st_e_demand*1000*$AU134/100)*(CS134+meoh_st_ab_losses)/1000000+Carriers!$R$18/Carriers!$R$23*((CS134+meoh_st_ab_losses)/365.25*short_st_duration_hrs/24)*(h2_short_st_invest*(1/gh2_short_st_lifetime+$M134+h2_short_st_opex)+h2_short_st_e_demand*1000*$AU134/100)/1000000+Carriers!$R$20/Carriers!$R$23*((CF134+meoh_st_ab_losses)/365.25*short_st_duration_hrs/24)*(co2_short_st_invest*(1/co2_short_st_lifetime+$M134+co2_short_st_opex)+co2_short_st_e_demand*1000*$AU134/100)/1000000</f>
        <v>2356.0529693331528</v>
      </c>
      <c r="CS134" s="63">
        <f>Storage!$K$57/((1-Shipping!$L$37)^($F134/24/Shipping!$L$44+0.5*Shipping!$L$59))</f>
        <v>108044444.44444443</v>
      </c>
      <c r="CT134" s="28" t="str">
        <f>IF($E134="","No Port",IF(AND(ship_choice="VLCC",G134="Panama"),"Ship cannot pass through Panama",IF(ship_choice="VLCC",((F134/24/Shipping!$AD$44+F134/24/Shipping!$AD$50+Shipping!$AD$59+Shipping!$AD$64)*(Shipping!$AD$22+wacc_nl*Shipping!$AD$19/365.25*1000000+Shipping!$AD$35)+(F134/24/Shipping!$AD$44*Shipping!$AD$45+Shipping!$AD$64*Shipping!$AD$65)*IF(bunker_choice="HFO",$H134,IF(bunker_choice="hydrogen",$BD134*hfo_e_density_lhv/h2_e_density_lhv,(CO134+CQ134)*1000000/CS134*hfo_e_density_lhv/meoh_e_density_lhv))+(F134/24/Shipping!$AD$50*Shipping!$AD$51+Shipping!$AD$59*Shipping!$AD$60)*IF(bunker_choice="HFO",bunker_price_ROT,IF(bunker_choice="hydrogen",$BD134*hfo_e_density_lhv/h2_e_density_lhv,(CO134+CQ134)*1000000/CS134*hfo_e_density_lhv/meoh_e_density_lhv))+Shipping!$AD$73+IF(G134="Panama",Shipping!$AD$55,0)+IF(G134="Suez",Shipping!$AD$56,0))/Shipping!$AD$31*CS134/1000000+IF(inland_transport_to_port="hv dc grid",$BM134/100*1000*CV134,IF(inland_transport_to_port="pipeline",$BN134,0)),((F134/24/Shipping!$L$44+F134/24/Shipping!$L$50+Shipping!$L$59+Shipping!$L$64)*(Shipping!$L$22+wacc_nl*Shipping!$L$19/365.25*1000000+Shipping!$L$35)+(F134/24/Shipping!$L$44*Shipping!$L$45+Shipping!$L$64*Shipping!$L$65)*IF(bunker_choice="HFO",$H134,IF(bunker_choice="hydrogen",$BD134*hfo_e_density_lhv/h2_e_density_lhv,(CO134+CQ134)*1000000/CS134*hfo_e_density_lhv/meoh_e_density_lhv))+(F134/24/Shipping!$L$50*Shipping!$L$51+Shipping!$L$59*Shipping!$L$60)*IF(bunker_choice="HFO",bunker_price_ROT,IF(bunker_choice="hydrogen",$BD134*hfo_e_density_lhv/h2_e_density_lhv,(CO134+CQ134)*1000000/CS134*hfo_e_density_lhv/meoh_e_density_lhv))+Shipping!$L$73+IF(G134="Panama",Shipping!$L$55,0)+IF(G134="Suez",Shipping!$L$56,0))/Shipping!$L$31*CS134/1000000+IF(inland_transport_to_port="hv dc grid",$BM134/100*1000*CV134,IF(inland_transport_to_port="pipeline",$BN134,0)))))</f>
        <v>No Port</v>
      </c>
      <c r="CU134" s="28" t="str">
        <f t="shared" si="133"/>
        <v/>
      </c>
      <c r="CV134" s="29">
        <f>((Carriers!$R$18/Carriers!$R$23*alk_el_e_demand)+meoh_e_demand)*(CS134+meoh_st_ab_losses)/1000000+meoh_st_e_demand*CS134/1000000</f>
        <v>1119.9789871111109</v>
      </c>
      <c r="CW134" s="29">
        <f t="shared" si="158"/>
        <v>0.16206666666666666</v>
      </c>
      <c r="CX134" s="28" t="str">
        <f>IFERROR(CU134*1000000/Storage!$K$12,"")</f>
        <v/>
      </c>
      <c r="CY134" s="28" t="str">
        <f>IF($E134="","No Port",((F134/24/Shipping!$L$44+F134/24/Shipping!$L$50+Shipping!$L$59+Shipping!$L$64)*Carriers!$R$39*wacc_nl))</f>
        <v>No Port</v>
      </c>
      <c r="CZ134" s="29">
        <f>H2_retrieval!$J$25*h2_demand_kt/1000+(co2_liq_e_demand+co2_st_e_demand*2)*Storage!$K$12*co2_density/meoh_density/1000000</f>
        <v>251.05079059698966</v>
      </c>
      <c r="DA134" s="28" t="str">
        <f>IFERROR((((CO134+CQ134+CT134)*(1+H2_retrieval!$J$34)+CY134)*1000000/H2_retrieval!$J$8)+h2_regen_meoh,"")</f>
        <v/>
      </c>
      <c r="DB134" s="149">
        <f>(DBT_invest*(M134+1/DBT_lifetime)/DBT_prod+DBT_opex+DBT_e_demand*1000*$AU134/100+Carriers!$T$18/Carriers!$T$23*BD134)*(DD134+DBT_st_ab_losses)/1000000</f>
        <v>55710.868870214304</v>
      </c>
      <c r="DC134" s="28">
        <f>2*(DBT_st_nl_cost*DBT_st_nl_demand/1000000+(DBT_st_invest*(M134+1/DBT_st_lifetime+DBT_st_opex)/(Storage!$M$63/1000000)+DBT_st_e_demand*1000*$AU134/100)*(DD134+DBT_st_ab_losses)/1000000)+Carriers!$T$18/Carriers!$T$23*((DD134+DBT_st_ab_losses)/365.25*short_st_duration_hrs/24)*(h2_short_st_invest*(1/gh2_short_st_lifetime+$M134+h2_short_st_opex)+h2_short_st_e_demand*1000*$AU134/100)/1000000</f>
        <v>4755.4953779284151</v>
      </c>
      <c r="DD134" s="63">
        <f>Storage!$M$57/((1-Shipping!$N$37)^($F134/24/Shipping!$N$44+0.5*Shipping!$N$59))</f>
        <v>219354838.70967743</v>
      </c>
      <c r="DE134" s="28" t="str">
        <f>IF($E134="","No Port",IF(AND(ship_choice="VLCC",G134="Panama"),"Ship cannot pass through Panama",IF(ship_choice="VLCC",((F134/24/Shipping!$AD$44+F134/24/Shipping!$AD$50+Shipping!$AD$59+Shipping!$AD$64)*(Shipping!$AD$22+wacc_nl*Shipping!$AD$19/365.25*1000000+Shipping!$AD$35)+(F134/24/Shipping!$AD$44*Shipping!$AD$45+Shipping!$AD$64*Shipping!$AD$65)*IF(bunker_choice="HFO",$H134,IF(bunker_choice="hydrogen",$BD134*hfo_e_density_lhv/h2_e_density_lhv,(DB134+DC134)*1000000/DD134*hfo_e_density_lhv/DBT_e_density_lhv))+(F134/24/Shipping!$AD$50*Shipping!$AD$51+Shipping!$AD$59*Shipping!$AD$60)*IF(bunker_choice="HFO",bunker_price_ROT,IF(bunker_choice="hydrogen",$BD134*hfo_e_density_lhv/h2_e_density_lhv,(DB134+DC134)*1000000/DD134*hfo_e_density_lhv/DBT_e_density_lhv))+Shipping!$AD$73+IF(G134="Panama",Shipping!$AD$55,0)+IF(G134="Suez",Shipping!$AD$56,0))/Shipping!$AD$31*DD134/1000000+IF(inland_transport_to_port="hv dc grid",$BM134/100*1000*DG134,IF(inland_transport_to_port="pipeline",$BN134,0)),((F134/24/Shipping!$N$44+F134/24/Shipping!$N$50+Shipping!$N$59+Shipping!$N$64)*(Shipping!$N$22+wacc_nl*Shipping!$N$19/365.25*1000000+Shipping!$N$35)+(F134/24/Shipping!$N$44*Shipping!$N$45+Shipping!$N$64*Shipping!$N$65)*IF(bunker_choice="HFO",$H134,IF(bunker_choice="hydrogen",$BD134*hfo_e_density_lhv/h2_e_density_lhv,(DB134+DC134)*1000000/DD134*hfo_e_density_lhv/DBT_e_density_lhv))+(F134/24/Shipping!$N$50*Shipping!$N$51+Shipping!$N$59*Shipping!$N$60)*IF(bunker_choice="HFO",bunker_price_ROT,IF(bunker_choice="hydrogen",$BD134*hfo_e_density_lhv/h2_e_density_lhv,(DB134+DC134)*1000000/DD134*hfo_e_density_lhv/DBT_e_density_lhv))+Shipping!$N$73+IF(G134="Panama",Shipping!$N$55,0)+IF(G134="Suez",Shipping!$N$56,0))/Shipping!$N$31*Shipping!$N$86/1000000+IF(inland_transport_to_port="hv dc grid",$BM134/100*1000*DG134,IF(inland_transport_to_port="pipeline",$BN134,0)))))</f>
        <v>No Port</v>
      </c>
      <c r="DF134" s="28" t="str">
        <f t="shared" si="159"/>
        <v/>
      </c>
      <c r="DG134" s="29">
        <f>((Carriers!$T$18/Carriers!$T$23*alk_el_e_demand)+DBT_e_demand)*(DD134+DBT_st_ab_losses)/1000000+DBT_st_e_demand*DD134/1000000</f>
        <v>703.88335483870969</v>
      </c>
      <c r="DH134" s="29">
        <f t="shared" si="160"/>
        <v>0.21935483870967742</v>
      </c>
      <c r="DI134" s="28" t="str">
        <f>IFERROR(DF134*1000000/Storage!$M$12,"")</f>
        <v/>
      </c>
      <c r="DJ134" s="28" t="str">
        <f>IF($E134="","No Port",((F134/24/Shipping!$N$44+F134/24/Shipping!$N$50+Shipping!$N$59+Shipping!$N$64)*Carriers!$T$39*wacc_nl))</f>
        <v>No Port</v>
      </c>
      <c r="DK134" s="100">
        <f>H2_retrieval!$L$25*h2_demand_kt/1000+(co2_liq_e_demand+co2_st_e_demand*2)*Storage!$M$12*co2_density/DBT_density/1000000</f>
        <v>206.61934861671787</v>
      </c>
      <c r="DL134" s="28" t="str">
        <f>IFERROR(((DF134*(1+H2_retrieval!$L$34)+DJ134)*1000000/H2_retrieval!$L$8)+h2_regen_lohc,"")</f>
        <v/>
      </c>
      <c r="DM134" s="149">
        <f t="shared" si="175"/>
        <v>59956.673385948699</v>
      </c>
      <c r="DN134" s="16">
        <f>2*(nabh4_st_nl_cost*nabh4_st_nl_demand/1000000+(nabh4_st_invest*(M134+1/nabh4_st_lifetime+nabh4_st_opex)/(Storage!$O$63/1000000)+nabh4_st_e_demand*1000*$AU134/100)*(DO134+nabh4_st_ab_losses)/1000000)+(h2_demand_kt*1000/365.25*short_st_duration_hrs/24)*(h2_short_st_invest*(1/gh2_short_st_lifetime+$M134+h2_short_st_opex)+h2_short_st_e_demand*1000*$AU134/100)/1000000</f>
        <v>1623.4850773263061</v>
      </c>
      <c r="DO134" s="63">
        <f>Storage!$O$57/((1-Shipping!$P$37)^($F134/24/Shipping!$P$44+0.5*Shipping!$P$59))</f>
        <v>63920000</v>
      </c>
      <c r="DP134" s="16" t="str">
        <f>IF($E134="","No Port",((F134/24/Shipping!$P$44+F134/24/Shipping!$P$50+Shipping!$P$59+Shipping!$P$64)*(Shipping!$P$22+wacc_nl*Shipping!$P$19/365.25*1000000+Shipping!$P$35)+(F134/24/Shipping!$P$44*Shipping!$P$45+Shipping!$P$64*Shipping!$P$65)*IF(bunker_choice="HFO",$H134,IF(bunker_choice="hydrogen",$BD134*hfo_e_density_lhv/h2_e_density_lhv,(DM134+DN134)*1000000/DO134*hfo_e_density_lhv/nabh4_e_density_lhv))+(F134/24/Shipping!$P$50*Shipping!$P$51+Shipping!$P$59*Shipping!$P$60)*IF(bunker_choice="HFO",bunker_price_ROT,IF(bunker_choice="hydrogen",$BD134*hfo_e_density_lhv/h2_e_density_lhv,(DM134+DN134)*1000000/DO134*hfo_e_density_lhv/nabh4_e_density_lhv))+Shipping!$P$73+IF(G134="Panama",Shipping!$P$55,0)+IF(G134="Suez",Shipping!$P$56,0))/Shipping!$P$31*(DO134+nabh4_st_ab_losses)/1000000+IF(inland_transport_to_port="hv dc grid",$BM134/100*1000*DR134,IF(inland_transport_to_port="pipeline",$BN134,0)))</f>
        <v>No Port</v>
      </c>
      <c r="DQ134" s="28" t="str">
        <f t="shared" si="146"/>
        <v/>
      </c>
      <c r="DR134" s="29">
        <f>((Carriers!$V$18/Carriers!$V$23*alk_el_e_demand)+nabh4_e_demand)*(DO134+nabh4_st_ab_losses)/1000000+nabh4_st_e_demand*DO134/1000000</f>
        <v>980.02139682539689</v>
      </c>
      <c r="DS134" s="28">
        <f t="shared" si="161"/>
        <v>3.1960000000000002</v>
      </c>
      <c r="DT134" s="28" t="str">
        <f>IFERROR(DQ134*1000000/Storage!$O$12,"")</f>
        <v/>
      </c>
      <c r="DU134" s="28" t="str">
        <f>IF($E134="","No Port",((F134/24/Shipping!$P$44+F134/24/Shipping!$P$50+Shipping!$P$59+Shipping!$P$64)*Carriers!$V$39*wacc_nl))</f>
        <v>No Port</v>
      </c>
      <c r="DV134" s="100">
        <f>H2_retrieval!$N$25*h2_demand_kt/1000+(co2_liq_e_demand+co2_st_e_demand*2)*Storage!$O$12*co2_density/nabh4_density/1000000</f>
        <v>18.783638728971958</v>
      </c>
      <c r="DW134" s="28" t="str">
        <f>IFERROR(((DQ134*(1+H2_retrieval!$N$34)+DU134)*1000000/H2_retrieval!$N$8)+h2_regen_nabh4,"")</f>
        <v/>
      </c>
      <c r="DX134" s="149">
        <f>(Dme_invest*(M134+1/Dme_lifetime)/Dme_prod+Dme_opex+Dme_e_demand*1000*$AU134/100+Carriers!$X$21/Carriers!$X$23*(CO134*1000000/CS134))*(EB134+Dme_st_ab_losses)/1000000</f>
        <v>116667.07260195428</v>
      </c>
      <c r="DY134" s="86">
        <f>(Dme_invest*(M134+1/Dme_lifetime)/Dme_prod+Dme_opex+Dme_e_demand*1000*$AU134/100+Carriers!$X$21/Carriers!$X$23*(CP134*1000000/CS134))*(EB134+Dme_st_ab_losses)/1000000</f>
        <v>143486.90382369424</v>
      </c>
      <c r="DZ134" s="63">
        <f>Dme_st_nl_cost*Dme_st_nl_demand/1000000+(Dme_st_invest*(M134+1/Dme_st_lifetime+Dme_st_opex)/(Storage!$Q$63/1000000)+Dme_st_e_demand*1000*$AU134/100)*(EB134+Dme_st_ab_losses)/1000000+co2_st_nl_cost*Storage!$Q$12*co2_density/Dme_density/1000000+(co2_st_opex_lev+co2_st_invest_lev+co2_st_e_demand*1000*$AU134/100)*Storage!$Q$12/1000000+co2_st_invest_lev*Storage!$Q$12*co2_st_lifetime*M134/1000000+(h2_demand_kt*1000/365.25*short_st_duration_hrs/24)*(h2_short_st_invest*(1/gh2_short_st_lifetime+$M134+h2_short_st_opex)+h2_short_st_e_demand*1000*$AU134/100)/1000000</f>
        <v>6661.365824422769</v>
      </c>
      <c r="EA134" s="63">
        <f>Dme_st_nl_cost*Dme_st_nl_demand/1000000+(Dme_st_invest*(M134+1/Dme_st_lifetime+Dme_st_opex)/(Storage!$Q$63/1000000)+Dme_st_e_demand*1000*$AU134/100)*(EB134+Dme_st_ab_losses)/1000000+(h2_demand_kt*1000/365.25*short_st_duration_hrs/24)*(h2_short_st_invest*(1/gh2_short_st_lifetime+$M134+h2_short_st_opex)+h2_short_st_e_demand*1000*$AU134/100)/1000000</f>
        <v>3470.7234393016752</v>
      </c>
      <c r="EB134" s="63">
        <f>Storage!$Q$57/((1-Shipping!$R$37)^($F134/24/Shipping!$R$44+0.5*Shipping!$R$59))</f>
        <v>103547089.94708996</v>
      </c>
      <c r="EC134" s="153" t="str">
        <f>IF($E134="","No Port",IF(AND(ship_choice="VLCC",G134="Panama"),"Ship cannot pass through Panama",IF(ship_choice="VLCC",((F134/24/Shipping!$AD$44+F134/24/Shipping!$AD$50+Shipping!$AD$59+Shipping!$AD$64)*(Shipping!$AD$22+wacc_nl*Shipping!$AD$19/365.25*1000000+Shipping!$AD$35)+(F134/24/Shipping!$AD$44*Shipping!$AD$45+Shipping!$AD$64*Shipping!$AD$65)*IF(bunker_choice="HFO",$H134,IF(bunker_choice="hydrogen",$BD134*hfo_e_density_lhv/h2_e_density_lhv,(DX134+DZ134)*1000000/EB134*hfo_e_density_lhv/Dme_e_density_lhv))+(F134/24/Shipping!$AD$50*Shipping!$AD$51+Shipping!$AD$59*Shipping!$AD$60)*IF(bunker_choice="HFO",bunker_price_ROT,IF(bunker_choice="hydrogen",$BD134*hfo_e_density_lhv/h2_e_density_lhv,(DX134+DZ134)*1000000/EB134*hfo_e_density_lhv/Dme_e_density_lhv))+Shipping!$AD$73+IF(G134="Panama",Shipping!$AD$55,0)+IF(G134="Suez",Shipping!$AD$56,0))/Shipping!$AD$31*(EB134+Dme_st_ab_losses)/1000000+IF(inland_transport_to_port="hv dc grid",$BM134/100*1000*EE134,IF(inland_transport_to_port="pipeline",$BN134,0)),((F134/24/Shipping!$R$44+F134/24/Shipping!$R$50+Shipping!$R$59+Shipping!$R$64)*(Shipping!$R$22+wacc_nl*Shipping!$R$19/365.25*1000000+Shipping!$R$35)+(F134/24/Shipping!$R$44*Shipping!$R$45+Shipping!$R$64*Shipping!$R$65)*IF(bunker_choice="HFO",$H134,IF(bunker_choice="hydrogen",$BD134*hfo_e_density_lhv/h2_e_density_lhv,(DX134+DZ134)*1000000/EB134*hfo_e_density_lhv/Dme_e_density_lhv))+(F134/24/Shipping!$R$50*Shipping!$R$51+Shipping!$R$59*Shipping!$R$60)*IF(bunker_choice="HFO",bunker_price_ROT,IF(bunker_choice="hydrogen",$BD134*hfo_e_density_lhv/h2_e_density_lhv,(DX134+DZ134)*1000000/EB134*hfo_e_density_lhv/Dme_e_density_lhv))+Shipping!$R$73+IF(G134="Panama",Shipping!$R$55,0)+IF(G134="Suez",Shipping!$R$56,0))/Shipping!$R$31*(EB134+Dme_st_ab_losses)/1000000+IF(inland_transport_to_port="hv dc grid",$BM134/100*1000*EE134,IF(inland_transport_to_port="pipeline",$BN134,0)))))</f>
        <v>No Port</v>
      </c>
      <c r="ED134" s="28" t="str">
        <f t="shared" si="134"/>
        <v/>
      </c>
      <c r="EE134" s="29">
        <f>(Dme_e_demand)*(EB134+Dme_st_ab_losses)/1000000+Dme_st_e_demand*DZ134/1000000+$CV134*(Carriers!$X$21/Carriers!$X$23*EB134)/$CS134</f>
        <v>1550.216826780714</v>
      </c>
      <c r="EF134" s="29">
        <f t="shared" si="162"/>
        <v>1.0354708994708997</v>
      </c>
      <c r="EG134" s="28" t="str">
        <f>IFERROR(ED134*1000000/Storage!$Q$12,"")</f>
        <v/>
      </c>
      <c r="EH134" s="28" t="str">
        <f>IF($E134="","No Port",((F134/24/Shipping!$R$44+F134/24/Shipping!$R$50+Shipping!$R$59+Shipping!$R$64)*Carriers!$X$39*wacc_nl))</f>
        <v>No Port</v>
      </c>
      <c r="EI134" s="100">
        <f>H2_retrieval!$P$25*h2_demand_kt/1000+(co2_liq_e_demand+co2_st_e_demand*2)*Storage!$Q$12*co2_density/Dme_density/1000000</f>
        <v>252.45335899349112</v>
      </c>
      <c r="EJ134" s="28" t="str">
        <f>IFERROR((((DX134+DZ134+EC134)*(1+H2_retrieval!$P$34)+EH134)*1000000/H2_retrieval!$P$8)+h2_regen_dme,"")</f>
        <v/>
      </c>
      <c r="EK134" s="149">
        <f>(ome_invest*(M134+1/ome_lifetime)/ome_prod+ome_opex+ome_e_demand*1000*$AU134/100+Carriers!$Z$21/Carriers!$Z$23*(CO134*1000000/CS134))*(EO134+ome_st_ab_losses)/1000000</f>
        <v>253127.1926990214</v>
      </c>
      <c r="EL134" s="86">
        <f>(ome_invest*(M134+1/ome_lifetime)/ome_prod+ome_opex+ome_e_demand*1000*$AU134/100+Carriers!$Z$21/Carriers!$Z$23*(CP134*1000000/CS134))*(EO134+ome_st_ab_losses)/1000000</f>
        <v>309427.23926315363</v>
      </c>
      <c r="EM134" s="63">
        <f>ome_st_nl_cost*ome_st_nl_demand/1000000+(ome_st_invest*(M134+1/ome_st_lifetime+ome_st_opex)/(Storage!$S$63/1000000)+ome_st_e_demand*1000*$AU134/100)*(EO134+ome_st_ab_losses)/1000000+co2_st_nl_cost*Storage!$S$12*co2_density/ome_density/1000000+(co2_st_opex_lev+co2_st_invest_lev+co2_st_e_demand*1000*$AU134/100)*Storage!$S$12/1000000+co2_st_invest_lev*Storage!$S$12*co2_st_lifetime*M134/1000000+(h2_demand_kt*1000/365.25*short_st_duration_hrs/24)*(h2_short_st_invest*(1/gh2_short_st_lifetime+$M134+h2_short_st_opex)+h2_short_st_e_demand*1000*$AU134/100)/1000000</f>
        <v>5718.7592709180435</v>
      </c>
      <c r="EN134" s="63">
        <f>ome_st_nl_cost*ome_st_nl_demand/1000000+(ome_st_invest*(M134+1/ome_st_lifetime+ome_st_opex)/(Storage!$S$63/1000000)+ome_st_e_demand*1000*$AU134/100)*(EO134+ome_st_ab_losses)/1000000+(h2_demand_kt*1000/365.25*short_st_duration_hrs/24)*(h2_short_st_invest*(1/gh2_short_st_lifetime+$M134+h2_short_st_opex)+h2_short_st_e_demand*1000*$AU134/100)/1000000</f>
        <v>2104.9003459439386</v>
      </c>
      <c r="EO134" s="63">
        <f>Storage!$S$57/((1-Shipping!$T$37)^($F134/24/Shipping!$T$44+0.5*Shipping!$T$59))</f>
        <v>128282539.68253967</v>
      </c>
      <c r="EP134" s="28" t="str">
        <f>IF($E134="","No Port",IF(AND(ship_choice="VLCC",G134="Panama"),"Ship cannot pass through Panama",IF(ship_choice="VLCC",((F134/24/Shipping!$AD$44+F134/24/Shipping!$AD$50+Shipping!$AD$59+Shipping!$AD$64)*(Shipping!$AD$22+wacc_nl*Shipping!$AD$19/365.25*1000000+Shipping!$AD$35)+(F134/24/Shipping!$AD$44*Shipping!$AD$45+Shipping!$AD$64*Shipping!$AD$65)*IF(bunker_choice="HFO",$H134,IF(bunker_choice="hydrogen",$BD134*hfo_e_density_lhv/h2_e_density_lhv,(EK134+EM134)*1000000/EO134*hfo_e_density_lhv/Dme_e_density_lhv))+(F134/24/Shipping!$AD$50*Shipping!$AD$51+Shipping!$AD$59*Shipping!$AD$60)*IF(bunker_choice="HFO",bunker_price_ROT,IF(bunker_choice="hydrogen",$BD134*hfo_e_density_lhv/h2_e_density_lhv,(EK134+EM134)*1000000/EO134*hfo_e_density_lhv/ome_e_density_lhv))+Shipping!$AD$73+IF(G134="Panama",Shipping!$AD$55,0)+IF(G134="Suez",Shipping!$AD$56,0))/Shipping!$AD$31*(EO134+ome_st_ab_losses)/1000000+IF(inland_transport_to_port="hv dc grid",$BM134/100*1000*ER134,IF(inland_transport_to_port="pipeline",$BN134,0)),((F134/24/Shipping!$T$44+F134/24/Shipping!$T$50+Shipping!$T$59+Shipping!$T$64)*(Shipping!$T$22+wacc_nl*Shipping!$T$19/365.25*1000000+Shipping!$T$35)+(F134/24/Shipping!$T$44*Shipping!$T$45+Shipping!$T$64*Shipping!$T$65)*IF(bunker_choice="HFO",$H134,IF(bunker_choice="hydrogen",$BD134*hfo_e_density_lhv/h2_e_density_lhv,(EK134+EM134)*1000000/EO134*hfo_e_density_lhv/Dme_e_density_lhv))+(F134/24/Shipping!$T$50*Shipping!$T$51+Shipping!$T$59*Shipping!$T$60)*IF(bunker_choice="HFO",bunker_price_ROT,IF(bunker_choice="hydrogen",$BD134*hfo_e_density_lhv/h2_e_density_lhv,(EK134+EM134)*1000000/EO134*hfo_e_density_lhv/ome_e_density_lhv))+Shipping!$T$73+IF(G134="Panama",Shipping!$T$55,0)+IF(G134="Suez",Shipping!$T$56,0))/Shipping!$T$31*(EO134+ome_st_ab_losses)/1000000+IF(inland_transport_to_port="hv dc grid",$BM134/100*1000*ER134,IF(inland_transport_to_port="pipeline",$BN134,0)))))</f>
        <v>No Port</v>
      </c>
      <c r="EQ134" s="28" t="str">
        <f t="shared" si="135"/>
        <v/>
      </c>
      <c r="ER134" s="29">
        <f>(ome_e_demand)*(EO134+ome_st_ab_losses)/1000000+ome_st_e_demand*EM134/1000000+$CV134*(Carriers!$Z$21/Carriers!$Z$23*EO134)/$CS134</f>
        <v>3352.0814587189225</v>
      </c>
      <c r="ES134" s="29">
        <f t="shared" si="163"/>
        <v>0.1924238095238095</v>
      </c>
      <c r="ET134" s="28" t="str">
        <f>IFERROR(EQ134*1000000/Storage!$S$12,"")</f>
        <v/>
      </c>
      <c r="EU134" s="28" t="str">
        <f>IF($E134="","No Port",((F134/24/Shipping!$T$44+F134/24/Shipping!$T$50+Shipping!$T$59+Shipping!$T$64)*Carriers!$Z$39*wacc_nl))</f>
        <v>No Port</v>
      </c>
      <c r="EV134" s="100">
        <f>H2_retrieval!$R$25*h2_demand_kt/1000+(co2_liq_e_demand+co2_st_e_demand*2)*Storage!$S$12*co2_density/ome_density/1000000</f>
        <v>254.51942895252085</v>
      </c>
      <c r="EW134" s="28" t="str">
        <f>IFERROR((((EK134+EM134+EP134)*(1+H2_retrieval!$R$34)+EU134)*1000000/H2_retrieval!$R$8)+h2_regen_ome,"")</f>
        <v/>
      </c>
      <c r="EX134" s="149">
        <f>(sng_invest*(M134+1/sng_lifetime)/sng_prod+lng_invest*(M134+1/lng_lifetime)/lng_prod+sng_opex+lng_opex+(sng_e_demand+lng_e_demand)*1000*$AU134/100+Carriers!$AB$18/Carriers!$AB$23*BD134+Carriers!$AB$20/Carriers!$AB$23*co2_liq_cost)*(FB134+lng_st_ab_losses)/1000000</f>
        <v>88545.761306676548</v>
      </c>
      <c r="EY134" s="86">
        <f>(sng_invest*(M134+1/sng_lifetime)/sng_prod+lng_invest*(M134+1/lng_lifetime)/lng_prod+sng_opex+lng_opex+(sng_e_demand+lng_e_demand)*1000*$AU134/100+Carriers!$AB$18/Carriers!$AB$23*BD134+Carriers!$AB$20/Carriers!$AB$23*BP134)*(FB134+lng_st_ab_losses)/1000000</f>
        <v>103163.79078387996</v>
      </c>
      <c r="EZ134" s="63">
        <f>lng_st_nl_cost*lng_st_nl_demand/1000000+(lng_st_invest*(M134+1/lng_st_lifetime+lng_st_opex)/(Storage!$U$63/1000000)+lng_st_e_demand*1000*$AU134/100)*(FB134+lng_st_ab_losses)/1000000+co2_st_nl_cost*Storage!$U$12*co2_density/lng_density/1000000+(co2_st_opex_lev+co2_st_invest_lev+co2_st_e_demand*1000*$AU134/100)*Storage!$U$12/1000000+co2_st_invest_lev*Storage!$U$12*co2_st_lifetime*M134/1000000+Carriers!$AB$18/Carriers!$AB$23*((FB134+lng_st_ab_losses)/365.25*short_st_duration_hrs/24)*(h2_short_st_invest*(1/gh2_short_st_lifetime+$M134+h2_short_st_opex)+h2_short_st_e_demand*1000*$AU134/100)/1000000+Carriers!$AB$20/Carriers!$AB$23*((FB134+lng_st_ab_losses)/365.25*short_st_duration_hrs/24)*(co2_short_st_invest*(1/co2_short_st_lifetime+$M134+co2_short_st_opex)+co2_short_st_e_demand*1000*$AU134/100)/1000000</f>
        <v>7074.3117434240012</v>
      </c>
      <c r="FA134" s="63">
        <f>lng_st_nl_cost*lng_st_nl_demand/1000000+(lng_st_invest*(M134+1/lng_st_lifetime+lng_st_opex)/(Storage!$U$63/1000000)+lng_st_e_demand*1000*$AU134/100)*(FB134+lng_st_ab_losses)/1000000+Carriers!$AB$18/Carriers!$AB$23*((FB134+lng_st_ab_losses)/365.25*short_st_duration_hrs/24)*(h2_short_st_invest*(1/gh2_short_st_lifetime+$M134+h2_short_st_opex)+h2_short_st_e_demand*1000*$AU134/100)/1000000+Carriers!$AB$20/Carriers!$AB$23*((FB134+lng_st_ab_losses)/365.25*short_st_duration_hrs/24)*(co2_short_st_invest*(1/co2_short_st_lifetime+$M134+co2_short_st_opex)+co2_short_st_e_demand*1000*$AU134/100)/1000000</f>
        <v>5386.0867020751657</v>
      </c>
      <c r="FB134" s="63">
        <f>Storage!$U$57/((1-Shipping!$V$37)^($F134/24/Shipping!$V$44+0.5*Shipping!$V$59))</f>
        <v>40707231.50721889</v>
      </c>
      <c r="FC134" s="28" t="str">
        <f>IF($E134="","No Port",IF(G134="Panama","Ship cannot pass through Panama",((F134/24/Shipping!$V$44+F134/24/Shipping!$V$50+Shipping!$V$59+Shipping!$V$64)*(Shipping!$V$22+wacc_nl*Shipping!$V$19/365.25*1000000+Shipping!$V$35)+(F134/24/Shipping!$V$44*Shipping!$V$45+Shipping!$V$64*Shipping!$V$65)*IF(bunker_choice="HFO",$H134,IF(bunker_choice="hydrogen",$BD134*hfo_e_density_lhv/h2_e_density_lhv,(EX134+EZ134)*1000000/FB134*hfo_e_density_lhv/lng_e_density_lhv))+(F134/24/Shipping!$V$50*Shipping!$V$51+Shipping!$V$59*Shipping!$V$60)*IF(bunker_choice="HFO",bunker_price_ROT,IF(bunker_choice="hydrogen",$BD134*hfo_e_density_lhv/h2_e_density_lhv,(EX134+EZ134)*1000000/FB134*hfo_e_density_lhv/lng_e_density_lhv))+Shipping!$V$73+IF(G134="Panama",Shipping!$V$55,0)+IF(G134="Suez",Shipping!$V$56,0))/Shipping!$V$31*(FB134+lng_st_ab_losses)/1000000)+IF(inland_transport_to_port="hv dc grid",$BM134/100*1000*FE134,IF(inland_transport_to_port="pipeline",$BN134,0)))</f>
        <v>No Port</v>
      </c>
      <c r="FD134" s="28" t="str">
        <f t="shared" si="136"/>
        <v/>
      </c>
      <c r="FE134" s="29">
        <f>((Carriers!$AB$18/Carriers!$AB$23*alk_el_e_demand)+sng_e_demand+lng_e_demand)*(FB134+lng_st_ab_losses)/1000000+lng_st_e_demand*EZ134/1000000</f>
        <v>1091.7519005148843</v>
      </c>
      <c r="FF134" s="29">
        <f t="shared" si="164"/>
        <v>0.8126185861001558</v>
      </c>
      <c r="FG134" s="28" t="str">
        <f>IFERROR(FD134*1000000/Storage!$U$12,"")</f>
        <v/>
      </c>
      <c r="FH134" s="28" t="str">
        <f>IF($E134="","No Port",((F134/24/Shipping!$V$44+F134/24/Shipping!$V$50+Shipping!$V$59+Shipping!$V$64)*Carriers!$AB$39*wacc_nl))</f>
        <v>No Port</v>
      </c>
      <c r="FI134" s="100">
        <f>H2_retrieval!$T$25*h2_demand_kt/1000+(co2_liq_e_demand+co2_st_e_demand*2)*Storage!$U$12*co2_density/lng_density/1000000</f>
        <v>236.51371749646054</v>
      </c>
      <c r="FJ134" s="28" t="str">
        <f>IFERROR((((EX134+EZ134+FC134)*(1+H2_retrieval!$T$34)+FH134)*1000000/H2_retrieval!$T$8)+h2_regen_lng,"")</f>
        <v/>
      </c>
      <c r="FK134" s="149">
        <f>(lh2_invest*(M134+1/lh2_lifetime)/lh2_prod+lh2_opex+lh2_e_demand*1000*$AU134/100+Carriers!$AD$18/Carriers!$AD$23*BD134)*(FM134+lh2_st_ab_losses)/1000000</f>
        <v>68417.845051612778</v>
      </c>
      <c r="FL134" s="28">
        <f>lh2_st_nl_cost*lh2_st_nl_demand/1000000+(lh2_st_invest*(M134+1/lh2_st_lifetime+lh2_st_opex)/(Storage!$Y$63/1000000)+lh2_st_e_demand*1000*$AU134/100)*(FM134+lh2_st_ab_losses)/1000000+((FM134+lh2_st_ab_losses)/365.25*short_st_duration_hrs/24)*(h2_short_st_invest*(1/gh2_short_st_lifetime+$M134+h2_short_st_opex)+h2_short_st_e_demand*1000*$AU134/100)/1000000</f>
        <v>61573.271670275179</v>
      </c>
      <c r="FM134" s="63">
        <f>Storage!$Y$57/((1-Shipping!$Z$37)^($F134/24/Shipping!$Z$44+0.5*Shipping!$Z$59))</f>
        <v>13659984.090217989</v>
      </c>
      <c r="FN134" s="28" t="str">
        <f>IF($E134="","No Port",IF(G134="Panama","Ship cannot pass through Panama",((F134/24/Shipping!$Z$44+F134/24/Shipping!$Z$50+Shipping!$Z$59+Shipping!$Z$64)*(Shipping!$Z$22+wacc_nl*Shipping!$Z$19/365.25*1000000+Shipping!$Z$35)+(F134/24/Shipping!$Z$44*Shipping!$Z$45+Shipping!$Z$64*Shipping!$Z$65)*IF(bunker_choice="HFO",$H134,IF(bunker_choice="hydrogen",$BD134*hfo_e_density_lhv/h2_e_density_lhv,(FK134+FL134)*1000000/FM134*hfo_e_density_lhv/lh2_e_density_lhv))+(F134/24/Shipping!$Z$50*Shipping!$Z$51+Shipping!$Z$59*Shipping!$Z$60)*IF(bunker_choice="HFO",bunker_price_ROT,IF(bunker_choice="hydrogen",$BD134*hfo_e_density_lhv/h2_e_density_lhv,(FK134+FL134)*1000000/FM134*hfo_e_density_lhv/lh2_e_density_lhv))+Shipping!$Z$73+IF(G134="Panama",Shipping!$Z$55,0)+IF(G134="Suez",Shipping!$Z$56,0))/Shipping!$Z$31*(FM134+lh2_st_ab_losses)/1000000)+IF(inland_transport_to_port="hv dc grid",$BM134/100*1000*FP134,IF(inland_transport_to_port="pipeline",$BN134,0)))</f>
        <v>No Port</v>
      </c>
      <c r="FO134" s="28" t="str">
        <f t="shared" si="128"/>
        <v/>
      </c>
      <c r="FP134" s="29">
        <f>((Carriers!$AD$18/Carriers!$AD$23*alk_el_e_demand)+lh2_e_demand)*(FM134+lh2_st_ab_losses)/1000000+lh2_st_e_demand*FM134/1000000</f>
        <v>791.60233245091877</v>
      </c>
      <c r="FQ134" s="100">
        <f t="shared" si="165"/>
        <v>1.361902463475859</v>
      </c>
      <c r="FR134" s="28" t="str">
        <f>IFERROR(FO134*1000000/Storage!$Y$12,"")</f>
        <v/>
      </c>
      <c r="FS134" s="100">
        <f>H2_retrieval!$V$25*h2_demand_kt/1000</f>
        <v>8.16</v>
      </c>
      <c r="FT134" s="28" t="str">
        <f>IFERROR(FR134*(1+H2_retrieval!$V$34)/Carrier_properties!$U$7+H2_retrieval!$V$38,"")</f>
        <v/>
      </c>
      <c r="FU134" s="12"/>
      <c r="FV134" s="24">
        <f t="shared" si="129"/>
        <v>3.1709666382179869</v>
      </c>
      <c r="FW134" s="24" t="str">
        <f t="shared" si="143"/>
        <v/>
      </c>
      <c r="FX134" s="24" t="str">
        <f t="shared" si="144"/>
        <v/>
      </c>
      <c r="FY134" s="24">
        <f t="shared" si="130"/>
        <v>3.1709666382179869</v>
      </c>
      <c r="FZ134" s="28">
        <f t="shared" si="145"/>
        <v>3819.8460619501079</v>
      </c>
      <c r="GA134" s="28">
        <f t="shared" si="137"/>
        <v>853.3060378818459</v>
      </c>
      <c r="GB134" s="28">
        <f t="shared" si="138"/>
        <v>532.27329436759351</v>
      </c>
      <c r="GC134" s="28">
        <f t="shared" si="139"/>
        <v>952.99344139546838</v>
      </c>
      <c r="GD134" s="28">
        <f t="shared" si="140"/>
        <v>1385.7164300514148</v>
      </c>
      <c r="GE134" s="28">
        <f t="shared" si="141"/>
        <v>2412.0760317724616</v>
      </c>
      <c r="GF134" s="28">
        <f t="shared" si="142"/>
        <v>2534.2865865389354</v>
      </c>
      <c r="GG134" s="12"/>
      <c r="GH134" s="12"/>
      <c r="GI134" s="12"/>
      <c r="GJ134" s="12"/>
      <c r="GK134" s="12"/>
      <c r="GL134" s="12"/>
      <c r="GM134" s="12"/>
      <c r="GN134" s="12"/>
      <c r="GO134" s="12"/>
      <c r="GP134" s="12"/>
      <c r="GQ134" s="12"/>
      <c r="GR134" s="12"/>
      <c r="GS134" s="12"/>
      <c r="GT134" s="12"/>
      <c r="GU134" s="12"/>
      <c r="GV134" s="12"/>
      <c r="GW134" s="12"/>
      <c r="GX134" s="12"/>
      <c r="GY134" s="12"/>
      <c r="GZ134" s="12"/>
      <c r="HA134" s="12"/>
      <c r="HB134" s="12"/>
      <c r="HC134" s="12"/>
      <c r="HD134" s="12"/>
      <c r="HE134" s="12"/>
      <c r="HF134" s="12"/>
    </row>
    <row r="135" spans="1:214" x14ac:dyDescent="0.2">
      <c r="A135" s="154" t="s">
        <v>135</v>
      </c>
      <c r="B135" s="12">
        <v>7085</v>
      </c>
      <c r="C135" s="12">
        <v>0.9</v>
      </c>
      <c r="D135" s="12">
        <f t="shared" si="111"/>
        <v>9.9999999999999978E-2</v>
      </c>
      <c r="E135" s="12" t="s">
        <v>786</v>
      </c>
      <c r="F135" s="12">
        <v>6403</v>
      </c>
      <c r="G135" s="12" t="s">
        <v>692</v>
      </c>
      <c r="H135" s="16">
        <f t="shared" si="166"/>
        <v>382.75862068965517</v>
      </c>
      <c r="I135" s="16">
        <v>885800</v>
      </c>
      <c r="J135" s="16">
        <f t="shared" si="113"/>
        <v>530.9980199413194</v>
      </c>
      <c r="K135" s="16">
        <f t="shared" si="114"/>
        <v>637.1976239295833</v>
      </c>
      <c r="L135" s="103">
        <v>0.14499999999999999</v>
      </c>
      <c r="M135" s="103">
        <f t="shared" si="167"/>
        <v>0.14396484314446753</v>
      </c>
      <c r="N135" s="122">
        <f t="shared" si="116"/>
        <v>0.85</v>
      </c>
      <c r="O135" s="46">
        <f t="shared" si="168"/>
        <v>40</v>
      </c>
      <c r="P135" s="70">
        <f t="array" ref="P135">SUMPRODUCT(IF(Solar_data!A$4:A$777=A135,Solar_data!C$4:C$777),IF(Solar_data!A$4:A$777=A135,Solar_data!I$4:I$777))/SUMIF(Solar_data!A$4:A$777,A135,Solar_data!I$4:I$777)</f>
        <v>2055.5397070448175</v>
      </c>
      <c r="Q135" s="16">
        <f t="array" ref="Q135">MAX(IF(Solar_data!$A$777:'Solar_data'!$A$4=Country_details!$A135,Solar_data!$C$4:'Solar_data'!$C$777))</f>
        <v>2281.25</v>
      </c>
      <c r="R135" s="16">
        <f t="array" ref="R135">MIN(IF(Solar_data!$A$777:'Solar_data'!$A$4=Country_details!A135,Solar_data!$C$4:'Solar_data'!$C$777))</f>
        <v>1551.25</v>
      </c>
      <c r="S135" s="24">
        <f t="shared" ref="S135:S154" si="176">(solar_invest*($M135+1/$O135)+solar_opex)/(P135*$N135)*100</f>
        <v>2.5901513707475345</v>
      </c>
      <c r="T135" s="24">
        <f t="shared" ref="T135:T154" si="177">(solar_invest*($M135+1/$O135)+solar_opex)/(Q135*$N135)*100</f>
        <v>2.3338779133493124</v>
      </c>
      <c r="U135" s="24">
        <f t="shared" ref="U135:U154" si="178">(solar_invest*($M135+1/$O135)+solar_opex)/(R135*$N135)*100</f>
        <v>3.4321734019842829</v>
      </c>
      <c r="V135" s="16">
        <f t="array" ref="V135">SUM(IF(Solar_data!$A$777:'Solar_data'!$A$4=Country_details!$A135,Solar_data!$I$4:'Solar_data'!$I$777))</f>
        <v>7336.5131455475821</v>
      </c>
      <c r="W135" s="148"/>
      <c r="X135" s="16" t="str">
        <f>IFERROR(INDEX(Onshore_wind_data!$J$5:'Onshore_wind_data'!$J$221,MATCH(A135,Onshore_wind_data!$B$5:'Onshore_wind_data'!$B$221,0)),"")</f>
        <v/>
      </c>
      <c r="Y135" s="16" t="str">
        <f>IFERROR(INDEX(Onshore_wind_data!$K$5:'Onshore_wind_data'!$K$221,MATCH(A135,Onshore_wind_data!$B$5:'Onshore_wind_data'!$B$221,0)),"")</f>
        <v/>
      </c>
      <c r="Z135" s="16" t="str">
        <f>IFERROR(INDEX(Onshore_wind_data!$L$5:'Onshore_wind_data'!$L$221,MATCH(A135,Onshore_wind_data!$B$5:'Onshore_wind_data'!$B$221,0)),"")</f>
        <v/>
      </c>
      <c r="AA135" s="24" t="str">
        <f t="shared" si="169"/>
        <v/>
      </c>
      <c r="AB135" s="24" t="str">
        <f t="shared" si="170"/>
        <v/>
      </c>
      <c r="AC135" s="24" t="str">
        <f t="shared" si="171"/>
        <v/>
      </c>
      <c r="AD135" s="16">
        <f>IFERROR(INDEX(Onshore_wind_data!$I$5:'Onshore_wind_data'!$I$221,MATCH(A135,Onshore_wind_data!$B$5:'Onshore_wind_data'!$B$221,0)),"")</f>
        <v>0</v>
      </c>
      <c r="AE135" s="148"/>
      <c r="AF135" s="16" t="e">
        <f>INDEX(Offshore_wind_data!$AA$7:$AA$192,MATCH(Country_details!A135,Offshore_wind_data!$A$7:$A$192,0))</f>
        <v>#N/A</v>
      </c>
      <c r="AG135" s="16" t="e">
        <f>INDEX(Offshore_wind_data!$Y$7:$Y$192,MATCH(Country_details!A135,Offshore_wind_data!$A$7:$A$192,0))</f>
        <v>#N/A</v>
      </c>
      <c r="AH135" s="16" t="e">
        <f>INDEX(Offshore_wind_data!$Z$7:$Z$192,MATCH(Country_details!A135,Offshore_wind_data!$A$7:$A$192,0))</f>
        <v>#N/A</v>
      </c>
      <c r="AI135" s="24" t="e">
        <f t="shared" ref="AI135:AI154" si="179">IF(AF135="","",(offshore_invest*($M135+1/offshore_lifetime)+offshore_opex)/AF135*100)</f>
        <v>#N/A</v>
      </c>
      <c r="AJ135" s="24" t="e">
        <f t="shared" ref="AJ135:AJ154" si="180">IF(AG135="","",(offshore_invest*($M135+1/offshore_lifetime)+offshore_opex)/AG135*100)</f>
        <v>#N/A</v>
      </c>
      <c r="AK135" s="24" t="e">
        <f t="shared" ref="AK135:AK154" si="181">IF(AH135="","",(offshore_invest*($M135+1/offshore_lifetime)+offshore_opex)/AH135*100)</f>
        <v>#N/A</v>
      </c>
      <c r="AL135" s="16" t="e">
        <f>INDEX(Offshore_wind_data!$W$7:$W$191,MATCH(A135,Offshore_wind_data!$A$7:$A$191,0))</f>
        <v>#N/A</v>
      </c>
      <c r="AM135" s="148"/>
      <c r="AN135" s="12">
        <v>54.2</v>
      </c>
      <c r="AO135" s="12">
        <v>137</v>
      </c>
      <c r="AP135" s="34">
        <f>0.469*11.63</f>
        <v>5.4544699999999997</v>
      </c>
      <c r="AQ135" s="15">
        <f t="shared" ref="AQ135:AQ154" si="182">Fut_demand_pc</f>
        <v>50</v>
      </c>
      <c r="AR135" s="12">
        <f t="shared" si="131"/>
        <v>6850</v>
      </c>
      <c r="AS135" s="16">
        <f t="shared" si="121"/>
        <v>486.5131455475821</v>
      </c>
      <c r="AT135" s="12"/>
      <c r="AU135" s="24">
        <f t="shared" ref="AU135:AU154" si="183">IF($X135="",IF(OR(electricity_choice="min solar", electricity_choice="min hybrid"),$T135,IF(OR(electricity_choice="weighted solar",electricity_choice="weighted hybrid"),$S135,IF(OR(electricity_choice="max solar",electricity_choice="max hybrid"),$U135))),IF(electricity_choice="min solar",$T135,IF(electricity_choice="weighted solar",$S135,IF(electricity_choice="max solar",$U135,IF(electricity_choice="min hybrid",($T135*$Q135+$Y135*$AB135)/($Q135+$Y135),IF(electricity_choice="weighted hybrid",($S135*$P135+$X135*$AA135)/($P135+$X135),IF(electricity_choice="max hybrid",($U135*$R135+$Z135*$AC135)/($R135+$Z135))))))))</f>
        <v>2.5901513707475345</v>
      </c>
      <c r="AV135" s="16">
        <f t="shared" ref="AV135:AV154" si="184">IF($X135="",IF(OR(electricity_choice="min solar", electricity_choice="min hybrid"),$Q135,IF(OR(electricity_choice="weighted solar",electricity_choice="weighted hybrid"),$P135,IF(OR(electricity_choice="max solar",electricity_choice="max hybrid"),$R135))),IF(electricity_choice="min solar",$Q135,IF(electricity_choice="weighted solar",$P135,IF(electricity_choice="max solar",$R135,IF(electricity_choice="min hybrid",($Q135+$Y135),IF(electricity_choice="weighted hybrid",($P135+$X135),IF(electricity_choice="max hybrid",($R135+$Z135))))))))</f>
        <v>2055.5397070448175</v>
      </c>
      <c r="AW135" s="149">
        <f>HV_DC_Grid!$E$3/(1-AX135)*AU135/100*1000</f>
        <v>3024.9102101514727</v>
      </c>
      <c r="AX135" s="31">
        <f>(1-(1-HV_DC_Grid!$E$25)^(B135*C135*HV_DC_Grid!$E$8/1000))+(1-(1-HV_DC_Grid!$E$26)^(B135*D135*HV_DC_Grid!$E$8/1000))+HV_DC_Grid!$E$35*HV_DC_Grid!$E$28</f>
        <v>0.14372619654788621</v>
      </c>
      <c r="AY135" s="28">
        <f>B135*nl_e_demand/IF(hv_dc_flh="electricity FLH",$AV135,hv_dc_custom)*1000*hv_dc_capacity_multiplier*hv_dc_length_multiplier*1000*(C135*hv_dc_overhead_invest*(hv_dc_overhead_opex+M135+1/hv_dc_lifetime)+D135*hv_dc_sea_invest*(hv_dc_sea_opex+M135+1/hv_dc_lifetime))/1000000+HV_DC_Grid!$E$10*1000*hv_dc_station_invest*hv_dc_station_number*(hv_dc_station_opex+M135+1/hv_dc_lifetime)/1000000</f>
        <v>8617.234815776128</v>
      </c>
      <c r="AZ135" s="24">
        <f>(AW135+AY135)/(HV_DC_Grid!$E$3*1000)*100</f>
        <v>11.642145025927601</v>
      </c>
      <c r="BA135" s="28">
        <f>MIN(((Carriers!$F$26+Carriers!$F$27)*(alk_el_opex+wacc_nl+1/alk_el_lifetime)+IF(hv_dc_flh="electricity FLH",$AV135,hv_dc_custom)*AZ135/100)/(IF(hv_dc_flh="electricity FLH",$AV135,hv_dc_custom)/alk_el_e_demand)*1000,((Carriers!$H$26+Carriers!$H$27)*(pem_el_opex+wacc_nl+1/pem_el_lifetime)+IF(hv_dc_flh="electricity FLH",$AV135,hv_dc_custom)*AZ135/100)/(IF(hv_dc_flh="electricity FLH",$AV135,hv_dc_custom)/pem_el_e_demand)*1000)</f>
        <v>6304.6163096861519</v>
      </c>
      <c r="BB135" s="12"/>
      <c r="BC135" s="12"/>
      <c r="BD135" s="149">
        <f>MIN(((Carriers!$F$26+Carriers!$F$27)*(alk_el_opex+M135+1/alk_el_lifetime)+$AV135*$AU135/100)/($AV135/alk_el_e_demand)*1000,((Carriers!$H$26+Carriers!$H$27)*(pem_el_opex+M135+1/pem_el_lifetime)+$AV135*$AU135/100)/($AV135/pem_el_e_demand)*1000)</f>
        <v>3143.7670675541126</v>
      </c>
      <c r="BE135" s="28">
        <f>Storage!$AC$50</f>
        <v>8.1664117557772418</v>
      </c>
      <c r="BF135" s="28">
        <f>((Pipeline!$D$22*Pipeline!$D$24*B135*(pipeline_opex+M135+1/pipeline_lifetime))*(Pipeline!$D$39/Pipeline!$D$3)+(Pipeline!$D$57*(pipeline_comp_opex+M135+1/pipeline_comp_lifetime)+Pipeline!$D$47*1000*Pipeline!$D$45*$AU135/100/1000000))*(Pipeline!$D$75/Pipeline!$D$45)</f>
        <v>17498.858845162074</v>
      </c>
      <c r="BG135" s="28">
        <f>BD135+(BE135+BF135)/Storage!$AC$12*1000000</f>
        <v>4431.0483364451311</v>
      </c>
      <c r="BH135" s="28"/>
      <c r="BI135" s="28"/>
      <c r="BJ135" s="28">
        <f>IF($E135="","No Port",BK135*HV_DC_Grid!$E$3*$AU135/100*1000)</f>
        <v>68.010597407406863</v>
      </c>
      <c r="BK135" s="31">
        <f>IFERROR((1-(1-HV_DC_Grid!$E$25)^(K135*HV_DC_Grid!$E$8/1000))+HV_DC_Grid!$E$35*HV_DC_Grid!$E$28,"")</f>
        <v>2.6257383323422742E-2</v>
      </c>
      <c r="BL135" s="28">
        <f>IFERROR(K135*nl_e_demand/IF(hv_dc_flh="electricity FLH",$AV135,hv_dc_custom)*1000*hv_dc_capacity_multiplier*hv_dc_length_multiplier*1000*(hv_dc_overhead_invest*(hv_dc_overhead_opex+M135+1/hv_dc_lifetime))/1000000+HV_DC_Grid!$E$10*1000*hv_dc_station_invest*hv_dc_station_number*(hv_dc_station_opex+M135+1/hv_dc_lifetime)/1000000,"")</f>
        <v>1074.5771223835247</v>
      </c>
      <c r="BM135" s="29">
        <f>IFERROR((BJ135+BL135)/(HV_DC_Grid!$E$3*1000)*100,"")</f>
        <v>1.1425877197909318</v>
      </c>
      <c r="BN135" s="28">
        <f>IFERROR(((Pipeline!$D$22*Pipeline!$D$24*K135*(pipeline_opex+M135+1/pipeline_lifetime))*(Pipeline!$D$39/Pipeline!$D$3)+(Pipeline!$D$57*(pipeline_comp_opex+M135+1/pipeline_comp_lifetime)+Pipeline!$D$47*1000*Pipeline!$D$45*S135/100/1000000))*(Pipeline!$D$75/Pipeline!$D$45),"")</f>
        <v>1652.4029128012576</v>
      </c>
      <c r="BO135" s="28"/>
      <c r="BP135" s="150">
        <f t="shared" si="172"/>
        <v>122.72825411134522</v>
      </c>
      <c r="BQ135" s="34">
        <f t="shared" si="173"/>
        <v>36.781618281358696</v>
      </c>
      <c r="BR135" s="151">
        <f>(nh3_invest*(M135+1/nh3_lifetime)/nh3_prod+nh3_opex+nh3_e_demand*1000*$AU135/100+Carriers!$N$18/Carriers!$N$23*BD135+Carriers!$N$19/Carriers!$N$23*BQ135)*(BT135+nh3_st_ab_losses)/1000000</f>
        <v>57149.860692672941</v>
      </c>
      <c r="BS135" s="63">
        <f>nh3_st_nl_cost*nh3_st_nl_demand/1000000+(nh3_st_invest*(M135+1/nh3_st_lifetime+nh3_st_opex)/(Storage!$G$63/1000000)+nh3_st_e_demand*1000*$AU135/100)*(BT135+nh3_st_ab_losses)/1000000+Carriers!$N$18/Carriers!$N$23*((BT135+nh3_st_ab_losses)/365.25*short_st_duration_hrs/24)*(h2_short_st_invest*(1/gh2_short_st_lifetime+$M135+h2_short_st_opex)+h2_short_st_e_demand*1000*$AU135/100)/1000000+Carriers!$N$19/Carriers!$N$23*((BT135+nh3_st_ab_losses)/365.25*short_st_duration_hrs/24)*(n2_short_st_invest*(1/n2_short_st_lifetime+$M135+n2_short_st_opex)+n2_short_st_e_demand*1000*$AU135/100)/1000000</f>
        <v>3691.7285787725391</v>
      </c>
      <c r="BT135" s="63">
        <f>Storage!$G$57/((1-Shipping!$H$37)^(F135/24/Shipping!$H$44+0.5*Shipping!$H$59))</f>
        <v>80030895.325612471</v>
      </c>
      <c r="BU135" s="63">
        <f>IF($E135="","No Port",((F135/24/Shipping!$H$44+F135/24/Shipping!$H$50+Shipping!$H$59+Shipping!$H$64)*(Shipping!$H$22+wacc_nl*Shipping!$H$19/365.25*1000000+Shipping!$H$35)+(F135/24/Shipping!$H$44*Shipping!$H$45+Shipping!$H$64*Shipping!$H$65)*IF(bunker_choice="HFO",H135,IF(bunker_choice="hydrogen",BD135*hfo_e_density_lhv/h2_e_density_lhv,(BR135+BS135)*1000000/BT135*hfo_e_density_lhv/nh3_e_density_lhv))+(F135/24/Shipping!$H$50*Shipping!$H$51+Shipping!$H$59*Shipping!$H$60)*IF(bunker_choice="HFO",bunker_price_ROT,IF(bunker_choice="hydrogen",BD135*hfo_e_density_lhv/h2_e_density_lhv,(BR135+BS135)*1000000/BT135*hfo_e_density_lhv/nh3_e_density_lhv))+Shipping!$H$73+IF(G135="Panama",Shipping!$H$55,0)+IF(G135="Suez",Shipping!$H$56,0))/Shipping!$H$31*BT135/1000000+IF(inland_transport_to_port="hv dc grid",$BM135/100*1000*BW135,IF(inland_transport_to_port="pipeline",$BN135,0)))</f>
        <v>6487.7622877865542</v>
      </c>
      <c r="BV135" s="63">
        <f t="shared" si="174"/>
        <v>67329.351559232033</v>
      </c>
      <c r="BW135" s="33">
        <f>((Carriers!$N$18/Carriers!$N$23*alk_el_e_demand)+(Carriers!$N$19/Carriers!$N$23*n2_e_demand)+nh3_e_demand)*(BT135+nh3_st_ab_losses)/1000000+nh3_st_e_demand*BT135/1000000</f>
        <v>790.31739856175989</v>
      </c>
      <c r="BX135" s="33">
        <f t="shared" ref="BX135:BX154" si="185">nh3_st_e_demand*nh3_st_nl_demand/1000000</f>
        <v>0.76626754477640768</v>
      </c>
      <c r="BY135" s="63">
        <f>IFERROR(BV135*1000000/Storage!$G$12,"")</f>
        <v>879.39845786535636</v>
      </c>
      <c r="BZ135" s="63">
        <f>H2_retrieval!$F$25*h2_demand_kt/1000</f>
        <v>80</v>
      </c>
      <c r="CA135" s="63">
        <f>IFERROR(BY135*(1+H2_retrieval!$F$34)/Carrier_properties!$E$7+H2_retrieval!$F$38,"")</f>
        <v>5359.9135942931489</v>
      </c>
      <c r="CB135" s="149">
        <f>(FA_invest*(M135+1/FA_lifetime)/FA_prod+FA_opex+FA_e_demand*1000*$AU135/100+Carriers!$P$18/Carriers!$P$23*BD135+Carriers!$P$20/Carriers!$P$23*co2_liq_cost)*(CF135+FA_st_ab_losses)/1000000</f>
        <v>110789.8465695826</v>
      </c>
      <c r="CC135" s="86">
        <f>(FA_invest*(M135+1/FA_lifetime)/FA_prod+FA_opex+FA_e_demand*1000*$AU135/100+Carriers!$P$18/Carriers!$P$23*BD135+Carriers!$P$20/Carriers!$P$23*BP135)*(CF135+FA_st_ab_losses)/1000000</f>
        <v>140545.44701164542</v>
      </c>
      <c r="CD135" s="63">
        <f>FA_st_nl_cost*FA_st_nl_demand/1000000+(FA_st_invest*(M135+1/FA_st_lifetime+FA_st_opex)/(Storage!$I$63/1000000)+FA_st_e_demand*1000*$AU135/100)*(CF135+FA_st_ab_losses)/1000000+co2_st_nl_cost*Storage!$I$12*co2_density/FA_density/1000000+(co2_st_opex_lev+co2_st_invest_lev+co2_st_e_demand*1000*$AU135/100)*Storage!$I$12/1000000+co2_st_invest_lev*Storage!$I$12*co2_st_lifetime*M135/1000000+Carriers!$P$18/Carriers!$P$23*((CF135+FA_st_ab_losses)/365.25*short_st_duration_hrs/24)*(h2_short_st_invest*(1/gh2_short_st_lifetime+$M135+h2_short_st_opex)+h2_short_st_e_demand*1000*$AU135/100)/1000000+Carriers!$P$20/Carriers!$P$23*((CF135+FA_st_ab_losses)/365.25*short_st_duration_hrs/24)*(co2_short_st_invest*(1/co2_short_st_lifetime+$M135+co2_short_st_opex)+co2_short_st_e_demand*1000*$AU135/100)/1000000</f>
        <v>12361.480430361647</v>
      </c>
      <c r="CE135" s="63">
        <f>FA_st_nl_cost*FA_st_nl_demand/1000000+(FA_st_invest*(M135+1/FA_st_lifetime+FA_st_opex)/(Storage!$I$63/1000000)+FA_st_e_demand*1000*$AU135/100)*(CF135+FA_st_ab_losses)/1000000+Carriers!$P$18/Carriers!$P$23*((CF135+FA_st_ab_losses)/365.25*short_st_duration_hrs/24)*(h2_short_st_invest*(1/gh2_short_st_lifetime+$M135+h2_short_st_opex)+h2_short_st_e_demand*1000*$AU135/100)/1000000+Carriers!$P$20/Carriers!$P$23*((CF135+FA_st_ab_losses)/365.25*short_st_duration_hrs/24)*(co2_short_st_invest*(1/co2_short_st_lifetime+$M135+co2_short_st_opex)+co2_short_st_e_demand*1000*$AU135/100)/1000000</f>
        <v>5427.9140629707763</v>
      </c>
      <c r="CF135" s="63">
        <f>Storage!$I$57/((1-Shipping!$J$37)^($F135/24/Shipping!$J$44+0.5*Shipping!$J$59))</f>
        <v>310425396.82539684</v>
      </c>
      <c r="CG135" s="28">
        <f>IF($E135="","No Port",((F135/24/Shipping!$J$44+F135/24/Shipping!$J$50+Shipping!$J$59+Shipping!$J$64)*(Shipping!$J$22+wacc_nl*Shipping!$J$19/365.25*1000000+Shipping!$J$35)+(F135/24/Shipping!$J$44*Shipping!$J$45+Shipping!$J$64*Shipping!$J$65)*IF(bunker_choice="HFO",$H135,IF(bunker_choice="hydrogen",$BD135*hfo_e_density_lhv/h2_e_density_lhv,(CB135+CD135)*1000000/CF135*hfo_e_density_lhv/FA_e_density_lhv))+(F135/24/Shipping!$J$50*Shipping!$J$51+Shipping!$J$59*Shipping!$J$60)*IF(bunker_choice="HFO",bunker_price_ROT,IF(bunker_choice="hydrogen",$BD135*hfo_e_density_lhv/h2_e_density_lhv,(CB135+CD135)*1000000/CF135*hfo_e_density_lhv/FA_e_density_lhv))+Shipping!$J$73+IF(G135="Panama",Shipping!$J$55,0)+IF(G135="Suez",Shipping!$J$56,0))/Shipping!$J$31*CF135/1000000+IF(inland_transport_to_port="hv dc grid",$BM135/100*1000*CI135,IF(inland_transport_to_port="pipeline",$BN135,0)))</f>
        <v>22843.40002474171</v>
      </c>
      <c r="CH135" s="28">
        <f t="shared" si="132"/>
        <v>168816.76109935791</v>
      </c>
      <c r="CI135" s="29">
        <f>((Carriers!$P$18/Carriers!$P$23*alk_el_e_demand)+FA_e_demand)*(CF135+FA_st_ab_losses)/1000000+FA_st_e_demand*CF135/1000000</f>
        <v>1897.8881241622576</v>
      </c>
      <c r="CJ135" s="29">
        <f t="shared" ref="CJ135:CJ154" si="186">FA_st_e_demand*FA_st_nl_demand/1000000</f>
        <v>0.46563809523809524</v>
      </c>
      <c r="CK135" s="28">
        <f>IFERROR(CH135*1000000/Storage!$I$12,"")</f>
        <v>543.82393588212528</v>
      </c>
      <c r="CL135" s="28">
        <f>IF($E135="","No Port",((F135/24/Shipping!$J$44+F135/24/Shipping!$J$50+Shipping!$J$59+Shipping!$J$64)*Carriers!$P$39*wacc_nl))</f>
        <v>310.11490304859518</v>
      </c>
      <c r="CM135" s="29">
        <f>H2_retrieval!$H$25*h2_demand_kt/1000+(co2_liq_e_demand+co2_st_e_demand*2)*Storage!$I$12*co2_density/FA_density/1000000</f>
        <v>94.204253879484654</v>
      </c>
      <c r="CN135" s="28">
        <f>IFERROR((((CB135+CD135+CG135)*(1+H2_retrieval!$H$34)+CL135)*1000000/H2_retrieval!$H$8)+h2_regen_fa,"")</f>
        <v>10847.396333041555</v>
      </c>
      <c r="CO135" s="149">
        <f>(meoh_invest*(M135+1/meoh_lifetime)/meoh_prod+meoh_opex+meoh_e_demand*1000*$AU135/100+Carriers!$R$18/Carriers!$R$23*BD135+Carriers!$R$20/Carriers!$R$23*co2_liq_cost)*(CS135+meoh_st_ab_losses)/1000000</f>
        <v>68724.928996866292</v>
      </c>
      <c r="CP135" s="86">
        <f>(meoh_invest*(M135+1/meoh_lifetime)/meoh_prod+meoh_opex+meoh_e_demand*1000*$AU135/100+Carriers!$R$18/Carriers!$R$23*BD135+Carriers!$R$20/Carriers!$R$23*BP135)*(CS135+meoh_st_ab_losses)/1000000</f>
        <v>86192.385066386909</v>
      </c>
      <c r="CQ135" s="63">
        <f>meoh_st_nl_cost*meoh_st_nl_demand/1000000+(meoh_st_invest*(M135+1/meoh_st_lifetime+meoh_st_opex)/(Storage!$K$63/1000000)+meoh_st_e_demand*1000*$AU135/100)*(CS135+meoh_st_ab_losses)/1000000+co2_st_nl_cost*Storage!$K$12*co2_density/meoh_density/1000000+(co2_st_opex_lev+co2_st_invest_lev+co2_st_e_demand*1000*IFERROR(MIN(S135,AA135,AI135),S135)/100)*Storage!$K$12/1000000+co2_st_invest_lev*Storage!$K$12*co2_st_lifetime*M135/1000000+Carriers!$R$18/Carriers!$R$23*((CS135+meoh_st_ab_losses)/365.25*short_st_duration_hrs/24)*(h2_short_st_invest*(1/gh2_short_st_lifetime+$M135+h2_short_st_opex)+h2_short_st_e_demand*1000*$AU135/100)/1000000+Carriers!$R$20/Carriers!$R$23*((CF135+meoh_st_ab_losses)/365.25*short_st_duration_hrs/24)*(co2_short_st_invest*(1/co2_short_st_lifetime+$M135+co2_short_st_opex)+co2_short_st_e_demand*1000*$AU135/100)/1000000</f>
        <v>5172.5937494017571</v>
      </c>
      <c r="CR135" s="63">
        <f>meoh_st_nl_cost*meoh_st_nl_demand/1000000+(meoh_st_invest*(M135+1/meoh_st_lifetime+meoh_st_opex)/(Storage!$K$63/1000000)+meoh_st_e_demand*1000*$AU135/100)*(CS135+meoh_st_ab_losses)/1000000+Carriers!$R$18/Carriers!$R$23*((CS135+meoh_st_ab_losses)/365.25*short_st_duration_hrs/24)*(h2_short_st_invest*(1/gh2_short_st_lifetime+$M135+h2_short_st_opex)+h2_short_st_e_demand*1000*$AU135/100)/1000000+Carriers!$R$20/Carriers!$R$23*((CF135+meoh_st_ab_losses)/365.25*short_st_duration_hrs/24)*(co2_short_st_invest*(1/co2_short_st_lifetime+$M135+co2_short_st_opex)+co2_short_st_e_demand*1000*$AU135/100)/1000000</f>
        <v>2160.3487683456742</v>
      </c>
      <c r="CS135" s="63">
        <f>Storage!$K$57/((1-Shipping!$L$37)^($F135/24/Shipping!$L$44+0.5*Shipping!$L$59))</f>
        <v>108044444.44444443</v>
      </c>
      <c r="CT135" s="28">
        <f>IF($E135="","No Port",IF(AND(ship_choice="VLCC",G135="Panama"),"Ship cannot pass through Panama",IF(ship_choice="VLCC",((F135/24/Shipping!$AD$44+F135/24/Shipping!$AD$50+Shipping!$AD$59+Shipping!$AD$64)*(Shipping!$AD$22+wacc_nl*Shipping!$AD$19/365.25*1000000+Shipping!$AD$35)+(F135/24/Shipping!$AD$44*Shipping!$AD$45+Shipping!$AD$64*Shipping!$AD$65)*IF(bunker_choice="HFO",$H135,IF(bunker_choice="hydrogen",$BD135*hfo_e_density_lhv/h2_e_density_lhv,(CO135+CQ135)*1000000/CS135*hfo_e_density_lhv/meoh_e_density_lhv))+(F135/24/Shipping!$AD$50*Shipping!$AD$51+Shipping!$AD$59*Shipping!$AD$60)*IF(bunker_choice="HFO",bunker_price_ROT,IF(bunker_choice="hydrogen",$BD135*hfo_e_density_lhv/h2_e_density_lhv,(CO135+CQ135)*1000000/CS135*hfo_e_density_lhv/meoh_e_density_lhv))+Shipping!$AD$73+IF(G135="Panama",Shipping!$AD$55,0)+IF(G135="Suez",Shipping!$AD$56,0))/Shipping!$AD$31*CS135/1000000+IF(inland_transport_to_port="hv dc grid",$BM135/100*1000*CV135,IF(inland_transport_to_port="pipeline",$BN135,0)),((F135/24/Shipping!$L$44+F135/24/Shipping!$L$50+Shipping!$L$59+Shipping!$L$64)*(Shipping!$L$22+wacc_nl*Shipping!$L$19/365.25*1000000+Shipping!$L$35)+(F135/24/Shipping!$L$44*Shipping!$L$45+Shipping!$L$64*Shipping!$L$65)*IF(bunker_choice="HFO",$H135,IF(bunker_choice="hydrogen",$BD135*hfo_e_density_lhv/h2_e_density_lhv,(CO135+CQ135)*1000000/CS135*hfo_e_density_lhv/meoh_e_density_lhv))+(F135/24/Shipping!$L$50*Shipping!$L$51+Shipping!$L$59*Shipping!$L$60)*IF(bunker_choice="HFO",bunker_price_ROT,IF(bunker_choice="hydrogen",$BD135*hfo_e_density_lhv/h2_e_density_lhv,(CO135+CQ135)*1000000/CS135*hfo_e_density_lhv/meoh_e_density_lhv))+Shipping!$L$73+IF(G135="Panama",Shipping!$L$55,0)+IF(G135="Suez",Shipping!$L$56,0))/Shipping!$L$31*CS135/1000000+IF(inland_transport_to_port="hv dc grid",$BM135/100*1000*CV135,IF(inland_transport_to_port="pipeline",$BN135,0)))))</f>
        <v>8698.5153755752381</v>
      </c>
      <c r="CU135" s="28">
        <f t="shared" si="133"/>
        <v>97051.249210307826</v>
      </c>
      <c r="CV135" s="29">
        <f>((Carriers!$R$18/Carriers!$R$23*alk_el_e_demand)+meoh_e_demand)*(CS135+meoh_st_ab_losses)/1000000+meoh_st_e_demand*CS135/1000000</f>
        <v>1119.9789871111109</v>
      </c>
      <c r="CW135" s="29">
        <f t="shared" ref="CW135:CW154" si="187">meoh_st_e_demand*meoh_st_nl_demand/1000000</f>
        <v>0.16206666666666666</v>
      </c>
      <c r="CX135" s="28">
        <f>IFERROR(CU135*1000000/Storage!$K$12,"")</f>
        <v>898.25302642201825</v>
      </c>
      <c r="CY135" s="28">
        <f>IF($E135="","No Port",((F135/24/Shipping!$L$44+F135/24/Shipping!$L$50+Shipping!$L$59+Shipping!$L$64)*Carriers!$R$39*wacc_nl))</f>
        <v>111.12114266763965</v>
      </c>
      <c r="CZ135" s="29">
        <f>H2_retrieval!$J$25*h2_demand_kt/1000+(co2_liq_e_demand+co2_st_e_demand*2)*Storage!$K$12*co2_density/meoh_density/1000000</f>
        <v>251.05079059698966</v>
      </c>
      <c r="DA135" s="28">
        <f>IFERROR((((CO135+CQ135+CT135)*(1+H2_retrieval!$J$34)+CY135)*1000000/H2_retrieval!$J$8)+h2_regen_meoh,"")</f>
        <v>7251.5373126454497</v>
      </c>
      <c r="DB135" s="149">
        <f>(DBT_invest*(M135+1/DBT_lifetime)/DBT_prod+DBT_opex+DBT_e_demand*1000*$AU135/100+Carriers!$T$18/Carriers!$T$23*BD135)*(DD135+DBT_st_ab_losses)/1000000</f>
        <v>46222.90658298105</v>
      </c>
      <c r="DC135" s="28">
        <f>2*(DBT_st_nl_cost*DBT_st_nl_demand/1000000+(DBT_st_invest*(M135+1/DBT_st_lifetime+DBT_st_opex)/(Storage!$M$63/1000000)+DBT_st_e_demand*1000*$AU135/100)*(DD135+DBT_st_ab_losses)/1000000)+Carriers!$T$18/Carriers!$T$23*((DD135+DBT_st_ab_losses)/365.25*short_st_duration_hrs/24)*(h2_short_st_invest*(1/gh2_short_st_lifetime+$M135+h2_short_st_opex)+h2_short_st_e_demand*1000*$AU135/100)/1000000</f>
        <v>4410.825057272672</v>
      </c>
      <c r="DD135" s="63">
        <f>Storage!$M$57/((1-Shipping!$N$37)^($F135/24/Shipping!$N$44+0.5*Shipping!$N$59))</f>
        <v>219354838.70967743</v>
      </c>
      <c r="DE135" s="28">
        <f>IF($E135="","No Port",IF(AND(ship_choice="VLCC",G135="Panama"),"Ship cannot pass through Panama",IF(ship_choice="VLCC",((F135/24/Shipping!$AD$44+F135/24/Shipping!$AD$50+Shipping!$AD$59+Shipping!$AD$64)*(Shipping!$AD$22+wacc_nl*Shipping!$AD$19/365.25*1000000+Shipping!$AD$35)+(F135/24/Shipping!$AD$44*Shipping!$AD$45+Shipping!$AD$64*Shipping!$AD$65)*IF(bunker_choice="HFO",$H135,IF(bunker_choice="hydrogen",$BD135*hfo_e_density_lhv/h2_e_density_lhv,(DB135+DC135)*1000000/DD135*hfo_e_density_lhv/DBT_e_density_lhv))+(F135/24/Shipping!$AD$50*Shipping!$AD$51+Shipping!$AD$59*Shipping!$AD$60)*IF(bunker_choice="HFO",bunker_price_ROT,IF(bunker_choice="hydrogen",$BD135*hfo_e_density_lhv/h2_e_density_lhv,(DB135+DC135)*1000000/DD135*hfo_e_density_lhv/DBT_e_density_lhv))+Shipping!$AD$73+IF(G135="Panama",Shipping!$AD$55,0)+IF(G135="Suez",Shipping!$AD$56,0))/Shipping!$AD$31*DD135/1000000+IF(inland_transport_to_port="hv dc grid",$BM135/100*1000*DG135,IF(inland_transport_to_port="pipeline",$BN135,0)),((F135/24/Shipping!$N$44+F135/24/Shipping!$N$50+Shipping!$N$59+Shipping!$N$64)*(Shipping!$N$22+wacc_nl*Shipping!$N$19/365.25*1000000+Shipping!$N$35)+(F135/24/Shipping!$N$44*Shipping!$N$45+Shipping!$N$64*Shipping!$N$65)*IF(bunker_choice="HFO",$H135,IF(bunker_choice="hydrogen",$BD135*hfo_e_density_lhv/h2_e_density_lhv,(DB135+DC135)*1000000/DD135*hfo_e_density_lhv/DBT_e_density_lhv))+(F135/24/Shipping!$N$50*Shipping!$N$51+Shipping!$N$59*Shipping!$N$60)*IF(bunker_choice="HFO",bunker_price_ROT,IF(bunker_choice="hydrogen",$BD135*hfo_e_density_lhv/h2_e_density_lhv,(DB135+DC135)*1000000/DD135*hfo_e_density_lhv/DBT_e_density_lhv))+Shipping!$N$73+IF(G135="Panama",Shipping!$N$55,0)+IF(G135="Suez",Shipping!$N$56,0))/Shipping!$N$31*Shipping!$N$86/1000000+IF(inland_transport_to_port="hv dc grid",$BM135/100*1000*DG135,IF(inland_transport_to_port="pipeline",$BN135,0)))))</f>
        <v>14943.633465584244</v>
      </c>
      <c r="DF135" s="28">
        <f t="shared" si="159"/>
        <v>65577.365105837962</v>
      </c>
      <c r="DG135" s="29">
        <f>((Carriers!$T$18/Carriers!$T$23*alk_el_e_demand)+DBT_e_demand)*(DD135+DBT_st_ab_losses)/1000000+DBT_st_e_demand*DD135/1000000</f>
        <v>703.88335483870969</v>
      </c>
      <c r="DH135" s="29">
        <f t="shared" ref="DH135:DH154" si="188">DBT_st_e_demand*DBT_st_nl_demand/1000000</f>
        <v>0.21935483870967742</v>
      </c>
      <c r="DI135" s="28">
        <f>IFERROR(DF135*1000000/Storage!$M$12,"")</f>
        <v>298.95563504132008</v>
      </c>
      <c r="DJ135" s="28">
        <f>IF($E135="","No Port",((F135/24/Shipping!$N$44+F135/24/Shipping!$N$50+Shipping!$N$59+Shipping!$N$64)*Carriers!$T$39*wacc_nl))</f>
        <v>8093.3179224204696</v>
      </c>
      <c r="DK135" s="100">
        <f>H2_retrieval!$L$25*h2_demand_kt/1000+(co2_liq_e_demand+co2_st_e_demand*2)*Storage!$M$12*co2_density/DBT_density/1000000</f>
        <v>206.61934861671787</v>
      </c>
      <c r="DL135" s="28">
        <f>IFERROR(((DF135*(1+H2_retrieval!$L$34)+DJ135)*1000000/H2_retrieval!$L$8)+h2_regen_lohc,"")</f>
        <v>5887.6117680107382</v>
      </c>
      <c r="DM135" s="149">
        <f t="shared" si="175"/>
        <v>52285.359011615728</v>
      </c>
      <c r="DN135" s="16">
        <f>2*(nabh4_st_nl_cost*nabh4_st_nl_demand/1000000+(nabh4_st_invest*(M135+1/nabh4_st_lifetime+nabh4_st_opex)/(Storage!$O$63/1000000)+nabh4_st_e_demand*1000*$AU135/100)*(DO135+nabh4_st_ab_losses)/1000000)+(h2_demand_kt*1000/365.25*short_st_duration_hrs/24)*(h2_short_st_invest*(1/gh2_short_st_lifetime+$M135+h2_short_st_opex)+h2_short_st_e_demand*1000*$AU135/100)/1000000</f>
        <v>1485.315651384275</v>
      </c>
      <c r="DO135" s="63">
        <f>Storage!$O$57/((1-Shipping!$P$37)^($F135/24/Shipping!$P$44+0.5*Shipping!$P$59))</f>
        <v>63920000</v>
      </c>
      <c r="DP135" s="16">
        <f>IF($E135="","No Port",((F135/24/Shipping!$P$44+F135/24/Shipping!$P$50+Shipping!$P$59+Shipping!$P$64)*(Shipping!$P$22+wacc_nl*Shipping!$P$19/365.25*1000000+Shipping!$P$35)+(F135/24/Shipping!$P$44*Shipping!$P$45+Shipping!$P$64*Shipping!$P$65)*IF(bunker_choice="HFO",$H135,IF(bunker_choice="hydrogen",$BD135*hfo_e_density_lhv/h2_e_density_lhv,(DM135+DN135)*1000000/DO135*hfo_e_density_lhv/nabh4_e_density_lhv))+(F135/24/Shipping!$P$50*Shipping!$P$51+Shipping!$P$59*Shipping!$P$60)*IF(bunker_choice="HFO",bunker_price_ROT,IF(bunker_choice="hydrogen",$BD135*hfo_e_density_lhv/h2_e_density_lhv,(DM135+DN135)*1000000/DO135*hfo_e_density_lhv/nabh4_e_density_lhv))+Shipping!$P$73+IF(G135="Panama",Shipping!$P$55,0)+IF(G135="Suez",Shipping!$P$56,0))/Shipping!$P$31*(DO135+nabh4_st_ab_losses)/1000000+IF(inland_transport_to_port="hv dc grid",$BM135/100*1000*DR135,IF(inland_transport_to_port="pipeline",$BN135,0)))</f>
        <v>4919.8539758924435</v>
      </c>
      <c r="DQ135" s="28">
        <f t="shared" si="146"/>
        <v>58690.528638892451</v>
      </c>
      <c r="DR135" s="29">
        <f>((Carriers!$V$18/Carriers!$V$23*alk_el_e_demand)+nabh4_e_demand)*(DO135+nabh4_st_ab_losses)/1000000+nabh4_st_e_demand*DO135/1000000</f>
        <v>980.02139682539689</v>
      </c>
      <c r="DS135" s="28">
        <f t="shared" ref="DS135:DS154" si="189">nabh4_st_e_demand*nabh4_st_nl_demand/1000000</f>
        <v>3.1960000000000002</v>
      </c>
      <c r="DT135" s="28">
        <f>IFERROR(DQ135*1000000/Storage!$O$12,"")</f>
        <v>918.18724403774172</v>
      </c>
      <c r="DU135" s="28">
        <f>IF($E135="","No Port",((F135/24/Shipping!$P$44+F135/24/Shipping!$P$50+Shipping!$P$59+Shipping!$P$64)*Carriers!$V$39*wacc_nl))</f>
        <v>746.92150957451543</v>
      </c>
      <c r="DV135" s="100">
        <f>H2_retrieval!$N$25*h2_demand_kt/1000+(co2_liq_e_demand+co2_st_e_demand*2)*Storage!$O$12*co2_density/nabh4_density/1000000</f>
        <v>18.783638728971958</v>
      </c>
      <c r="DW135" s="28">
        <f>IFERROR(((DQ135*(1+H2_retrieval!$N$34)+DU135)*1000000/H2_retrieval!$N$8)+h2_regen_nabh4,"")</f>
        <v>4463.5845576009933</v>
      </c>
      <c r="DX135" s="149">
        <f>(Dme_invest*(M135+1/Dme_lifetime)/Dme_prod+Dme_opex+Dme_e_demand*1000*$AU135/100+Carriers!$X$21/Carriers!$X$23*(CO135*1000000/CS135))*(EB135+Dme_st_ab_losses)/1000000</f>
        <v>96578.158350582627</v>
      </c>
      <c r="DY135" s="86">
        <f>(Dme_invest*(M135+1/Dme_lifetime)/Dme_prod+Dme_opex+Dme_e_demand*1000*$AU135/100+Carriers!$X$21/Carriers!$X$23*(CP135*1000000/CS135))*(EB135+Dme_st_ab_losses)/1000000</f>
        <v>120275.62738064256</v>
      </c>
      <c r="DZ135" s="63">
        <f>Dme_st_nl_cost*Dme_st_nl_demand/1000000+(Dme_st_invest*(M135+1/Dme_st_lifetime+Dme_st_opex)/(Storage!$Q$63/1000000)+Dme_st_e_demand*1000*$AU135/100)*(EB135+Dme_st_ab_losses)/1000000+co2_st_nl_cost*Storage!$Q$12*co2_density/Dme_density/1000000+(co2_st_opex_lev+co2_st_invest_lev+co2_st_e_demand*1000*$AU135/100)*Storage!$Q$12/1000000+co2_st_invest_lev*Storage!$Q$12*co2_st_lifetime*M135/1000000+(h2_demand_kt*1000/365.25*short_st_duration_hrs/24)*(h2_short_st_invest*(1/gh2_short_st_lifetime+$M135+h2_short_st_opex)+h2_short_st_e_demand*1000*$AU135/100)/1000000</f>
        <v>6226.1066834776948</v>
      </c>
      <c r="EA135" s="63">
        <f>Dme_st_nl_cost*Dme_st_nl_demand/1000000+(Dme_st_invest*(M135+1/Dme_st_lifetime+Dme_st_opex)/(Storage!$Q$63/1000000)+Dme_st_e_demand*1000*$AU135/100)*(EB135+Dme_st_ab_losses)/1000000+(h2_demand_kt*1000/365.25*short_st_duration_hrs/24)*(h2_short_st_invest*(1/gh2_short_st_lifetime+$M135+h2_short_st_opex)+h2_short_st_e_demand*1000*$AU135/100)/1000000</f>
        <v>3212.3458301693522</v>
      </c>
      <c r="EB135" s="63">
        <f>Storage!$Q$57/((1-Shipping!$R$37)^($F135/24/Shipping!$R$44+0.5*Shipping!$R$59))</f>
        <v>103547089.94708996</v>
      </c>
      <c r="EC135" s="153">
        <f>IF($E135="","No Port",IF(AND(ship_choice="VLCC",G135="Panama"),"Ship cannot pass through Panama",IF(ship_choice="VLCC",((F135/24/Shipping!$AD$44+F135/24/Shipping!$AD$50+Shipping!$AD$59+Shipping!$AD$64)*(Shipping!$AD$22+wacc_nl*Shipping!$AD$19/365.25*1000000+Shipping!$AD$35)+(F135/24/Shipping!$AD$44*Shipping!$AD$45+Shipping!$AD$64*Shipping!$AD$65)*IF(bunker_choice="HFO",$H135,IF(bunker_choice="hydrogen",$BD135*hfo_e_density_lhv/h2_e_density_lhv,(DX135+DZ135)*1000000/EB135*hfo_e_density_lhv/Dme_e_density_lhv))+(F135/24/Shipping!$AD$50*Shipping!$AD$51+Shipping!$AD$59*Shipping!$AD$60)*IF(bunker_choice="HFO",bunker_price_ROT,IF(bunker_choice="hydrogen",$BD135*hfo_e_density_lhv/h2_e_density_lhv,(DX135+DZ135)*1000000/EB135*hfo_e_density_lhv/Dme_e_density_lhv))+Shipping!$AD$73+IF(G135="Panama",Shipping!$AD$55,0)+IF(G135="Suez",Shipping!$AD$56,0))/Shipping!$AD$31*(EB135+Dme_st_ab_losses)/1000000+IF(inland_transport_to_port="hv dc grid",$BM135/100*1000*EE135,IF(inland_transport_to_port="pipeline",$BN135,0)),((F135/24/Shipping!$R$44+F135/24/Shipping!$R$50+Shipping!$R$59+Shipping!$R$64)*(Shipping!$R$22+wacc_nl*Shipping!$R$19/365.25*1000000+Shipping!$R$35)+(F135/24/Shipping!$R$44*Shipping!$R$45+Shipping!$R$64*Shipping!$R$65)*IF(bunker_choice="HFO",$H135,IF(bunker_choice="hydrogen",$BD135*hfo_e_density_lhv/h2_e_density_lhv,(DX135+DZ135)*1000000/EB135*hfo_e_density_lhv/Dme_e_density_lhv))+(F135/24/Shipping!$R$50*Shipping!$R$51+Shipping!$R$59*Shipping!$R$60)*IF(bunker_choice="HFO",bunker_price_ROT,IF(bunker_choice="hydrogen",$BD135*hfo_e_density_lhv/h2_e_density_lhv,(DX135+DZ135)*1000000/EB135*hfo_e_density_lhv/Dme_e_density_lhv))+Shipping!$R$73+IF(G135="Panama",Shipping!$R$55,0)+IF(G135="Suez",Shipping!$R$56,0))/Shipping!$R$31*(EB135+Dme_st_ab_losses)/1000000+IF(inland_transport_to_port="hv dc grid",$BM135/100*1000*EE135,IF(inland_transport_to_port="pipeline",$BN135,0)))))</f>
        <v>8591.0471206103921</v>
      </c>
      <c r="ED135" s="28">
        <f t="shared" si="134"/>
        <v>132079.0203314223</v>
      </c>
      <c r="EE135" s="29">
        <f>(Dme_e_demand)*(EB135+Dme_st_ab_losses)/1000000+Dme_st_e_demand*DZ135/1000000+$CV135*(Carriers!$X$21/Carriers!$X$23*EB135)/$CS135</f>
        <v>1550.2168224281227</v>
      </c>
      <c r="EF135" s="29">
        <f t="shared" ref="EF135:EF154" si="190">Dme_st_e_demand*Dme_st_nl_demand/1000000</f>
        <v>1.0354708994708997</v>
      </c>
      <c r="EG135" s="28">
        <f>IFERROR(ED135*1000000/Storage!$Q$12,"")</f>
        <v>1275.5454585822881</v>
      </c>
      <c r="EH135" s="28">
        <f>IF($E135="","No Port",((F135/24/Shipping!$R$44+F135/24/Shipping!$R$50+Shipping!$R$59+Shipping!$R$64)*Carriers!$X$39*wacc_nl))</f>
        <v>115.60655703798767</v>
      </c>
      <c r="EI135" s="100">
        <f>H2_retrieval!$P$25*h2_demand_kt/1000+(co2_liq_e_demand+co2_st_e_demand*2)*Storage!$Q$12*co2_density/Dme_density/1000000</f>
        <v>252.45335899349112</v>
      </c>
      <c r="EJ135" s="28">
        <f>IFERROR((((DX135+DZ135+EC135)*(1+H2_retrieval!$P$34)+EH135)*1000000/H2_retrieval!$P$8)+h2_regen_dme,"")</f>
        <v>9369.4608014099904</v>
      </c>
      <c r="EK135" s="149">
        <f>(ome_invest*(M135+1/ome_lifetime)/ome_prod+ome_opex+ome_e_demand*1000*$AU135/100+Carriers!$Z$21/Carriers!$Z$23*(CO135*1000000/CS135))*(EO135+ome_st_ab_losses)/1000000</f>
        <v>209899.18081135669</v>
      </c>
      <c r="EL135" s="86">
        <f>(ome_invest*(M135+1/ome_lifetime)/ome_prod+ome_opex+ome_e_demand*1000*$AU135/100+Carriers!$Z$21/Carriers!$Z$23*(CP135*1000000/CS135))*(EO135+ome_st_ab_losses)/1000000</f>
        <v>259644.7813266571</v>
      </c>
      <c r="EM135" s="63">
        <f>ome_st_nl_cost*ome_st_nl_demand/1000000+(ome_st_invest*(M135+1/ome_st_lifetime+ome_st_opex)/(Storage!$S$63/1000000)+ome_st_e_demand*1000*$AU135/100)*(EO135+ome_st_ab_losses)/1000000+co2_st_nl_cost*Storage!$S$12*co2_density/ome_density/1000000+(co2_st_opex_lev+co2_st_invest_lev+co2_st_e_demand*1000*$AU135/100)*Storage!$S$12/1000000+co2_st_invest_lev*Storage!$S$12*co2_st_lifetime*M135/1000000+(h2_demand_kt*1000/365.25*short_st_duration_hrs/24)*(h2_short_st_invest*(1/gh2_short_st_lifetime+$M135+h2_short_st_opex)+h2_short_st_e_demand*1000*$AU135/100)/1000000</f>
        <v>5333.8173633109072</v>
      </c>
      <c r="EN135" s="63">
        <f>ome_st_nl_cost*ome_st_nl_demand/1000000+(ome_st_invest*(M135+1/ome_st_lifetime+ome_st_opex)/(Storage!$S$63/1000000)+ome_st_e_demand*1000*$AU135/100)*(EO135+ome_st_ab_losses)/1000000+(h2_demand_kt*1000/365.25*short_st_duration_hrs/24)*(h2_short_st_invest*(1/gh2_short_st_lifetime+$M135+h2_short_st_opex)+h2_short_st_e_demand*1000*$AU135/100)/1000000</f>
        <v>1939.0936369741776</v>
      </c>
      <c r="EO135" s="63">
        <f>Storage!$S$57/((1-Shipping!$T$37)^($F135/24/Shipping!$T$44+0.5*Shipping!$T$59))</f>
        <v>128282539.68253967</v>
      </c>
      <c r="EP135" s="28">
        <f>IF($E135="","No Port",IF(AND(ship_choice="VLCC",G135="Panama"),"Ship cannot pass through Panama",IF(ship_choice="VLCC",((F135/24/Shipping!$AD$44+F135/24/Shipping!$AD$50+Shipping!$AD$59+Shipping!$AD$64)*(Shipping!$AD$22+wacc_nl*Shipping!$AD$19/365.25*1000000+Shipping!$AD$35)+(F135/24/Shipping!$AD$44*Shipping!$AD$45+Shipping!$AD$64*Shipping!$AD$65)*IF(bunker_choice="HFO",$H135,IF(bunker_choice="hydrogen",$BD135*hfo_e_density_lhv/h2_e_density_lhv,(EK135+EM135)*1000000/EO135*hfo_e_density_lhv/Dme_e_density_lhv))+(F135/24/Shipping!$AD$50*Shipping!$AD$51+Shipping!$AD$59*Shipping!$AD$60)*IF(bunker_choice="HFO",bunker_price_ROT,IF(bunker_choice="hydrogen",$BD135*hfo_e_density_lhv/h2_e_density_lhv,(EK135+EM135)*1000000/EO135*hfo_e_density_lhv/ome_e_density_lhv))+Shipping!$AD$73+IF(G135="Panama",Shipping!$AD$55,0)+IF(G135="Suez",Shipping!$AD$56,0))/Shipping!$AD$31*(EO135+ome_st_ab_losses)/1000000+IF(inland_transport_to_port="hv dc grid",$BM135/100*1000*ER135,IF(inland_transport_to_port="pipeline",$BN135,0)),((F135/24/Shipping!$T$44+F135/24/Shipping!$T$50+Shipping!$T$59+Shipping!$T$64)*(Shipping!$T$22+wacc_nl*Shipping!$T$19/365.25*1000000+Shipping!$T$35)+(F135/24/Shipping!$T$44*Shipping!$T$45+Shipping!$T$64*Shipping!$T$65)*IF(bunker_choice="HFO",$H135,IF(bunker_choice="hydrogen",$BD135*hfo_e_density_lhv/h2_e_density_lhv,(EK135+EM135)*1000000/EO135*hfo_e_density_lhv/Dme_e_density_lhv))+(F135/24/Shipping!$T$50*Shipping!$T$51+Shipping!$T$59*Shipping!$T$60)*IF(bunker_choice="HFO",bunker_price_ROT,IF(bunker_choice="hydrogen",$BD135*hfo_e_density_lhv/h2_e_density_lhv,(EK135+EM135)*1000000/EO135*hfo_e_density_lhv/ome_e_density_lhv))+Shipping!$T$73+IF(G135="Panama",Shipping!$T$55,0)+IF(G135="Suez",Shipping!$T$56,0))/Shipping!$T$31*(EO135+ome_st_ab_losses)/1000000+IF(inland_transport_to_port="hv dc grid",$BM135/100*1000*ER135,IF(inland_transport_to_port="pipeline",$BN135,0)))))</f>
        <v>9546.4076700845108</v>
      </c>
      <c r="EQ135" s="28">
        <f t="shared" si="135"/>
        <v>271130.28263371577</v>
      </c>
      <c r="ER135" s="29">
        <f>(ome_e_demand)*(EO135+ome_st_ab_losses)/1000000+ome_st_e_demand*EM135/1000000+$CV135*(Carriers!$Z$21/Carriers!$Z$23*EO135)/$CS135</f>
        <v>3352.0814581415093</v>
      </c>
      <c r="ES135" s="29">
        <f t="shared" ref="ES135:ES154" si="191">ome_st_e_demand*ome_st_nl_demand/1000000</f>
        <v>0.1924238095238095</v>
      </c>
      <c r="ET135" s="28">
        <f>IFERROR(EQ135*1000000/Storage!$S$12,"")</f>
        <v>2113.5400289445538</v>
      </c>
      <c r="EU135" s="28">
        <f>IF($E135="","No Port",((F135/24/Shipping!$T$44+F135/24/Shipping!$T$50+Shipping!$T$59+Shipping!$T$64)*Carriers!$Z$39*wacc_nl))</f>
        <v>131.93554251797175</v>
      </c>
      <c r="EV135" s="100">
        <f>H2_retrieval!$R$25*h2_demand_kt/1000+(co2_liq_e_demand+co2_st_e_demand*2)*Storage!$S$12*co2_density/ome_density/1000000</f>
        <v>254.51942895252085</v>
      </c>
      <c r="EW135" s="28">
        <f>IFERROR((((EK135+EM135+EP135)*(1+H2_retrieval!$R$34)+EU135)*1000000/H2_retrieval!$R$8)+h2_regen_ome,"")</f>
        <v>17707.727174613032</v>
      </c>
      <c r="EX135" s="149">
        <f>(sng_invest*(M135+1/sng_lifetime)/sng_prod+lng_invest*(M135+1/lng_lifetime)/lng_prod+sng_opex+lng_opex+(sng_e_demand+lng_e_demand)*1000*$AU135/100+Carriers!$AB$18/Carriers!$AB$23*BD135+Carriers!$AB$20/Carriers!$AB$23*co2_liq_cost)*(FB135+lng_st_ab_losses)/1000000</f>
        <v>75226.817038292676</v>
      </c>
      <c r="EY135" s="86">
        <f>(sng_invest*(M135+1/sng_lifetime)/sng_prod+lng_invest*(M135+1/lng_lifetime)/lng_prod+sng_opex+lng_opex+(sng_e_demand+lng_e_demand)*1000*$AU135/100+Carriers!$AB$18/Carriers!$AB$23*BD135+Carriers!$AB$20/Carriers!$AB$23*BP135)*(FB135+lng_st_ab_losses)/1000000</f>
        <v>88411.523648618953</v>
      </c>
      <c r="EZ135" s="63">
        <f>lng_st_nl_cost*lng_st_nl_demand/1000000+(lng_st_invest*(M135+1/lng_st_lifetime+lng_st_opex)/(Storage!$U$63/1000000)+lng_st_e_demand*1000*$AU135/100)*(FB135+lng_st_ab_losses)/1000000+co2_st_nl_cost*Storage!$U$12*co2_density/lng_density/1000000+(co2_st_opex_lev+co2_st_invest_lev+co2_st_e_demand*1000*$AU135/100)*Storage!$U$12/1000000+co2_st_invest_lev*Storage!$U$12*co2_st_lifetime*M135/1000000+Carriers!$AB$18/Carriers!$AB$23*((FB135+lng_st_ab_losses)/365.25*short_st_duration_hrs/24)*(h2_short_st_invest*(1/gh2_short_st_lifetime+$M135+h2_short_st_opex)+h2_short_st_e_demand*1000*$AU135/100)/1000000+Carriers!$AB$20/Carriers!$AB$23*((FB135+lng_st_ab_losses)/365.25*short_st_duration_hrs/24)*(co2_short_st_invest*(1/co2_short_st_lifetime+$M135+co2_short_st_opex)+co2_short_st_e_demand*1000*$AU135/100)/1000000</f>
        <v>6676.9669985072405</v>
      </c>
      <c r="FA135" s="63">
        <f>lng_st_nl_cost*lng_st_nl_demand/1000000+(lng_st_invest*(M135+1/lng_st_lifetime+lng_st_opex)/(Storage!$U$63/1000000)+lng_st_e_demand*1000*$AU135/100)*(FB135+lng_st_ab_losses)/1000000+Carriers!$AB$18/Carriers!$AB$23*((FB135+lng_st_ab_losses)/365.25*short_st_duration_hrs/24)*(h2_short_st_invest*(1/gh2_short_st_lifetime+$M135+h2_short_st_opex)+h2_short_st_e_demand*1000*$AU135/100)/1000000+Carriers!$AB$20/Carriers!$AB$23*((FB135+lng_st_ab_losses)/365.25*short_st_duration_hrs/24)*(co2_short_st_invest*(1/co2_short_st_lifetime+$M135+co2_short_st_opex)+co2_short_st_e_demand*1000*$AU135/100)/1000000</f>
        <v>5058.0687006902963</v>
      </c>
      <c r="FB135" s="63">
        <f>Storage!$U$57/((1-Shipping!$V$37)^($F135/24/Shipping!$V$44+0.5*Shipping!$V$59))</f>
        <v>41554441.403241038</v>
      </c>
      <c r="FC135" s="28">
        <f>IF($E135="","No Port",IF(G135="Panama","Ship cannot pass through Panama",((F135/24/Shipping!$V$44+F135/24/Shipping!$V$50+Shipping!$V$59+Shipping!$V$64)*(Shipping!$V$22+wacc_nl*Shipping!$V$19/365.25*1000000+Shipping!$V$35)+(F135/24/Shipping!$V$44*Shipping!$V$45+Shipping!$V$64*Shipping!$V$65)*IF(bunker_choice="HFO",$H135,IF(bunker_choice="hydrogen",$BD135*hfo_e_density_lhv/h2_e_density_lhv,(EX135+EZ135)*1000000/FB135*hfo_e_density_lhv/lng_e_density_lhv))+(F135/24/Shipping!$V$50*Shipping!$V$51+Shipping!$V$59*Shipping!$V$60)*IF(bunker_choice="HFO",bunker_price_ROT,IF(bunker_choice="hydrogen",$BD135*hfo_e_density_lhv/h2_e_density_lhv,(EX135+EZ135)*1000000/FB135*hfo_e_density_lhv/lng_e_density_lhv))+Shipping!$V$73+IF(G135="Panama",Shipping!$V$55,0)+IF(G135="Suez",Shipping!$V$56,0))/Shipping!$V$31*(FB135+lng_st_ab_losses)/1000000)+IF(inland_transport_to_port="hv dc grid",$BM135/100*1000*FE135,IF(inland_transport_to_port="pipeline",$BN135,0)))</f>
        <v>4221.5317685008786</v>
      </c>
      <c r="FD135" s="28">
        <f t="shared" si="136"/>
        <v>97691.124117810134</v>
      </c>
      <c r="FE135" s="29">
        <f>((Carriers!$AB$18/Carriers!$AB$23*alk_el_e_demand)+sng_e_demand+lng_e_demand)*(FB135+lng_st_ab_losses)/1000000+lng_st_e_demand*EZ135/1000000</f>
        <v>1114.4476310597927</v>
      </c>
      <c r="FF135" s="29">
        <f t="shared" ref="FF135:FF154" si="192">lng_st_e_demand*lng_st_nl_demand/1000000</f>
        <v>0.8126185861001558</v>
      </c>
      <c r="FG135" s="28">
        <f>IFERROR(FD135*1000000/Storage!$U$12,"")</f>
        <v>2407.1264156062416</v>
      </c>
      <c r="FH135" s="28">
        <f>IF($E135="","No Port",((F135/24/Shipping!$V$44+F135/24/Shipping!$V$50+Shipping!$V$59+Shipping!$V$64)*Carriers!$AB$39*wacc_nl))</f>
        <v>38.750355071514932</v>
      </c>
      <c r="FI135" s="100">
        <f>H2_retrieval!$T$25*h2_demand_kt/1000+(co2_liq_e_demand+co2_st_e_demand*2)*Storage!$U$12*co2_density/lng_density/1000000</f>
        <v>236.51371749646054</v>
      </c>
      <c r="FJ135" s="28">
        <f>IFERROR((((EX135+EZ135+FC135)*(1+H2_retrieval!$T$34)+FH135)*1000000/H2_retrieval!$T$8)+h2_regen_lng,"")</f>
        <v>7505.7216432234918</v>
      </c>
      <c r="FK135" s="149">
        <f>(lh2_invest*(M135+1/lh2_lifetime)/lh2_prod+lh2_opex+lh2_e_demand*1000*$AU135/100+Carriers!$AD$18/Carriers!$AD$23*BD135)*(FM135+lh2_st_ab_losses)/1000000</f>
        <v>59186.729380809207</v>
      </c>
      <c r="FL135" s="28">
        <f>lh2_st_nl_cost*lh2_st_nl_demand/1000000+(lh2_st_invest*(M135+1/lh2_st_lifetime+lh2_st_opex)/(Storage!$Y$63/1000000)+lh2_st_e_demand*1000*$AU135/100)*(FM135+lh2_st_ab_losses)/1000000+((FM135+lh2_st_ab_losses)/365.25*short_st_duration_hrs/24)*(h2_short_st_invest*(1/gh2_short_st_lifetime+$M135+h2_short_st_opex)+h2_short_st_e_demand*1000*$AU135/100)/1000000</f>
        <v>58600.273699959806</v>
      </c>
      <c r="FM135" s="63">
        <f>Storage!$Y$57/((1-Shipping!$Z$37)^($F135/24/Shipping!$Z$44+0.5*Shipping!$Z$59))</f>
        <v>14117863.543040175</v>
      </c>
      <c r="FN135" s="28">
        <f>IF($E135="","No Port",IF(G135="Panama","Ship cannot pass through Panama",((F135/24/Shipping!$Z$44+F135/24/Shipping!$Z$50+Shipping!$Z$59+Shipping!$Z$64)*(Shipping!$Z$22+wacc_nl*Shipping!$Z$19/365.25*1000000+Shipping!$Z$35)+(F135/24/Shipping!$Z$44*Shipping!$Z$45+Shipping!$Z$64*Shipping!$Z$65)*IF(bunker_choice="HFO",$H135,IF(bunker_choice="hydrogen",$BD135*hfo_e_density_lhv/h2_e_density_lhv,(FK135+FL135)*1000000/FM135*hfo_e_density_lhv/lh2_e_density_lhv))+(F135/24/Shipping!$Z$50*Shipping!$Z$51+Shipping!$Z$59*Shipping!$Z$60)*IF(bunker_choice="HFO",bunker_price_ROT,IF(bunker_choice="hydrogen",$BD135*hfo_e_density_lhv/h2_e_density_lhv,(FK135+FL135)*1000000/FM135*hfo_e_density_lhv/lh2_e_density_lhv))+Shipping!$Z$73+IF(G135="Panama",Shipping!$Z$55,0)+IF(G135="Suez",Shipping!$Z$56,0))/Shipping!$Z$31*(FM135+lh2_st_ab_losses)/1000000)+IF(inland_transport_to_port="hv dc grid",$BM135/100*1000*FP135,IF(inland_transport_to_port="pipeline",$BN135,0)))</f>
        <v>6298.7518479351293</v>
      </c>
      <c r="FO135" s="28">
        <f t="shared" si="128"/>
        <v>124085.75492870413</v>
      </c>
      <c r="FP135" s="29">
        <f>((Carriers!$AD$18/Carriers!$AD$23*alk_el_e_demand)+lh2_e_demand)*(FM135+lh2_st_ab_losses)/1000000+lh2_st_e_demand*FM135/1000000</f>
        <v>818.09981638573856</v>
      </c>
      <c r="FQ135" s="100">
        <f t="shared" ref="FQ135:FQ154" si="193">lh2_st_e_demand*lh2_st_nl_demand/1000000</f>
        <v>1.361902463475859</v>
      </c>
      <c r="FR135" s="28">
        <f>IFERROR(FO135*1000000/Storage!$Y$12,"")</f>
        <v>9123.9525682870681</v>
      </c>
      <c r="FS135" s="100">
        <f>H2_retrieval!$V$25*h2_demand_kt/1000</f>
        <v>8.16</v>
      </c>
      <c r="FT135" s="28">
        <f>IFERROR(FR135*(1+H2_retrieval!$V$34)/Carrier_properties!$U$7+H2_retrieval!$V$38,"")</f>
        <v>9155.9212941555361</v>
      </c>
      <c r="FU135" s="12"/>
      <c r="FV135" s="24">
        <f t="shared" si="129"/>
        <v>2.5901513707475345</v>
      </c>
      <c r="FW135" s="24" t="str">
        <f t="shared" si="143"/>
        <v/>
      </c>
      <c r="FX135" s="24" t="e">
        <f t="shared" si="144"/>
        <v>#N/A</v>
      </c>
      <c r="FY135" s="24" t="e">
        <f t="shared" si="130"/>
        <v>#N/A</v>
      </c>
      <c r="FZ135" s="28">
        <f t="shared" si="145"/>
        <v>3143.7670675541126</v>
      </c>
      <c r="GA135" s="28">
        <f t="shared" si="137"/>
        <v>714.0974802312769</v>
      </c>
      <c r="GB135" s="28">
        <f t="shared" si="138"/>
        <v>452.75112297173672</v>
      </c>
      <c r="GC135" s="28">
        <f t="shared" si="139"/>
        <v>797.74934759099358</v>
      </c>
      <c r="GD135" s="28">
        <f t="shared" si="140"/>
        <v>1161.5548775161183</v>
      </c>
      <c r="GE135" s="28">
        <f t="shared" si="141"/>
        <v>2024.0071795366625</v>
      </c>
      <c r="GF135" s="28">
        <f t="shared" si="142"/>
        <v>2127.6070779217189</v>
      </c>
      <c r="GG135" s="12"/>
      <c r="GH135" s="12"/>
      <c r="GI135" s="12"/>
      <c r="GJ135" s="12"/>
      <c r="GK135" s="12"/>
      <c r="GL135" s="12"/>
      <c r="GM135" s="12"/>
      <c r="GN135" s="12"/>
      <c r="GO135" s="12"/>
      <c r="GP135" s="12"/>
      <c r="GQ135" s="12"/>
      <c r="GR135" s="12"/>
      <c r="GS135" s="12"/>
      <c r="GT135" s="12"/>
      <c r="GU135" s="12"/>
      <c r="GV135" s="12"/>
      <c r="GW135" s="12"/>
      <c r="GX135" s="12"/>
      <c r="GY135" s="12"/>
      <c r="GZ135" s="12"/>
      <c r="HA135" s="12"/>
      <c r="HB135" s="12"/>
      <c r="HC135" s="12"/>
      <c r="HD135" s="12"/>
      <c r="HE135" s="12"/>
      <c r="HF135" s="12"/>
    </row>
    <row r="136" spans="1:214" x14ac:dyDescent="0.2">
      <c r="A136" s="154" t="s">
        <v>136</v>
      </c>
      <c r="B136" s="12">
        <v>9002</v>
      </c>
      <c r="C136" s="12">
        <v>1</v>
      </c>
      <c r="D136" s="12">
        <f t="shared" ref="D136:D154" si="194">1-C136</f>
        <v>0</v>
      </c>
      <c r="E136" s="12" t="s">
        <v>787</v>
      </c>
      <c r="F136" s="12">
        <v>9072</v>
      </c>
      <c r="G136" s="12" t="s">
        <v>692</v>
      </c>
      <c r="H136" s="16">
        <f t="shared" si="166"/>
        <v>382.75862068965517</v>
      </c>
      <c r="I136" s="16">
        <v>510890</v>
      </c>
      <c r="J136" s="16">
        <f t="shared" ref="J136:J154" si="195">SQRT(I136/PI())</f>
        <v>403.26336029006751</v>
      </c>
      <c r="K136" s="16">
        <f t="shared" ref="K136:K154" si="196">IF(E136="","",1.2*J136)</f>
        <v>483.91603234808099</v>
      </c>
      <c r="L136" s="103">
        <v>0.09</v>
      </c>
      <c r="M136" s="103">
        <f t="shared" si="167"/>
        <v>0.10507397017920742</v>
      </c>
      <c r="N136" s="122">
        <f t="shared" ref="N136:N154" si="197">IF(Q136&gt;2500,0.75,IF(Q136&gt;2300,0.8,IF(Q136&gt;2100,0.85,0.9)))</f>
        <v>0.9</v>
      </c>
      <c r="O136" s="46">
        <f t="shared" si="168"/>
        <v>40</v>
      </c>
      <c r="P136" s="70">
        <f t="array" ref="P136">SUMPRODUCT(IF(Solar_data!A$4:A$777=A136,Solar_data!C$4:C$777),IF(Solar_data!A$4:A$777=A136,Solar_data!I$4:I$777))/SUMIF(Solar_data!A$4:A$777,A136,Solar_data!I$4:I$777)</f>
        <v>2041.7939642773351</v>
      </c>
      <c r="Q136" s="16">
        <f t="array" ref="Q136">MAX(IF(Solar_data!$A$777:'Solar_data'!$A$4=Country_details!$A136,Solar_data!$C$4:'Solar_data'!$C$777))</f>
        <v>2098.75</v>
      </c>
      <c r="R136" s="16">
        <f t="array" ref="R136">MIN(IF(Solar_data!$A$777:'Solar_data'!$A$4=Country_details!A136,Solar_data!$C$4:'Solar_data'!$C$777))</f>
        <v>1733.75</v>
      </c>
      <c r="S136" s="24">
        <f t="shared" si="176"/>
        <v>1.9420936951891805</v>
      </c>
      <c r="T136" s="24">
        <f t="shared" si="177"/>
        <v>1.889389010076634</v>
      </c>
      <c r="U136" s="24">
        <f t="shared" si="178"/>
        <v>2.2871551174611886</v>
      </c>
      <c r="V136" s="16">
        <f t="array" ref="V136">SUM(IF(Solar_data!$A$777:'Solar_data'!$A$4=Country_details!$A136,Solar_data!$I$4:'Solar_data'!$I$777))</f>
        <v>4205.2663164511714</v>
      </c>
      <c r="W136" s="148"/>
      <c r="X136" s="16" t="str">
        <f>IFERROR(INDEX(Onshore_wind_data!$J$5:'Onshore_wind_data'!$J$221,MATCH(A136,Onshore_wind_data!$B$5:'Onshore_wind_data'!$B$221,0)),"")</f>
        <v/>
      </c>
      <c r="Y136" s="16" t="str">
        <f>IFERROR(INDEX(Onshore_wind_data!$K$5:'Onshore_wind_data'!$K$221,MATCH(A136,Onshore_wind_data!$B$5:'Onshore_wind_data'!$B$221,0)),"")</f>
        <v/>
      </c>
      <c r="Z136" s="16" t="str">
        <f>IFERROR(INDEX(Onshore_wind_data!$L$5:'Onshore_wind_data'!$L$221,MATCH(A136,Onshore_wind_data!$B$5:'Onshore_wind_data'!$B$221,0)),"")</f>
        <v/>
      </c>
      <c r="AA136" s="24" t="str">
        <f t="shared" si="169"/>
        <v/>
      </c>
      <c r="AB136" s="24" t="str">
        <f t="shared" si="170"/>
        <v/>
      </c>
      <c r="AC136" s="24" t="str">
        <f t="shared" si="171"/>
        <v/>
      </c>
      <c r="AD136" s="16">
        <f>IFERROR(INDEX(Onshore_wind_data!$I$5:'Onshore_wind_data'!$I$221,MATCH(A136,Onshore_wind_data!$B$5:'Onshore_wind_data'!$B$221,0)),"")</f>
        <v>0</v>
      </c>
      <c r="AE136" s="148"/>
      <c r="AF136" s="16" t="str">
        <f>INDEX(Offshore_wind_data!$AA$7:$AA$192,MATCH(Country_details!A136,Offshore_wind_data!$A$7:$A$192,0))</f>
        <v/>
      </c>
      <c r="AG136" s="16" t="str">
        <f>INDEX(Offshore_wind_data!$Y$7:$Y$192,MATCH(Country_details!A136,Offshore_wind_data!$A$7:$A$192,0))</f>
        <v/>
      </c>
      <c r="AH136" s="16" t="str">
        <f>INDEX(Offshore_wind_data!$Z$7:$Z$192,MATCH(Country_details!A136,Offshore_wind_data!$A$7:$A$192,0))</f>
        <v/>
      </c>
      <c r="AI136" s="24" t="str">
        <f t="shared" si="179"/>
        <v/>
      </c>
      <c r="AJ136" s="24" t="str">
        <f t="shared" si="180"/>
        <v/>
      </c>
      <c r="AK136" s="24" t="str">
        <f t="shared" si="181"/>
        <v/>
      </c>
      <c r="AL136" s="16">
        <f>INDEX(Offshore_wind_data!$W$7:$W$191,MATCH(A136,Offshore_wind_data!$A$7:$A$191,0))</f>
        <v>0</v>
      </c>
      <c r="AM136" s="148"/>
      <c r="AN136" s="12">
        <v>69</v>
      </c>
      <c r="AO136" s="12">
        <v>65.400000000000006</v>
      </c>
      <c r="AP136" s="34">
        <f>1.987*11.63</f>
        <v>23.108810000000002</v>
      </c>
      <c r="AQ136" s="15">
        <f t="shared" si="182"/>
        <v>50</v>
      </c>
      <c r="AR136" s="12">
        <f t="shared" si="131"/>
        <v>3270.0000000000005</v>
      </c>
      <c r="AS136" s="16">
        <f t="shared" ref="AS136:AS154" si="198">IFERROR(V136+AD136+AL136-AR136,V136-AR136)</f>
        <v>935.26631645117095</v>
      </c>
      <c r="AT136" s="12"/>
      <c r="AU136" s="24">
        <f t="shared" si="183"/>
        <v>1.9420936951891805</v>
      </c>
      <c r="AV136" s="16">
        <f t="shared" si="184"/>
        <v>2041.7939642773351</v>
      </c>
      <c r="AW136" s="149">
        <f>HV_DC_Grid!$E$3/(1-AX136)*AU136/100*1000</f>
        <v>2350.9224433852273</v>
      </c>
      <c r="AX136" s="31">
        <f>(1-(1-HV_DC_Grid!$E$25)^(B136*C136*HV_DC_Grid!$E$8/1000))+(1-(1-HV_DC_Grid!$E$26)^(B136*D136*HV_DC_Grid!$E$8/1000))+HV_DC_Grid!$E$35*HV_DC_Grid!$E$28</f>
        <v>0.17390141871603004</v>
      </c>
      <c r="AY136" s="28">
        <f>B136*nl_e_demand/IF(hv_dc_flh="electricity FLH",$AV136,hv_dc_custom)*1000*hv_dc_capacity_multiplier*hv_dc_length_multiplier*1000*(C136*hv_dc_overhead_invest*(hv_dc_overhead_opex+M136+1/hv_dc_lifetime)+D136*hv_dc_sea_invest*(hv_dc_sea_opex+M136+1/hv_dc_lifetime))/1000000+HV_DC_Grid!$E$10*1000*hv_dc_station_invest*hv_dc_station_number*(hv_dc_station_opex+M136+1/hv_dc_lifetime)/1000000</f>
        <v>7027.5895253141362</v>
      </c>
      <c r="AZ136" s="24">
        <f>(AW136+AY136)/(HV_DC_Grid!$E$3*1000)*100</f>
        <v>9.3785119686993639</v>
      </c>
      <c r="BA136" s="28">
        <f>MIN(((Carriers!$F$26+Carriers!$F$27)*(alk_el_opex+wacc_nl+1/alk_el_lifetime)+IF(hv_dc_flh="electricity FLH",$AV136,hv_dc_custom)*AZ136/100)/(IF(hv_dc_flh="electricity FLH",$AV136,hv_dc_custom)/alk_el_e_demand)*1000,((Carriers!$H$26+Carriers!$H$27)*(pem_el_opex+wacc_nl+1/pem_el_lifetime)+IF(hv_dc_flh="electricity FLH",$AV136,hv_dc_custom)*AZ136/100)/(IF(hv_dc_flh="electricity FLH",$AV136,hv_dc_custom)/pem_el_e_demand)*1000)</f>
        <v>5141.7880081880057</v>
      </c>
      <c r="BB136" s="12"/>
      <c r="BC136" s="12"/>
      <c r="BD136" s="149">
        <f>MIN(((Carriers!$F$26+Carriers!$F$27)*(alk_el_opex+M136+1/alk_el_lifetime)+$AV136*$AU136/100)/($AV136/alk_el_e_demand)*1000,((Carriers!$H$26+Carriers!$H$27)*(pem_el_opex+M136+1/pem_el_lifetime)+$AV136*$AU136/100)/($AV136/pem_el_e_demand)*1000)</f>
        <v>2480.6039005892771</v>
      </c>
      <c r="BE136" s="28">
        <f>Storage!$AC$50</f>
        <v>8.1664117557772418</v>
      </c>
      <c r="BF136" s="28">
        <f>((Pipeline!$D$22*Pipeline!$D$24*B136*(pipeline_opex+M136+1/pipeline_lifetime))*(Pipeline!$D$39/Pipeline!$D$3)+(Pipeline!$D$57*(pipeline_comp_opex+M136+1/pipeline_comp_lifetime)+Pipeline!$D$47*1000*Pipeline!$D$45*$AU136/100/1000000))*(Pipeline!$D$75/Pipeline!$D$45)</f>
        <v>18072.198578787913</v>
      </c>
      <c r="BG136" s="28">
        <f>BD136+(BE136+BF136)/Storage!$AC$12*1000000</f>
        <v>3810.0425028351365</v>
      </c>
      <c r="BH136" s="28"/>
      <c r="BI136" s="28"/>
      <c r="BJ136" s="28">
        <f>IF($E136="","No Port",BK136*HV_DC_Grid!$E$3*$AU136/100*1000)</f>
        <v>45.294659779460247</v>
      </c>
      <c r="BK136" s="31">
        <f>IFERROR((1-(1-HV_DC_Grid!$E$25)^(K136*HV_DC_Grid!$E$8/1000))+HV_DC_Grid!$E$35*HV_DC_Grid!$E$28,"")</f>
        <v>2.3322592463824496E-2</v>
      </c>
      <c r="BL136" s="28">
        <f>IFERROR(K136*nl_e_demand/IF(hv_dc_flh="electricity FLH",$AV136,hv_dc_custom)*1000*hv_dc_capacity_multiplier*hv_dc_length_multiplier*1000*(hv_dc_overhead_invest*(hv_dc_overhead_opex+M136+1/hv_dc_lifetime))/1000000+HV_DC_Grid!$E$10*1000*hv_dc_station_invest*hv_dc_station_number*(hv_dc_station_opex+M136+1/hv_dc_lifetime)/1000000,"")</f>
        <v>727.69501186255729</v>
      </c>
      <c r="BM136" s="29">
        <f>IFERROR((BJ136+BL136)/(HV_DC_Grid!$E$3*1000)*100,"")</f>
        <v>0.7729896716420176</v>
      </c>
      <c r="BN136" s="28">
        <f>IFERROR(((Pipeline!$D$22*Pipeline!$D$24*K136*(pipeline_opex+M136+1/pipeline_lifetime))*(Pipeline!$D$39/Pipeline!$D$3)+(Pipeline!$D$57*(pipeline_comp_opex+M136+1/pipeline_comp_lifetime)+Pipeline!$D$47*1000*Pipeline!$D$45*S136/100/1000000))*(Pipeline!$D$75/Pipeline!$D$45),"")</f>
        <v>1033.8707236182827</v>
      </c>
      <c r="BO136" s="28"/>
      <c r="BP136" s="150">
        <f t="shared" si="172"/>
        <v>99.718500413144213</v>
      </c>
      <c r="BQ136" s="34">
        <f t="shared" si="173"/>
        <v>29.975650476990261</v>
      </c>
      <c r="BR136" s="151">
        <f>(nh3_invest*(M136+1/nh3_lifetime)/nh3_prod+nh3_opex+nh3_e_demand*1000*$AU136/100+Carriers!$N$18/Carriers!$N$23*BD136+Carriers!$N$19/Carriers!$N$23*BQ136)*(BT136+nh3_st_ab_losses)/1000000</f>
        <v>46199.972128152272</v>
      </c>
      <c r="BS136" s="63">
        <f>nh3_st_nl_cost*nh3_st_nl_demand/1000000+(nh3_st_invest*(M136+1/nh3_st_lifetime+nh3_st_opex)/(Storage!$G$63/1000000)+nh3_st_e_demand*1000*$AU136/100)*(BT136+nh3_st_ab_losses)/1000000+Carriers!$N$18/Carriers!$N$23*((BT136+nh3_st_ab_losses)/365.25*short_st_duration_hrs/24)*(h2_short_st_invest*(1/gh2_short_st_lifetime+$M136+h2_short_st_opex)+h2_short_st_e_demand*1000*$AU136/100)/1000000+Carriers!$N$19/Carriers!$N$23*((BT136+nh3_st_ab_losses)/365.25*short_st_duration_hrs/24)*(n2_short_st_invest*(1/n2_short_st_lifetime+$M136+n2_short_st_opex)+n2_short_st_e_demand*1000*$AU136/100)/1000000</f>
        <v>3251.0280921792669</v>
      </c>
      <c r="BT136" s="63">
        <f>Storage!$G$57/((1-Shipping!$H$37)^(F136/24/Shipping!$H$44+0.5*Shipping!$H$59))</f>
        <v>81392193.984484002</v>
      </c>
      <c r="BU136" s="63">
        <f>IF($E136="","No Port",((F136/24/Shipping!$H$44+F136/24/Shipping!$H$50+Shipping!$H$59+Shipping!$H$64)*(Shipping!$H$22+wacc_nl*Shipping!$H$19/365.25*1000000+Shipping!$H$35)+(F136/24/Shipping!$H$44*Shipping!$H$45+Shipping!$H$64*Shipping!$H$65)*IF(bunker_choice="HFO",H136,IF(bunker_choice="hydrogen",BD136*hfo_e_density_lhv/h2_e_density_lhv,(BR136+BS136)*1000000/BT136*hfo_e_density_lhv/nh3_e_density_lhv))+(F136/24/Shipping!$H$50*Shipping!$H$51+Shipping!$H$59*Shipping!$H$60)*IF(bunker_choice="HFO",bunker_price_ROT,IF(bunker_choice="hydrogen",BD136*hfo_e_density_lhv/h2_e_density_lhv,(BR136+BS136)*1000000/BT136*hfo_e_density_lhv/nh3_e_density_lhv))+Shipping!$H$73+IF(G136="Panama",Shipping!$H$55,0)+IF(G136="Suez",Shipping!$H$56,0))/Shipping!$H$31*BT136/1000000+IF(inland_transport_to_port="hv dc grid",$BM136/100*1000*BW136,IF(inland_transport_to_port="pipeline",$BN136,0)))</f>
        <v>7041.1034154138169</v>
      </c>
      <c r="BV136" s="63">
        <f t="shared" ref="BV136:BV154" si="199">IFERROR(BR136+BS136+BU136,"")</f>
        <v>56492.103635745356</v>
      </c>
      <c r="BW136" s="33">
        <f>((Carriers!$N$18/Carriers!$N$23*alk_el_e_demand)+(Carriers!$N$19/Carriers!$N$23*n2_e_demand)+nh3_e_demand)*(BT136+nh3_st_ab_losses)/1000000+nh3_st_e_demand*BT136/1000000</f>
        <v>803.74973628078078</v>
      </c>
      <c r="BX136" s="33">
        <f t="shared" si="185"/>
        <v>0.76626754477640768</v>
      </c>
      <c r="BY136" s="63">
        <f>IFERROR(BV136*1000000/Storage!$G$12,"")</f>
        <v>737.85158579969254</v>
      </c>
      <c r="BZ136" s="63">
        <f>H2_retrieval!$F$25*h2_demand_kt/1000</f>
        <v>80</v>
      </c>
      <c r="CA136" s="63">
        <f>IFERROR(BY136*(1+H2_retrieval!$F$34)/Carrier_properties!$E$7+H2_retrieval!$F$38,"")</f>
        <v>4563.057129330894</v>
      </c>
      <c r="CB136" s="149">
        <f>(FA_invest*(M136+1/FA_lifetime)/FA_prod+FA_opex+FA_e_demand*1000*$AU136/100+Carriers!$P$18/Carriers!$P$23*BD136+Carriers!$P$20/Carriers!$P$23*co2_liq_cost)*(CF136+FA_st_ab_losses)/1000000</f>
        <v>87885.230959841647</v>
      </c>
      <c r="CC136" s="86">
        <f>(FA_invest*(M136+1/FA_lifetime)/FA_prod+FA_opex+FA_e_demand*1000*$AU136/100+Carriers!$P$18/Carriers!$P$23*BD136+Carriers!$P$20/Carriers!$P$23*BP136)*(CF136+FA_st_ab_losses)/1000000</f>
        <v>111711.83065567851</v>
      </c>
      <c r="CD136" s="63">
        <f>FA_st_nl_cost*FA_st_nl_demand/1000000+(FA_st_invest*(M136+1/FA_st_lifetime+FA_st_opex)/(Storage!$I$63/1000000)+FA_st_e_demand*1000*$AU136/100)*(CF136+FA_st_ab_losses)/1000000+co2_st_nl_cost*Storage!$I$12*co2_density/FA_density/1000000+(co2_st_opex_lev+co2_st_invest_lev+co2_st_e_demand*1000*$AU136/100)*Storage!$I$12/1000000+co2_st_invest_lev*Storage!$I$12*co2_st_lifetime*M136/1000000+Carriers!$P$18/Carriers!$P$23*((CF136+FA_st_ab_losses)/365.25*short_st_duration_hrs/24)*(h2_short_st_invest*(1/gh2_short_st_lifetime+$M136+h2_short_st_opex)+h2_short_st_e_demand*1000*$AU136/100)/1000000+Carriers!$P$20/Carriers!$P$23*((CF136+FA_st_ab_losses)/365.25*short_st_duration_hrs/24)*(co2_short_st_invest*(1/co2_short_st_lifetime+$M136+co2_short_st_opex)+co2_short_st_e_demand*1000*$AU136/100)/1000000</f>
        <v>10904.303703712176</v>
      </c>
      <c r="CE136" s="63">
        <f>FA_st_nl_cost*FA_st_nl_demand/1000000+(FA_st_invest*(M136+1/FA_st_lifetime+FA_st_opex)/(Storage!$I$63/1000000)+FA_st_e_demand*1000*$AU136/100)*(CF136+FA_st_ab_losses)/1000000+Carriers!$P$18/Carriers!$P$23*((CF136+FA_st_ab_losses)/365.25*short_st_duration_hrs/24)*(h2_short_st_invest*(1/gh2_short_st_lifetime+$M136+h2_short_st_opex)+h2_short_st_e_demand*1000*$AU136/100)/1000000+Carriers!$P$20/Carriers!$P$23*((CF136+FA_st_ab_losses)/365.25*short_st_duration_hrs/24)*(co2_short_st_invest*(1/co2_short_st_lifetime+$M136+co2_short_st_opex)+co2_short_st_e_demand*1000*$AU136/100)/1000000</f>
        <v>4738.0485869886097</v>
      </c>
      <c r="CF136" s="63">
        <f>Storage!$I$57/((1-Shipping!$J$37)^($F136/24/Shipping!$J$44+0.5*Shipping!$J$59))</f>
        <v>310425396.82539684</v>
      </c>
      <c r="CG136" s="28">
        <f>IF($E136="","No Port",((F136/24/Shipping!$J$44+F136/24/Shipping!$J$50+Shipping!$J$59+Shipping!$J$64)*(Shipping!$J$22+wacc_nl*Shipping!$J$19/365.25*1000000+Shipping!$J$35)+(F136/24/Shipping!$J$44*Shipping!$J$45+Shipping!$J$64*Shipping!$J$65)*IF(bunker_choice="HFO",$H136,IF(bunker_choice="hydrogen",$BD136*hfo_e_density_lhv/h2_e_density_lhv,(CB136+CD136)*1000000/CF136*hfo_e_density_lhv/FA_e_density_lhv))+(F136/24/Shipping!$J$50*Shipping!$J$51+Shipping!$J$59*Shipping!$J$60)*IF(bunker_choice="HFO",bunker_price_ROT,IF(bunker_choice="hydrogen",$BD136*hfo_e_density_lhv/h2_e_density_lhv,(CB136+CD136)*1000000/CF136*hfo_e_density_lhv/FA_e_density_lhv))+Shipping!$J$73+IF(G136="Panama",Shipping!$J$55,0)+IF(G136="Suez",Shipping!$J$56,0))/Shipping!$J$31*CF136/1000000+IF(inland_transport_to_port="hv dc grid",$BM136/100*1000*CI136,IF(inland_transport_to_port="pipeline",$BN136,0)))</f>
        <v>26231.874152673103</v>
      </c>
      <c r="CH136" s="28">
        <f t="shared" si="132"/>
        <v>142681.75339534023</v>
      </c>
      <c r="CI136" s="29">
        <f>((Carriers!$P$18/Carriers!$P$23*alk_el_e_demand)+FA_e_demand)*(CF136+FA_st_ab_losses)/1000000+FA_st_e_demand*CF136/1000000</f>
        <v>1897.8881241622576</v>
      </c>
      <c r="CJ136" s="29">
        <f t="shared" si="186"/>
        <v>0.46563809523809524</v>
      </c>
      <c r="CK136" s="28">
        <f>IFERROR(CH136*1000000/Storage!$I$12,"")</f>
        <v>459.63299025947163</v>
      </c>
      <c r="CL136" s="28">
        <f>IF($E136="","No Port",((F136/24/Shipping!$J$44+F136/24/Shipping!$J$50+Shipping!$J$59+Shipping!$J$64)*Carriers!$P$39*wacc_nl))</f>
        <v>420.72517649997837</v>
      </c>
      <c r="CM136" s="29">
        <f>H2_retrieval!$H$25*h2_demand_kt/1000+(co2_liq_e_demand+co2_st_e_demand*2)*Storage!$I$12*co2_density/FA_density/1000000</f>
        <v>94.204253879484654</v>
      </c>
      <c r="CN136" s="28">
        <f>IFERROR((((CB136+CD136+CG136)*(1+H2_retrieval!$H$34)+CL136)*1000000/H2_retrieval!$H$8)+h2_regen_fa,"")</f>
        <v>9313.3736907615803</v>
      </c>
      <c r="CO136" s="149">
        <f>(meoh_invest*(M136+1/meoh_lifetime)/meoh_prod+meoh_opex+meoh_e_demand*1000*$AU136/100+Carriers!$R$18/Carriers!$R$23*BD136+Carriers!$R$20/Carriers!$R$23*co2_liq_cost)*(CS136+meoh_st_ab_losses)/1000000</f>
        <v>54433.361742869136</v>
      </c>
      <c r="CP136" s="86">
        <f>(meoh_invest*(M136+1/meoh_lifetime)/meoh_prod+meoh_opex+meoh_e_demand*1000*$AU136/100+Carriers!$R$18/Carriers!$R$23*BD136+Carriers!$R$20/Carriers!$R$23*BP136)*(CS136+meoh_st_ab_losses)/1000000</f>
        <v>68420.311335213875</v>
      </c>
      <c r="CQ136" s="63">
        <f>meoh_st_nl_cost*meoh_st_nl_demand/1000000+(meoh_st_invest*(M136+1/meoh_st_lifetime+meoh_st_opex)/(Storage!$K$63/1000000)+meoh_st_e_demand*1000*$AU136/100)*(CS136+meoh_st_ab_losses)/1000000+co2_st_nl_cost*Storage!$K$12*co2_density/meoh_density/1000000+(co2_st_opex_lev+co2_st_invest_lev+co2_st_e_demand*1000*IFERROR(MIN(S136,AA136,AI136),S136)/100)*Storage!$K$12/1000000+co2_st_invest_lev*Storage!$K$12*co2_st_lifetime*M136/1000000+Carriers!$R$18/Carriers!$R$23*((CS136+meoh_st_ab_losses)/365.25*short_st_duration_hrs/24)*(h2_short_st_invest*(1/gh2_short_st_lifetime+$M136+h2_short_st_opex)+h2_short_st_e_demand*1000*$AU136/100)/1000000+Carriers!$R$20/Carriers!$R$23*((CF136+meoh_st_ab_losses)/365.25*short_st_duration_hrs/24)*(co2_short_st_invest*(1/co2_short_st_lifetime+$M136+co2_short_st_opex)+co2_short_st_e_demand*1000*$AU136/100)/1000000</f>
        <v>4589.5421346877865</v>
      </c>
      <c r="CR136" s="63">
        <f>meoh_st_nl_cost*meoh_st_nl_demand/1000000+(meoh_st_invest*(M136+1/meoh_st_lifetime+meoh_st_opex)/(Storage!$K$63/1000000)+meoh_st_e_demand*1000*$AU136/100)*(CS136+meoh_st_ab_losses)/1000000+Carriers!$R$18/Carriers!$R$23*((CS136+meoh_st_ab_losses)/365.25*short_st_duration_hrs/24)*(h2_short_st_invest*(1/gh2_short_st_lifetime+$M136+h2_short_st_opex)+h2_short_st_e_demand*1000*$AU136/100)/1000000+Carriers!$R$20/Carriers!$R$23*((CF136+meoh_st_ab_losses)/365.25*short_st_duration_hrs/24)*(co2_short_st_invest*(1/co2_short_st_lifetime+$M136+co2_short_st_opex)+co2_short_st_e_demand*1000*$AU136/100)/1000000</f>
        <v>1844.3620221706371</v>
      </c>
      <c r="CS136" s="63">
        <f>Storage!$K$57/((1-Shipping!$L$37)^($F136/24/Shipping!$L$44+0.5*Shipping!$L$59))</f>
        <v>108044444.44444443</v>
      </c>
      <c r="CT136" s="28">
        <f>IF($E136="","No Port",IF(AND(ship_choice="VLCC",G136="Panama"),"Ship cannot pass through Panama",IF(ship_choice="VLCC",((F136/24/Shipping!$AD$44+F136/24/Shipping!$AD$50+Shipping!$AD$59+Shipping!$AD$64)*(Shipping!$AD$22+wacc_nl*Shipping!$AD$19/365.25*1000000+Shipping!$AD$35)+(F136/24/Shipping!$AD$44*Shipping!$AD$45+Shipping!$AD$64*Shipping!$AD$65)*IF(bunker_choice="HFO",$H136,IF(bunker_choice="hydrogen",$BD136*hfo_e_density_lhv/h2_e_density_lhv,(CO136+CQ136)*1000000/CS136*hfo_e_density_lhv/meoh_e_density_lhv))+(F136/24/Shipping!$AD$50*Shipping!$AD$51+Shipping!$AD$59*Shipping!$AD$60)*IF(bunker_choice="HFO",bunker_price_ROT,IF(bunker_choice="hydrogen",$BD136*hfo_e_density_lhv/h2_e_density_lhv,(CO136+CQ136)*1000000/CS136*hfo_e_density_lhv/meoh_e_density_lhv))+Shipping!$AD$73+IF(G136="Panama",Shipping!$AD$55,0)+IF(G136="Suez",Shipping!$AD$56,0))/Shipping!$AD$31*CS136/1000000+IF(inland_transport_to_port="hv dc grid",$BM136/100*1000*CV136,IF(inland_transport_to_port="pipeline",$BN136,0)),((F136/24/Shipping!$L$44+F136/24/Shipping!$L$50+Shipping!$L$59+Shipping!$L$64)*(Shipping!$L$22+wacc_nl*Shipping!$L$19/365.25*1000000+Shipping!$L$35)+(F136/24/Shipping!$L$44*Shipping!$L$45+Shipping!$L$64*Shipping!$L$65)*IF(bunker_choice="HFO",$H136,IF(bunker_choice="hydrogen",$BD136*hfo_e_density_lhv/h2_e_density_lhv,(CO136+CQ136)*1000000/CS136*hfo_e_density_lhv/meoh_e_density_lhv))+(F136/24/Shipping!$L$50*Shipping!$L$51+Shipping!$L$59*Shipping!$L$60)*IF(bunker_choice="HFO",bunker_price_ROT,IF(bunker_choice="hydrogen",$BD136*hfo_e_density_lhv/h2_e_density_lhv,(CO136+CQ136)*1000000/CS136*hfo_e_density_lhv/meoh_e_density_lhv))+Shipping!$L$73+IF(G136="Panama",Shipping!$L$55,0)+IF(G136="Suez",Shipping!$L$56,0))/Shipping!$L$31*CS136/1000000+IF(inland_transport_to_port="hv dc grid",$BM136/100*1000*CV136,IF(inland_transport_to_port="pipeline",$BN136,0)))))</f>
        <v>9375.7371702513738</v>
      </c>
      <c r="CU136" s="28">
        <f t="shared" si="133"/>
        <v>79640.41052763589</v>
      </c>
      <c r="CV136" s="29">
        <f>((Carriers!$R$18/Carriers!$R$23*alk_el_e_demand)+meoh_e_demand)*(CS136+meoh_st_ab_losses)/1000000+meoh_st_e_demand*CS136/1000000</f>
        <v>1119.9789871111109</v>
      </c>
      <c r="CW136" s="29">
        <f t="shared" si="187"/>
        <v>0.16206666666666666</v>
      </c>
      <c r="CX136" s="28">
        <f>IFERROR(CU136*1000000/Storage!$K$12,"")</f>
        <v>737.10787201637504</v>
      </c>
      <c r="CY136" s="28">
        <f>IF($E136="","No Port",((F136/24/Shipping!$L$44+F136/24/Shipping!$L$50+Shipping!$L$59+Shipping!$L$64)*Carriers!$R$39*wacc_nl))</f>
        <v>150.94688857604976</v>
      </c>
      <c r="CZ136" s="29">
        <f>H2_retrieval!$J$25*h2_demand_kt/1000+(co2_liq_e_demand+co2_st_e_demand*2)*Storage!$K$12*co2_density/meoh_density/1000000</f>
        <v>251.05079059698966</v>
      </c>
      <c r="DA136" s="28">
        <f>IFERROR((((CO136+CQ136+CT136)*(1+H2_retrieval!$J$34)+CY136)*1000000/H2_retrieval!$J$8)+h2_regen_meoh,"")</f>
        <v>6210.5394208714351</v>
      </c>
      <c r="DB136" s="149">
        <f>(DBT_invest*(M136+1/DBT_lifetime)/DBT_prod+DBT_opex+DBT_e_demand*1000*$AU136/100+Carriers!$T$18/Carriers!$T$23*BD136)*(DD136+DBT_st_ab_losses)/1000000</f>
        <v>36744.119201337744</v>
      </c>
      <c r="DC136" s="28">
        <f>2*(DBT_st_nl_cost*DBT_st_nl_demand/1000000+(DBT_st_invest*(M136+1/DBT_st_lifetime+DBT_st_opex)/(Storage!$M$63/1000000)+DBT_st_e_demand*1000*$AU136/100)*(DD136+DBT_st_ab_losses)/1000000)+Carriers!$T$18/Carriers!$T$23*((DD136+DBT_st_ab_losses)/365.25*short_st_duration_hrs/24)*(h2_short_st_invest*(1/gh2_short_st_lifetime+$M136+h2_short_st_opex)+h2_short_st_e_demand*1000*$AU136/100)/1000000</f>
        <v>3854.5525677979031</v>
      </c>
      <c r="DD136" s="63">
        <f>Storage!$M$57/((1-Shipping!$N$37)^($F136/24/Shipping!$N$44+0.5*Shipping!$N$59))</f>
        <v>219354838.70967743</v>
      </c>
      <c r="DE136" s="28">
        <f>IF($E136="","No Port",IF(AND(ship_choice="VLCC",G136="Panama"),"Ship cannot pass through Panama",IF(ship_choice="VLCC",((F136/24/Shipping!$AD$44+F136/24/Shipping!$AD$50+Shipping!$AD$59+Shipping!$AD$64)*(Shipping!$AD$22+wacc_nl*Shipping!$AD$19/365.25*1000000+Shipping!$AD$35)+(F136/24/Shipping!$AD$44*Shipping!$AD$45+Shipping!$AD$64*Shipping!$AD$65)*IF(bunker_choice="HFO",$H136,IF(bunker_choice="hydrogen",$BD136*hfo_e_density_lhv/h2_e_density_lhv,(DB136+DC136)*1000000/DD136*hfo_e_density_lhv/DBT_e_density_lhv))+(F136/24/Shipping!$AD$50*Shipping!$AD$51+Shipping!$AD$59*Shipping!$AD$60)*IF(bunker_choice="HFO",bunker_price_ROT,IF(bunker_choice="hydrogen",$BD136*hfo_e_density_lhv/h2_e_density_lhv,(DB136+DC136)*1000000/DD136*hfo_e_density_lhv/DBT_e_density_lhv))+Shipping!$AD$73+IF(G136="Panama",Shipping!$AD$55,0)+IF(G136="Suez",Shipping!$AD$56,0))/Shipping!$AD$31*DD136/1000000+IF(inland_transport_to_port="hv dc grid",$BM136/100*1000*DG136,IF(inland_transport_to_port="pipeline",$BN136,0)),((F136/24/Shipping!$N$44+F136/24/Shipping!$N$50+Shipping!$N$59+Shipping!$N$64)*(Shipping!$N$22+wacc_nl*Shipping!$N$19/365.25*1000000+Shipping!$N$35)+(F136/24/Shipping!$N$44*Shipping!$N$45+Shipping!$N$64*Shipping!$N$65)*IF(bunker_choice="HFO",$H136,IF(bunker_choice="hydrogen",$BD136*hfo_e_density_lhv/h2_e_density_lhv,(DB136+DC136)*1000000/DD136*hfo_e_density_lhv/DBT_e_density_lhv))+(F136/24/Shipping!$N$50*Shipping!$N$51+Shipping!$N$59*Shipping!$N$60)*IF(bunker_choice="HFO",bunker_price_ROT,IF(bunker_choice="hydrogen",$BD136*hfo_e_density_lhv/h2_e_density_lhv,(DB136+DC136)*1000000/DD136*hfo_e_density_lhv/DBT_e_density_lhv))+Shipping!$N$73+IF(G136="Panama",Shipping!$N$55,0)+IF(G136="Suez",Shipping!$N$56,0))/Shipping!$N$31*Shipping!$N$86/1000000+IF(inland_transport_to_port="hv dc grid",$BM136/100*1000*DG136,IF(inland_transport_to_port="pipeline",$BN136,0)))))</f>
        <v>16714.306766180176</v>
      </c>
      <c r="DF136" s="28">
        <f t="shared" si="159"/>
        <v>57312.978535315822</v>
      </c>
      <c r="DG136" s="29">
        <f>((Carriers!$T$18/Carriers!$T$23*alk_el_e_demand)+DBT_e_demand)*(DD136+DBT_st_ab_losses)/1000000+DBT_st_e_demand*DD136/1000000</f>
        <v>703.88335483870969</v>
      </c>
      <c r="DH136" s="29">
        <f t="shared" si="188"/>
        <v>0.21935483870967742</v>
      </c>
      <c r="DI136" s="28">
        <f>IFERROR(DF136*1000000/Storage!$M$12,"")</f>
        <v>261.27975508746914</v>
      </c>
      <c r="DJ136" s="28">
        <f>IF($E136="","No Port",((F136/24/Shipping!$N$44+F136/24/Shipping!$N$50+Shipping!$N$59+Shipping!$N$64)*Carriers!$T$39*wacc_nl))</f>
        <v>10993.957849228611</v>
      </c>
      <c r="DK136" s="100">
        <f>H2_retrieval!$L$25*h2_demand_kt/1000+(co2_liq_e_demand+co2_st_e_demand*2)*Storage!$M$12*co2_density/DBT_density/1000000</f>
        <v>206.61934861671787</v>
      </c>
      <c r="DL136" s="28">
        <f>IFERROR(((DF136*(1+H2_retrieval!$L$34)+DJ136)*1000000/H2_retrieval!$L$8)+h2_regen_lohc,"")</f>
        <v>5493.2186324435334</v>
      </c>
      <c r="DM136" s="149">
        <f t="shared" si="175"/>
        <v>42723.291070764149</v>
      </c>
      <c r="DN136" s="16">
        <f>2*(nabh4_st_nl_cost*nabh4_st_nl_demand/1000000+(nabh4_st_invest*(M136+1/nabh4_st_lifetime+nabh4_st_opex)/(Storage!$O$63/1000000)+nabh4_st_e_demand*1000*$AU136/100)*(DO136+nabh4_st_ab_losses)/1000000)+(h2_demand_kt*1000/365.25*short_st_duration_hrs/24)*(h2_short_st_invest*(1/gh2_short_st_lifetime+$M136+h2_short_st_opex)+h2_short_st_e_demand*1000*$AU136/100)/1000000</f>
        <v>1280.4423558588562</v>
      </c>
      <c r="DO136" s="63">
        <f>Storage!$O$57/((1-Shipping!$P$37)^($F136/24/Shipping!$P$44+0.5*Shipping!$P$59))</f>
        <v>63920000</v>
      </c>
      <c r="DP136" s="16">
        <f>IF($E136="","No Port",((F136/24/Shipping!$P$44+F136/24/Shipping!$P$50+Shipping!$P$59+Shipping!$P$64)*(Shipping!$P$22+wacc_nl*Shipping!$P$19/365.25*1000000+Shipping!$P$35)+(F136/24/Shipping!$P$44*Shipping!$P$45+Shipping!$P$64*Shipping!$P$65)*IF(bunker_choice="HFO",$H136,IF(bunker_choice="hydrogen",$BD136*hfo_e_density_lhv/h2_e_density_lhv,(DM136+DN136)*1000000/DO136*hfo_e_density_lhv/nabh4_e_density_lhv))+(F136/24/Shipping!$P$50*Shipping!$P$51+Shipping!$P$59*Shipping!$P$60)*IF(bunker_choice="HFO",bunker_price_ROT,IF(bunker_choice="hydrogen",$BD136*hfo_e_density_lhv/h2_e_density_lhv,(DM136+DN136)*1000000/DO136*hfo_e_density_lhv/nabh4_e_density_lhv))+Shipping!$P$73+IF(G136="Panama",Shipping!$P$55,0)+IF(G136="Suez",Shipping!$P$56,0))/Shipping!$P$31*(DO136+nabh4_st_ab_losses)/1000000+IF(inland_transport_to_port="hv dc grid",$BM136/100*1000*DR136,IF(inland_transport_to_port="pipeline",$BN136,0)))</f>
        <v>4815.9508319766774</v>
      </c>
      <c r="DQ136" s="28">
        <f t="shared" si="146"/>
        <v>48819.684258599678</v>
      </c>
      <c r="DR136" s="29">
        <f>((Carriers!$V$18/Carriers!$V$23*alk_el_e_demand)+nabh4_e_demand)*(DO136+nabh4_st_ab_losses)/1000000+nabh4_st_e_demand*DO136/1000000</f>
        <v>980.02139682539689</v>
      </c>
      <c r="DS136" s="28">
        <f t="shared" si="189"/>
        <v>3.1960000000000002</v>
      </c>
      <c r="DT136" s="28">
        <f>IFERROR(DQ136*1000000/Storage!$O$12,"")</f>
        <v>763.76226937734168</v>
      </c>
      <c r="DU136" s="28">
        <f>IF($E136="","No Port",((F136/24/Shipping!$P$44+F136/24/Shipping!$P$50+Shipping!$P$59+Shipping!$P$64)*Carriers!$V$39*wacc_nl))</f>
        <v>1006.5840918360076</v>
      </c>
      <c r="DV136" s="100">
        <f>H2_retrieval!$N$25*h2_demand_kt/1000+(co2_liq_e_demand+co2_st_e_demand*2)*Storage!$O$12*co2_density/nabh4_density/1000000</f>
        <v>18.783638728971958</v>
      </c>
      <c r="DW136" s="28">
        <f>IFERROR(((DQ136*(1+H2_retrieval!$N$34)+DU136)*1000000/H2_retrieval!$N$8)+h2_regen_nabh4,"")</f>
        <v>3742.3640660100268</v>
      </c>
      <c r="DX136" s="149">
        <f>(Dme_invest*(M136+1/Dme_lifetime)/Dme_prod+Dme_opex+Dme_e_demand*1000*$AU136/100+Carriers!$X$21/Carriers!$X$23*(CO136*1000000/CS136))*(EB136+Dme_st_ab_losses)/1000000</f>
        <v>76545.599439145008</v>
      </c>
      <c r="DY136" s="86">
        <f>(Dme_invest*(M136+1/Dme_lifetime)/Dme_prod+Dme_opex+Dme_e_demand*1000*$AU136/100+Carriers!$X$21/Carriers!$X$23*(CP136*1000000/CS136))*(EB136+Dme_st_ab_losses)/1000000</f>
        <v>95521.190588216981</v>
      </c>
      <c r="DZ136" s="63">
        <f>Dme_st_nl_cost*Dme_st_nl_demand/1000000+(Dme_st_invest*(M136+1/Dme_st_lifetime+Dme_st_opex)/(Storage!$Q$63/1000000)+Dme_st_e_demand*1000*$AU136/100)*(EB136+Dme_st_ab_losses)/1000000+co2_st_nl_cost*Storage!$Q$12*co2_density/Dme_density/1000000+(co2_st_opex_lev+co2_st_invest_lev+co2_st_e_demand*1000*$AU136/100)*Storage!$Q$12/1000000+co2_st_invest_lev*Storage!$Q$12*co2_st_lifetime*M136/1000000+(h2_demand_kt*1000/365.25*short_st_duration_hrs/24)*(h2_short_st_invest*(1/gh2_short_st_lifetime+$M136+h2_short_st_opex)+h2_short_st_e_demand*1000*$AU136/100)/1000000</f>
        <v>5555.2190297483648</v>
      </c>
      <c r="EA136" s="63">
        <f>Dme_st_nl_cost*Dme_st_nl_demand/1000000+(Dme_st_invest*(M136+1/Dme_st_lifetime+Dme_st_opex)/(Storage!$Q$63/1000000)+Dme_st_e_demand*1000*$AU136/100)*(EB136+Dme_st_ab_losses)/1000000+(h2_demand_kt*1000/365.25*short_st_duration_hrs/24)*(h2_short_st_invest*(1/gh2_short_st_lifetime+$M136+h2_short_st_opex)+h2_short_st_e_demand*1000*$AU136/100)/1000000</f>
        <v>2797.4064587094367</v>
      </c>
      <c r="EB136" s="63">
        <f>Storage!$Q$57/((1-Shipping!$R$37)^($F136/24/Shipping!$R$44+0.5*Shipping!$R$59))</f>
        <v>103547089.94708996</v>
      </c>
      <c r="EC136" s="153">
        <f>IF($E136="","No Port",IF(AND(ship_choice="VLCC",G136="Panama"),"Ship cannot pass through Panama",IF(ship_choice="VLCC",((F136/24/Shipping!$AD$44+F136/24/Shipping!$AD$50+Shipping!$AD$59+Shipping!$AD$64)*(Shipping!$AD$22+wacc_nl*Shipping!$AD$19/365.25*1000000+Shipping!$AD$35)+(F136/24/Shipping!$AD$44*Shipping!$AD$45+Shipping!$AD$64*Shipping!$AD$65)*IF(bunker_choice="HFO",$H136,IF(bunker_choice="hydrogen",$BD136*hfo_e_density_lhv/h2_e_density_lhv,(DX136+DZ136)*1000000/EB136*hfo_e_density_lhv/Dme_e_density_lhv))+(F136/24/Shipping!$AD$50*Shipping!$AD$51+Shipping!$AD$59*Shipping!$AD$60)*IF(bunker_choice="HFO",bunker_price_ROT,IF(bunker_choice="hydrogen",$BD136*hfo_e_density_lhv/h2_e_density_lhv,(DX136+DZ136)*1000000/EB136*hfo_e_density_lhv/Dme_e_density_lhv))+Shipping!$AD$73+IF(G136="Panama",Shipping!$AD$55,0)+IF(G136="Suez",Shipping!$AD$56,0))/Shipping!$AD$31*(EB136+Dme_st_ab_losses)/1000000+IF(inland_transport_to_port="hv dc grid",$BM136/100*1000*EE136,IF(inland_transport_to_port="pipeline",$BN136,0)),((F136/24/Shipping!$R$44+F136/24/Shipping!$R$50+Shipping!$R$59+Shipping!$R$64)*(Shipping!$R$22+wacc_nl*Shipping!$R$19/365.25*1000000+Shipping!$R$35)+(F136/24/Shipping!$R$44*Shipping!$R$45+Shipping!$R$64*Shipping!$R$65)*IF(bunker_choice="HFO",$H136,IF(bunker_choice="hydrogen",$BD136*hfo_e_density_lhv/h2_e_density_lhv,(DX136+DZ136)*1000000/EB136*hfo_e_density_lhv/Dme_e_density_lhv))+(F136/24/Shipping!$R$50*Shipping!$R$51+Shipping!$R$59*Shipping!$R$60)*IF(bunker_choice="HFO",bunker_price_ROT,IF(bunker_choice="hydrogen",$BD136*hfo_e_density_lhv/h2_e_density_lhv,(DX136+DZ136)*1000000/EB136*hfo_e_density_lhv/Dme_e_density_lhv))+Shipping!$R$73+IF(G136="Panama",Shipping!$R$55,0)+IF(G136="Suez",Shipping!$R$56,0))/Shipping!$R$31*(EB136+Dme_st_ab_losses)/1000000+IF(inland_transport_to_port="hv dc grid",$BM136/100*1000*EE136,IF(inland_transport_to_port="pipeline",$BN136,0)))))</f>
        <v>9427.634953122295</v>
      </c>
      <c r="ED136" s="28">
        <f t="shared" si="134"/>
        <v>107746.23200004871</v>
      </c>
      <c r="EE136" s="29">
        <f>(Dme_e_demand)*(EB136+Dme_st_ab_losses)/1000000+Dme_st_e_demand*DZ136/1000000+$CV136*(Carriers!$X$21/Carriers!$X$23*EB136)/$CS136</f>
        <v>1550.2168157192461</v>
      </c>
      <c r="EF136" s="29">
        <f t="shared" si="190"/>
        <v>1.0354708994708997</v>
      </c>
      <c r="EG136" s="28">
        <f>IFERROR(ED136*1000000/Storage!$Q$12,"")</f>
        <v>1040.5529702003639</v>
      </c>
      <c r="EH136" s="28">
        <f>IF($E136="","No Port",((F136/24/Shipping!$R$44+F136/24/Shipping!$R$50+Shipping!$R$59+Shipping!$R$64)*Carriers!$X$39*wacc_nl))</f>
        <v>157.56726918942633</v>
      </c>
      <c r="EI136" s="100">
        <f>H2_retrieval!$P$25*h2_demand_kt/1000+(co2_liq_e_demand+co2_st_e_demand*2)*Storage!$Q$12*co2_density/Dme_density/1000000</f>
        <v>252.45335899349112</v>
      </c>
      <c r="EJ136" s="28">
        <f>IFERROR((((DX136+DZ136+EC136)*(1+H2_retrieval!$P$34)+EH136)*1000000/H2_retrieval!$P$8)+h2_regen_dme,"")</f>
        <v>7911.7477116670789</v>
      </c>
      <c r="EK136" s="149">
        <f>(ome_invest*(M136+1/ome_lifetime)/ome_prod+ome_opex+ome_e_demand*1000*$AU136/100+Carriers!$Z$21/Carriers!$Z$23*(CO136*1000000/CS136))*(EO136+ome_st_ab_losses)/1000000</f>
        <v>166414.1504385561</v>
      </c>
      <c r="EL136" s="86">
        <f>(ome_invest*(M136+1/ome_lifetime)/ome_prod+ome_opex+ome_e_demand*1000*$AU136/100+Carriers!$Z$21/Carriers!$Z$23*(CP136*1000000/CS136))*(EO136+ome_st_ab_losses)/1000000</f>
        <v>206247.61010659125</v>
      </c>
      <c r="EM136" s="63">
        <f>ome_st_nl_cost*ome_st_nl_demand/1000000+(ome_st_invest*(M136+1/ome_st_lifetime+ome_st_opex)/(Storage!$S$63/1000000)+ome_st_e_demand*1000*$AU136/100)*(EO136+ome_st_ab_losses)/1000000+co2_st_nl_cost*Storage!$S$12*co2_density/ome_density/1000000+(co2_st_opex_lev+co2_st_invest_lev+co2_st_e_demand*1000*$AU136/100)*Storage!$S$12/1000000+co2_st_invest_lev*Storage!$S$12*co2_st_lifetime*M136/1000000+(h2_demand_kt*1000/365.25*short_st_duration_hrs/24)*(h2_short_st_invest*(1/gh2_short_st_lifetime+$M136+h2_short_st_opex)+h2_short_st_e_demand*1000*$AU136/100)/1000000</f>
        <v>4749.0756479374131</v>
      </c>
      <c r="EN136" s="63">
        <f>ome_st_nl_cost*ome_st_nl_demand/1000000+(ome_st_invest*(M136+1/ome_st_lifetime+ome_st_opex)/(Storage!$S$63/1000000)+ome_st_e_demand*1000*$AU136/100)*(EO136+ome_st_ab_losses)/1000000+(h2_demand_kt*1000/365.25*short_st_duration_hrs/24)*(h2_short_st_invest*(1/gh2_short_st_lifetime+$M136+h2_short_st_opex)+h2_short_st_e_demand*1000*$AU136/100)/1000000</f>
        <v>1671.4414283524538</v>
      </c>
      <c r="EO136" s="63">
        <f>Storage!$S$57/((1-Shipping!$T$37)^($F136/24/Shipping!$T$44+0.5*Shipping!$T$59))</f>
        <v>128282539.68253967</v>
      </c>
      <c r="EP136" s="28">
        <f>IF($E136="","No Port",IF(AND(ship_choice="VLCC",G136="Panama"),"Ship cannot pass through Panama",IF(ship_choice="VLCC",((F136/24/Shipping!$AD$44+F136/24/Shipping!$AD$50+Shipping!$AD$59+Shipping!$AD$64)*(Shipping!$AD$22+wacc_nl*Shipping!$AD$19/365.25*1000000+Shipping!$AD$35)+(F136/24/Shipping!$AD$44*Shipping!$AD$45+Shipping!$AD$64*Shipping!$AD$65)*IF(bunker_choice="HFO",$H136,IF(bunker_choice="hydrogen",$BD136*hfo_e_density_lhv/h2_e_density_lhv,(EK136+EM136)*1000000/EO136*hfo_e_density_lhv/Dme_e_density_lhv))+(F136/24/Shipping!$AD$50*Shipping!$AD$51+Shipping!$AD$59*Shipping!$AD$60)*IF(bunker_choice="HFO",bunker_price_ROT,IF(bunker_choice="hydrogen",$BD136*hfo_e_density_lhv/h2_e_density_lhv,(EK136+EM136)*1000000/EO136*hfo_e_density_lhv/ome_e_density_lhv))+Shipping!$AD$73+IF(G136="Panama",Shipping!$AD$55,0)+IF(G136="Suez",Shipping!$AD$56,0))/Shipping!$AD$31*(EO136+ome_st_ab_losses)/1000000+IF(inland_transport_to_port="hv dc grid",$BM136/100*1000*ER136,IF(inland_transport_to_port="pipeline",$BN136,0)),((F136/24/Shipping!$T$44+F136/24/Shipping!$T$50+Shipping!$T$59+Shipping!$T$64)*(Shipping!$T$22+wacc_nl*Shipping!$T$19/365.25*1000000+Shipping!$T$35)+(F136/24/Shipping!$T$44*Shipping!$T$45+Shipping!$T$64*Shipping!$T$65)*IF(bunker_choice="HFO",$H136,IF(bunker_choice="hydrogen",$BD136*hfo_e_density_lhv/h2_e_density_lhv,(EK136+EM136)*1000000/EO136*hfo_e_density_lhv/Dme_e_density_lhv))+(F136/24/Shipping!$T$50*Shipping!$T$51+Shipping!$T$59*Shipping!$T$60)*IF(bunker_choice="HFO",bunker_price_ROT,IF(bunker_choice="hydrogen",$BD136*hfo_e_density_lhv/h2_e_density_lhv,(EK136+EM136)*1000000/EO136*hfo_e_density_lhv/ome_e_density_lhv))+Shipping!$T$73+IF(G136="Panama",Shipping!$T$55,0)+IF(G136="Suez",Shipping!$T$56,0))/Shipping!$T$31*(EO136+ome_st_ab_losses)/1000000+IF(inland_transport_to_port="hv dc grid",$BM136/100*1000*ER136,IF(inland_transport_to_port="pipeline",$BN136,0)))))</f>
        <v>10368.512773810529</v>
      </c>
      <c r="EQ136" s="28">
        <f t="shared" si="135"/>
        <v>218287.56430875426</v>
      </c>
      <c r="ER136" s="29">
        <f>(ome_e_demand)*(EO136+ome_st_ab_losses)/1000000+ome_st_e_demand*EM136/1000000+$CV136*(Carriers!$Z$21/Carriers!$Z$23*EO136)/$CS136</f>
        <v>3352.0814572643967</v>
      </c>
      <c r="ES136" s="29">
        <f t="shared" si="191"/>
        <v>0.1924238095238095</v>
      </c>
      <c r="ET136" s="28">
        <f>IFERROR(EQ136*1000000/Storage!$S$12,"")</f>
        <v>1701.6155499333711</v>
      </c>
      <c r="EU136" s="28">
        <f>IF($E136="","No Port",((F136/24/Shipping!$T$44+F136/24/Shipping!$T$50+Shipping!$T$59+Shipping!$T$64)*Carriers!$Z$39*wacc_nl))</f>
        <v>179.22115591671843</v>
      </c>
      <c r="EV136" s="100">
        <f>H2_retrieval!$R$25*h2_demand_kt/1000+(co2_liq_e_demand+co2_st_e_demand*2)*Storage!$S$12*co2_density/ome_density/1000000</f>
        <v>254.51942895252085</v>
      </c>
      <c r="EW136" s="28">
        <f>IFERROR((((EK136+EM136+EP136)*(1+H2_retrieval!$R$34)+EU136)*1000000/H2_retrieval!$R$8)+h2_regen_ome,"")</f>
        <v>14531.228544388818</v>
      </c>
      <c r="EX136" s="149">
        <f>(sng_invest*(M136+1/sng_lifetime)/sng_prod+lng_invest*(M136+1/lng_lifetime)/lng_prod+sng_opex+lng_opex+(sng_e_demand+lng_e_demand)*1000*$AU136/100+Carriers!$AB$18/Carriers!$AB$23*BD136+Carriers!$AB$20/Carriers!$AB$23*co2_liq_cost)*(FB136+lng_st_ab_losses)/1000000</f>
        <v>60342.516884472687</v>
      </c>
      <c r="EY136" s="86">
        <f>(sng_invest*(M136+1/sng_lifetime)/sng_prod+lng_invest*(M136+1/lng_lifetime)/lng_prod+sng_opex+lng_opex+(sng_e_demand+lng_e_demand)*1000*$AU136/100+Carriers!$AB$18/Carriers!$AB$23*BD136+Carriers!$AB$20/Carriers!$AB$23*BP136)*(FB136+lng_st_ab_losses)/1000000</f>
        <v>70991.021102118757</v>
      </c>
      <c r="EZ136" s="63">
        <f>lng_st_nl_cost*lng_st_nl_demand/1000000+(lng_st_invest*(M136+1/lng_st_lifetime+lng_st_opex)/(Storage!$U$63/1000000)+lng_st_e_demand*1000*$AU136/100)*(FB136+lng_st_ab_losses)/1000000+co2_st_nl_cost*Storage!$U$12*co2_density/lng_density/1000000+(co2_st_opex_lev+co2_st_invest_lev+co2_st_e_demand*1000*$AU136/100)*Storage!$U$12/1000000+co2_st_invest_lev*Storage!$U$12*co2_st_lifetime*M136/1000000+Carriers!$AB$18/Carriers!$AB$23*((FB136+lng_st_ab_losses)/365.25*short_st_duration_hrs/24)*(h2_short_st_invest*(1/gh2_short_st_lifetime+$M136+h2_short_st_opex)+h2_short_st_e_demand*1000*$AU136/100)/1000000+Carriers!$AB$20/Carriers!$AB$23*((FB136+lng_st_ab_losses)/365.25*short_st_duration_hrs/24)*(co2_short_st_invest*(1/co2_short_st_lifetime+$M136+co2_short_st_opex)+co2_short_st_e_demand*1000*$AU136/100)/1000000</f>
        <v>5946.106335278846</v>
      </c>
      <c r="FA136" s="63">
        <f>lng_st_nl_cost*lng_st_nl_demand/1000000+(lng_st_invest*(M136+1/lng_st_lifetime+lng_st_opex)/(Storage!$U$63/1000000)+lng_st_e_demand*1000*$AU136/100)*(FB136+lng_st_ab_losses)/1000000+Carriers!$AB$18/Carriers!$AB$23*((FB136+lng_st_ab_losses)/365.25*short_st_duration_hrs/24)*(h2_short_st_invest*(1/gh2_short_st_lifetime+$M136+h2_short_st_opex)+h2_short_st_e_demand*1000*$AU136/100)/1000000+Carriers!$AB$20/Carriers!$AB$23*((FB136+lng_st_ab_losses)/365.25*short_st_duration_hrs/24)*(co2_short_st_invest*(1/co2_short_st_lifetime+$M136+co2_short_st_opex)+co2_short_st_e_demand*1000*$AU136/100)/1000000</f>
        <v>4427.5241119580451</v>
      </c>
      <c r="FB136" s="63">
        <f>Storage!$U$57/((1-Shipping!$V$37)^($F136/24/Shipping!$V$44+0.5*Shipping!$V$59))</f>
        <v>41912774.704725124</v>
      </c>
      <c r="FC136" s="28">
        <f>IF($E136="","No Port",IF(G136="Panama","Ship cannot pass through Panama",((F136/24/Shipping!$V$44+F136/24/Shipping!$V$50+Shipping!$V$59+Shipping!$V$64)*(Shipping!$V$22+wacc_nl*Shipping!$V$19/365.25*1000000+Shipping!$V$35)+(F136/24/Shipping!$V$44*Shipping!$V$45+Shipping!$V$64*Shipping!$V$65)*IF(bunker_choice="HFO",$H136,IF(bunker_choice="hydrogen",$BD136*hfo_e_density_lhv/h2_e_density_lhv,(EX136+EZ136)*1000000/FB136*hfo_e_density_lhv/lng_e_density_lhv))+(F136/24/Shipping!$V$50*Shipping!$V$51+Shipping!$V$59*Shipping!$V$60)*IF(bunker_choice="HFO",bunker_price_ROT,IF(bunker_choice="hydrogen",$BD136*hfo_e_density_lhv/h2_e_density_lhv,(EX136+EZ136)*1000000/FB136*hfo_e_density_lhv/lng_e_density_lhv))+Shipping!$V$73+IF(G136="Panama",Shipping!$V$55,0)+IF(G136="Suez",Shipping!$V$56,0))/Shipping!$V$31*(FB136+lng_st_ab_losses)/1000000)+IF(inland_transport_to_port="hv dc grid",$BM136/100*1000*FE136,IF(inland_transport_to_port="pipeline",$BN136,0)))</f>
        <v>4106.4132527758002</v>
      </c>
      <c r="FD136" s="28">
        <f t="shared" si="136"/>
        <v>79524.958466852608</v>
      </c>
      <c r="FE136" s="29">
        <f>((Carriers!$AB$18/Carriers!$AB$23*alk_el_e_demand)+sng_e_demand+lng_e_demand)*(FB136+lng_st_ab_losses)/1000000+lng_st_e_demand*EZ136/1000000</f>
        <v>1124.0469364476596</v>
      </c>
      <c r="FF136" s="29">
        <f t="shared" si="192"/>
        <v>0.8126185861001558</v>
      </c>
      <c r="FG136" s="28">
        <f>IFERROR(FD136*1000000/Storage!$U$12,"")</f>
        <v>1959.5089109088367</v>
      </c>
      <c r="FH136" s="28">
        <f>IF($E136="","No Port",((F136/24/Shipping!$V$44+F136/24/Shipping!$V$50+Shipping!$V$59+Shipping!$V$64)*Carriers!$AB$39*wacc_nl))</f>
        <v>52.413881597510823</v>
      </c>
      <c r="FI136" s="100">
        <f>H2_retrieval!$T$25*h2_demand_kt/1000+(co2_liq_e_demand+co2_st_e_demand*2)*Storage!$U$12*co2_density/lng_density/1000000</f>
        <v>236.51371749646054</v>
      </c>
      <c r="FJ136" s="28">
        <f>IFERROR((((EX136+EZ136+FC136)*(1+H2_retrieval!$T$34)+FH136)*1000000/H2_retrieval!$T$8)+h2_regen_lng,"")</f>
        <v>6350.088128058238</v>
      </c>
      <c r="FK136" s="149">
        <f>(lh2_invest*(M136+1/lh2_lifetime)/lh2_prod+lh2_opex+lh2_e_demand*1000*$AU136/100+Carriers!$AD$18/Carriers!$AD$23*BD136)*(FM136+lh2_st_ab_losses)/1000000</f>
        <v>47547.067727810892</v>
      </c>
      <c r="FL136" s="28">
        <f>lh2_st_nl_cost*lh2_st_nl_demand/1000000+(lh2_st_invest*(M136+1/lh2_st_lifetime+lh2_st_opex)/(Storage!$Y$63/1000000)+lh2_st_e_demand*1000*$AU136/100)*(FM136+lh2_st_ab_losses)/1000000+((FM136+lh2_st_ab_losses)/365.25*short_st_duration_hrs/24)*(h2_short_st_invest*(1/gh2_short_st_lifetime+$M136+h2_short_st_opex)+h2_short_st_e_demand*1000*$AU136/100)/1000000</f>
        <v>52087.874772878495</v>
      </c>
      <c r="FM136" s="63">
        <f>Storage!$Y$57/((1-Shipping!$Z$37)^($F136/24/Shipping!$Z$44+0.5*Shipping!$Z$59))</f>
        <v>14313227.147543522</v>
      </c>
      <c r="FN136" s="28">
        <f>IF($E136="","No Port",IF(G136="Panama","Ship cannot pass through Panama",((F136/24/Shipping!$Z$44+F136/24/Shipping!$Z$50+Shipping!$Z$59+Shipping!$Z$64)*(Shipping!$Z$22+wacc_nl*Shipping!$Z$19/365.25*1000000+Shipping!$Z$35)+(F136/24/Shipping!$Z$44*Shipping!$Z$45+Shipping!$Z$64*Shipping!$Z$65)*IF(bunker_choice="HFO",$H136,IF(bunker_choice="hydrogen",$BD136*hfo_e_density_lhv/h2_e_density_lhv,(FK136+FL136)*1000000/FM136*hfo_e_density_lhv/lh2_e_density_lhv))+(F136/24/Shipping!$Z$50*Shipping!$Z$51+Shipping!$Z$59*Shipping!$Z$60)*IF(bunker_choice="HFO",bunker_price_ROT,IF(bunker_choice="hydrogen",$BD136*hfo_e_density_lhv/h2_e_density_lhv,(FK136+FL136)*1000000/FM136*hfo_e_density_lhv/lh2_e_density_lhv))+Shipping!$Z$73+IF(G136="Panama",Shipping!$Z$55,0)+IF(G136="Suez",Shipping!$Z$56,0))/Shipping!$Z$31*(FM136+lh2_st_ab_losses)/1000000)+IF(inland_transport_to_port="hv dc grid",$BM136/100*1000*FP136,IF(inland_transport_to_port="pipeline",$BN136,0)))</f>
        <v>6801.6867528328976</v>
      </c>
      <c r="FO136" s="28">
        <f t="shared" ref="FO136:FO154" si="200">IFERROR(FK136+FL136+FN136,"")</f>
        <v>106436.62925352229</v>
      </c>
      <c r="FP136" s="29">
        <f>((Carriers!$AD$18/Carriers!$AD$23*alk_el_e_demand)+lh2_e_demand)*(FM136+lh2_st_ab_losses)/1000000+lh2_st_e_demand*FM136/1000000</f>
        <v>829.4055081783473</v>
      </c>
      <c r="FQ136" s="100">
        <f t="shared" si="193"/>
        <v>1.361902463475859</v>
      </c>
      <c r="FR136" s="28">
        <f>IFERROR(FO136*1000000/Storage!$Y$12,"")</f>
        <v>7826.2227392295799</v>
      </c>
      <c r="FS136" s="100">
        <f>H2_retrieval!$V$25*h2_demand_kt/1000</f>
        <v>8.16</v>
      </c>
      <c r="FT136" s="28">
        <f>IFERROR(FR136*(1+H2_retrieval!$V$34)/Carrier_properties!$U$7+H2_retrieval!$V$38,"")</f>
        <v>7858.191465098047</v>
      </c>
      <c r="FU136" s="12"/>
      <c r="FV136" s="24">
        <f t="shared" ref="FV136:FV154" si="201">S136</f>
        <v>1.9420936951891805</v>
      </c>
      <c r="FW136" s="24" t="str">
        <f t="shared" si="143"/>
        <v/>
      </c>
      <c r="FX136" s="24" t="str">
        <f t="shared" si="144"/>
        <v/>
      </c>
      <c r="FY136" s="24">
        <f t="shared" ref="FY136:FY154" si="202">MIN(FV136:FX136)</f>
        <v>1.9420936951891805</v>
      </c>
      <c r="FZ136" s="28">
        <f t="shared" si="145"/>
        <v>2480.6039005892771</v>
      </c>
      <c r="GA136" s="28">
        <f t="shared" si="137"/>
        <v>567.62165837376847</v>
      </c>
      <c r="GB136" s="28">
        <f t="shared" si="138"/>
        <v>359.8669174562171</v>
      </c>
      <c r="GC136" s="28">
        <f t="shared" si="139"/>
        <v>633.26080009967598</v>
      </c>
      <c r="GD136" s="28">
        <f t="shared" si="140"/>
        <v>922.49034364003842</v>
      </c>
      <c r="GE136" s="28">
        <f t="shared" si="141"/>
        <v>1607.7605776826017</v>
      </c>
      <c r="GF136" s="28">
        <f t="shared" si="142"/>
        <v>1693.7800372857548</v>
      </c>
      <c r="GG136" s="12"/>
      <c r="GH136" s="12"/>
      <c r="GI136" s="12"/>
      <c r="GJ136" s="12"/>
      <c r="GK136" s="12"/>
      <c r="GL136" s="12"/>
      <c r="GM136" s="12"/>
      <c r="GN136" s="12"/>
      <c r="GO136" s="12"/>
      <c r="GP136" s="12"/>
      <c r="GQ136" s="12"/>
      <c r="GR136" s="12"/>
      <c r="GS136" s="12"/>
      <c r="GT136" s="12"/>
      <c r="GU136" s="12"/>
      <c r="GV136" s="12"/>
      <c r="GW136" s="12"/>
      <c r="GX136" s="12"/>
      <c r="GY136" s="12"/>
      <c r="GZ136" s="12"/>
      <c r="HA136" s="12"/>
      <c r="HB136" s="12"/>
      <c r="HC136" s="12"/>
      <c r="HD136" s="12"/>
      <c r="HE136" s="12"/>
      <c r="HF136" s="12"/>
    </row>
    <row r="137" spans="1:214" x14ac:dyDescent="0.2">
      <c r="A137" s="154" t="s">
        <v>137</v>
      </c>
      <c r="B137" s="12">
        <v>4855</v>
      </c>
      <c r="C137" s="12">
        <v>0.9</v>
      </c>
      <c r="D137" s="12">
        <f t="shared" si="194"/>
        <v>9.9999999999999978E-2</v>
      </c>
      <c r="E137" s="12" t="s">
        <v>788</v>
      </c>
      <c r="F137" s="12">
        <v>4059</v>
      </c>
      <c r="G137" s="12"/>
      <c r="H137" s="16">
        <f t="shared" ref="H137:H154" si="203">bunker_price_gen</f>
        <v>382.75862068965517</v>
      </c>
      <c r="I137" s="16">
        <v>54390</v>
      </c>
      <c r="J137" s="16">
        <f t="shared" si="195"/>
        <v>131.57839757930014</v>
      </c>
      <c r="K137" s="16">
        <f t="shared" si="196"/>
        <v>157.89407709516016</v>
      </c>
      <c r="L137" s="103">
        <v>0.156</v>
      </c>
      <c r="M137" s="103">
        <f t="shared" ref="M137:M154" si="204">IF(wacc="dataset",L137,IF(wacc="dataset rv",wacc_average+SQRT(wacc_rv_factor)*(L137-wacc_average),uniform_wacc))</f>
        <v>0.15174301773751955</v>
      </c>
      <c r="N137" s="122">
        <f t="shared" si="197"/>
        <v>0.9</v>
      </c>
      <c r="O137" s="46">
        <f t="shared" ref="O137:O154" si="205">solar_lifetime</f>
        <v>40</v>
      </c>
      <c r="P137" s="70">
        <f t="array" ref="P137">SUMPRODUCT(IF(Solar_data!A$4:A$777=A137,Solar_data!C$4:C$777),IF(Solar_data!A$4:A$777=A137,Solar_data!I$4:I$777))/SUMIF(Solar_data!A$4:A$777,A137,Solar_data!I$4:I$777)</f>
        <v>1962.1519002350371</v>
      </c>
      <c r="Q137" s="16">
        <f t="array" ref="Q137">MAX(IF(Solar_data!$A$777:'Solar_data'!$A$4=Country_details!$A137,Solar_data!$C$4:'Solar_data'!$C$777))</f>
        <v>2098.75</v>
      </c>
      <c r="R137" s="16">
        <f t="array" ref="R137">MIN(IF(Solar_data!$A$777:'Solar_data'!$A$4=Country_details!A137,Solar_data!$C$4:'Solar_data'!$C$777))</f>
        <v>1733.75</v>
      </c>
      <c r="S137" s="24">
        <f t="shared" si="176"/>
        <v>2.6710347030375554</v>
      </c>
      <c r="T137" s="24">
        <f t="shared" si="177"/>
        <v>2.4971891926903478</v>
      </c>
      <c r="U137" s="24">
        <f t="shared" si="178"/>
        <v>3.022913233256737</v>
      </c>
      <c r="V137" s="16">
        <f t="array" ref="V137">SUM(IF(Solar_data!$A$777:'Solar_data'!$A$4=Country_details!$A137,Solar_data!$I$4:'Solar_data'!$I$777))</f>
        <v>445.24646938574483</v>
      </c>
      <c r="W137" s="148"/>
      <c r="X137" s="16" t="str">
        <f>IFERROR(INDEX(Onshore_wind_data!$J$5:'Onshore_wind_data'!$J$221,MATCH(A137,Onshore_wind_data!$B$5:'Onshore_wind_data'!$B$221,0)),"")</f>
        <v/>
      </c>
      <c r="Y137" s="16" t="str">
        <f>IFERROR(INDEX(Onshore_wind_data!$K$5:'Onshore_wind_data'!$K$221,MATCH(A137,Onshore_wind_data!$B$5:'Onshore_wind_data'!$B$221,0)),"")</f>
        <v/>
      </c>
      <c r="Z137" s="16" t="str">
        <f>IFERROR(INDEX(Onshore_wind_data!$L$5:'Onshore_wind_data'!$L$221,MATCH(A137,Onshore_wind_data!$B$5:'Onshore_wind_data'!$B$221,0)),"")</f>
        <v/>
      </c>
      <c r="AA137" s="24" t="str">
        <f t="shared" ref="AA137:AA154" si="206">IFERROR(IF(X137="","",(onshore_invest*($M137+1/onshore_lifetime)+onshore_opex)/X137*100),"")</f>
        <v/>
      </c>
      <c r="AB137" s="24" t="str">
        <f t="shared" ref="AB137:AB154" si="207">IFERROR(IF(Y137="","",(onshore_invest*($M137+1/onshore_lifetime)+onshore_opex)/Y137*100),"")</f>
        <v/>
      </c>
      <c r="AC137" s="24" t="str">
        <f t="shared" ref="AC137:AC154" si="208">IFERROR(IF(Z137="","",(onshore_invest*($M137+1/onshore_lifetime)+onshore_opex)/Z137*100),"")</f>
        <v/>
      </c>
      <c r="AD137" s="16">
        <f>IFERROR(INDEX(Onshore_wind_data!$I$5:'Onshore_wind_data'!$I$221,MATCH(A137,Onshore_wind_data!$B$5:'Onshore_wind_data'!$B$221,0)),"")</f>
        <v>0</v>
      </c>
      <c r="AE137" s="148"/>
      <c r="AF137" s="16" t="str">
        <f>INDEX(Offshore_wind_data!$AA$7:$AA$192,MATCH(Country_details!A137,Offshore_wind_data!$A$7:$A$192,0))</f>
        <v/>
      </c>
      <c r="AG137" s="16" t="str">
        <f>INDEX(Offshore_wind_data!$Y$7:$Y$192,MATCH(Country_details!A137,Offshore_wind_data!$A$7:$A$192,0))</f>
        <v/>
      </c>
      <c r="AH137" s="16" t="str">
        <f>INDEX(Offshore_wind_data!$Z$7:$Z$192,MATCH(Country_details!A137,Offshore_wind_data!$A$7:$A$192,0))</f>
        <v/>
      </c>
      <c r="AI137" s="24" t="str">
        <f t="shared" si="179"/>
        <v/>
      </c>
      <c r="AJ137" s="24" t="str">
        <f t="shared" si="180"/>
        <v/>
      </c>
      <c r="AK137" s="24" t="str">
        <f t="shared" si="181"/>
        <v/>
      </c>
      <c r="AL137" s="16">
        <f>INDEX(Offshore_wind_data!$W$7:$W$191,MATCH(A137,Offshore_wind_data!$A$7:$A$191,0))</f>
        <v>0</v>
      </c>
      <c r="AM137" s="148"/>
      <c r="AN137" s="12">
        <v>7.8</v>
      </c>
      <c r="AO137" s="12">
        <v>15.3</v>
      </c>
      <c r="AP137" s="34">
        <f>0.462*11.63</f>
        <v>5.3730600000000006</v>
      </c>
      <c r="AQ137" s="15">
        <f t="shared" si="182"/>
        <v>50</v>
      </c>
      <c r="AR137" s="12">
        <f t="shared" si="131"/>
        <v>765</v>
      </c>
      <c r="AS137" s="16">
        <f t="shared" si="198"/>
        <v>-319.75353061425517</v>
      </c>
      <c r="AT137" s="12"/>
      <c r="AU137" s="24">
        <f t="shared" si="183"/>
        <v>2.6710347030375554</v>
      </c>
      <c r="AV137" s="16">
        <f t="shared" si="184"/>
        <v>1962.1519002350371</v>
      </c>
      <c r="AW137" s="149">
        <f>HV_DC_Grid!$E$3/(1-AX137)*AU137/100*1000</f>
        <v>2982.5574903235292</v>
      </c>
      <c r="AX137" s="31">
        <f>(1-(1-HV_DC_Grid!$E$25)^(B137*C137*HV_DC_Grid!$E$8/1000))+(1-(1-HV_DC_Grid!$E$26)^(B137*D137*HV_DC_Grid!$E$8/1000))+HV_DC_Grid!$E$35*HV_DC_Grid!$E$28</f>
        <v>0.10444820872578785</v>
      </c>
      <c r="AY137" s="28">
        <f>B137*nl_e_demand/IF(hv_dc_flh="electricity FLH",$AV137,hv_dc_custom)*1000*hv_dc_capacity_multiplier*hv_dc_length_multiplier*1000*(C137*hv_dc_overhead_invest*(hv_dc_overhead_opex+M137+1/hv_dc_lifetime)+D137*hv_dc_sea_invest*(hv_dc_sea_opex+M137+1/hv_dc_lifetime))/1000000+HV_DC_Grid!$E$10*1000*hv_dc_station_invest*hv_dc_station_number*(hv_dc_station_opex+M137+1/hv_dc_lifetime)/1000000</f>
        <v>6320.120797292213</v>
      </c>
      <c r="AZ137" s="24">
        <f>(AW137+AY137)/(HV_DC_Grid!$E$3*1000)*100</f>
        <v>9.3026782876157412</v>
      </c>
      <c r="BA137" s="28">
        <f>MIN(((Carriers!$F$26+Carriers!$F$27)*(alk_el_opex+wacc_nl+1/alk_el_lifetime)+IF(hv_dc_flh="electricity FLH",$AV137,hv_dc_custom)*AZ137/100)/(IF(hv_dc_flh="electricity FLH",$AV137,hv_dc_custom)/alk_el_e_demand)*1000,((Carriers!$H$26+Carriers!$H$27)*(pem_el_opex+wacc_nl+1/pem_el_lifetime)+IF(hv_dc_flh="electricity FLH",$AV137,hv_dc_custom)*AZ137/100)/(IF(hv_dc_flh="electricity FLH",$AV137,hv_dc_custom)/pem_el_e_demand)*1000)</f>
        <v>5102.8322462153501</v>
      </c>
      <c r="BB137" s="12"/>
      <c r="BC137" s="12"/>
      <c r="BD137" s="149">
        <f>MIN(((Carriers!$F$26+Carriers!$F$27)*(alk_el_opex+M137+1/alk_el_lifetime)+$AV137*$AU137/100)/($AV137/alk_el_e_demand)*1000,((Carriers!$H$26+Carriers!$H$27)*(pem_el_opex+M137+1/pem_el_lifetime)+$AV137*$AU137/100)/($AV137/pem_el_e_demand)*1000)</f>
        <v>3342.8882499264741</v>
      </c>
      <c r="BE137" s="28">
        <f>Storage!$AC$50</f>
        <v>8.1664117557772418</v>
      </c>
      <c r="BF137" s="28">
        <f>((Pipeline!$D$22*Pipeline!$D$24*B137*(pipeline_opex+M137+1/pipeline_lifetime))*(Pipeline!$D$39/Pipeline!$D$3)+(Pipeline!$D$57*(pipeline_comp_opex+M137+1/pipeline_comp_lifetime)+Pipeline!$D$47*1000*Pipeline!$D$45*$AU137/100/1000000))*(Pipeline!$D$75/Pipeline!$D$45)</f>
        <v>12465.178367458691</v>
      </c>
      <c r="BG137" s="28">
        <f>BD137+(BE137+BF137)/Storage!$AC$12*1000000</f>
        <v>4260.0459542804792</v>
      </c>
      <c r="BH137" s="28"/>
      <c r="BI137" s="28"/>
      <c r="BJ137" s="28">
        <f>IF($E137="","No Port",BK137*HV_DC_Grid!$E$3*$AU137/100*1000)</f>
        <v>45.544922770750439</v>
      </c>
      <c r="BK137" s="31">
        <f>IFERROR((1-(1-HV_DC_Grid!$E$25)^(K137*HV_DC_Grid!$E$8/1000))+HV_DC_Grid!$E$35*HV_DC_Grid!$E$28,"")</f>
        <v>1.7051415587733029E-2</v>
      </c>
      <c r="BL137" s="28">
        <f>IFERROR(K137*nl_e_demand/IF(hv_dc_flh="electricity FLH",$AV137,hv_dc_custom)*1000*hv_dc_capacity_multiplier*hv_dc_length_multiplier*1000*(hv_dc_overhead_invest*(hv_dc_overhead_opex+M137+1/hv_dc_lifetime))/1000000+HV_DC_Grid!$E$10*1000*hv_dc_station_invest*hv_dc_station_number*(hv_dc_station_opex+M137+1/hv_dc_lifetime)/1000000,"")</f>
        <v>648.6856216283021</v>
      </c>
      <c r="BM137" s="29">
        <f>IFERROR((BJ137+BL137)/(HV_DC_Grid!$E$3*1000)*100,"")</f>
        <v>0.69423054439905252</v>
      </c>
      <c r="BN137" s="28">
        <f>IFERROR(((Pipeline!$D$22*Pipeline!$D$24*K137*(pipeline_opex+M137+1/pipeline_lifetime))*(Pipeline!$D$39/Pipeline!$D$3)+(Pipeline!$D$57*(pipeline_comp_opex+M137+1/pipeline_comp_lifetime)+Pipeline!$D$47*1000*Pipeline!$D$45*S137/100/1000000))*(Pipeline!$D$75/Pipeline!$D$45),"")</f>
        <v>491.63549065474859</v>
      </c>
      <c r="BO137" s="28"/>
      <c r="BP137" s="150">
        <f t="shared" ref="BP137:BP154" si="209">DAC_invest*(M137+1/DAC_lifetime)/DAC_prod+DAC_opex+DAC_e_demand*1000*$AU137/100</f>
        <v>127.06219973546632</v>
      </c>
      <c r="BQ137" s="34">
        <f t="shared" ref="BQ137:BQ154" si="210">n2_invest*(M137+1/n2_lifetime)/n2_prod+n2_opex+n2_e_demand*1000*$AU137/100</f>
        <v>38.090097684271122</v>
      </c>
      <c r="BR137" s="151">
        <f>(nh3_invest*(M137+1/nh3_lifetime)/nh3_prod+nh3_opex+nh3_e_demand*1000*$AU137/100+Carriers!$N$18/Carriers!$N$23*BD137+Carriers!$N$19/Carriers!$N$23*BQ137)*(BT137+nh3_st_ab_losses)/1000000</f>
        <v>59524.321077903012</v>
      </c>
      <c r="BS137" s="63">
        <f>nh3_st_nl_cost*nh3_st_nl_demand/1000000+(nh3_st_invest*(M137+1/nh3_st_lifetime+nh3_st_opex)/(Storage!$G$63/1000000)+nh3_st_e_demand*1000*$AU137/100)*(BT137+nh3_st_ab_losses)/1000000+Carriers!$N$18/Carriers!$N$23*((BT137+nh3_st_ab_losses)/365.25*short_st_duration_hrs/24)*(h2_short_st_invest*(1/gh2_short_st_lifetime+$M137+h2_short_st_opex)+h2_short_st_e_demand*1000*$AU137/100)/1000000+Carriers!$N$19/Carriers!$N$23*((BT137+nh3_st_ab_losses)/365.25*short_st_duration_hrs/24)*(n2_short_st_invest*(1/n2_short_st_lifetime+$M137+n2_short_st_opex)+n2_short_st_e_demand*1000*$AU137/100)/1000000</f>
        <v>3748.4245356000383</v>
      </c>
      <c r="BT137" s="63">
        <f>Storage!$G$57/((1-Shipping!$H$37)^(F137/24/Shipping!$H$44+0.5*Shipping!$H$59))</f>
        <v>78854150.831927389</v>
      </c>
      <c r="BU137" s="63">
        <f>IF($E137="","No Port",((F137/24/Shipping!$H$44+F137/24/Shipping!$H$50+Shipping!$H$59+Shipping!$H$64)*(Shipping!$H$22+wacc_nl*Shipping!$H$19/365.25*1000000+Shipping!$H$35)+(F137/24/Shipping!$H$44*Shipping!$H$45+Shipping!$H$64*Shipping!$H$65)*IF(bunker_choice="HFO",H137,IF(bunker_choice="hydrogen",BD137*hfo_e_density_lhv/h2_e_density_lhv,(BR137+BS137)*1000000/BT137*hfo_e_density_lhv/nh3_e_density_lhv))+(F137/24/Shipping!$H$50*Shipping!$H$51+Shipping!$H$59*Shipping!$H$60)*IF(bunker_choice="HFO",bunker_price_ROT,IF(bunker_choice="hydrogen",BD137*hfo_e_density_lhv/h2_e_density_lhv,(BR137+BS137)*1000000/BT137*hfo_e_density_lhv/nh3_e_density_lhv))+Shipping!$H$73+IF(G137="Panama",Shipping!$H$55,0)+IF(G137="Suez",Shipping!$H$56,0))/Shipping!$H$31*BT137/1000000+IF(inland_transport_to_port="hv dc grid",$BM137/100*1000*BW137,IF(inland_transport_to_port="pipeline",$BN137,0)))</f>
        <v>3417.2963254126885</v>
      </c>
      <c r="BV137" s="63">
        <f t="shared" si="199"/>
        <v>66690.041938915747</v>
      </c>
      <c r="BW137" s="33">
        <f>((Carriers!$N$18/Carriers!$N$23*alk_el_e_demand)+(Carriers!$N$19/Carriers!$N$23*n2_e_demand)+nh3_e_demand)*(BT137+nh3_st_ab_losses)/1000000+nh3_st_e_demand*BT137/1000000</f>
        <v>778.70611154170285</v>
      </c>
      <c r="BX137" s="33">
        <f t="shared" si="185"/>
        <v>0.76626754477640768</v>
      </c>
      <c r="BY137" s="63">
        <f>IFERROR(BV137*1000000/Storage!$G$12,"")</f>
        <v>871.04834188792813</v>
      </c>
      <c r="BZ137" s="63">
        <f>H2_retrieval!$F$25*h2_demand_kt/1000</f>
        <v>80</v>
      </c>
      <c r="CA137" s="63">
        <f>IFERROR(BY137*(1+H2_retrieval!$F$34)/Carrier_properties!$E$7+H2_retrieval!$F$38,"")</f>
        <v>5312.9055339757751</v>
      </c>
      <c r="CB137" s="149">
        <f>(FA_invest*(M137+1/FA_lifetime)/FA_prod+FA_opex+FA_e_demand*1000*$AU137/100+Carriers!$P$18/Carriers!$P$23*BD137+Carriers!$P$20/Carriers!$P$23*co2_liq_cost)*(CF137+FA_st_ab_losses)/1000000</f>
        <v>116126.66258894773</v>
      </c>
      <c r="CC137" s="86">
        <f>(FA_invest*(M137+1/FA_lifetime)/FA_prod+FA_opex+FA_e_demand*1000*$AU137/100+Carriers!$P$18/Carriers!$P$23*BD137+Carriers!$P$20/Carriers!$P$23*BP137)*(CF137+FA_st_ab_losses)/1000000</f>
        <v>146999.00539933611</v>
      </c>
      <c r="CD137" s="63">
        <f>FA_st_nl_cost*FA_st_nl_demand/1000000+(FA_st_invest*(M137+1/FA_st_lifetime+FA_st_opex)/(Storage!$I$63/1000000)+FA_st_e_demand*1000*$AU137/100)*(CF137+FA_st_ab_losses)/1000000+co2_st_nl_cost*Storage!$I$12*co2_density/FA_density/1000000+(co2_st_opex_lev+co2_st_invest_lev+co2_st_e_demand*1000*$AU137/100)*Storage!$I$12/1000000+co2_st_invest_lev*Storage!$I$12*co2_st_lifetime*M137/1000000+Carriers!$P$18/Carriers!$P$23*((CF137+FA_st_ab_losses)/365.25*short_st_duration_hrs/24)*(h2_short_st_invest*(1/gh2_short_st_lifetime+$M137+h2_short_st_opex)+h2_short_st_e_demand*1000*$AU137/100)/1000000+Carriers!$P$20/Carriers!$P$23*((CF137+FA_st_ab_losses)/365.25*short_st_duration_hrs/24)*(co2_short_st_invest*(1/co2_short_st_lifetime+$M137+co2_short_st_opex)+co2_short_st_e_demand*1000*$AU137/100)/1000000</f>
        <v>12637.550131585784</v>
      </c>
      <c r="CE137" s="63">
        <f>FA_st_nl_cost*FA_st_nl_demand/1000000+(FA_st_invest*(M137+1/FA_st_lifetime+FA_st_opex)/(Storage!$I$63/1000000)+FA_st_e_demand*1000*$AU137/100)*(CF137+FA_st_ab_losses)/1000000+Carriers!$P$18/Carriers!$P$23*((CF137+FA_st_ab_losses)/365.25*short_st_duration_hrs/24)*(h2_short_st_invest*(1/gh2_short_st_lifetime+$M137+h2_short_st_opex)+h2_short_st_e_demand*1000*$AU137/100)/1000000+Carriers!$P$20/Carriers!$P$23*((CF137+FA_st_ab_losses)/365.25*short_st_duration_hrs/24)*(co2_short_st_invest*(1/co2_short_st_lifetime+$M137+co2_short_st_opex)+co2_short_st_e_demand*1000*$AU137/100)/1000000</f>
        <v>5565.6479857589511</v>
      </c>
      <c r="CF137" s="63">
        <f>Storage!$I$57/((1-Shipping!$J$37)^($F137/24/Shipping!$J$44+0.5*Shipping!$J$59))</f>
        <v>310425396.82539684</v>
      </c>
      <c r="CG137" s="28">
        <f>IF($E137="","No Port",((F137/24/Shipping!$J$44+F137/24/Shipping!$J$50+Shipping!$J$59+Shipping!$J$64)*(Shipping!$J$22+wacc_nl*Shipping!$J$19/365.25*1000000+Shipping!$J$35)+(F137/24/Shipping!$J$44*Shipping!$J$45+Shipping!$J$64*Shipping!$J$65)*IF(bunker_choice="HFO",$H137,IF(bunker_choice="hydrogen",$BD137*hfo_e_density_lhv/h2_e_density_lhv,(CB137+CD137)*1000000/CF137*hfo_e_density_lhv/FA_e_density_lhv))+(F137/24/Shipping!$J$50*Shipping!$J$51+Shipping!$J$59*Shipping!$J$60)*IF(bunker_choice="HFO",bunker_price_ROT,IF(bunker_choice="hydrogen",$BD137*hfo_e_density_lhv/h2_e_density_lhv,(CB137+CD137)*1000000/CF137*hfo_e_density_lhv/FA_e_density_lhv))+Shipping!$J$73+IF(G137="Panama",Shipping!$J$55,0)+IF(G137="Suez",Shipping!$J$56,0))/Shipping!$J$31*CF137/1000000+IF(inland_transport_to_port="hv dc grid",$BM137/100*1000*CI137,IF(inland_transport_to_port="pipeline",$BN137,0)))</f>
        <v>13479.731463036696</v>
      </c>
      <c r="CH137" s="28">
        <f t="shared" si="132"/>
        <v>166044.38484813177</v>
      </c>
      <c r="CI137" s="29">
        <f>((Carriers!$P$18/Carriers!$P$23*alk_el_e_demand)+FA_e_demand)*(CF137+FA_st_ab_losses)/1000000+FA_st_e_demand*CF137/1000000</f>
        <v>1897.8881241622576</v>
      </c>
      <c r="CJ137" s="29">
        <f t="shared" si="186"/>
        <v>0.46563809523809524</v>
      </c>
      <c r="CK137" s="28">
        <f>IFERROR(CH137*1000000/Storage!$I$12,"")</f>
        <v>534.89304208420094</v>
      </c>
      <c r="CL137" s="28">
        <f>IF($E137="","No Port",((F137/24/Shipping!$J$44+F137/24/Shipping!$J$50+Shipping!$J$59+Shipping!$J$64)*Carriers!$P$39*wacc_nl))</f>
        <v>212.97347143748908</v>
      </c>
      <c r="CM137" s="29">
        <f>H2_retrieval!$H$25*h2_demand_kt/1000+(co2_liq_e_demand+co2_st_e_demand*2)*Storage!$I$12*co2_density/FA_density/1000000</f>
        <v>94.204253879484654</v>
      </c>
      <c r="CN137" s="28">
        <f>IFERROR((((CB137+CD137+CG137)*(1+H2_retrieval!$H$34)+CL137)*1000000/H2_retrieval!$H$8)+h2_regen_fa,"")</f>
        <v>10564.460724752817</v>
      </c>
      <c r="CO137" s="149">
        <f>(meoh_invest*(M137+1/meoh_lifetime)/meoh_prod+meoh_opex+meoh_e_demand*1000*$AU137/100+Carriers!$R$18/Carriers!$R$23*BD137+Carriers!$R$20/Carriers!$R$23*co2_liq_cost)*(CS137+meoh_st_ab_losses)/1000000</f>
        <v>72946.008434378236</v>
      </c>
      <c r="CP137" s="86">
        <f>(meoh_invest*(M137+1/meoh_lifetime)/meoh_prod+meoh_opex+meoh_e_demand*1000*$AU137/100+Carriers!$R$18/Carriers!$R$23*BD137+Carriers!$R$20/Carriers!$R$23*BP137)*(CS137+meoh_st_ab_losses)/1000000</f>
        <v>91069.026749993718</v>
      </c>
      <c r="CQ137" s="63">
        <f>meoh_st_nl_cost*meoh_st_nl_demand/1000000+(meoh_st_invest*(M137+1/meoh_st_lifetime+meoh_st_opex)/(Storage!$K$63/1000000)+meoh_st_e_demand*1000*$AU137/100)*(CS137+meoh_st_ab_losses)/1000000+co2_st_nl_cost*Storage!$K$12*co2_density/meoh_density/1000000+(co2_st_opex_lev+co2_st_invest_lev+co2_st_e_demand*1000*IFERROR(MIN(S137,AA137,AI137),S137)/100)*Storage!$K$12/1000000+co2_st_invest_lev*Storage!$K$12*co2_st_lifetime*M137/1000000+Carriers!$R$18/Carriers!$R$23*((CS137+meoh_st_ab_losses)/365.25*short_st_duration_hrs/24)*(h2_short_st_invest*(1/gh2_short_st_lifetime+$M137+h2_short_st_opex)+h2_short_st_e_demand*1000*$AU137/100)/1000000+Carriers!$R$20/Carriers!$R$23*((CF137+meoh_st_ab_losses)/365.25*short_st_duration_hrs/24)*(co2_short_st_invest*(1/co2_short_st_lifetime+$M137+co2_short_st_opex)+co2_short_st_e_demand*1000*$AU137/100)/1000000</f>
        <v>5283.840034706117</v>
      </c>
      <c r="CR137" s="63">
        <f>meoh_st_nl_cost*meoh_st_nl_demand/1000000+(meoh_st_invest*(M137+1/meoh_st_lifetime+meoh_st_opex)/(Storage!$K$63/1000000)+meoh_st_e_demand*1000*$AU137/100)*(CS137+meoh_st_ab_losses)/1000000+Carriers!$R$18/Carriers!$R$23*((CS137+meoh_st_ab_losses)/365.25*short_st_duration_hrs/24)*(h2_short_st_invest*(1/gh2_short_st_lifetime+$M137+h2_short_st_opex)+h2_short_st_e_demand*1000*$AU137/100)/1000000+Carriers!$R$20/Carriers!$R$23*((CF137+meoh_st_ab_losses)/365.25*short_st_duration_hrs/24)*(co2_short_st_invest*(1/co2_short_st_lifetime+$M137+co2_short_st_opex)+co2_short_st_e_demand*1000*$AU137/100)/1000000</f>
        <v>2223.4468915448892</v>
      </c>
      <c r="CS137" s="63">
        <f>Storage!$K$57/((1-Shipping!$L$37)^($F137/24/Shipping!$L$44+0.5*Shipping!$L$59))</f>
        <v>108044444.44444443</v>
      </c>
      <c r="CT137" s="28">
        <f>IF($E137="","No Port",IF(AND(ship_choice="VLCC",G137="Panama"),"Ship cannot pass through Panama",IF(ship_choice="VLCC",((F137/24/Shipping!$AD$44+F137/24/Shipping!$AD$50+Shipping!$AD$59+Shipping!$AD$64)*(Shipping!$AD$22+wacc_nl*Shipping!$AD$19/365.25*1000000+Shipping!$AD$35)+(F137/24/Shipping!$AD$44*Shipping!$AD$45+Shipping!$AD$64*Shipping!$AD$65)*IF(bunker_choice="HFO",$H137,IF(bunker_choice="hydrogen",$BD137*hfo_e_density_lhv/h2_e_density_lhv,(CO137+CQ137)*1000000/CS137*hfo_e_density_lhv/meoh_e_density_lhv))+(F137/24/Shipping!$AD$50*Shipping!$AD$51+Shipping!$AD$59*Shipping!$AD$60)*IF(bunker_choice="HFO",bunker_price_ROT,IF(bunker_choice="hydrogen",$BD137*hfo_e_density_lhv/h2_e_density_lhv,(CO137+CQ137)*1000000/CS137*hfo_e_density_lhv/meoh_e_density_lhv))+Shipping!$AD$73+IF(G137="Panama",Shipping!$AD$55,0)+IF(G137="Suez",Shipping!$AD$56,0))/Shipping!$AD$31*CS137/1000000+IF(inland_transport_to_port="hv dc grid",$BM137/100*1000*CV137,IF(inland_transport_to_port="pipeline",$BN137,0)),((F137/24/Shipping!$L$44+F137/24/Shipping!$L$50+Shipping!$L$59+Shipping!$L$64)*(Shipping!$L$22+wacc_nl*Shipping!$L$19/365.25*1000000+Shipping!$L$35)+(F137/24/Shipping!$L$44*Shipping!$L$45+Shipping!$L$64*Shipping!$L$65)*IF(bunker_choice="HFO",$H137,IF(bunker_choice="hydrogen",$BD137*hfo_e_density_lhv/h2_e_density_lhv,(CO137+CQ137)*1000000/CS137*hfo_e_density_lhv/meoh_e_density_lhv))+(F137/24/Shipping!$L$50*Shipping!$L$51+Shipping!$L$59*Shipping!$L$60)*IF(bunker_choice="HFO",bunker_price_ROT,IF(bunker_choice="hydrogen",$BD137*hfo_e_density_lhv/h2_e_density_lhv,(CO137+CQ137)*1000000/CS137*hfo_e_density_lhv/meoh_e_density_lhv))+Shipping!$L$73+IF(G137="Panama",Shipping!$L$55,0)+IF(G137="Suez",Shipping!$L$56,0))/Shipping!$L$31*CS137/1000000+IF(inland_transport_to_port="hv dc grid",$BM137/100*1000*CV137,IF(inland_transport_to_port="pipeline",$BN137,0)))))</f>
        <v>4751.2297287250713</v>
      </c>
      <c r="CU137" s="28">
        <f t="shared" si="133"/>
        <v>98043.703370263684</v>
      </c>
      <c r="CV137" s="29">
        <f>((Carriers!$R$18/Carriers!$R$23*alk_el_e_demand)+meoh_e_demand)*(CS137+meoh_st_ab_losses)/1000000+meoh_st_e_demand*CS137/1000000</f>
        <v>1119.9789871111109</v>
      </c>
      <c r="CW137" s="29">
        <f t="shared" si="187"/>
        <v>0.16206666666666666</v>
      </c>
      <c r="CX137" s="28">
        <f>IFERROR(CU137*1000000/Storage!$K$12,"")</f>
        <v>907.43863670544351</v>
      </c>
      <c r="CY137" s="28">
        <f>IF($E137="","No Port",((F137/24/Shipping!$L$44+F137/24/Shipping!$L$50+Shipping!$L$59+Shipping!$L$64)*Carriers!$R$39*wacc_nl))</f>
        <v>76.14491621229557</v>
      </c>
      <c r="CZ137" s="29">
        <f>H2_retrieval!$J$25*h2_demand_kt/1000+(co2_liq_e_demand+co2_st_e_demand*2)*Storage!$K$12*co2_density/meoh_density/1000000</f>
        <v>251.05079059698966</v>
      </c>
      <c r="DA137" s="28">
        <f>IFERROR((((CO137+CQ137+CT137)*(1+H2_retrieval!$J$34)+CY137)*1000000/H2_retrieval!$J$8)+h2_regen_meoh,"")</f>
        <v>7277.2773015800658</v>
      </c>
      <c r="DB137" s="149">
        <f>(DBT_invest*(M137+1/DBT_lifetime)/DBT_prod+DBT_opex+DBT_e_demand*1000*$AU137/100+Carriers!$T$18/Carriers!$T$23*BD137)*(DD137+DBT_st_ab_losses)/1000000</f>
        <v>49020.45632226349</v>
      </c>
      <c r="DC137" s="28">
        <f>2*(DBT_st_nl_cost*DBT_st_nl_demand/1000000+(DBT_st_invest*(M137+1/DBT_st_lifetime+DBT_st_opex)/(Storage!$M$63/1000000)+DBT_st_e_demand*1000*$AU137/100)*(DD137+DBT_st_ab_losses)/1000000)+Carriers!$T$18/Carriers!$T$23*((DD137+DBT_st_ab_losses)/365.25*short_st_duration_hrs/24)*(h2_short_st_invest*(1/gh2_short_st_lifetime+$M137+h2_short_st_opex)+h2_short_st_e_demand*1000*$AU137/100)/1000000</f>
        <v>4521.8651750317285</v>
      </c>
      <c r="DD137" s="63">
        <f>Storage!$M$57/((1-Shipping!$N$37)^($F137/24/Shipping!$N$44+0.5*Shipping!$N$59))</f>
        <v>219354838.70967743</v>
      </c>
      <c r="DE137" s="28">
        <f>IF($E137="","No Port",IF(AND(ship_choice="VLCC",G137="Panama"),"Ship cannot pass through Panama",IF(ship_choice="VLCC",((F137/24/Shipping!$AD$44+F137/24/Shipping!$AD$50+Shipping!$AD$59+Shipping!$AD$64)*(Shipping!$AD$22+wacc_nl*Shipping!$AD$19/365.25*1000000+Shipping!$AD$35)+(F137/24/Shipping!$AD$44*Shipping!$AD$45+Shipping!$AD$64*Shipping!$AD$65)*IF(bunker_choice="HFO",$H137,IF(bunker_choice="hydrogen",$BD137*hfo_e_density_lhv/h2_e_density_lhv,(DB137+DC137)*1000000/DD137*hfo_e_density_lhv/DBT_e_density_lhv))+(F137/24/Shipping!$AD$50*Shipping!$AD$51+Shipping!$AD$59*Shipping!$AD$60)*IF(bunker_choice="HFO",bunker_price_ROT,IF(bunker_choice="hydrogen",$BD137*hfo_e_density_lhv/h2_e_density_lhv,(DB137+DC137)*1000000/DD137*hfo_e_density_lhv/DBT_e_density_lhv))+Shipping!$AD$73+IF(G137="Panama",Shipping!$AD$55,0)+IF(G137="Suez",Shipping!$AD$56,0))/Shipping!$AD$31*DD137/1000000+IF(inland_transport_to_port="hv dc grid",$BM137/100*1000*DG137,IF(inland_transport_to_port="pipeline",$BN137,0)),((F137/24/Shipping!$N$44+F137/24/Shipping!$N$50+Shipping!$N$59+Shipping!$N$64)*(Shipping!$N$22+wacc_nl*Shipping!$N$19/365.25*1000000+Shipping!$N$35)+(F137/24/Shipping!$N$44*Shipping!$N$45+Shipping!$N$64*Shipping!$N$65)*IF(bunker_choice="HFO",$H137,IF(bunker_choice="hydrogen",$BD137*hfo_e_density_lhv/h2_e_density_lhv,(DB137+DC137)*1000000/DD137*hfo_e_density_lhv/DBT_e_density_lhv))+(F137/24/Shipping!$N$50*Shipping!$N$51+Shipping!$N$59*Shipping!$N$60)*IF(bunker_choice="HFO",bunker_price_ROT,IF(bunker_choice="hydrogen",$BD137*hfo_e_density_lhv/h2_e_density_lhv,(DB137+DC137)*1000000/DD137*hfo_e_density_lhv/DBT_e_density_lhv))+Shipping!$N$73+IF(G137="Panama",Shipping!$N$55,0)+IF(G137="Suez",Shipping!$N$56,0))/Shipping!$N$31*Shipping!$N$86/1000000+IF(inland_transport_to_port="hv dc grid",$BM137/100*1000*DG137,IF(inland_transport_to_port="pipeline",$BN137,0)))))</f>
        <v>8529.9823712168982</v>
      </c>
      <c r="DF137" s="28">
        <f t="shared" si="159"/>
        <v>62072.303868512114</v>
      </c>
      <c r="DG137" s="29">
        <f>((Carriers!$T$18/Carriers!$T$23*alk_el_e_demand)+DBT_e_demand)*(DD137+DBT_st_ab_losses)/1000000+DBT_st_e_demand*DD137/1000000</f>
        <v>703.88335483870969</v>
      </c>
      <c r="DH137" s="29">
        <f t="shared" si="188"/>
        <v>0.21935483870967742</v>
      </c>
      <c r="DI137" s="28">
        <f>IFERROR(DF137*1000000/Storage!$M$12,"")</f>
        <v>282.97667940056994</v>
      </c>
      <c r="DJ137" s="28">
        <f>IF($E137="","No Port",((F137/24/Shipping!$N$44+F137/24/Shipping!$N$50+Shipping!$N$59+Shipping!$N$64)*Carriers!$T$39*wacc_nl))</f>
        <v>5545.8844310610511</v>
      </c>
      <c r="DK137" s="100">
        <f>H2_retrieval!$L$25*h2_demand_kt/1000+(co2_liq_e_demand+co2_st_e_demand*2)*Storage!$M$12*co2_density/DBT_density/1000000</f>
        <v>206.61934861671787</v>
      </c>
      <c r="DL137" s="28">
        <f>IFERROR(((DF137*(1+H2_retrieval!$L$34)+DJ137)*1000000/H2_retrieval!$L$8)+h2_regen_lohc,"")</f>
        <v>5442.5753909015284</v>
      </c>
      <c r="DM137" s="149">
        <f t="shared" ref="DM137:DM154" si="211">(nabh4_invest*(M137+1/nabh4_lifetime)/nabh4_prod+nabh4_opex+nabh4_e_demand*1000*$AU137/100)*(DO137+nabh4_st_ab_losses)/1000000</f>
        <v>53721.78313920759</v>
      </c>
      <c r="DN137" s="16">
        <f>2*(nabh4_st_nl_cost*nabh4_st_nl_demand/1000000+(nabh4_st_invest*(M137+1/nabh4_st_lifetime+nabh4_st_opex)/(Storage!$O$63/1000000)+nabh4_st_e_demand*1000*$AU137/100)*(DO137+nabh4_st_ab_losses)/1000000)+(h2_demand_kt*1000/365.25*short_st_duration_hrs/24)*(h2_short_st_invest*(1/gh2_short_st_lifetime+$M137+h2_short_st_opex)+h2_short_st_e_demand*1000*$AU137/100)/1000000</f>
        <v>1523.1749989705127</v>
      </c>
      <c r="DO137" s="63">
        <f>Storage!$O$57/((1-Shipping!$P$37)^($F137/24/Shipping!$P$44+0.5*Shipping!$P$59))</f>
        <v>63920000</v>
      </c>
      <c r="DP137" s="16">
        <f>IF($E137="","No Port",((F137/24/Shipping!$P$44+F137/24/Shipping!$P$50+Shipping!$P$59+Shipping!$P$64)*(Shipping!$P$22+wacc_nl*Shipping!$P$19/365.25*1000000+Shipping!$P$35)+(F137/24/Shipping!$P$44*Shipping!$P$45+Shipping!$P$64*Shipping!$P$65)*IF(bunker_choice="HFO",$H137,IF(bunker_choice="hydrogen",$BD137*hfo_e_density_lhv/h2_e_density_lhv,(DM137+DN137)*1000000/DO137*hfo_e_density_lhv/nabh4_e_density_lhv))+(F137/24/Shipping!$P$50*Shipping!$P$51+Shipping!$P$59*Shipping!$P$60)*IF(bunker_choice="HFO",bunker_price_ROT,IF(bunker_choice="hydrogen",$BD137*hfo_e_density_lhv/h2_e_density_lhv,(DM137+DN137)*1000000/DO137*hfo_e_density_lhv/nabh4_e_density_lhv))+Shipping!$P$73+IF(G137="Panama",Shipping!$P$55,0)+IF(G137="Suez",Shipping!$P$56,0))/Shipping!$P$31*(DO137+nabh4_st_ab_losses)/1000000+IF(inland_transport_to_port="hv dc grid",$BM137/100*1000*DR137,IF(inland_transport_to_port="pipeline",$BN137,0)))</f>
        <v>2568.5256458091199</v>
      </c>
      <c r="DQ137" s="28">
        <f t="shared" si="146"/>
        <v>57813.48378398722</v>
      </c>
      <c r="DR137" s="29">
        <f>((Carriers!$V$18/Carriers!$V$23*alk_el_e_demand)+nabh4_e_demand)*(DO137+nabh4_st_ab_losses)/1000000+nabh4_st_e_demand*DO137/1000000</f>
        <v>980.02139682539689</v>
      </c>
      <c r="DS137" s="28">
        <f t="shared" si="189"/>
        <v>3.1960000000000002</v>
      </c>
      <c r="DT137" s="28">
        <f>IFERROR(DQ137*1000000/Storage!$O$12,"")</f>
        <v>904.46626695849841</v>
      </c>
      <c r="DU137" s="28">
        <f>IF($E137="","No Port",((F137/24/Shipping!$P$44+F137/24/Shipping!$P$50+Shipping!$P$59+Shipping!$P$64)*Carriers!$V$39*wacc_nl))</f>
        <v>518.87763815415633</v>
      </c>
      <c r="DV137" s="100">
        <f>H2_retrieval!$N$25*h2_demand_kt/1000+(co2_liq_e_demand+co2_st_e_demand*2)*Storage!$O$12*co2_density/nabh4_density/1000000</f>
        <v>18.783638728971958</v>
      </c>
      <c r="DW137" s="28">
        <f>IFERROR(((DQ137*(1+H2_retrieval!$N$34)+DU137)*1000000/H2_retrieval!$N$8)+h2_regen_nabh4,"")</f>
        <v>4381.0382617610157</v>
      </c>
      <c r="DX137" s="149">
        <f>(Dme_invest*(M137+1/Dme_lifetime)/Dme_prod+Dme_opex+Dme_e_demand*1000*$AU137/100+Carriers!$X$21/Carriers!$X$23*(CO137*1000000/CS137))*(EB137+Dme_st_ab_losses)/1000000</f>
        <v>102417.8909659528</v>
      </c>
      <c r="DY137" s="86">
        <f>(Dme_invest*(M137+1/Dme_lifetime)/Dme_prod+Dme_opex+Dme_e_demand*1000*$AU137/100+Carriers!$X$21/Carriers!$X$23*(CP137*1000000/CS137))*(EB137+Dme_st_ab_losses)/1000000</f>
        <v>127004.73770289114</v>
      </c>
      <c r="DZ137" s="63">
        <f>Dme_st_nl_cost*Dme_st_nl_demand/1000000+(Dme_st_invest*(M137+1/Dme_st_lifetime+Dme_st_opex)/(Storage!$Q$63/1000000)+Dme_st_e_demand*1000*$AU137/100)*(EB137+Dme_st_ab_losses)/1000000+co2_st_nl_cost*Storage!$Q$12*co2_density/Dme_density/1000000+(co2_st_opex_lev+co2_st_invest_lev+co2_st_e_demand*1000*$AU137/100)*Storage!$Q$12/1000000+co2_st_invest_lev*Storage!$Q$12*co2_st_lifetime*M137/1000000+(h2_demand_kt*1000/365.25*short_st_duration_hrs/24)*(h2_short_st_invest*(1/gh2_short_st_lifetime+$M137+h2_short_st_opex)+h2_short_st_e_demand*1000*$AU137/100)/1000000</f>
        <v>6354.732973365888</v>
      </c>
      <c r="EA137" s="63">
        <f>Dme_st_nl_cost*Dme_st_nl_demand/1000000+(Dme_st_invest*(M137+1/Dme_st_lifetime+Dme_st_opex)/(Storage!$Q$63/1000000)+Dme_st_e_demand*1000*$AU137/100)*(EB137+Dme_st_ab_losses)/1000000+(h2_demand_kt*1000/365.25*short_st_duration_hrs/24)*(h2_short_st_invest*(1/gh2_short_st_lifetime+$M137+h2_short_st_opex)+h2_short_st_e_demand*1000*$AU137/100)/1000000</f>
        <v>3294.8281272041968</v>
      </c>
      <c r="EB137" s="63">
        <f>Storage!$Q$57/((1-Shipping!$R$37)^($F137/24/Shipping!$R$44+0.5*Shipping!$R$59))</f>
        <v>103547089.94708996</v>
      </c>
      <c r="EC137" s="153">
        <f>IF($E137="","No Port",IF(AND(ship_choice="VLCC",G137="Panama"),"Ship cannot pass through Panama",IF(ship_choice="VLCC",((F137/24/Shipping!$AD$44+F137/24/Shipping!$AD$50+Shipping!$AD$59+Shipping!$AD$64)*(Shipping!$AD$22+wacc_nl*Shipping!$AD$19/365.25*1000000+Shipping!$AD$35)+(F137/24/Shipping!$AD$44*Shipping!$AD$45+Shipping!$AD$64*Shipping!$AD$65)*IF(bunker_choice="HFO",$H137,IF(bunker_choice="hydrogen",$BD137*hfo_e_density_lhv/h2_e_density_lhv,(DX137+DZ137)*1000000/EB137*hfo_e_density_lhv/Dme_e_density_lhv))+(F137/24/Shipping!$AD$50*Shipping!$AD$51+Shipping!$AD$59*Shipping!$AD$60)*IF(bunker_choice="HFO",bunker_price_ROT,IF(bunker_choice="hydrogen",$BD137*hfo_e_density_lhv/h2_e_density_lhv,(DX137+DZ137)*1000000/EB137*hfo_e_density_lhv/Dme_e_density_lhv))+Shipping!$AD$73+IF(G137="Panama",Shipping!$AD$55,0)+IF(G137="Suez",Shipping!$AD$56,0))/Shipping!$AD$31*(EB137+Dme_st_ab_losses)/1000000+IF(inland_transport_to_port="hv dc grid",$BM137/100*1000*EE137,IF(inland_transport_to_port="pipeline",$BN137,0)),((F137/24/Shipping!$R$44+F137/24/Shipping!$R$50+Shipping!$R$59+Shipping!$R$64)*(Shipping!$R$22+wacc_nl*Shipping!$R$19/365.25*1000000+Shipping!$R$35)+(F137/24/Shipping!$R$44*Shipping!$R$45+Shipping!$R$64*Shipping!$R$65)*IF(bunker_choice="HFO",$H137,IF(bunker_choice="hydrogen",$BD137*hfo_e_density_lhv/h2_e_density_lhv,(DX137+DZ137)*1000000/EB137*hfo_e_density_lhv/Dme_e_density_lhv))+(F137/24/Shipping!$R$50*Shipping!$R$51+Shipping!$R$59*Shipping!$R$60)*IF(bunker_choice="HFO",bunker_price_ROT,IF(bunker_choice="hydrogen",$BD137*hfo_e_density_lhv/h2_e_density_lhv,(DX137+DZ137)*1000000/EB137*hfo_e_density_lhv/Dme_e_density_lhv))+Shipping!$R$73+IF(G137="Panama",Shipping!$R$55,0)+IF(G137="Suez",Shipping!$R$56,0))/Shipping!$R$31*(EB137+Dme_st_ab_losses)/1000000+IF(inland_transport_to_port="hv dc grid",$BM137/100*1000*EE137,IF(inland_transport_to_port="pipeline",$BN137,0)))))</f>
        <v>4743.7697780260596</v>
      </c>
      <c r="ED137" s="28">
        <f t="shared" si="134"/>
        <v>135043.33560812139</v>
      </c>
      <c r="EE137" s="29">
        <f>(Dme_e_demand)*(EB137+Dme_st_ab_losses)/1000000+Dme_st_e_demand*DZ137/1000000+$CV137*(Carriers!$X$21/Carriers!$X$23*EB137)/$CS137</f>
        <v>1550.2168237143856</v>
      </c>
      <c r="EF137" s="29">
        <f t="shared" si="190"/>
        <v>1.0354708994708997</v>
      </c>
      <c r="EG137" s="28">
        <f>IFERROR(ED137*1000000/Storage!$Q$12,"")</f>
        <v>1304.1731609949179</v>
      </c>
      <c r="EH137" s="28">
        <f>IF($E137="","No Port",((F137/24/Shipping!$R$44+F137/24/Shipping!$R$50+Shipping!$R$59+Shipping!$R$64)*Carriers!$X$39*wacc_nl))</f>
        <v>78.755335875390344</v>
      </c>
      <c r="EI137" s="100">
        <f>H2_retrieval!$P$25*h2_demand_kt/1000+(co2_liq_e_demand+co2_st_e_demand*2)*Storage!$Q$12*co2_density/Dme_density/1000000</f>
        <v>252.45335899349112</v>
      </c>
      <c r="EJ137" s="28">
        <f>IFERROR((((DX137+DZ137+EC137)*(1+H2_retrieval!$P$34)+EH137)*1000000/H2_retrieval!$P$8)+h2_regen_dme,"")</f>
        <v>9522.7130324034788</v>
      </c>
      <c r="EK137" s="149">
        <f>(ome_invest*(M137+1/ome_lifetime)/ome_prod+ome_opex+ome_e_demand*1000*$AU137/100+Carriers!$Z$21/Carriers!$Z$23*(CO137*1000000/CS137))*(EO137+ome_st_ab_losses)/1000000</f>
        <v>222398.03161552918</v>
      </c>
      <c r="EL137" s="86">
        <f>(ome_invest*(M137+1/ome_lifetime)/ome_prod+ome_opex+ome_e_demand*1000*$AU137/100+Carriers!$Z$21/Carriers!$Z$23*(CP137*1000000/CS137))*(EO137+ome_st_ab_losses)/1000000</f>
        <v>274010.60906652955</v>
      </c>
      <c r="EM137" s="63">
        <f>ome_st_nl_cost*ome_st_nl_demand/1000000+(ome_st_invest*(M137+1/ome_st_lifetime+ome_st_opex)/(Storage!$S$63/1000000)+ome_st_e_demand*1000*$AU137/100)*(EO137+ome_st_ab_losses)/1000000+co2_st_nl_cost*Storage!$S$12*co2_density/ome_density/1000000+(co2_st_opex_lev+co2_st_invest_lev+co2_st_e_demand*1000*$AU137/100)*Storage!$S$12/1000000+co2_st_invest_lev*Storage!$S$12*co2_st_lifetime*M137/1000000+(h2_demand_kt*1000/365.25*short_st_duration_hrs/24)*(h2_short_st_invest*(1/gh2_short_st_lifetime+$M137+h2_short_st_opex)+h2_short_st_e_demand*1000*$AU137/100)/1000000</f>
        <v>5444.4203593148113</v>
      </c>
      <c r="EN137" s="63">
        <f>ome_st_nl_cost*ome_st_nl_demand/1000000+(ome_st_invest*(M137+1/ome_st_lifetime+ome_st_opex)/(Storage!$S$63/1000000)+ome_st_e_demand*1000*$AU137/100)*(EO137+ome_st_ab_losses)/1000000+(h2_demand_kt*1000/365.25*short_st_duration_hrs/24)*(h2_short_st_invest*(1/gh2_short_st_lifetime+$M137+h2_short_st_opex)+h2_short_st_e_demand*1000*$AU137/100)/1000000</f>
        <v>1992.5297092398546</v>
      </c>
      <c r="EO137" s="63">
        <f>Storage!$S$57/((1-Shipping!$T$37)^($F137/24/Shipping!$T$44+0.5*Shipping!$T$59))</f>
        <v>128282539.68253967</v>
      </c>
      <c r="EP137" s="28">
        <f>IF($E137="","No Port",IF(AND(ship_choice="VLCC",G137="Panama"),"Ship cannot pass through Panama",IF(ship_choice="VLCC",((F137/24/Shipping!$AD$44+F137/24/Shipping!$AD$50+Shipping!$AD$59+Shipping!$AD$64)*(Shipping!$AD$22+wacc_nl*Shipping!$AD$19/365.25*1000000+Shipping!$AD$35)+(F137/24/Shipping!$AD$44*Shipping!$AD$45+Shipping!$AD$64*Shipping!$AD$65)*IF(bunker_choice="HFO",$H137,IF(bunker_choice="hydrogen",$BD137*hfo_e_density_lhv/h2_e_density_lhv,(EK137+EM137)*1000000/EO137*hfo_e_density_lhv/Dme_e_density_lhv))+(F137/24/Shipping!$AD$50*Shipping!$AD$51+Shipping!$AD$59*Shipping!$AD$60)*IF(bunker_choice="HFO",bunker_price_ROT,IF(bunker_choice="hydrogen",$BD137*hfo_e_density_lhv/h2_e_density_lhv,(EK137+EM137)*1000000/EO137*hfo_e_density_lhv/ome_e_density_lhv))+Shipping!$AD$73+IF(G137="Panama",Shipping!$AD$55,0)+IF(G137="Suez",Shipping!$AD$56,0))/Shipping!$AD$31*(EO137+ome_st_ab_losses)/1000000+IF(inland_transport_to_port="hv dc grid",$BM137/100*1000*ER137,IF(inland_transport_to_port="pipeline",$BN137,0)),((F137/24/Shipping!$T$44+F137/24/Shipping!$T$50+Shipping!$T$59+Shipping!$T$64)*(Shipping!$T$22+wacc_nl*Shipping!$T$19/365.25*1000000+Shipping!$T$35)+(F137/24/Shipping!$T$44*Shipping!$T$45+Shipping!$T$64*Shipping!$T$65)*IF(bunker_choice="HFO",$H137,IF(bunker_choice="hydrogen",$BD137*hfo_e_density_lhv/h2_e_density_lhv,(EK137+EM137)*1000000/EO137*hfo_e_density_lhv/Dme_e_density_lhv))+(F137/24/Shipping!$T$50*Shipping!$T$51+Shipping!$T$59*Shipping!$T$60)*IF(bunker_choice="HFO",bunker_price_ROT,IF(bunker_choice="hydrogen",$BD137*hfo_e_density_lhv/h2_e_density_lhv,(EK137+EM137)*1000000/EO137*hfo_e_density_lhv/ome_e_density_lhv))+Shipping!$T$73+IF(G137="Panama",Shipping!$T$55,0)+IF(G137="Suez",Shipping!$T$56,0))/Shipping!$T$31*(EO137+ome_st_ab_losses)/1000000+IF(inland_transport_to_port="hv dc grid",$BM137/100*1000*ER137,IF(inland_transport_to_port="pipeline",$BN137,0)))))</f>
        <v>5275.5572679370234</v>
      </c>
      <c r="EQ137" s="28">
        <f t="shared" si="135"/>
        <v>281278.69604370638</v>
      </c>
      <c r="ER137" s="29">
        <f>(ome_e_demand)*(EO137+ome_st_ab_losses)/1000000+ome_st_e_demand*EM137/1000000+$CV137*(Carriers!$Z$21/Carriers!$Z$23*EO137)/$CS137</f>
        <v>3352.0814583074139</v>
      </c>
      <c r="ES137" s="29">
        <f t="shared" si="191"/>
        <v>0.1924238095238095</v>
      </c>
      <c r="ET137" s="28">
        <f>IFERROR(EQ137*1000000/Storage!$S$12,"")</f>
        <v>2192.649886257208</v>
      </c>
      <c r="EU137" s="28">
        <f>IF($E137="","No Port",((F137/24/Shipping!$T$44+F137/24/Shipping!$T$50+Shipping!$T$59+Shipping!$T$64)*Carriers!$Z$39*wacc_nl))</f>
        <v>90.407825093220055</v>
      </c>
      <c r="EV137" s="100">
        <f>H2_retrieval!$R$25*h2_demand_kt/1000+(co2_liq_e_demand+co2_st_e_demand*2)*Storage!$S$12*co2_density/ome_density/1000000</f>
        <v>254.51942895252085</v>
      </c>
      <c r="EW137" s="28">
        <f>IFERROR((((EK137+EM137+EP137)*(1+H2_retrieval!$R$34)+EU137)*1000000/H2_retrieval!$R$8)+h2_regen_ome,"")</f>
        <v>18317.806268775104</v>
      </c>
      <c r="EX137" s="149">
        <f>(sng_invest*(M137+1/sng_lifetime)/sng_prod+lng_invest*(M137+1/lng_lifetime)/lng_prod+sng_opex+lng_opex+(sng_e_demand+lng_e_demand)*1000*$AU137/100+Carriers!$AB$18/Carriers!$AB$23*BD137+Carriers!$AB$20/Carriers!$AB$23*co2_liq_cost)*(FB137+lng_st_ab_losses)/1000000</f>
        <v>79080.865960331794</v>
      </c>
      <c r="EY137" s="86">
        <f>(sng_invest*(M137+1/sng_lifetime)/sng_prod+lng_invest*(M137+1/lng_lifetime)/lng_prod+sng_opex+lng_opex+(sng_e_demand+lng_e_demand)*1000*$AU137/100+Carriers!$AB$18/Carriers!$AB$23*BD137+Carriers!$AB$20/Carriers!$AB$23*BP137)*(FB137+lng_st_ab_losses)/1000000</f>
        <v>92657.751106229553</v>
      </c>
      <c r="EZ137" s="63">
        <f>lng_st_nl_cost*lng_st_nl_demand/1000000+(lng_st_invest*(M137+1/lng_st_lifetime+lng_st_opex)/(Storage!$U$63/1000000)+lng_st_e_demand*1000*$AU137/100)*(FB137+lng_st_ab_losses)/1000000+co2_st_nl_cost*Storage!$U$12*co2_density/lng_density/1000000+(co2_st_opex_lev+co2_st_invest_lev+co2_st_e_demand*1000*$AU137/100)*Storage!$U$12/1000000+co2_st_invest_lev*Storage!$U$12*co2_st_lifetime*M137/1000000+Carriers!$AB$18/Carriers!$AB$23*((FB137+lng_st_ab_losses)/365.25*short_st_duration_hrs/24)*(h2_short_st_invest*(1/gh2_short_st_lifetime+$M137+h2_short_st_opex)+h2_short_st_e_demand*1000*$AU137/100)/1000000+Carriers!$AB$20/Carriers!$AB$23*((FB137+lng_st_ab_losses)/365.25*short_st_duration_hrs/24)*(co2_short_st_invest*(1/co2_short_st_lifetime+$M137+co2_short_st_opex)+co2_short_st_e_demand*1000*$AU137/100)/1000000</f>
        <v>6798.8325113224082</v>
      </c>
      <c r="FA137" s="63">
        <f>lng_st_nl_cost*lng_st_nl_demand/1000000+(lng_st_invest*(M137+1/lng_st_lifetime+lng_st_opex)/(Storage!$U$63/1000000)+lng_st_e_demand*1000*$AU137/100)*(FB137+lng_st_ab_losses)/1000000+Carriers!$AB$18/Carriers!$AB$23*((FB137+lng_st_ab_losses)/365.25*short_st_duration_hrs/24)*(h2_short_st_invest*(1/gh2_short_st_lifetime+$M137+h2_short_st_opex)+h2_short_st_e_demand*1000*$AU137/100)/1000000+Carriers!$AB$20/Carriers!$AB$23*((FB137+lng_st_ab_losses)/365.25*short_st_duration_hrs/24)*(co2_short_st_invest*(1/co2_short_st_lifetime+$M137+co2_short_st_opex)+co2_short_st_e_demand*1000*$AU137/100)/1000000</f>
        <v>5161.8485901772583</v>
      </c>
      <c r="FB137" s="63">
        <f>Storage!$U$57/((1-Shipping!$V$37)^($F137/24/Shipping!$V$44+0.5*Shipping!$V$59))</f>
        <v>41242269.386388913</v>
      </c>
      <c r="FC137" s="28">
        <f>IF($E137="","No Port",IF(G137="Panama","Ship cannot pass through Panama",((F137/24/Shipping!$V$44+F137/24/Shipping!$V$50+Shipping!$V$59+Shipping!$V$64)*(Shipping!$V$22+wacc_nl*Shipping!$V$19/365.25*1000000+Shipping!$V$35)+(F137/24/Shipping!$V$44*Shipping!$V$45+Shipping!$V$64*Shipping!$V$65)*IF(bunker_choice="HFO",$H137,IF(bunker_choice="hydrogen",$BD137*hfo_e_density_lhv/h2_e_density_lhv,(EX137+EZ137)*1000000/FB137*hfo_e_density_lhv/lng_e_density_lhv))+(F137/24/Shipping!$V$50*Shipping!$V$51+Shipping!$V$59*Shipping!$V$60)*IF(bunker_choice="HFO",bunker_price_ROT,IF(bunker_choice="hydrogen",$BD137*hfo_e_density_lhv/h2_e_density_lhv,(EX137+EZ137)*1000000/FB137*hfo_e_density_lhv/lng_e_density_lhv))+Shipping!$V$73+IF(G137="Panama",Shipping!$V$55,0)+IF(G137="Suez",Shipping!$V$56,0))/Shipping!$V$31*(FB137+lng_st_ab_losses)/1000000)+IF(inland_transport_to_port="hv dc grid",$BM137/100*1000*FE137,IF(inland_transport_to_port="pipeline",$BN137,0)))</f>
        <v>2084.9169654376192</v>
      </c>
      <c r="FD137" s="28">
        <f t="shared" si="136"/>
        <v>99904.51666184442</v>
      </c>
      <c r="FE137" s="29">
        <f>((Carriers!$AB$18/Carriers!$AB$23*alk_el_e_demand)+sng_e_demand+lng_e_demand)*(FB137+lng_st_ab_losses)/1000000+lng_st_e_demand*EZ137/1000000</f>
        <v>1106.0849190243373</v>
      </c>
      <c r="FF137" s="29">
        <f t="shared" si="192"/>
        <v>0.8126185861001558</v>
      </c>
      <c r="FG137" s="28">
        <f>IFERROR(FD137*1000000/Storage!$U$12,"")</f>
        <v>2461.664795719727</v>
      </c>
      <c r="FH137" s="28">
        <f>IF($E137="","No Port",((F137/24/Shipping!$V$44+F137/24/Shipping!$V$50+Shipping!$V$59+Shipping!$V$64)*Carriers!$AB$39*wacc_nl))</f>
        <v>26.750615027702867</v>
      </c>
      <c r="FI137" s="100">
        <f>H2_retrieval!$T$25*h2_demand_kt/1000+(co2_liq_e_demand+co2_st_e_demand*2)*Storage!$U$12*co2_density/lng_density/1000000</f>
        <v>236.51371749646054</v>
      </c>
      <c r="FJ137" s="28">
        <f>IFERROR((((EX137+EZ137+FC137)*(1+H2_retrieval!$T$34)+FH137)*1000000/H2_retrieval!$T$8)+h2_regen_lng,"")</f>
        <v>7640.0819293813747</v>
      </c>
      <c r="FK137" s="149">
        <f>(lh2_invest*(M137+1/lh2_lifetime)/lh2_prod+lh2_opex+lh2_e_demand*1000*$AU137/100+Carriers!$AD$18/Carriers!$AD$23*BD137)*(FM137+lh2_st_ab_losses)/1000000</f>
        <v>61790.845682469248</v>
      </c>
      <c r="FL137" s="28">
        <f>lh2_st_nl_cost*lh2_st_nl_demand/1000000+(lh2_st_invest*(M137+1/lh2_st_lifetime+lh2_st_opex)/(Storage!$Y$63/1000000)+lh2_st_e_demand*1000*$AU137/100)*(FM137+lh2_st_ab_losses)/1000000+((FM137+lh2_st_ab_losses)/365.25*short_st_duration_hrs/24)*(h2_short_st_invest*(1/gh2_short_st_lifetime+$M137+h2_short_st_opex)+h2_short_st_e_demand*1000*$AU137/100)/1000000</f>
        <v>59534.827641318123</v>
      </c>
      <c r="FM137" s="63">
        <f>Storage!$Y$57/((1-Shipping!$Z$37)^($F137/24/Shipping!$Z$44+0.5*Shipping!$Z$59))</f>
        <v>13948489.552295597</v>
      </c>
      <c r="FN137" s="28">
        <f>IF($E137="","No Port",IF(G137="Panama","Ship cannot pass through Panama",((F137/24/Shipping!$Z$44+F137/24/Shipping!$Z$50+Shipping!$Z$59+Shipping!$Z$64)*(Shipping!$Z$22+wacc_nl*Shipping!$Z$19/365.25*1000000+Shipping!$Z$35)+(F137/24/Shipping!$Z$44*Shipping!$Z$45+Shipping!$Z$64*Shipping!$Z$65)*IF(bunker_choice="HFO",$H137,IF(bunker_choice="hydrogen",$BD137*hfo_e_density_lhv/h2_e_density_lhv,(FK137+FL137)*1000000/FM137*hfo_e_density_lhv/lh2_e_density_lhv))+(F137/24/Shipping!$Z$50*Shipping!$Z$51+Shipping!$Z$59*Shipping!$Z$60)*IF(bunker_choice="HFO",bunker_price_ROT,IF(bunker_choice="hydrogen",$BD137*hfo_e_density_lhv/h2_e_density_lhv,(FK137+FL137)*1000000/FM137*hfo_e_density_lhv/lh2_e_density_lhv))+Shipping!$Z$73+IF(G137="Panama",Shipping!$Z$55,0)+IF(G137="Suez",Shipping!$Z$56,0))/Shipping!$Z$31*(FM137+lh2_st_ab_losses)/1000000)+IF(inland_transport_to_port="hv dc grid",$BM137/100*1000*FP137,IF(inland_transport_to_port="pipeline",$BN137,0)))</f>
        <v>3301.4845629881579</v>
      </c>
      <c r="FO137" s="28">
        <f t="shared" si="200"/>
        <v>124627.15788677553</v>
      </c>
      <c r="FP137" s="29">
        <f>((Carriers!$AD$18/Carriers!$AD$23*alk_el_e_demand)+lh2_e_demand)*(FM137+lh2_st_ab_losses)/1000000+lh2_st_e_demand*FM137/1000000</f>
        <v>808.29814354134999</v>
      </c>
      <c r="FQ137" s="100">
        <f t="shared" si="193"/>
        <v>1.361902463475859</v>
      </c>
      <c r="FR137" s="28">
        <f>IFERROR(FO137*1000000/Storage!$Y$12,"")</f>
        <v>9163.7616093217293</v>
      </c>
      <c r="FS137" s="100">
        <f>H2_retrieval!$V$25*h2_demand_kt/1000</f>
        <v>8.16</v>
      </c>
      <c r="FT137" s="28">
        <f>IFERROR(FR137*(1+H2_retrieval!$V$34)/Carrier_properties!$U$7+H2_retrieval!$V$38,"")</f>
        <v>9195.7303351901974</v>
      </c>
      <c r="FU137" s="12"/>
      <c r="FV137" s="24">
        <f t="shared" si="201"/>
        <v>2.6710347030375554</v>
      </c>
      <c r="FW137" s="24" t="str">
        <f t="shared" si="143"/>
        <v/>
      </c>
      <c r="FX137" s="24" t="str">
        <f t="shared" si="144"/>
        <v/>
      </c>
      <c r="FY137" s="24">
        <f t="shared" si="202"/>
        <v>2.6710347030375554</v>
      </c>
      <c r="FZ137" s="28">
        <f t="shared" si="145"/>
        <v>3342.8882499264741</v>
      </c>
      <c r="GA137" s="28">
        <f t="shared" si="137"/>
        <v>754.86604636419611</v>
      </c>
      <c r="GB137" s="28">
        <f t="shared" si="138"/>
        <v>473.54052504285852</v>
      </c>
      <c r="GC137" s="28">
        <f t="shared" si="139"/>
        <v>842.88486296785629</v>
      </c>
      <c r="GD137" s="28">
        <f t="shared" si="140"/>
        <v>1226.5408691619193</v>
      </c>
      <c r="GE137" s="28">
        <f t="shared" si="141"/>
        <v>2135.9930177919973</v>
      </c>
      <c r="GF137" s="28">
        <f t="shared" si="142"/>
        <v>2246.6695573451921</v>
      </c>
      <c r="GG137" s="12"/>
      <c r="GH137" s="12"/>
      <c r="GI137" s="12"/>
      <c r="GJ137" s="12"/>
      <c r="GK137" s="12"/>
      <c r="GL137" s="12"/>
      <c r="GM137" s="12"/>
      <c r="GN137" s="12"/>
      <c r="GO137" s="12"/>
      <c r="GP137" s="12"/>
      <c r="GQ137" s="12"/>
      <c r="GR137" s="12"/>
      <c r="GS137" s="12"/>
      <c r="GT137" s="12"/>
      <c r="GU137" s="12"/>
      <c r="GV137" s="12"/>
      <c r="GW137" s="12"/>
      <c r="GX137" s="12"/>
      <c r="GY137" s="12"/>
      <c r="GZ137" s="12"/>
      <c r="HA137" s="12"/>
      <c r="HB137" s="12"/>
      <c r="HC137" s="12"/>
      <c r="HD137" s="12"/>
      <c r="HE137" s="12"/>
      <c r="HF137" s="12"/>
    </row>
    <row r="138" spans="1:214" x14ac:dyDescent="0.2">
      <c r="A138" s="154" t="s">
        <v>283</v>
      </c>
      <c r="B138" s="12">
        <v>7477</v>
      </c>
      <c r="C138" s="12">
        <v>0</v>
      </c>
      <c r="D138" s="12">
        <f t="shared" si="194"/>
        <v>1</v>
      </c>
      <c r="E138" s="12" t="s">
        <v>789</v>
      </c>
      <c r="F138" s="12">
        <v>4051</v>
      </c>
      <c r="G138" s="12"/>
      <c r="H138" s="16">
        <f t="shared" si="203"/>
        <v>382.75862068965517</v>
      </c>
      <c r="I138" s="16">
        <v>5130</v>
      </c>
      <c r="J138" s="16">
        <f t="shared" si="195"/>
        <v>40.409525066781548</v>
      </c>
      <c r="K138" s="16">
        <f t="shared" si="196"/>
        <v>48.491430080137853</v>
      </c>
      <c r="L138" s="103">
        <v>0.11</v>
      </c>
      <c r="M138" s="103">
        <f t="shared" si="204"/>
        <v>0.11921610580293837</v>
      </c>
      <c r="N138" s="122">
        <f t="shared" si="197"/>
        <v>0.9</v>
      </c>
      <c r="O138" s="46">
        <f t="shared" si="205"/>
        <v>40</v>
      </c>
      <c r="P138" s="70">
        <f t="array" ref="P138">SUMPRODUCT(IF(Solar_data!A$4:A$777=A138,Solar_data!C$4:C$777),IF(Solar_data!A$4:A$777=A138,Solar_data!I$4:I$777))/SUMIF(Solar_data!A$4:A$777,A138,Solar_data!I$4:I$777)</f>
        <v>1762.6887158713673</v>
      </c>
      <c r="Q138" s="16">
        <f t="array" ref="Q138">MAX(IF(Solar_data!$A$777:'Solar_data'!$A$4=Country_details!$A138,Solar_data!$C$4:'Solar_data'!$C$777))</f>
        <v>1916.25</v>
      </c>
      <c r="R138" s="16">
        <f t="array" ref="R138">MIN(IF(Solar_data!$A$777:'Solar_data'!$A$4=Country_details!A138,Solar_data!$C$4:'Solar_data'!$C$777))</f>
        <v>1733.75</v>
      </c>
      <c r="S138" s="24">
        <f t="shared" si="176"/>
        <v>2.4689026784832291</v>
      </c>
      <c r="T138" s="24">
        <f t="shared" si="177"/>
        <v>2.2710538248907928</v>
      </c>
      <c r="U138" s="24">
        <f t="shared" si="178"/>
        <v>2.5101121222477185</v>
      </c>
      <c r="V138" s="16">
        <f t="array" ref="V138">SUM(IF(Solar_data!$A$777:'Solar_data'!$A$4=Country_details!$A138,Solar_data!$I$4:'Solar_data'!$I$777))</f>
        <v>31.760836379227168</v>
      </c>
      <c r="W138" s="148"/>
      <c r="X138" s="16" t="str">
        <f>IFERROR(INDEX(Onshore_wind_data!$J$5:'Onshore_wind_data'!$J$221,MATCH(A138,Onshore_wind_data!$B$5:'Onshore_wind_data'!$B$221,0)),"")</f>
        <v/>
      </c>
      <c r="Y138" s="16" t="str">
        <f>IFERROR(INDEX(Onshore_wind_data!$K$5:'Onshore_wind_data'!$K$221,MATCH(A138,Onshore_wind_data!$B$5:'Onshore_wind_data'!$B$221,0)),"")</f>
        <v/>
      </c>
      <c r="Z138" s="16" t="str">
        <f>IFERROR(INDEX(Onshore_wind_data!$L$5:'Onshore_wind_data'!$L$221,MATCH(A138,Onshore_wind_data!$B$5:'Onshore_wind_data'!$B$221,0)),"")</f>
        <v/>
      </c>
      <c r="AA138" s="24" t="str">
        <f t="shared" si="206"/>
        <v/>
      </c>
      <c r="AB138" s="24" t="str">
        <f t="shared" si="207"/>
        <v/>
      </c>
      <c r="AC138" s="24" t="str">
        <f t="shared" si="208"/>
        <v/>
      </c>
      <c r="AD138" s="16">
        <f>IFERROR(INDEX(Onshore_wind_data!$I$5:'Onshore_wind_data'!$I$221,MATCH(A138,Onshore_wind_data!$B$5:'Onshore_wind_data'!$B$221,0)),"")</f>
        <v>0</v>
      </c>
      <c r="AE138" s="148"/>
      <c r="AF138" s="16">
        <f>INDEX(Offshore_wind_data!$AA$7:$AA$192,MATCH(Country_details!A138,Offshore_wind_data!$A$7:$A$192,0))</f>
        <v>3798.7931548924967</v>
      </c>
      <c r="AG138" s="16">
        <f>INDEX(Offshore_wind_data!$Y$7:$Y$192,MATCH(Country_details!A138,Offshore_wind_data!$A$7:$A$192,0))</f>
        <v>3854.4</v>
      </c>
      <c r="AH138" s="16">
        <f>INDEX(Offshore_wind_data!$Z$7:$Z$192,MATCH(Country_details!A138,Offshore_wind_data!$A$7:$A$192,0))</f>
        <v>3153.6</v>
      </c>
      <c r="AI138" s="24">
        <f t="shared" si="179"/>
        <v>6.9733343544368456</v>
      </c>
      <c r="AJ138" s="24">
        <f t="shared" si="180"/>
        <v>6.8727311157148652</v>
      </c>
      <c r="AK138" s="24">
        <f t="shared" si="181"/>
        <v>8.4000046969848352</v>
      </c>
      <c r="AL138" s="16">
        <f>INDEX(Offshore_wind_data!$W$7:$W$191,MATCH(A138,Offshore_wind_data!$A$7:$A$191,0))</f>
        <v>519.44697599999995</v>
      </c>
      <c r="AM138" s="148"/>
      <c r="AN138" s="12">
        <v>1.4</v>
      </c>
      <c r="AO138" s="12">
        <v>1.3</v>
      </c>
      <c r="AP138" s="34">
        <f>14.537*11.63</f>
        <v>169.06531000000001</v>
      </c>
      <c r="AQ138" s="15">
        <f t="shared" si="182"/>
        <v>50</v>
      </c>
      <c r="AR138" s="12">
        <f t="shared" ref="AR138:AR154" si="212">AQ138*AO138</f>
        <v>65</v>
      </c>
      <c r="AS138" s="16">
        <f t="shared" si="198"/>
        <v>486.20781237922711</v>
      </c>
      <c r="AT138" s="12"/>
      <c r="AU138" s="24">
        <f t="shared" si="183"/>
        <v>2.4689026784832291</v>
      </c>
      <c r="AV138" s="16">
        <f t="shared" si="184"/>
        <v>1762.6887158713673</v>
      </c>
      <c r="AW138" s="149">
        <f>HV_DC_Grid!$E$3/(1-AX138)*AU138/100*1000</f>
        <v>2900.2745223161578</v>
      </c>
      <c r="AX138" s="31">
        <f>(1-(1-HV_DC_Grid!$E$25)^(B138*C138*HV_DC_Grid!$E$8/1000))+(1-(1-HV_DC_Grid!$E$26)^(B138*D138*HV_DC_Grid!$E$8/1000))+HV_DC_Grid!$E$35*HV_DC_Grid!$E$28</f>
        <v>0.14873483200081183</v>
      </c>
      <c r="AY138" s="28">
        <f>B138*nl_e_demand/IF(hv_dc_flh="electricity FLH",$AV138,hv_dc_custom)*1000*hv_dc_capacity_multiplier*hv_dc_length_multiplier*1000*(C138*hv_dc_overhead_invest*(hv_dc_overhead_opex+M138+1/hv_dc_lifetime)+D138*hv_dc_sea_invest*(hv_dc_sea_opex+M138+1/hv_dc_lifetime))/1000000+HV_DC_Grid!$E$10*1000*hv_dc_station_invest*hv_dc_station_number*(hv_dc_station_opex+M138+1/hv_dc_lifetime)/1000000</f>
        <v>19516.873005678597</v>
      </c>
      <c r="AZ138" s="24">
        <f>(AW138+AY138)/(HV_DC_Grid!$E$3*1000)*100</f>
        <v>22.417147527994754</v>
      </c>
      <c r="BA138" s="28">
        <f>MIN(((Carriers!$F$26+Carriers!$F$27)*(alk_el_opex+wacc_nl+1/alk_el_lifetime)+IF(hv_dc_flh="electricity FLH",$AV138,hv_dc_custom)*AZ138/100)/(IF(hv_dc_flh="electricity FLH",$AV138,hv_dc_custom)/alk_el_e_demand)*1000,((Carriers!$H$26+Carriers!$H$27)*(pem_el_opex+wacc_nl+1/pem_el_lifetime)+IF(hv_dc_flh="electricity FLH",$AV138,hv_dc_custom)*AZ138/100)/(IF(hv_dc_flh="electricity FLH",$AV138,hv_dc_custom)/pem_el_e_demand)*1000)</f>
        <v>11711.669249094281</v>
      </c>
      <c r="BB138" s="12"/>
      <c r="BC138" s="12"/>
      <c r="BD138" s="149">
        <f>MIN(((Carriers!$F$26+Carriers!$F$27)*(alk_el_opex+M138+1/alk_el_lifetime)+$AV138*$AU138/100)/($AV138/alk_el_e_demand)*1000,((Carriers!$H$26+Carriers!$H$27)*(pem_el_opex+M138+1/pem_el_lifetime)+$AV138*$AU138/100)/($AV138/pem_el_e_demand)*1000)</f>
        <v>3130.287362517171</v>
      </c>
      <c r="BE138" s="28">
        <f>Storage!$AC$50</f>
        <v>8.1664117557772418</v>
      </c>
      <c r="BF138" s="28">
        <f>((Pipeline!$D$22*Pipeline!$D$24*B138*(pipeline_opex+M138+1/pipeline_lifetime))*(Pipeline!$D$39/Pipeline!$D$3)+(Pipeline!$D$57*(pipeline_comp_opex+M138+1/pipeline_comp_lifetime)+Pipeline!$D$47*1000*Pipeline!$D$45*$AU138/100/1000000))*(Pipeline!$D$75/Pipeline!$D$45)</f>
        <v>16280.922501843321</v>
      </c>
      <c r="BG138" s="28">
        <f>BD138+(BE138+BF138)/Storage!$AC$12*1000000</f>
        <v>4328.0144885171048</v>
      </c>
      <c r="BH138" s="28"/>
      <c r="BI138" s="28"/>
      <c r="BJ138" s="28">
        <f>IF($E138="","No Port",BK138*HV_DC_Grid!$E$3*$AU138/100*1000)</f>
        <v>36.880773964372835</v>
      </c>
      <c r="BK138" s="31">
        <f>IFERROR((1-(1-HV_DC_Grid!$E$25)^(K138*HV_DC_Grid!$E$8/1000))+HV_DC_Grid!$E$35*HV_DC_Grid!$E$28,"")</f>
        <v>1.493812384173464E-2</v>
      </c>
      <c r="BL138" s="28">
        <f>IFERROR(K138*nl_e_demand/IF(hv_dc_flh="electricity FLH",$AV138,hv_dc_custom)*1000*hv_dc_capacity_multiplier*hv_dc_length_multiplier*1000*(hv_dc_overhead_invest*(hv_dc_overhead_opex+M138+1/hv_dc_lifetime))/1000000+HV_DC_Grid!$E$10*1000*hv_dc_station_invest*hv_dc_station_number*(hv_dc_station_opex+M138+1/hv_dc_lifetime)/1000000,"")</f>
        <v>446.61520154192573</v>
      </c>
      <c r="BM138" s="29">
        <f>IFERROR((BJ138+BL138)/(HV_DC_Grid!$E$3*1000)*100,"")</f>
        <v>0.48349597550629858</v>
      </c>
      <c r="BN138" s="28">
        <f>IFERROR(((Pipeline!$D$22*Pipeline!$D$24*K138*(pipeline_opex+M138+1/pipeline_lifetime))*(Pipeline!$D$39/Pipeline!$D$3)+(Pipeline!$D$57*(pipeline_comp_opex+M138+1/pipeline_comp_lifetime)+Pipeline!$D$47*1000*Pipeline!$D$45*S138/100/1000000))*(Pipeline!$D$75/Pipeline!$D$45),"")</f>
        <v>186.46175133706268</v>
      </c>
      <c r="BO138" s="28"/>
      <c r="BP138" s="150">
        <f t="shared" si="209"/>
        <v>109.68701763312696</v>
      </c>
      <c r="BQ138" s="34">
        <f t="shared" si="210"/>
        <v>32.765515641015533</v>
      </c>
      <c r="BR138" s="151">
        <f>(nh3_invest*(M138+1/nh3_lifetime)/nh3_prod+nh3_opex+nh3_e_demand*1000*$AU138/100+Carriers!$N$18/Carriers!$N$23*BD138+Carriers!$N$19/Carriers!$N$23*BQ138)*(BT138+nh3_st_ab_losses)/1000000</f>
        <v>54853.538139229153</v>
      </c>
      <c r="BS138" s="63">
        <f>nh3_st_nl_cost*nh3_st_nl_demand/1000000+(nh3_st_invest*(M138+1/nh3_st_lifetime+nh3_st_opex)/(Storage!$G$63/1000000)+nh3_st_e_demand*1000*$AU138/100)*(BT138+nh3_st_ab_losses)/1000000+Carriers!$N$18/Carriers!$N$23*((BT138+nh3_st_ab_losses)/365.25*short_st_duration_hrs/24)*(h2_short_st_invest*(1/gh2_short_st_lifetime+$M138+h2_short_st_opex)+h2_short_st_e_demand*1000*$AU138/100)/1000000+Carriers!$N$19/Carriers!$N$23*((BT138+nh3_st_ab_losses)/365.25*short_st_duration_hrs/24)*(n2_short_st_invest*(1/n2_short_st_lifetime+$M138+n2_short_st_opex)+n2_short_st_e_demand*1000*$AU138/100)/1000000</f>
        <v>3359.7168835198477</v>
      </c>
      <c r="BT138" s="63">
        <f>Storage!$G$57/((1-Shipping!$H$37)^(F138/24/Shipping!$H$44+0.5*Shipping!$H$59))</f>
        <v>78850164.411975011</v>
      </c>
      <c r="BU138" s="63">
        <f>IF($E138="","No Port",((F138/24/Shipping!$H$44+F138/24/Shipping!$H$50+Shipping!$H$59+Shipping!$H$64)*(Shipping!$H$22+wacc_nl*Shipping!$H$19/365.25*1000000+Shipping!$H$35)+(F138/24/Shipping!$H$44*Shipping!$H$45+Shipping!$H$64*Shipping!$H$65)*IF(bunker_choice="HFO",H138,IF(bunker_choice="hydrogen",BD138*hfo_e_density_lhv/h2_e_density_lhv,(BR138+BS138)*1000000/BT138*hfo_e_density_lhv/nh3_e_density_lhv))+(F138/24/Shipping!$H$50*Shipping!$H$51+Shipping!$H$59*Shipping!$H$60)*IF(bunker_choice="HFO",bunker_price_ROT,IF(bunker_choice="hydrogen",BD138*hfo_e_density_lhv/h2_e_density_lhv,(BR138+BS138)*1000000/BT138*hfo_e_density_lhv/nh3_e_density_lhv))+Shipping!$H$73+IF(G138="Panama",Shipping!$H$55,0)+IF(G138="Suez",Shipping!$H$56,0))/Shipping!$H$31*BT138/1000000+IF(inland_transport_to_port="hv dc grid",$BM138/100*1000*BW138,IF(inland_transport_to_port="pipeline",$BN138,0)))</f>
        <v>3031.6830954390234</v>
      </c>
      <c r="BV138" s="63">
        <f t="shared" si="199"/>
        <v>61244.938118188024</v>
      </c>
      <c r="BW138" s="33">
        <f>((Carriers!$N$18/Carriers!$N$23*alk_el_e_demand)+(Carriers!$N$19/Carriers!$N$23*n2_e_demand)+nh3_e_demand)*(BT138+nh3_st_ab_losses)/1000000+nh3_st_e_demand*BT138/1000000</f>
        <v>778.66677635339465</v>
      </c>
      <c r="BX138" s="33">
        <f t="shared" si="185"/>
        <v>0.76626754477640768</v>
      </c>
      <c r="BY138" s="63">
        <f>IFERROR(BV138*1000000/Storage!$G$12,"")</f>
        <v>799.92904856379482</v>
      </c>
      <c r="BZ138" s="63">
        <f>H2_retrieval!$F$25*h2_demand_kt/1000</f>
        <v>80</v>
      </c>
      <c r="CA138" s="63">
        <f>IFERROR(BY138*(1+H2_retrieval!$F$34)/Carrier_properties!$E$7+H2_retrieval!$F$38,"")</f>
        <v>4912.530253039914</v>
      </c>
      <c r="CB138" s="149">
        <f>(FA_invest*(M138+1/FA_lifetime)/FA_prod+FA_opex+FA_e_demand*1000*$AU138/100+Carriers!$P$18/Carriers!$P$23*BD138+Carriers!$P$20/Carriers!$P$23*co2_liq_cost)*(CF138+FA_st_ab_losses)/1000000</f>
        <v>106493.67947412742</v>
      </c>
      <c r="CC138" s="86">
        <f>(FA_invest*(M138+1/FA_lifetime)/FA_prod+FA_opex+FA_e_demand*1000*$AU138/100+Carriers!$P$18/Carriers!$P$23*BD138+Carriers!$P$20/Carriers!$P$23*BP138)*(CF138+FA_st_ab_losses)/1000000</f>
        <v>132888.90058205117</v>
      </c>
      <c r="CD138" s="63">
        <f>FA_st_nl_cost*FA_st_nl_demand/1000000+(FA_st_invest*(M138+1/FA_st_lifetime+FA_st_opex)/(Storage!$I$63/1000000)+FA_st_e_demand*1000*$AU138/100)*(CF138+FA_st_ab_losses)/1000000+co2_st_nl_cost*Storage!$I$12*co2_density/FA_density/1000000+(co2_st_opex_lev+co2_st_invest_lev+co2_st_e_demand*1000*$AU138/100)*Storage!$I$12/1000000+co2_st_invest_lev*Storage!$I$12*co2_st_lifetime*M138/1000000+Carriers!$P$18/Carriers!$P$23*((CF138+FA_st_ab_losses)/365.25*short_st_duration_hrs/24)*(h2_short_st_invest*(1/gh2_short_st_lifetime+$M138+h2_short_st_opex)+h2_short_st_e_demand*1000*$AU138/100)/1000000+Carriers!$P$20/Carriers!$P$23*((CF138+FA_st_ab_losses)/365.25*short_st_duration_hrs/24)*(co2_short_st_invest*(1/co2_short_st_lifetime+$M138+co2_short_st_opex)+co2_short_st_e_demand*1000*$AU138/100)/1000000</f>
        <v>11525.996073493709</v>
      </c>
      <c r="CE138" s="63">
        <f>FA_st_nl_cost*FA_st_nl_demand/1000000+(FA_st_invest*(M138+1/FA_st_lifetime+FA_st_opex)/(Storage!$I$63/1000000)+FA_st_e_demand*1000*$AU138/100)*(CF138+FA_st_ab_losses)/1000000+Carriers!$P$18/Carriers!$P$23*((CF138+FA_st_ab_losses)/365.25*short_st_duration_hrs/24)*(h2_short_st_invest*(1/gh2_short_st_lifetime+$M138+h2_short_st_opex)+h2_short_st_e_demand*1000*$AU138/100)/1000000+Carriers!$P$20/Carriers!$P$23*((CF138+FA_st_ab_losses)/365.25*short_st_duration_hrs/24)*(co2_short_st_invest*(1/co2_short_st_lifetime+$M138+co2_short_st_opex)+co2_short_st_e_demand*1000*$AU138/100)/1000000</f>
        <v>4990.3378183284995</v>
      </c>
      <c r="CF138" s="63">
        <f>Storage!$I$57/((1-Shipping!$J$37)^($F138/24/Shipping!$J$44+0.5*Shipping!$J$59))</f>
        <v>310425396.82539684</v>
      </c>
      <c r="CG138" s="28">
        <f>IF($E138="","No Port",((F138/24/Shipping!$J$44+F138/24/Shipping!$J$50+Shipping!$J$59+Shipping!$J$64)*(Shipping!$J$22+wacc_nl*Shipping!$J$19/365.25*1000000+Shipping!$J$35)+(F138/24/Shipping!$J$44*Shipping!$J$45+Shipping!$J$64*Shipping!$J$65)*IF(bunker_choice="HFO",$H138,IF(bunker_choice="hydrogen",$BD138*hfo_e_density_lhv/h2_e_density_lhv,(CB138+CD138)*1000000/CF138*hfo_e_density_lhv/FA_e_density_lhv))+(F138/24/Shipping!$J$50*Shipping!$J$51+Shipping!$J$59*Shipping!$J$60)*IF(bunker_choice="HFO",bunker_price_ROT,IF(bunker_choice="hydrogen",$BD138*hfo_e_density_lhv/h2_e_density_lhv,(CB138+CD138)*1000000/CF138*hfo_e_density_lhv/FA_e_density_lhv))+Shipping!$J$73+IF(G138="Panama",Shipping!$J$55,0)+IF(G138="Suez",Shipping!$J$56,0))/Shipping!$J$31*CF138/1000000+IF(inland_transport_to_port="hv dc grid",$BM138/100*1000*CI138,IF(inland_transport_to_port="pipeline",$BN138,0)))</f>
        <v>12700.450257806378</v>
      </c>
      <c r="CH138" s="28">
        <f t="shared" ref="CH138:CH154" si="213">IFERROR(CC138+CE138+CG138,"")</f>
        <v>150579.68865818603</v>
      </c>
      <c r="CI138" s="29">
        <f>((Carriers!$P$18/Carriers!$P$23*alk_el_e_demand)+FA_e_demand)*(CF138+FA_st_ab_losses)/1000000+FA_st_e_demand*CF138/1000000</f>
        <v>1897.8881241622576</v>
      </c>
      <c r="CJ138" s="29">
        <f t="shared" si="186"/>
        <v>0.46563809523809524</v>
      </c>
      <c r="CK138" s="28">
        <f>IFERROR(CH138*1000000/Storage!$I$12,"")</f>
        <v>485.07528764755585</v>
      </c>
      <c r="CL138" s="28">
        <f>IF($E138="","No Port",((F138/24/Shipping!$J$44+F138/24/Shipping!$J$50+Shipping!$J$59+Shipping!$J$64)*Carriers!$P$39*wacc_nl))</f>
        <v>212.64193071526685</v>
      </c>
      <c r="CM138" s="29">
        <f>H2_retrieval!$H$25*h2_demand_kt/1000+(co2_liq_e_demand+co2_st_e_demand*2)*Storage!$I$12*co2_density/FA_density/1000000</f>
        <v>94.204253879484654</v>
      </c>
      <c r="CN138" s="28">
        <f>IFERROR((((CB138+CD138+CG138)*(1+H2_retrieval!$H$34)+CL138)*1000000/H2_retrieval!$H$8)+h2_regen_fa,"")</f>
        <v>9717.0967601303946</v>
      </c>
      <c r="CO138" s="149">
        <f>(meoh_invest*(M138+1/meoh_lifetime)/meoh_prod+meoh_opex+meoh_e_demand*1000*$AU138/100+Carriers!$R$18/Carriers!$R$23*BD138+Carriers!$R$20/Carriers!$R$23*co2_liq_cost)*(CS138+meoh_st_ab_losses)/1000000</f>
        <v>68290.82395266094</v>
      </c>
      <c r="CP138" s="86">
        <f>(meoh_invest*(M138+1/meoh_lifetime)/meoh_prod+meoh_opex+meoh_e_demand*1000*$AU138/100+Carriers!$R$18/Carriers!$R$23*BD138+Carriers!$R$20/Carriers!$R$23*BP138)*(CS138+meoh_st_ab_losses)/1000000</f>
        <v>83785.633611960773</v>
      </c>
      <c r="CQ138" s="63">
        <f>meoh_st_nl_cost*meoh_st_nl_demand/1000000+(meoh_st_invest*(M138+1/meoh_st_lifetime+meoh_st_opex)/(Storage!$K$63/1000000)+meoh_st_e_demand*1000*$AU138/100)*(CS138+meoh_st_ab_losses)/1000000+co2_st_nl_cost*Storage!$K$12*co2_density/meoh_density/1000000+(co2_st_opex_lev+co2_st_invest_lev+co2_st_e_demand*1000*IFERROR(MIN(S138,AA138,AI138),S138)/100)*Storage!$K$12/1000000+co2_st_invest_lev*Storage!$K$12*co2_st_lifetime*M138/1000000+Carriers!$R$18/Carriers!$R$23*((CS138+meoh_st_ab_losses)/365.25*short_st_duration_hrs/24)*(h2_short_st_invest*(1/gh2_short_st_lifetime+$M138+h2_short_st_opex)+h2_short_st_e_demand*1000*$AU138/100)/1000000+Carriers!$R$20/Carriers!$R$23*((CF138+meoh_st_ab_losses)/365.25*short_st_duration_hrs/24)*(co2_short_st_invest*(1/co2_short_st_lifetime+$M138+co2_short_st_opex)+co2_short_st_e_demand*1000*$AU138/100)/1000000</f>
        <v>4833.6110984510833</v>
      </c>
      <c r="CR138" s="63">
        <f>meoh_st_nl_cost*meoh_st_nl_demand/1000000+(meoh_st_invest*(M138+1/meoh_st_lifetime+meoh_st_opex)/(Storage!$K$63/1000000)+meoh_st_e_demand*1000*$AU138/100)*(CS138+meoh_st_ab_losses)/1000000+Carriers!$R$18/Carriers!$R$23*((CS138+meoh_st_ab_losses)/365.25*short_st_duration_hrs/24)*(h2_short_st_invest*(1/gh2_short_st_lifetime+$M138+h2_short_st_opex)+h2_short_st_e_demand*1000*$AU138/100)/1000000+Carriers!$R$20/Carriers!$R$23*((CF138+meoh_st_ab_losses)/365.25*short_st_duration_hrs/24)*(co2_short_st_invest*(1/co2_short_st_lifetime+$M138+co2_short_st_opex)+co2_short_st_e_demand*1000*$AU138/100)/1000000</f>
        <v>1959.8591703636673</v>
      </c>
      <c r="CS138" s="63">
        <f>Storage!$K$57/((1-Shipping!$L$37)^($F138/24/Shipping!$L$44+0.5*Shipping!$L$59))</f>
        <v>108044444.44444443</v>
      </c>
      <c r="CT138" s="28">
        <f>IF($E138="","No Port",IF(AND(ship_choice="VLCC",G138="Panama"),"Ship cannot pass through Panama",IF(ship_choice="VLCC",((F138/24/Shipping!$AD$44+F138/24/Shipping!$AD$50+Shipping!$AD$59+Shipping!$AD$64)*(Shipping!$AD$22+wacc_nl*Shipping!$AD$19/365.25*1000000+Shipping!$AD$35)+(F138/24/Shipping!$AD$44*Shipping!$AD$45+Shipping!$AD$64*Shipping!$AD$65)*IF(bunker_choice="HFO",$H138,IF(bunker_choice="hydrogen",$BD138*hfo_e_density_lhv/h2_e_density_lhv,(CO138+CQ138)*1000000/CS138*hfo_e_density_lhv/meoh_e_density_lhv))+(F138/24/Shipping!$AD$50*Shipping!$AD$51+Shipping!$AD$59*Shipping!$AD$60)*IF(bunker_choice="HFO",bunker_price_ROT,IF(bunker_choice="hydrogen",$BD138*hfo_e_density_lhv/h2_e_density_lhv,(CO138+CQ138)*1000000/CS138*hfo_e_density_lhv/meoh_e_density_lhv))+Shipping!$AD$73+IF(G138="Panama",Shipping!$AD$55,0)+IF(G138="Suez",Shipping!$AD$56,0))/Shipping!$AD$31*CS138/1000000+IF(inland_transport_to_port="hv dc grid",$BM138/100*1000*CV138,IF(inland_transport_to_port="pipeline",$BN138,0)),((F138/24/Shipping!$L$44+F138/24/Shipping!$L$50+Shipping!$L$59+Shipping!$L$64)*(Shipping!$L$22+wacc_nl*Shipping!$L$19/365.25*1000000+Shipping!$L$35)+(F138/24/Shipping!$L$44*Shipping!$L$45+Shipping!$L$64*Shipping!$L$65)*IF(bunker_choice="HFO",$H138,IF(bunker_choice="hydrogen",$BD138*hfo_e_density_lhv/h2_e_density_lhv,(CO138+CQ138)*1000000/CS138*hfo_e_density_lhv/meoh_e_density_lhv))+(F138/24/Shipping!$L$50*Shipping!$L$51+Shipping!$L$59*Shipping!$L$60)*IF(bunker_choice="HFO",bunker_price_ROT,IF(bunker_choice="hydrogen",$BD138*hfo_e_density_lhv/h2_e_density_lhv,(CO138+CQ138)*1000000/CS138*hfo_e_density_lhv/meoh_e_density_lhv))+Shipping!$L$73+IF(G138="Panama",Shipping!$L$55,0)+IF(G138="Suez",Shipping!$L$56,0))/Shipping!$L$31*CS138/1000000+IF(inland_transport_to_port="hv dc grid",$BM138/100*1000*CV138,IF(inland_transport_to_port="pipeline",$BN138,0)))))</f>
        <v>4287.581809483605</v>
      </c>
      <c r="CU138" s="28">
        <f t="shared" ref="CU138:CU154" si="214">IFERROR(CP138+CR138+CT138,"")</f>
        <v>90033.074591808036</v>
      </c>
      <c r="CV138" s="29">
        <f>((Carriers!$R$18/Carriers!$R$23*alk_el_e_demand)+meoh_e_demand)*(CS138+meoh_st_ab_losses)/1000000+meoh_st_e_demand*CS138/1000000</f>
        <v>1119.9789871111109</v>
      </c>
      <c r="CW138" s="29">
        <f t="shared" si="187"/>
        <v>0.16206666666666666</v>
      </c>
      <c r="CX138" s="28">
        <f>IFERROR(CU138*1000000/Storage!$K$12,"")</f>
        <v>833.29665911792711</v>
      </c>
      <c r="CY138" s="28">
        <f>IF($E138="","No Port",((F138/24/Shipping!$L$44+F138/24/Shipping!$L$50+Shipping!$L$59+Shipping!$L$64)*Carriers!$R$39*wacc_nl))</f>
        <v>76.025543425758542</v>
      </c>
      <c r="CZ138" s="29">
        <f>H2_retrieval!$J$25*h2_demand_kt/1000+(co2_liq_e_demand+co2_st_e_demand*2)*Storage!$K$12*co2_density/meoh_density/1000000</f>
        <v>251.05079059698966</v>
      </c>
      <c r="DA138" s="28">
        <f>IFERROR((((CO138+CQ138+CT138)*(1+H2_retrieval!$J$34)+CY138)*1000000/H2_retrieval!$J$8)+h2_regen_meoh,"")</f>
        <v>6867.7787199623936</v>
      </c>
      <c r="DB138" s="149">
        <f>(DBT_invest*(M138+1/DBT_lifetime)/DBT_prod+DBT_opex+DBT_e_demand*1000*$AU138/100+Carriers!$T$18/Carriers!$T$23*BD138)*(DD138+DBT_st_ab_losses)/1000000</f>
        <v>45761.65351111917</v>
      </c>
      <c r="DC138" s="28">
        <f>2*(DBT_st_nl_cost*DBT_st_nl_demand/1000000+(DBT_st_invest*(M138+1/DBT_st_lifetime+DBT_st_opex)/(Storage!$M$63/1000000)+DBT_st_e_demand*1000*$AU138/100)*(DD138+DBT_st_ab_losses)/1000000)+Carriers!$T$18/Carriers!$T$23*((DD138+DBT_st_ab_losses)/365.25*short_st_duration_hrs/24)*(h2_short_st_invest*(1/gh2_short_st_lifetime+$M138+h2_short_st_opex)+h2_short_st_e_demand*1000*$AU138/100)/1000000</f>
        <v>4058.1143971665506</v>
      </c>
      <c r="DD138" s="63">
        <f>Storage!$M$57/((1-Shipping!$N$37)^($F138/24/Shipping!$N$44+0.5*Shipping!$N$59))</f>
        <v>219354838.70967743</v>
      </c>
      <c r="DE138" s="28">
        <f>IF($E138="","No Port",IF(AND(ship_choice="VLCC",G138="Panama"),"Ship cannot pass through Panama",IF(ship_choice="VLCC",((F138/24/Shipping!$AD$44+F138/24/Shipping!$AD$50+Shipping!$AD$59+Shipping!$AD$64)*(Shipping!$AD$22+wacc_nl*Shipping!$AD$19/365.25*1000000+Shipping!$AD$35)+(F138/24/Shipping!$AD$44*Shipping!$AD$45+Shipping!$AD$64*Shipping!$AD$65)*IF(bunker_choice="HFO",$H138,IF(bunker_choice="hydrogen",$BD138*hfo_e_density_lhv/h2_e_density_lhv,(DB138+DC138)*1000000/DD138*hfo_e_density_lhv/DBT_e_density_lhv))+(F138/24/Shipping!$AD$50*Shipping!$AD$51+Shipping!$AD$59*Shipping!$AD$60)*IF(bunker_choice="HFO",bunker_price_ROT,IF(bunker_choice="hydrogen",$BD138*hfo_e_density_lhv/h2_e_density_lhv,(DB138+DC138)*1000000/DD138*hfo_e_density_lhv/DBT_e_density_lhv))+Shipping!$AD$73+IF(G138="Panama",Shipping!$AD$55,0)+IF(G138="Suez",Shipping!$AD$56,0))/Shipping!$AD$31*DD138/1000000+IF(inland_transport_to_port="hv dc grid",$BM138/100*1000*DG138,IF(inland_transport_to_port="pipeline",$BN138,0)),((F138/24/Shipping!$N$44+F138/24/Shipping!$N$50+Shipping!$N$59+Shipping!$N$64)*(Shipping!$N$22+wacc_nl*Shipping!$N$19/365.25*1000000+Shipping!$N$35)+(F138/24/Shipping!$N$44*Shipping!$N$45+Shipping!$N$64*Shipping!$N$65)*IF(bunker_choice="HFO",$H138,IF(bunker_choice="hydrogen",$BD138*hfo_e_density_lhv/h2_e_density_lhv,(DB138+DC138)*1000000/DD138*hfo_e_density_lhv/DBT_e_density_lhv))+(F138/24/Shipping!$N$50*Shipping!$N$51+Shipping!$N$59*Shipping!$N$60)*IF(bunker_choice="HFO",bunker_price_ROT,IF(bunker_choice="hydrogen",$BD138*hfo_e_density_lhv/h2_e_density_lhv,(DB138+DC138)*1000000/DD138*hfo_e_density_lhv/DBT_e_density_lhv))+Shipping!$N$73+IF(G138="Panama",Shipping!$N$55,0)+IF(G138="Suez",Shipping!$N$56,0))/Shipping!$N$31*Shipping!$N$86/1000000+IF(inland_transport_to_port="hv dc grid",$BM138/100*1000*DG138,IF(inland_transport_to_port="pipeline",$BN138,0)))))</f>
        <v>7915.6095549363918</v>
      </c>
      <c r="DF138" s="28">
        <f t="shared" si="159"/>
        <v>57735.37746322211</v>
      </c>
      <c r="DG138" s="29">
        <f>((Carriers!$T$18/Carriers!$T$23*alk_el_e_demand)+DBT_e_demand)*(DD138+DBT_st_ab_losses)/1000000+DBT_st_e_demand*DD138/1000000</f>
        <v>703.88335483870969</v>
      </c>
      <c r="DH138" s="29">
        <f t="shared" si="188"/>
        <v>0.21935483870967742</v>
      </c>
      <c r="DI138" s="28">
        <f>IFERROR(DF138*1000000/Storage!$M$12,"")</f>
        <v>263.20539725880667</v>
      </c>
      <c r="DJ138" s="28">
        <f>IF($E138="","No Port",((F138/24/Shipping!$N$44+F138/24/Shipping!$N$50+Shipping!$N$59+Shipping!$N$64)*Carriers!$T$39*wacc_nl))</f>
        <v>5537.1901188038519</v>
      </c>
      <c r="DK138" s="100">
        <f>H2_retrieval!$L$25*h2_demand_kt/1000+(co2_liq_e_demand+co2_st_e_demand*2)*Storage!$M$12*co2_density/DBT_density/1000000</f>
        <v>206.61934861671787</v>
      </c>
      <c r="DL138" s="28">
        <f>IFERROR(((DF138*(1+H2_retrieval!$L$34)+DJ138)*1000000/H2_retrieval!$L$8)+h2_regen_lohc,"")</f>
        <v>5123.0444557877627</v>
      </c>
      <c r="DM138" s="149">
        <f t="shared" si="211"/>
        <v>49044.449914127617</v>
      </c>
      <c r="DN138" s="16">
        <f>2*(nabh4_st_nl_cost*nabh4_st_nl_demand/1000000+(nabh4_st_invest*(M138+1/nabh4_st_lifetime+nabh4_st_opex)/(Storage!$O$63/1000000)+nabh4_st_e_demand*1000*$AU138/100)*(DO138+nabh4_st_ab_losses)/1000000)+(h2_demand_kt*1000/365.25*short_st_duration_hrs/24)*(h2_short_st_invest*(1/gh2_short_st_lifetime+$M138+h2_short_st_opex)+h2_short_st_e_demand*1000*$AU138/100)/1000000</f>
        <v>1373.5557629636669</v>
      </c>
      <c r="DO138" s="63">
        <f>Storage!$O$57/((1-Shipping!$P$37)^($F138/24/Shipping!$P$44+0.5*Shipping!$P$59))</f>
        <v>63920000</v>
      </c>
      <c r="DP138" s="16">
        <f>IF($E138="","No Port",((F138/24/Shipping!$P$44+F138/24/Shipping!$P$50+Shipping!$P$59+Shipping!$P$64)*(Shipping!$P$22+wacc_nl*Shipping!$P$19/365.25*1000000+Shipping!$P$35)+(F138/24/Shipping!$P$44*Shipping!$P$45+Shipping!$P$64*Shipping!$P$65)*IF(bunker_choice="HFO",$H138,IF(bunker_choice="hydrogen",$BD138*hfo_e_density_lhv/h2_e_density_lhv,(DM138+DN138)*1000000/DO138*hfo_e_density_lhv/nabh4_e_density_lhv))+(F138/24/Shipping!$P$50*Shipping!$P$51+Shipping!$P$59*Shipping!$P$60)*IF(bunker_choice="HFO",bunker_price_ROT,IF(bunker_choice="hydrogen",$BD138*hfo_e_density_lhv/h2_e_density_lhv,(DM138+DN138)*1000000/DO138*hfo_e_density_lhv/nabh4_e_density_lhv))+Shipping!$P$73+IF(G138="Panama",Shipping!$P$55,0)+IF(G138="Suez",Shipping!$P$56,0))/Shipping!$P$31*(DO138+nabh4_st_ab_losses)/1000000+IF(inland_transport_to_port="hv dc grid",$BM138/100*1000*DR138,IF(inland_transport_to_port="pipeline",$BN138,0)))</f>
        <v>2169.9987020415701</v>
      </c>
      <c r="DQ138" s="28">
        <f t="shared" si="146"/>
        <v>52588.004379132857</v>
      </c>
      <c r="DR138" s="29">
        <f>((Carriers!$V$18/Carriers!$V$23*alk_el_e_demand)+nabh4_e_demand)*(DO138+nabh4_st_ab_losses)/1000000+nabh4_st_e_demand*DO138/1000000</f>
        <v>980.02139682539689</v>
      </c>
      <c r="DS138" s="28">
        <f t="shared" si="189"/>
        <v>3.1960000000000002</v>
      </c>
      <c r="DT138" s="28">
        <f>IFERROR(DQ138*1000000/Storage!$O$12,"")</f>
        <v>822.71596337817368</v>
      </c>
      <c r="DU138" s="28">
        <f>IF($E138="","No Port",((F138/24/Shipping!$P$44+F138/24/Shipping!$P$50+Shipping!$P$59+Shipping!$P$64)*Carriers!$V$39*wacc_nl))</f>
        <v>518.09933142575915</v>
      </c>
      <c r="DV138" s="100">
        <f>H2_retrieval!$N$25*h2_demand_kt/1000+(co2_liq_e_demand+co2_st_e_demand*2)*Storage!$O$12*co2_density/nabh4_density/1000000</f>
        <v>18.783638728971958</v>
      </c>
      <c r="DW138" s="28">
        <f>IFERROR(((DQ138*(1+H2_retrieval!$N$34)+DU138)*1000000/H2_retrieval!$N$8)+h2_regen_nabh4,"")</f>
        <v>3989.070077961027</v>
      </c>
      <c r="DX138" s="149">
        <f>(Dme_invest*(M138+1/Dme_lifetime)/Dme_prod+Dme_opex+Dme_e_demand*1000*$AU138/100+Carriers!$X$21/Carriers!$X$23*(CO138*1000000/CS138))*(EB138+Dme_st_ab_losses)/1000000</f>
        <v>95672.772639176022</v>
      </c>
      <c r="DY138" s="86">
        <f>(Dme_invest*(M138+1/Dme_lifetime)/Dme_prod+Dme_opex+Dme_e_demand*1000*$AU138/100+Carriers!$X$21/Carriers!$X$23*(CP138*1000000/CS138))*(EB138+Dme_st_ab_losses)/1000000</f>
        <v>116694.02327616181</v>
      </c>
      <c r="DZ138" s="63">
        <f>Dme_st_nl_cost*Dme_st_nl_demand/1000000+(Dme_st_invest*(M138+1/Dme_st_lifetime+Dme_st_opex)/(Storage!$Q$63/1000000)+Dme_st_e_demand*1000*$AU138/100)*(EB138+Dme_st_ab_losses)/1000000+co2_st_nl_cost*Storage!$Q$12*co2_density/Dme_density/1000000+(co2_st_opex_lev+co2_st_invest_lev+co2_st_e_demand*1000*$AU138/100)*Storage!$Q$12/1000000+co2_st_invest_lev*Storage!$Q$12*co2_st_lifetime*M138/1000000+(h2_demand_kt*1000/365.25*short_st_duration_hrs/24)*(h2_short_st_invest*(1/gh2_short_st_lifetime+$M138+h2_short_st_opex)+h2_short_st_e_demand*1000*$AU138/100)/1000000</f>
        <v>5832.3469130093999</v>
      </c>
      <c r="EA138" s="63">
        <f>Dme_st_nl_cost*Dme_st_nl_demand/1000000+(Dme_st_invest*(M138+1/Dme_st_lifetime+Dme_st_opex)/(Storage!$Q$63/1000000)+Dme_st_e_demand*1000*$AU138/100)*(EB138+Dme_st_ab_losses)/1000000+(h2_demand_kt*1000/365.25*short_st_duration_hrs/24)*(h2_short_st_invest*(1/gh2_short_st_lifetime+$M138+h2_short_st_opex)+h2_short_st_e_demand*1000*$AU138/100)/1000000</f>
        <v>2951.3143335751261</v>
      </c>
      <c r="EB138" s="63">
        <f>Storage!$Q$57/((1-Shipping!$R$37)^($F138/24/Shipping!$R$44+0.5*Shipping!$R$59))</f>
        <v>103547089.94708996</v>
      </c>
      <c r="EC138" s="153">
        <f>IF($E138="","No Port",IF(AND(ship_choice="VLCC",G138="Panama"),"Ship cannot pass through Panama",IF(ship_choice="VLCC",((F138/24/Shipping!$AD$44+F138/24/Shipping!$AD$50+Shipping!$AD$59+Shipping!$AD$64)*(Shipping!$AD$22+wacc_nl*Shipping!$AD$19/365.25*1000000+Shipping!$AD$35)+(F138/24/Shipping!$AD$44*Shipping!$AD$45+Shipping!$AD$64*Shipping!$AD$65)*IF(bunker_choice="HFO",$H138,IF(bunker_choice="hydrogen",$BD138*hfo_e_density_lhv/h2_e_density_lhv,(DX138+DZ138)*1000000/EB138*hfo_e_density_lhv/Dme_e_density_lhv))+(F138/24/Shipping!$AD$50*Shipping!$AD$51+Shipping!$AD$59*Shipping!$AD$60)*IF(bunker_choice="HFO",bunker_price_ROT,IF(bunker_choice="hydrogen",$BD138*hfo_e_density_lhv/h2_e_density_lhv,(DX138+DZ138)*1000000/EB138*hfo_e_density_lhv/Dme_e_density_lhv))+Shipping!$AD$73+IF(G138="Panama",Shipping!$AD$55,0)+IF(G138="Suez",Shipping!$AD$56,0))/Shipping!$AD$31*(EB138+Dme_st_ab_losses)/1000000+IF(inland_transport_to_port="hv dc grid",$BM138/100*1000*EE138,IF(inland_transport_to_port="pipeline",$BN138,0)),((F138/24/Shipping!$R$44+F138/24/Shipping!$R$50+Shipping!$R$59+Shipping!$R$64)*(Shipping!$R$22+wacc_nl*Shipping!$R$19/365.25*1000000+Shipping!$R$35)+(F138/24/Shipping!$R$44*Shipping!$R$45+Shipping!$R$64*Shipping!$R$65)*IF(bunker_choice="HFO",$H138,IF(bunker_choice="hydrogen",$BD138*hfo_e_density_lhv/h2_e_density_lhv,(DX138+DZ138)*1000000/EB138*hfo_e_density_lhv/Dme_e_density_lhv))+(F138/24/Shipping!$R$50*Shipping!$R$51+Shipping!$R$59*Shipping!$R$60)*IF(bunker_choice="HFO",bunker_price_ROT,IF(bunker_choice="hydrogen",$BD138*hfo_e_density_lhv/h2_e_density_lhv,(DX138+DZ138)*1000000/EB138*hfo_e_density_lhv/Dme_e_density_lhv))+Shipping!$R$73+IF(G138="Panama",Shipping!$R$55,0)+IF(G138="Suez",Shipping!$R$56,0))/Shipping!$R$31*(EB138+Dme_st_ab_losses)/1000000+IF(inland_transport_to_port="hv dc grid",$BM138/100*1000*EE138,IF(inland_transport_to_port="pipeline",$BN138,0)))))</f>
        <v>4306.4384983665714</v>
      </c>
      <c r="ED138" s="28">
        <f t="shared" ref="ED138:ED154" si="215">IFERROR(DY138+EA138+EC138,"")</f>
        <v>123951.7761081035</v>
      </c>
      <c r="EE138" s="29">
        <f>(Dme_e_demand)*(EB138+Dme_st_ab_losses)/1000000+Dme_st_e_demand*DZ138/1000000+$CV138*(Carriers!$X$21/Carriers!$X$23*EB138)/$CS138</f>
        <v>1550.2168184905249</v>
      </c>
      <c r="EF138" s="29">
        <f t="shared" si="190"/>
        <v>1.0354708994708997</v>
      </c>
      <c r="EG138" s="28">
        <f>IFERROR(ED138*1000000/Storage!$Q$12,"")</f>
        <v>1197.0570700870478</v>
      </c>
      <c r="EH138" s="28">
        <f>IF($E138="","No Port",((F138/24/Shipping!$R$44+F138/24/Shipping!$R$50+Shipping!$R$59+Shipping!$R$64)*Carriers!$X$39*wacc_nl))</f>
        <v>78.629563789511167</v>
      </c>
      <c r="EI138" s="100">
        <f>H2_retrieval!$P$25*h2_demand_kt/1000+(co2_liq_e_demand+co2_st_e_demand*2)*Storage!$Q$12*co2_density/Dme_density/1000000</f>
        <v>252.45335899349112</v>
      </c>
      <c r="EJ138" s="28">
        <f>IFERROR((((DX138+DZ138+EC138)*(1+H2_retrieval!$P$34)+EH138)*1000000/H2_retrieval!$P$8)+h2_regen_dme,"")</f>
        <v>8956.1717501329895</v>
      </c>
      <c r="EK138" s="149">
        <f>(ome_invest*(M138+1/ome_lifetime)/ome_prod+ome_opex+ome_e_demand*1000*$AU138/100+Carriers!$Z$21/Carriers!$Z$23*(CO138*1000000/CS138))*(EO138+ome_st_ab_losses)/1000000</f>
        <v>207364.32024063289</v>
      </c>
      <c r="EL138" s="86">
        <f>(ome_invest*(M138+1/ome_lifetime)/ome_prod+ome_opex+ome_e_demand*1000*$AU138/100+Carriers!$Z$21/Carriers!$Z$23*(CP138*1000000/CS138))*(EO138+ome_st_ab_losses)/1000000</f>
        <v>251492.01738808033</v>
      </c>
      <c r="EM138" s="63">
        <f>ome_st_nl_cost*ome_st_nl_demand/1000000+(ome_st_invest*(M138+1/ome_st_lifetime+ome_st_opex)/(Storage!$S$63/1000000)+ome_st_e_demand*1000*$AU138/100)*(EO138+ome_st_ab_losses)/1000000+co2_st_nl_cost*Storage!$S$12*co2_density/ome_density/1000000+(co2_st_opex_lev+co2_st_invest_lev+co2_st_e_demand*1000*$AU138/100)*Storage!$S$12/1000000+co2_st_invest_lev*Storage!$S$12*co2_st_lifetime*M138/1000000+(h2_demand_kt*1000/365.25*short_st_duration_hrs/24)*(h2_short_st_invest*(1/gh2_short_st_lifetime+$M138+h2_short_st_opex)+h2_short_st_e_demand*1000*$AU138/100)/1000000</f>
        <v>4999.622530402321</v>
      </c>
      <c r="EN138" s="63">
        <f>ome_st_nl_cost*ome_st_nl_demand/1000000+(ome_st_invest*(M138+1/ome_st_lifetime+ome_st_opex)/(Storage!$S$63/1000000)+ome_st_e_demand*1000*$AU138/100)*(EO138+ome_st_ab_losses)/1000000+(h2_demand_kt*1000/365.25*short_st_duration_hrs/24)*(h2_short_st_invest*(1/gh2_short_st_lifetime+$M138+h2_short_st_opex)+h2_short_st_e_demand*1000*$AU138/100)/1000000</f>
        <v>1769.3333629599583</v>
      </c>
      <c r="EO138" s="63">
        <f>Storage!$S$57/((1-Shipping!$T$37)^($F138/24/Shipping!$T$44+0.5*Shipping!$T$59))</f>
        <v>128282539.68253967</v>
      </c>
      <c r="EP138" s="28">
        <f>IF($E138="","No Port",IF(AND(ship_choice="VLCC",G138="Panama"),"Ship cannot pass through Panama",IF(ship_choice="VLCC",((F138/24/Shipping!$AD$44+F138/24/Shipping!$AD$50+Shipping!$AD$59+Shipping!$AD$64)*(Shipping!$AD$22+wacc_nl*Shipping!$AD$19/365.25*1000000+Shipping!$AD$35)+(F138/24/Shipping!$AD$44*Shipping!$AD$45+Shipping!$AD$64*Shipping!$AD$65)*IF(bunker_choice="HFO",$H138,IF(bunker_choice="hydrogen",$BD138*hfo_e_density_lhv/h2_e_density_lhv,(EK138+EM138)*1000000/EO138*hfo_e_density_lhv/Dme_e_density_lhv))+(F138/24/Shipping!$AD$50*Shipping!$AD$51+Shipping!$AD$59*Shipping!$AD$60)*IF(bunker_choice="HFO",bunker_price_ROT,IF(bunker_choice="hydrogen",$BD138*hfo_e_density_lhv/h2_e_density_lhv,(EK138+EM138)*1000000/EO138*hfo_e_density_lhv/ome_e_density_lhv))+Shipping!$AD$73+IF(G138="Panama",Shipping!$AD$55,0)+IF(G138="Suez",Shipping!$AD$56,0))/Shipping!$AD$31*(EO138+ome_st_ab_losses)/1000000+IF(inland_transport_to_port="hv dc grid",$BM138/100*1000*ER138,IF(inland_transport_to_port="pipeline",$BN138,0)),((F138/24/Shipping!$T$44+F138/24/Shipping!$T$50+Shipping!$T$59+Shipping!$T$64)*(Shipping!$T$22+wacc_nl*Shipping!$T$19/365.25*1000000+Shipping!$T$35)+(F138/24/Shipping!$T$44*Shipping!$T$45+Shipping!$T$64*Shipping!$T$65)*IF(bunker_choice="HFO",$H138,IF(bunker_choice="hydrogen",$BD138*hfo_e_density_lhv/h2_e_density_lhv,(EK138+EM138)*1000000/EO138*hfo_e_density_lhv/Dme_e_density_lhv))+(F138/24/Shipping!$T$50*Shipping!$T$51+Shipping!$T$59*Shipping!$T$60)*IF(bunker_choice="HFO",bunker_price_ROT,IF(bunker_choice="hydrogen",$BD138*hfo_e_density_lhv/h2_e_density_lhv,(EK138+EM138)*1000000/EO138*hfo_e_density_lhv/ome_e_density_lhv))+Shipping!$T$73+IF(G138="Panama",Shipping!$T$55,0)+IF(G138="Suez",Shipping!$T$56,0))/Shipping!$T$31*(EO138+ome_st_ab_losses)/1000000+IF(inland_transport_to_port="hv dc grid",$BM138/100*1000*ER138,IF(inland_transport_to_port="pipeline",$BN138,0)))))</f>
        <v>4789.4284588733117</v>
      </c>
      <c r="EQ138" s="28">
        <f t="shared" ref="EQ138:EQ154" si="216">IFERROR(EL138+EN138+EP138,"")</f>
        <v>258050.7792099136</v>
      </c>
      <c r="ER138" s="29">
        <f>(ome_e_demand)*(EO138+ome_st_ab_losses)/1000000+ome_st_e_demand*EM138/1000000+$CV138*(Carriers!$Z$21/Carriers!$Z$23*EO138)/$CS138</f>
        <v>3352.0814576402172</v>
      </c>
      <c r="ES138" s="29">
        <f t="shared" si="191"/>
        <v>0.1924238095238095</v>
      </c>
      <c r="ET138" s="28">
        <f>IFERROR(EQ138*1000000/Storage!$S$12,"")</f>
        <v>2011.5814657903634</v>
      </c>
      <c r="EU138" s="28">
        <f>IF($E138="","No Port",((F138/24/Shipping!$T$44+F138/24/Shipping!$T$50+Shipping!$T$59+Shipping!$T$64)*Carriers!$Z$39*wacc_nl))</f>
        <v>90.266092269244794</v>
      </c>
      <c r="EV138" s="100">
        <f>H2_retrieval!$R$25*h2_demand_kt/1000+(co2_liq_e_demand+co2_st_e_demand*2)*Storage!$S$12*co2_density/ome_density/1000000</f>
        <v>254.51942895252085</v>
      </c>
      <c r="EW138" s="28">
        <f>IFERROR((((EK138+EM138+EP138)*(1+H2_retrieval!$R$34)+EU138)*1000000/H2_retrieval!$R$8)+h2_regen_ome,"")</f>
        <v>17143.92540512095</v>
      </c>
      <c r="EX138" s="149">
        <f>(sng_invest*(M138+1/sng_lifetime)/sng_prod+lng_invest*(M138+1/lng_lifetime)/lng_prod+sng_opex+lng_opex+(sng_e_demand+lng_e_demand)*1000*$AU138/100+Carriers!$AB$18/Carriers!$AB$23*BD138+Carriers!$AB$20/Carriers!$AB$23*co2_liq_cost)*(FB138+lng_st_ab_losses)/1000000</f>
        <v>73532.892429533385</v>
      </c>
      <c r="EY138" s="86">
        <f>(sng_invest*(M138+1/sng_lifetime)/sng_prod+lng_invest*(M138+1/lng_lifetime)/lng_prod+sng_opex+lng_opex+(sng_e_demand+lng_e_demand)*1000*$AU138/100+Carriers!$AB$18/Carriers!$AB$23*BD138+Carriers!$AB$20/Carriers!$AB$23*BP138)*(FB138+lng_st_ab_losses)/1000000</f>
        <v>85140.552890789797</v>
      </c>
      <c r="EZ138" s="63">
        <f>lng_st_nl_cost*lng_st_nl_demand/1000000+(lng_st_invest*(M138+1/lng_st_lifetime+lng_st_opex)/(Storage!$U$63/1000000)+lng_st_e_demand*1000*$AU138/100)*(FB138+lng_st_ab_losses)/1000000+co2_st_nl_cost*Storage!$U$12*co2_density/lng_density/1000000+(co2_st_opex_lev+co2_st_invest_lev+co2_st_e_demand*1000*$AU138/100)*Storage!$U$12/1000000+co2_st_invest_lev*Storage!$U$12*co2_st_lifetime*M138/1000000+Carriers!$AB$18/Carriers!$AB$23*((FB138+lng_st_ab_losses)/365.25*short_st_duration_hrs/24)*(h2_short_st_invest*(1/gh2_short_st_lifetime+$M138+h2_short_st_opex)+h2_short_st_e_demand*1000*$AU138/100)/1000000+Carriers!$AB$20/Carriers!$AB$23*((FB138+lng_st_ab_losses)/365.25*short_st_duration_hrs/24)*(co2_short_st_invest*(1/co2_short_st_lifetime+$M138+co2_short_st_opex)+co2_short_st_e_demand*1000*$AU138/100)/1000000</f>
        <v>6188.2670753096718</v>
      </c>
      <c r="FA138" s="63">
        <f>lng_st_nl_cost*lng_st_nl_demand/1000000+(lng_st_invest*(M138+1/lng_st_lifetime+lng_st_opex)/(Storage!$U$63/1000000)+lng_st_e_demand*1000*$AU138/100)*(FB138+lng_st_ab_losses)/1000000+Carriers!$AB$18/Carriers!$AB$23*((FB138+lng_st_ab_losses)/365.25*short_st_duration_hrs/24)*(h2_short_st_invest*(1/gh2_short_st_lifetime+$M138+h2_short_st_opex)+h2_short_st_e_demand*1000*$AU138/100)/1000000+Carriers!$AB$20/Carriers!$AB$23*((FB138+lng_st_ab_losses)/365.25*short_st_duration_hrs/24)*(co2_short_st_invest*(1/co2_short_st_lifetime+$M138+co2_short_st_opex)+co2_short_st_e_demand*1000*$AU138/100)/1000000</f>
        <v>4621.390144042397</v>
      </c>
      <c r="FB138" s="63">
        <f>Storage!$U$57/((1-Shipping!$V$37)^($F138/24/Shipping!$V$44+0.5*Shipping!$V$59))</f>
        <v>41241207.978563115</v>
      </c>
      <c r="FC138" s="28">
        <f>IF($E138="","No Port",IF(G138="Panama","Ship cannot pass through Panama",((F138/24/Shipping!$V$44+F138/24/Shipping!$V$50+Shipping!$V$59+Shipping!$V$64)*(Shipping!$V$22+wacc_nl*Shipping!$V$19/365.25*1000000+Shipping!$V$35)+(F138/24/Shipping!$V$44*Shipping!$V$45+Shipping!$V$64*Shipping!$V$65)*IF(bunker_choice="HFO",$H138,IF(bunker_choice="hydrogen",$BD138*hfo_e_density_lhv/h2_e_density_lhv,(EX138+EZ138)*1000000/FB138*hfo_e_density_lhv/lng_e_density_lhv))+(F138/24/Shipping!$V$50*Shipping!$V$51+Shipping!$V$59*Shipping!$V$60)*IF(bunker_choice="HFO",bunker_price_ROT,IF(bunker_choice="hydrogen",$BD138*hfo_e_density_lhv/h2_e_density_lhv,(EX138+EZ138)*1000000/FB138*hfo_e_density_lhv/lng_e_density_lhv))+Shipping!$V$73+IF(G138="Panama",Shipping!$V$55,0)+IF(G138="Suez",Shipping!$V$56,0))/Shipping!$V$31*(FB138+lng_st_ab_losses)/1000000)+IF(inland_transport_to_port="hv dc grid",$BM138/100*1000*FE138,IF(inland_transport_to_port="pipeline",$BN138,0)))</f>
        <v>1722.0382566211356</v>
      </c>
      <c r="FD138" s="28">
        <f t="shared" ref="FD138:FD154" si="217">IFERROR(EY138+FA138+FC138,"")</f>
        <v>91483.981291453325</v>
      </c>
      <c r="FE138" s="29">
        <f>((Carriers!$AB$18/Carriers!$AB$23*alk_el_e_demand)+sng_e_demand+lng_e_demand)*(FB138+lng_st_ab_losses)/1000000+lng_st_e_demand*EZ138/1000000</f>
        <v>1106.0564729685225</v>
      </c>
      <c r="FF138" s="29">
        <f t="shared" si="192"/>
        <v>0.8126185861001558</v>
      </c>
      <c r="FG138" s="28">
        <f>IFERROR(FD138*1000000/Storage!$U$12,"")</f>
        <v>2254.1813287553032</v>
      </c>
      <c r="FH138" s="28">
        <f>IF($E138="","No Port",((F138/24/Shipping!$V$44+F138/24/Shipping!$V$50+Shipping!$V$59+Shipping!$V$64)*Carriers!$AB$39*wacc_nl))</f>
        <v>26.709660283526034</v>
      </c>
      <c r="FI138" s="100">
        <f>H2_retrieval!$T$25*h2_demand_kt/1000+(co2_liq_e_demand+co2_st_e_demand*2)*Storage!$U$12*co2_density/lng_density/1000000</f>
        <v>236.51371749646054</v>
      </c>
      <c r="FJ138" s="28">
        <f>IFERROR((((EX138+EZ138+FC138)*(1+H2_retrieval!$T$34)+FH138)*1000000/H2_retrieval!$T$8)+h2_regen_lng,"")</f>
        <v>7160.5629124422712</v>
      </c>
      <c r="FK138" s="149">
        <f>(lh2_invest*(M138+1/lh2_lifetime)/lh2_prod+lh2_opex+lh2_e_demand*1000*$AU138/100+Carriers!$AD$18/Carriers!$AD$23*BD138)*(FM138+lh2_st_ab_losses)/1000000</f>
        <v>56715.930593923331</v>
      </c>
      <c r="FL138" s="28">
        <f>lh2_st_nl_cost*lh2_st_nl_demand/1000000+(lh2_st_invest*(M138+1/lh2_st_lifetime+lh2_st_opex)/(Storage!$Y$63/1000000)+lh2_st_e_demand*1000*$AU138/100)*(FM138+lh2_st_ab_losses)/1000000+((FM138+lh2_st_ab_losses)/365.25*short_st_duration_hrs/24)*(h2_short_st_invest*(1/gh2_short_st_lifetime+$M138+h2_short_st_opex)+h2_short_st_e_demand*1000*$AU138/100)/1000000</f>
        <v>53824.976596311004</v>
      </c>
      <c r="FM138" s="63">
        <f>Storage!$Y$57/((1-Shipping!$Z$37)^($F138/24/Shipping!$Z$44+0.5*Shipping!$Z$59))</f>
        <v>13947914.977435898</v>
      </c>
      <c r="FN138" s="28">
        <f>IF($E138="","No Port",IF(G138="Panama","Ship cannot pass through Panama",((F138/24/Shipping!$Z$44+F138/24/Shipping!$Z$50+Shipping!$Z$59+Shipping!$Z$64)*(Shipping!$Z$22+wacc_nl*Shipping!$Z$19/365.25*1000000+Shipping!$Z$35)+(F138/24/Shipping!$Z$44*Shipping!$Z$45+Shipping!$Z$64*Shipping!$Z$65)*IF(bunker_choice="HFO",$H138,IF(bunker_choice="hydrogen",$BD138*hfo_e_density_lhv/h2_e_density_lhv,(FK138+FL138)*1000000/FM138*hfo_e_density_lhv/lh2_e_density_lhv))+(F138/24/Shipping!$Z$50*Shipping!$Z$51+Shipping!$Z$59*Shipping!$Z$60)*IF(bunker_choice="HFO",bunker_price_ROT,IF(bunker_choice="hydrogen",$BD138*hfo_e_density_lhv/h2_e_density_lhv,(FK138+FL138)*1000000/FM138*hfo_e_density_lhv/lh2_e_density_lhv))+Shipping!$Z$73+IF(G138="Panama",Shipping!$Z$55,0)+IF(G138="Suez",Shipping!$Z$56,0))/Shipping!$Z$31*(FM138+lh2_st_ab_losses)/1000000)+IF(inland_transport_to_port="hv dc grid",$BM138/100*1000*FP138,IF(inland_transport_to_port="pipeline",$BN138,0)))</f>
        <v>2925.8500804137889</v>
      </c>
      <c r="FO138" s="28">
        <f t="shared" si="200"/>
        <v>113466.75727064813</v>
      </c>
      <c r="FP138" s="29">
        <f>((Carriers!$AD$18/Carriers!$AD$23*alk_el_e_demand)+lh2_e_demand)*(FM138+lh2_st_ab_losses)/1000000+lh2_st_e_demand*FM138/1000000</f>
        <v>808.26489289421909</v>
      </c>
      <c r="FQ138" s="100">
        <f t="shared" si="193"/>
        <v>1.361902463475859</v>
      </c>
      <c r="FR138" s="28">
        <f>IFERROR(FO138*1000000/Storage!$Y$12,"")</f>
        <v>8343.1439169594214</v>
      </c>
      <c r="FS138" s="100">
        <f>H2_retrieval!$V$25*h2_demand_kt/1000</f>
        <v>8.16</v>
      </c>
      <c r="FT138" s="28">
        <f>IFERROR(FR138*(1+H2_retrieval!$V$34)/Carrier_properties!$U$7+H2_retrieval!$V$38,"")</f>
        <v>8375.1126428278894</v>
      </c>
      <c r="FU138" s="12"/>
      <c r="FV138" s="24">
        <f t="shared" si="201"/>
        <v>2.4689026784832291</v>
      </c>
      <c r="FW138" s="24" t="str">
        <f t="shared" si="143"/>
        <v/>
      </c>
      <c r="FX138" s="24">
        <f t="shared" si="144"/>
        <v>6.9733343544368456</v>
      </c>
      <c r="FY138" s="24">
        <f t="shared" si="202"/>
        <v>2.4689026784832291</v>
      </c>
      <c r="FZ138" s="28">
        <f t="shared" si="145"/>
        <v>3130.287362517171</v>
      </c>
      <c r="GA138" s="28">
        <f t="shared" ref="GA138:GA154" si="218">BR138*1000000/BT138</f>
        <v>695.66802489632505</v>
      </c>
      <c r="GB138" s="28">
        <f t="shared" ref="GB138:GB154" si="219">CC138*1000000/CF138</f>
        <v>428.08643217035626</v>
      </c>
      <c r="GC138" s="28">
        <f t="shared" ref="GC138:GC154" si="220">CP138*1000000/CS138</f>
        <v>775.47377880259876</v>
      </c>
      <c r="GD138" s="28">
        <f t="shared" ref="GD138:GD154" si="221">DY138*1000000/EB138</f>
        <v>1126.9657441439408</v>
      </c>
      <c r="GE138" s="28">
        <f t="shared" ref="GE138:GE154" si="222">EL138*1000000/EO138</f>
        <v>1960.4539948339554</v>
      </c>
      <c r="GF138" s="28">
        <f t="shared" ref="GF138:GF154" si="223">EY138*1000000/FB138</f>
        <v>2064.4534208368786</v>
      </c>
      <c r="GG138" s="12"/>
      <c r="GH138" s="12"/>
      <c r="GI138" s="12"/>
      <c r="GJ138" s="12"/>
      <c r="GK138" s="12"/>
      <c r="GL138" s="12"/>
      <c r="GM138" s="12"/>
      <c r="GN138" s="12"/>
      <c r="GO138" s="12"/>
      <c r="GP138" s="12"/>
      <c r="GQ138" s="12"/>
      <c r="GR138" s="12"/>
      <c r="GS138" s="12"/>
      <c r="GT138" s="12"/>
      <c r="GU138" s="12"/>
      <c r="GV138" s="12"/>
      <c r="GW138" s="12"/>
      <c r="GX138" s="12"/>
      <c r="GY138" s="12"/>
      <c r="GZ138" s="12"/>
      <c r="HA138" s="12"/>
      <c r="HB138" s="12"/>
      <c r="HC138" s="12"/>
      <c r="HD138" s="12"/>
      <c r="HE138" s="12"/>
      <c r="HF138" s="12"/>
    </row>
    <row r="139" spans="1:214" x14ac:dyDescent="0.2">
      <c r="A139" s="154" t="s">
        <v>27</v>
      </c>
      <c r="B139" s="12">
        <v>2057</v>
      </c>
      <c r="C139" s="12">
        <v>0.9</v>
      </c>
      <c r="D139" s="12">
        <f t="shared" si="194"/>
        <v>9.9999999999999978E-2</v>
      </c>
      <c r="E139" s="12" t="s">
        <v>790</v>
      </c>
      <c r="F139" s="12">
        <v>2155</v>
      </c>
      <c r="G139" s="12"/>
      <c r="H139" s="16">
        <f t="shared" si="203"/>
        <v>382.75862068965517</v>
      </c>
      <c r="I139" s="16">
        <v>155360</v>
      </c>
      <c r="J139" s="16">
        <f t="shared" si="195"/>
        <v>222.37945929764675</v>
      </c>
      <c r="K139" s="16">
        <f t="shared" si="196"/>
        <v>266.85535115717607</v>
      </c>
      <c r="L139" s="103">
        <v>8.2000000000000003E-2</v>
      </c>
      <c r="M139" s="103">
        <f t="shared" si="204"/>
        <v>9.9417115929715028E-2</v>
      </c>
      <c r="N139" s="122">
        <f t="shared" si="197"/>
        <v>0.8</v>
      </c>
      <c r="O139" s="46">
        <f t="shared" si="205"/>
        <v>40</v>
      </c>
      <c r="P139" s="70">
        <f t="array" ref="P139">SUMPRODUCT(IF(Solar_data!A$4:A$777=A139,Solar_data!C$4:C$777),IF(Solar_data!A$4:A$777=A139,Solar_data!I$4:I$777))/SUMIF(Solar_data!A$4:A$777,A139,Solar_data!I$4:I$777)</f>
        <v>2014.4839667112319</v>
      </c>
      <c r="Q139" s="16">
        <f t="array" ref="Q139">MAX(IF(Solar_data!$A$777:'Solar_data'!$A$4=Country_details!$A139,Solar_data!$C$4:'Solar_data'!$C$777))</f>
        <v>2463.75</v>
      </c>
      <c r="R139" s="16">
        <f t="array" ref="R139">MIN(IF(Solar_data!$A$777:'Solar_data'!$A$4=Country_details!A139,Solar_data!$C$4:'Solar_data'!$C$777))</f>
        <v>1733.75</v>
      </c>
      <c r="S139" s="24">
        <f t="shared" si="176"/>
        <v>2.1281263021604739</v>
      </c>
      <c r="T139" s="24">
        <f t="shared" si="177"/>
        <v>1.7400614164743735</v>
      </c>
      <c r="U139" s="24">
        <f t="shared" si="178"/>
        <v>2.4727188549898989</v>
      </c>
      <c r="V139" s="16">
        <f t="array" ref="V139">SUM(IF(Solar_data!$A$777:'Solar_data'!$A$4=Country_details!$A139,Solar_data!$I$4:'Solar_data'!$I$777))</f>
        <v>1120.8537825126391</v>
      </c>
      <c r="W139" s="148"/>
      <c r="X139" s="16" t="str">
        <f>IFERROR(INDEX(Onshore_wind_data!$J$5:'Onshore_wind_data'!$J$221,MATCH(A139,Onshore_wind_data!$B$5:'Onshore_wind_data'!$B$221,0)),"")</f>
        <v/>
      </c>
      <c r="Y139" s="16" t="str">
        <f>IFERROR(INDEX(Onshore_wind_data!$K$5:'Onshore_wind_data'!$K$221,MATCH(A139,Onshore_wind_data!$B$5:'Onshore_wind_data'!$B$221,0)),"")</f>
        <v/>
      </c>
      <c r="Z139" s="16" t="str">
        <f>IFERROR(INDEX(Onshore_wind_data!$L$5:'Onshore_wind_data'!$L$221,MATCH(A139,Onshore_wind_data!$B$5:'Onshore_wind_data'!$B$221,0)),"")</f>
        <v/>
      </c>
      <c r="AA139" s="24" t="str">
        <f t="shared" si="206"/>
        <v/>
      </c>
      <c r="AB139" s="24" t="str">
        <f t="shared" si="207"/>
        <v/>
      </c>
      <c r="AC139" s="24" t="str">
        <f t="shared" si="208"/>
        <v/>
      </c>
      <c r="AD139" s="16">
        <f>IFERROR(INDEX(Onshore_wind_data!$I$5:'Onshore_wind_data'!$I$221,MATCH(A139,Onshore_wind_data!$B$5:'Onshore_wind_data'!$B$221,0)),"")</f>
        <v>0</v>
      </c>
      <c r="AE139" s="148"/>
      <c r="AF139" s="16">
        <f>INDEX(Offshore_wind_data!$AA$7:$AA$192,MATCH(Country_details!A139,Offshore_wind_data!$A$7:$A$192,0))</f>
        <v>3405.0551682692303</v>
      </c>
      <c r="AG139" s="16">
        <f>INDEX(Offshore_wind_data!$Y$7:$Y$192,MATCH(Country_details!A139,Offshore_wind_data!$A$7:$A$192,0))</f>
        <v>3854.4</v>
      </c>
      <c r="AH139" s="16">
        <f>INDEX(Offshore_wind_data!$Z$7:$Z$192,MATCH(Country_details!A139,Offshore_wind_data!$A$7:$A$192,0))</f>
        <v>3153.6</v>
      </c>
      <c r="AI139" s="24">
        <f t="shared" si="179"/>
        <v>6.9656422753984408</v>
      </c>
      <c r="AJ139" s="24">
        <f t="shared" si="180"/>
        <v>6.1535897234744983</v>
      </c>
      <c r="AK139" s="24">
        <f t="shared" si="181"/>
        <v>7.5210541064688305</v>
      </c>
      <c r="AL139" s="16">
        <f>INDEX(Offshore_wind_data!$W$7:$W$191,MATCH(A139,Offshore_wind_data!$A$7:$A$191,0))</f>
        <v>906.56188799999995</v>
      </c>
      <c r="AM139" s="148"/>
      <c r="AN139" s="12">
        <v>11.5</v>
      </c>
      <c r="AO139" s="12">
        <v>13.9</v>
      </c>
      <c r="AP139" s="34">
        <f>0.956*11.63</f>
        <v>11.11828</v>
      </c>
      <c r="AQ139" s="15">
        <f t="shared" si="182"/>
        <v>50</v>
      </c>
      <c r="AR139" s="12">
        <f t="shared" si="212"/>
        <v>695</v>
      </c>
      <c r="AS139" s="16">
        <f t="shared" si="198"/>
        <v>1332.4156705126391</v>
      </c>
      <c r="AT139" s="12"/>
      <c r="AU139" s="24">
        <f t="shared" si="183"/>
        <v>2.1281263021604739</v>
      </c>
      <c r="AV139" s="16">
        <f t="shared" si="184"/>
        <v>2014.4839667112319</v>
      </c>
      <c r="AW139" s="149">
        <f>HV_DC_Grid!$E$3/(1-AX139)*AU139/100*1000</f>
        <v>2247.6364373589345</v>
      </c>
      <c r="AX139" s="31">
        <f>(1-(1-HV_DC_Grid!$E$25)^(B139*C139*HV_DC_Grid!$E$8/1000))+(1-(1-HV_DC_Grid!$E$26)^(B139*D139*HV_DC_Grid!$E$8/1000))+HV_DC_Grid!$E$35*HV_DC_Grid!$E$28</f>
        <v>5.3171470800184237E-2</v>
      </c>
      <c r="AY139" s="28">
        <f>B139*nl_e_demand/IF(hv_dc_flh="electricity FLH",$AV139,hv_dc_custom)*1000*hv_dc_capacity_multiplier*hv_dc_length_multiplier*1000*(C139*hv_dc_overhead_invest*(hv_dc_overhead_opex+M139+1/hv_dc_lifetime)+D139*hv_dc_sea_invest*(hv_dc_sea_opex+M139+1/hv_dc_lifetime))/1000000+HV_DC_Grid!$E$10*1000*hv_dc_station_invest*hv_dc_station_number*(hv_dc_station_opex+M139+1/hv_dc_lifetime)/1000000</f>
        <v>2122.8203066823116</v>
      </c>
      <c r="AZ139" s="24">
        <f>(AW139+AY139)/(HV_DC_Grid!$E$3*1000)*100</f>
        <v>4.3704567440412463</v>
      </c>
      <c r="BA139" s="28">
        <f>MIN(((Carriers!$F$26+Carriers!$F$27)*(alk_el_opex+wacc_nl+1/alk_el_lifetime)+IF(hv_dc_flh="electricity FLH",$AV139,hv_dc_custom)*AZ139/100)/(IF(hv_dc_flh="electricity FLH",$AV139,hv_dc_custom)/alk_el_e_demand)*1000,((Carriers!$H$26+Carriers!$H$27)*(pem_el_opex+wacc_nl+1/pem_el_lifetime)+IF(hv_dc_flh="electricity FLH",$AV139,hv_dc_custom)*AZ139/100)/(IF(hv_dc_flh="electricity FLH",$AV139,hv_dc_custom)/pem_el_e_demand)*1000)</f>
        <v>2569.1500392811322</v>
      </c>
      <c r="BB139" s="12"/>
      <c r="BC139" s="12"/>
      <c r="BD139" s="149">
        <f>MIN(((Carriers!$F$26+Carriers!$F$27)*(alk_el_opex+M139+1/alk_el_lifetime)+$AV139*$AU139/100)/($AV139/alk_el_e_demand)*1000,((Carriers!$H$26+Carriers!$H$27)*(pem_el_opex+M139+1/pem_el_lifetime)+$AV139*$AU139/100)/($AV139/pem_el_e_demand)*1000)</f>
        <v>2545.7848710655826</v>
      </c>
      <c r="BE139" s="28">
        <f>Storage!$AC$50</f>
        <v>8.1664117557772418</v>
      </c>
      <c r="BF139" s="28">
        <f>((Pipeline!$D$22*Pipeline!$D$24*B139*(pipeline_opex+M139+1/pipeline_lifetime))*(Pipeline!$D$39/Pipeline!$D$3)+(Pipeline!$D$57*(pipeline_comp_opex+M139+1/pipeline_comp_lifetime)+Pipeline!$D$47*1000*Pipeline!$D$45*$AU139/100/1000000))*(Pipeline!$D$75/Pipeline!$D$45)</f>
        <v>4048.3447786061811</v>
      </c>
      <c r="BG139" s="28">
        <f>BD139+(BE139+BF139)/Storage!$AC$12*1000000</f>
        <v>2844.0577527098444</v>
      </c>
      <c r="BH139" s="28"/>
      <c r="BI139" s="28"/>
      <c r="BJ139" s="28">
        <f>IF($E139="","No Port",BK139*HV_DC_Grid!$E$3*$AU139/100*1000)</f>
        <v>40.757318003290486</v>
      </c>
      <c r="BK139" s="31">
        <f>IFERROR((1-(1-HV_DC_Grid!$E$25)^(K139*HV_DC_Grid!$E$8/1000))+HV_DC_Grid!$E$35*HV_DC_Grid!$E$28,"")</f>
        <v>1.915173829763471E-2</v>
      </c>
      <c r="BL139" s="28">
        <f>IFERROR(K139*nl_e_demand/IF(hv_dc_flh="electricity FLH",$AV139,hv_dc_custom)*1000*hv_dc_capacity_multiplier*hv_dc_length_multiplier*1000*(hv_dc_overhead_invest*(hv_dc_overhead_opex+M139+1/hv_dc_lifetime))/1000000+HV_DC_Grid!$E$10*1000*hv_dc_station_invest*hv_dc_station_number*(hv_dc_station_opex+M139+1/hv_dc_lifetime)/1000000,"")</f>
        <v>544.25439888767096</v>
      </c>
      <c r="BM139" s="29">
        <f>IFERROR((BJ139+BL139)/(HV_DC_Grid!$E$3*1000)*100,"")</f>
        <v>0.58501171689096143</v>
      </c>
      <c r="BN139" s="28">
        <f>IFERROR(((Pipeline!$D$22*Pipeline!$D$24*K139*(pipeline_opex+M139+1/pipeline_lifetime))*(Pipeline!$D$39/Pipeline!$D$3)+(Pipeline!$D$57*(pipeline_comp_opex+M139+1/pipeline_comp_lifetime)+Pipeline!$D$47*1000*Pipeline!$D$45*S139/100/1000000))*(Pipeline!$D$75/Pipeline!$D$45),"")</f>
        <v>586.70116027601352</v>
      </c>
      <c r="BO139" s="28"/>
      <c r="BP139" s="150">
        <f t="shared" si="209"/>
        <v>97.913252626740132</v>
      </c>
      <c r="BQ139" s="34">
        <f t="shared" si="210"/>
        <v>29.288915172357463</v>
      </c>
      <c r="BR139" s="151">
        <f>(nh3_invest*(M139+1/nh3_lifetime)/nh3_prod+nh3_opex+nh3_e_demand*1000*$AU139/100+Carriers!$N$18/Carriers!$N$23*BD139+Carriers!$N$19/Carriers!$N$23*BQ139)*(BT139+nh3_st_ab_losses)/1000000</f>
        <v>44964.624154924852</v>
      </c>
      <c r="BS139" s="63">
        <f>nh3_st_nl_cost*nh3_st_nl_demand/1000000+(nh3_st_invest*(M139+1/nh3_st_lifetime+nh3_st_opex)/(Storage!$G$63/1000000)+nh3_st_e_demand*1000*$AU139/100)*(BT139+nh3_st_ab_losses)/1000000+Carriers!$N$18/Carriers!$N$23*((BT139+nh3_st_ab_losses)/365.25*short_st_duration_hrs/24)*(h2_short_st_invest*(1/gh2_short_st_lifetime+$M139+h2_short_st_opex)+h2_short_st_e_demand*1000*$AU139/100)/1000000+Carriers!$N$19/Carriers!$N$23*((BT139+nh3_st_ab_losses)/365.25*short_st_duration_hrs/24)*(n2_short_st_invest*(1/n2_short_st_lifetime+$M139+n2_short_st_opex)+n2_short_st_e_demand*1000*$AU139/100)/1000000</f>
        <v>3098.6865179561087</v>
      </c>
      <c r="BT139" s="63">
        <f>Storage!$G$57/((1-Shipping!$H$37)^(F139/24/Shipping!$H$44+0.5*Shipping!$H$59))</f>
        <v>77911044.1207598</v>
      </c>
      <c r="BU139" s="63">
        <f>IF($E139="","No Port",((F139/24/Shipping!$H$44+F139/24/Shipping!$H$50+Shipping!$H$59+Shipping!$H$64)*(Shipping!$H$22+wacc_nl*Shipping!$H$19/365.25*1000000+Shipping!$H$35)+(F139/24/Shipping!$H$44*Shipping!$H$45+Shipping!$H$64*Shipping!$H$65)*IF(bunker_choice="HFO",H139,IF(bunker_choice="hydrogen",BD139*hfo_e_density_lhv/h2_e_density_lhv,(BR139+BS139)*1000000/BT139*hfo_e_density_lhv/nh3_e_density_lhv))+(F139/24/Shipping!$H$50*Shipping!$H$51+Shipping!$H$59*Shipping!$H$60)*IF(bunker_choice="HFO",bunker_price_ROT,IF(bunker_choice="hydrogen",BD139*hfo_e_density_lhv/h2_e_density_lhv,(BR139+BS139)*1000000/BT139*hfo_e_density_lhv/nh3_e_density_lhv))+Shipping!$H$73+IF(G139="Panama",Shipping!$H$55,0)+IF(G139="Suez",Shipping!$H$56,0))/Shipping!$H$31*BT139/1000000+IF(inland_transport_to_port="hv dc grid",$BM139/100*1000*BW139,IF(inland_transport_to_port="pipeline",$BN139,0)))</f>
        <v>2182.8822583245851</v>
      </c>
      <c r="BV139" s="63">
        <f t="shared" si="199"/>
        <v>50246.192931205544</v>
      </c>
      <c r="BW139" s="33">
        <f>((Carriers!$N$18/Carriers!$N$23*alk_el_e_demand)+(Carriers!$N$19/Carriers!$N$23*n2_e_demand)+nh3_e_demand)*(BT139+nh3_st_ab_losses)/1000000+nh3_st_e_demand*BT139/1000000</f>
        <v>769.40019783428784</v>
      </c>
      <c r="BX139" s="33">
        <f t="shared" si="185"/>
        <v>0.76626754477640768</v>
      </c>
      <c r="BY139" s="63">
        <f>IFERROR(BV139*1000000/Storage!$G$12,"")</f>
        <v>656.2728372400104</v>
      </c>
      <c r="BZ139" s="63">
        <f>H2_retrieval!$F$25*h2_demand_kt/1000</f>
        <v>80</v>
      </c>
      <c r="CA139" s="63">
        <f>IFERROR(BY139*(1+H2_retrieval!$F$34)/Carrier_properties!$E$7+H2_retrieval!$F$38,"")</f>
        <v>4103.7989892912019</v>
      </c>
      <c r="CB139" s="149">
        <f>(FA_invest*(M139+1/FA_lifetime)/FA_prod+FA_opex+FA_e_demand*1000*$AU139/100+Carriers!$P$18/Carriers!$P$23*BD139+Carriers!$P$20/Carriers!$P$23*co2_liq_cost)*(CF139+FA_st_ab_losses)/1000000</f>
        <v>90196.185904780927</v>
      </c>
      <c r="CC139" s="86">
        <f>(FA_invest*(M139+1/FA_lifetime)/FA_prod+FA_opex+FA_e_demand*1000*$AU139/100+Carriers!$P$18/Carriers!$P$23*BD139+Carriers!$P$20/Carriers!$P$23*BP139)*(CF139+FA_st_ab_losses)/1000000</f>
        <v>113557.62132232526</v>
      </c>
      <c r="CD139" s="63">
        <f>FA_st_nl_cost*FA_st_nl_demand/1000000+(FA_st_invest*(M139+1/FA_st_lifetime+FA_st_opex)/(Storage!$I$63/1000000)+FA_st_e_demand*1000*$AU139/100)*(CF139+FA_st_ab_losses)/1000000+co2_st_nl_cost*Storage!$I$12*co2_density/FA_density/1000000+(co2_st_opex_lev+co2_st_invest_lev+co2_st_e_demand*1000*$AU139/100)*Storage!$I$12/1000000+co2_st_invest_lev*Storage!$I$12*co2_st_lifetime*M139/1000000+Carriers!$P$18/Carriers!$P$23*((CF139+FA_st_ab_losses)/365.25*short_st_duration_hrs/24)*(h2_short_st_invest*(1/gh2_short_st_lifetime+$M139+h2_short_st_opex)+h2_short_st_e_demand*1000*$AU139/100)/1000000+Carriers!$P$20/Carriers!$P$23*((CF139+FA_st_ab_losses)/365.25*short_st_duration_hrs/24)*(co2_short_st_invest*(1/co2_short_st_lifetime+$M139+co2_short_st_opex)+co2_short_st_e_demand*1000*$AU139/100)/1000000</f>
        <v>10780.73735330519</v>
      </c>
      <c r="CE139" s="63">
        <f>FA_st_nl_cost*FA_st_nl_demand/1000000+(FA_st_invest*(M139+1/FA_st_lifetime+FA_st_opex)/(Storage!$I$63/1000000)+FA_st_e_demand*1000*$AU139/100)*(CF139+FA_st_ab_losses)/1000000+Carriers!$P$18/Carriers!$P$23*((CF139+FA_st_ab_losses)/365.25*short_st_duration_hrs/24)*(h2_short_st_invest*(1/gh2_short_st_lifetime+$M139+h2_short_st_opex)+h2_short_st_e_demand*1000*$AU139/100)/1000000+Carriers!$P$20/Carriers!$P$23*((CF139+FA_st_ab_losses)/365.25*short_st_duration_hrs/24)*(co2_short_st_invest*(1/co2_short_st_lifetime+$M139+co2_short_st_opex)+co2_short_st_e_demand*1000*$AU139/100)/1000000</f>
        <v>4639.0802910406619</v>
      </c>
      <c r="CF139" s="63">
        <f>Storage!$I$57/((1-Shipping!$J$37)^($F139/24/Shipping!$J$44+0.5*Shipping!$J$59))</f>
        <v>310425396.82539684</v>
      </c>
      <c r="CG139" s="28">
        <f>IF($E139="","No Port",((F139/24/Shipping!$J$44+F139/24/Shipping!$J$50+Shipping!$J$59+Shipping!$J$64)*(Shipping!$J$22+wacc_nl*Shipping!$J$19/365.25*1000000+Shipping!$J$35)+(F139/24/Shipping!$J$44*Shipping!$J$45+Shipping!$J$64*Shipping!$J$65)*IF(bunker_choice="HFO",$H139,IF(bunker_choice="hydrogen",$BD139*hfo_e_density_lhv/h2_e_density_lhv,(CB139+CD139)*1000000/CF139*hfo_e_density_lhv/FA_e_density_lhv))+(F139/24/Shipping!$J$50*Shipping!$J$51+Shipping!$J$59*Shipping!$J$60)*IF(bunker_choice="HFO",bunker_price_ROT,IF(bunker_choice="hydrogen",$BD139*hfo_e_density_lhv/h2_e_density_lhv,(CB139+CD139)*1000000/CF139*hfo_e_density_lhv/FA_e_density_lhv))+Shipping!$J$73+IF(G139="Panama",Shipping!$J$55,0)+IF(G139="Suez",Shipping!$J$56,0))/Shipping!$J$31*CF139/1000000+IF(inland_transport_to_port="hv dc grid",$BM139/100*1000*CI139,IF(inland_transport_to_port="pipeline",$BN139,0)))</f>
        <v>7380.6386004229807</v>
      </c>
      <c r="CH139" s="28">
        <f t="shared" si="213"/>
        <v>125577.34021378891</v>
      </c>
      <c r="CI139" s="29">
        <f>((Carriers!$P$18/Carriers!$P$23*alk_el_e_demand)+FA_e_demand)*(CF139+FA_st_ab_losses)/1000000+FA_st_e_demand*CF139/1000000</f>
        <v>1897.8881241622576</v>
      </c>
      <c r="CJ139" s="29">
        <f t="shared" si="186"/>
        <v>0.46563809523809524</v>
      </c>
      <c r="CK139" s="28">
        <f>IFERROR(CH139*1000000/Storage!$I$12,"")</f>
        <v>404.53307460671999</v>
      </c>
      <c r="CL139" s="28">
        <f>IF($E139="","No Port",((F139/24/Shipping!$J$44+F139/24/Shipping!$J$50+Shipping!$J$59+Shipping!$J$64)*Carriers!$P$39*wacc_nl))</f>
        <v>134.06677954860422</v>
      </c>
      <c r="CM139" s="29">
        <f>H2_retrieval!$H$25*h2_demand_kt/1000+(co2_liq_e_demand+co2_st_e_demand*2)*Storage!$I$12*co2_density/FA_density/1000000</f>
        <v>94.204253879484654</v>
      </c>
      <c r="CN139" s="28">
        <f>IFERROR((((CB139+CD139+CG139)*(1+H2_retrieval!$H$34)+CL139)*1000000/H2_retrieval!$H$8)+h2_regen_fa,"")</f>
        <v>8067.0130029182574</v>
      </c>
      <c r="CO139" s="149">
        <f>(meoh_invest*(M139+1/meoh_lifetime)/meoh_prod+meoh_opex+meoh_e_demand*1000*$AU139/100+Carriers!$R$18/Carriers!$R$23*BD139+Carriers!$R$20/Carriers!$R$23*co2_liq_cost)*(CS139+meoh_st_ab_losses)/1000000</f>
        <v>55861.500948336012</v>
      </c>
      <c r="CP139" s="86">
        <f>(meoh_invest*(M139+1/meoh_lifetime)/meoh_prod+meoh_opex+meoh_e_demand*1000*$AU139/100+Carriers!$R$18/Carriers!$R$23*BD139+Carriers!$R$20/Carriers!$R$23*BP139)*(CS139+meoh_st_ab_losses)/1000000</f>
        <v>69575.384748847529</v>
      </c>
      <c r="CQ139" s="63">
        <f>meoh_st_nl_cost*meoh_st_nl_demand/1000000+(meoh_st_invest*(M139+1/meoh_st_lifetime+meoh_st_opex)/(Storage!$K$63/1000000)+meoh_st_e_demand*1000*$AU139/100)*(CS139+meoh_st_ab_losses)/1000000+co2_st_nl_cost*Storage!$K$12*co2_density/meoh_density/1000000+(co2_st_opex_lev+co2_st_invest_lev+co2_st_e_demand*1000*IFERROR(MIN(S139,AA139,AI139),S139)/100)*Storage!$K$12/1000000+co2_st_invest_lev*Storage!$K$12*co2_st_lifetime*M139/1000000+Carriers!$R$18/Carriers!$R$23*((CS139+meoh_st_ab_losses)/365.25*short_st_duration_hrs/24)*(h2_short_st_invest*(1/gh2_short_st_lifetime+$M139+h2_short_st_opex)+h2_short_st_e_demand*1000*$AU139/100)/1000000+Carriers!$R$20/Carriers!$R$23*((CF139+meoh_st_ab_losses)/365.25*short_st_duration_hrs/24)*(co2_short_st_invest*(1/co2_short_st_lifetime+$M139+co2_short_st_opex)+co2_short_st_e_demand*1000*$AU139/100)/1000000</f>
        <v>4535.5897735575854</v>
      </c>
      <c r="CR139" s="63">
        <f>meoh_st_nl_cost*meoh_st_nl_demand/1000000+(meoh_st_invest*(M139+1/meoh_st_lifetime+meoh_st_opex)/(Storage!$K$63/1000000)+meoh_st_e_demand*1000*$AU139/100)*(CS139+meoh_st_ab_losses)/1000000+Carriers!$R$18/Carriers!$R$23*((CS139+meoh_st_ab_losses)/365.25*short_st_duration_hrs/24)*(h2_short_st_invest*(1/gh2_short_st_lifetime+$M139+h2_short_st_opex)+h2_short_st_e_demand*1000*$AU139/100)/1000000+Carriers!$R$20/Carriers!$R$23*((CF139+meoh_st_ab_losses)/365.25*short_st_duration_hrs/24)*(co2_short_st_invest*(1/co2_short_st_lifetime+$M139+co2_short_st_opex)+co2_short_st_e_demand*1000*$AU139/100)/1000000</f>
        <v>1798.9710840284381</v>
      </c>
      <c r="CS139" s="63">
        <f>Storage!$K$57/((1-Shipping!$L$37)^($F139/24/Shipping!$L$44+0.5*Shipping!$L$59))</f>
        <v>108044444.44444443</v>
      </c>
      <c r="CT139" s="28">
        <f>IF($E139="","No Port",IF(AND(ship_choice="VLCC",G139="Panama"),"Ship cannot pass through Panama",IF(ship_choice="VLCC",((F139/24/Shipping!$AD$44+F139/24/Shipping!$AD$50+Shipping!$AD$59+Shipping!$AD$64)*(Shipping!$AD$22+wacc_nl*Shipping!$AD$19/365.25*1000000+Shipping!$AD$35)+(F139/24/Shipping!$AD$44*Shipping!$AD$45+Shipping!$AD$64*Shipping!$AD$65)*IF(bunker_choice="HFO",$H139,IF(bunker_choice="hydrogen",$BD139*hfo_e_density_lhv/h2_e_density_lhv,(CO139+CQ139)*1000000/CS139*hfo_e_density_lhv/meoh_e_density_lhv))+(F139/24/Shipping!$AD$50*Shipping!$AD$51+Shipping!$AD$59*Shipping!$AD$60)*IF(bunker_choice="HFO",bunker_price_ROT,IF(bunker_choice="hydrogen",$BD139*hfo_e_density_lhv/h2_e_density_lhv,(CO139+CQ139)*1000000/CS139*hfo_e_density_lhv/meoh_e_density_lhv))+Shipping!$AD$73+IF(G139="Panama",Shipping!$AD$55,0)+IF(G139="Suez",Shipping!$AD$56,0))/Shipping!$AD$31*CS139/1000000+IF(inland_transport_to_port="hv dc grid",$BM139/100*1000*CV139,IF(inland_transport_to_port="pipeline",$BN139,0)),((F139/24/Shipping!$L$44+F139/24/Shipping!$L$50+Shipping!$L$59+Shipping!$L$64)*(Shipping!$L$22+wacc_nl*Shipping!$L$19/365.25*1000000+Shipping!$L$35)+(F139/24/Shipping!$L$44*Shipping!$L$45+Shipping!$L$64*Shipping!$L$65)*IF(bunker_choice="HFO",$H139,IF(bunker_choice="hydrogen",$BD139*hfo_e_density_lhv/h2_e_density_lhv,(CO139+CQ139)*1000000/CS139*hfo_e_density_lhv/meoh_e_density_lhv))+(F139/24/Shipping!$L$50*Shipping!$L$51+Shipping!$L$59*Shipping!$L$60)*IF(bunker_choice="HFO",bunker_price_ROT,IF(bunker_choice="hydrogen",$BD139*hfo_e_density_lhv/h2_e_density_lhv,(CO139+CQ139)*1000000/CS139*hfo_e_density_lhv/meoh_e_density_lhv))+Shipping!$L$73+IF(G139="Panama",Shipping!$L$55,0)+IF(G139="Suez",Shipping!$L$56,0))/Shipping!$L$31*CS139/1000000+IF(inland_transport_to_port="hv dc grid",$BM139/100*1000*CV139,IF(inland_transport_to_port="pipeline",$BN139,0)))))</f>
        <v>2805.8504238316673</v>
      </c>
      <c r="CU139" s="28">
        <f t="shared" si="214"/>
        <v>74180.206256707635</v>
      </c>
      <c r="CV139" s="29">
        <f>((Carriers!$R$18/Carriers!$R$23*alk_el_e_demand)+meoh_e_demand)*(CS139+meoh_st_ab_losses)/1000000+meoh_st_e_demand*CS139/1000000</f>
        <v>1119.9789871111109</v>
      </c>
      <c r="CW139" s="29">
        <f t="shared" si="187"/>
        <v>0.16206666666666666</v>
      </c>
      <c r="CX139" s="28">
        <f>IFERROR(CU139*1000000/Storage!$K$12,"")</f>
        <v>686.57122203863514</v>
      </c>
      <c r="CY139" s="28">
        <f>IF($E139="","No Port",((F139/24/Shipping!$L$44+F139/24/Shipping!$L$50+Shipping!$L$59+Shipping!$L$64)*Carriers!$R$39*wacc_nl))</f>
        <v>47.734193016487069</v>
      </c>
      <c r="CZ139" s="29">
        <f>H2_retrieval!$J$25*h2_demand_kt/1000+(co2_liq_e_demand+co2_st_e_demand*2)*Storage!$K$12*co2_density/meoh_density/1000000</f>
        <v>251.05079059698966</v>
      </c>
      <c r="DA139" s="28">
        <f>IFERROR((((CO139+CQ139+CT139)*(1+H2_retrieval!$J$34)+CY139)*1000000/H2_retrieval!$J$8)+h2_regen_meoh,"")</f>
        <v>5820.9134945741853</v>
      </c>
      <c r="DB139" s="149">
        <f>(DBT_invest*(M139+1/DBT_lifetime)/DBT_prod+DBT_opex+DBT_e_demand*1000*$AU139/100+Carriers!$T$18/Carriers!$T$23*BD139)*(DD139+DBT_st_ab_losses)/1000000</f>
        <v>37577.809480789219</v>
      </c>
      <c r="DC139" s="28">
        <f>2*(DBT_st_nl_cost*DBT_st_nl_demand/1000000+(DBT_st_invest*(M139+1/DBT_st_lifetime+DBT_st_opex)/(Storage!$M$63/1000000)+DBT_st_e_demand*1000*$AU139/100)*(DD139+DBT_st_ab_losses)/1000000)+Carriers!$T$18/Carriers!$T$23*((DD139+DBT_st_ab_losses)/365.25*short_st_duration_hrs/24)*(h2_short_st_invest*(1/gh2_short_st_lifetime+$M139+h2_short_st_opex)+h2_short_st_e_demand*1000*$AU139/100)/1000000</f>
        <v>3774.873368272255</v>
      </c>
      <c r="DD139" s="63">
        <f>Storage!$M$57/((1-Shipping!$N$37)^($F139/24/Shipping!$N$44+0.5*Shipping!$N$59))</f>
        <v>219354838.70967743</v>
      </c>
      <c r="DE139" s="28">
        <f>IF($E139="","No Port",IF(AND(ship_choice="VLCC",G139="Panama"),"Ship cannot pass through Panama",IF(ship_choice="VLCC",((F139/24/Shipping!$AD$44+F139/24/Shipping!$AD$50+Shipping!$AD$59+Shipping!$AD$64)*(Shipping!$AD$22+wacc_nl*Shipping!$AD$19/365.25*1000000+Shipping!$AD$35)+(F139/24/Shipping!$AD$44*Shipping!$AD$45+Shipping!$AD$64*Shipping!$AD$65)*IF(bunker_choice="HFO",$H139,IF(bunker_choice="hydrogen",$BD139*hfo_e_density_lhv/h2_e_density_lhv,(DB139+DC139)*1000000/DD139*hfo_e_density_lhv/DBT_e_density_lhv))+(F139/24/Shipping!$AD$50*Shipping!$AD$51+Shipping!$AD$59*Shipping!$AD$60)*IF(bunker_choice="HFO",bunker_price_ROT,IF(bunker_choice="hydrogen",$BD139*hfo_e_density_lhv/h2_e_density_lhv,(DB139+DC139)*1000000/DD139*hfo_e_density_lhv/DBT_e_density_lhv))+Shipping!$AD$73+IF(G139="Panama",Shipping!$AD$55,0)+IF(G139="Suez",Shipping!$AD$56,0))/Shipping!$AD$31*DD139/1000000+IF(inland_transport_to_port="hv dc grid",$BM139/100*1000*DG139,IF(inland_transport_to_port="pipeline",$BN139,0)),((F139/24/Shipping!$N$44+F139/24/Shipping!$N$50+Shipping!$N$59+Shipping!$N$64)*(Shipping!$N$22+wacc_nl*Shipping!$N$19/365.25*1000000+Shipping!$N$35)+(F139/24/Shipping!$N$44*Shipping!$N$45+Shipping!$N$64*Shipping!$N$65)*IF(bunker_choice="HFO",$H139,IF(bunker_choice="hydrogen",$BD139*hfo_e_density_lhv/h2_e_density_lhv,(DB139+DC139)*1000000/DD139*hfo_e_density_lhv/DBT_e_density_lhv))+(F139/24/Shipping!$N$50*Shipping!$N$51+Shipping!$N$59*Shipping!$N$60)*IF(bunker_choice="HFO",bunker_price_ROT,IF(bunker_choice="hydrogen",$BD139*hfo_e_density_lhv/h2_e_density_lhv,(DB139+DC139)*1000000/DD139*hfo_e_density_lhv/DBT_e_density_lhv))+Shipping!$N$73+IF(G139="Panama",Shipping!$N$55,0)+IF(G139="Suez",Shipping!$N$56,0))/Shipping!$N$31*Shipping!$N$86/1000000+IF(inland_transport_to_port="hv dc grid",$BM139/100*1000*DG139,IF(inland_transport_to_port="pipeline",$BN139,0)))))</f>
        <v>4740.0449475716341</v>
      </c>
      <c r="DF139" s="28">
        <f t="shared" si="159"/>
        <v>46092.727796633102</v>
      </c>
      <c r="DG139" s="29">
        <f>((Carriers!$T$18/Carriers!$T$23*alk_el_e_demand)+DBT_e_demand)*(DD139+DBT_st_ab_losses)/1000000+DBT_st_e_demand*DD139/1000000</f>
        <v>703.88335483870969</v>
      </c>
      <c r="DH139" s="29">
        <f t="shared" si="188"/>
        <v>0.21935483870967742</v>
      </c>
      <c r="DI139" s="28">
        <f>IFERROR(DF139*1000000/Storage!$M$12,"")</f>
        <v>210.12861201406267</v>
      </c>
      <c r="DJ139" s="28">
        <f>IF($E139="","No Port",((F139/24/Shipping!$N$44+F139/24/Shipping!$N$50+Shipping!$N$59+Shipping!$N$64)*Carriers!$T$39*wacc_nl))</f>
        <v>3476.6381138476004</v>
      </c>
      <c r="DK139" s="100">
        <f>H2_retrieval!$L$25*h2_demand_kt/1000+(co2_liq_e_demand+co2_st_e_demand*2)*Storage!$M$12*co2_density/DBT_density/1000000</f>
        <v>206.61934861671787</v>
      </c>
      <c r="DL139" s="28">
        <f>IFERROR(((DF139*(1+H2_retrieval!$L$34)+DJ139)*1000000/H2_retrieval!$L$8)+h2_regen_lohc,"")</f>
        <v>4115.4560975859049</v>
      </c>
      <c r="DM139" s="149">
        <f t="shared" si="211"/>
        <v>44070.442861320291</v>
      </c>
      <c r="DN139" s="16">
        <f>2*(nabh4_st_nl_cost*nabh4_st_nl_demand/1000000+(nabh4_st_invest*(M139+1/nabh4_st_lifetime+nabh4_st_opex)/(Storage!$O$63/1000000)+nabh4_st_e_demand*1000*$AU139/100)*(DO139+nabh4_st_ab_losses)/1000000)+(h2_demand_kt*1000/365.25*short_st_duration_hrs/24)*(h2_short_st_invest*(1/gh2_short_st_lifetime+$M139+h2_short_st_opex)+h2_short_st_e_demand*1000*$AU139/100)/1000000</f>
        <v>1268.5625737147807</v>
      </c>
      <c r="DO139" s="63">
        <f>Storage!$O$57/((1-Shipping!$P$37)^($F139/24/Shipping!$P$44+0.5*Shipping!$P$59))</f>
        <v>63920000</v>
      </c>
      <c r="DP139" s="16">
        <f>IF($E139="","No Port",((F139/24/Shipping!$P$44+F139/24/Shipping!$P$50+Shipping!$P$59+Shipping!$P$64)*(Shipping!$P$22+wacc_nl*Shipping!$P$19/365.25*1000000+Shipping!$P$35)+(F139/24/Shipping!$P$44*Shipping!$P$45+Shipping!$P$64*Shipping!$P$65)*IF(bunker_choice="HFO",$H139,IF(bunker_choice="hydrogen",$BD139*hfo_e_density_lhv/h2_e_density_lhv,(DM139+DN139)*1000000/DO139*hfo_e_density_lhv/nabh4_e_density_lhv))+(F139/24/Shipping!$P$50*Shipping!$P$51+Shipping!$P$59*Shipping!$P$60)*IF(bunker_choice="HFO",bunker_price_ROT,IF(bunker_choice="hydrogen",$BD139*hfo_e_density_lhv/h2_e_density_lhv,(DM139+DN139)*1000000/DO139*hfo_e_density_lhv/nabh4_e_density_lhv))+Shipping!$P$73+IF(G139="Panama",Shipping!$P$55,0)+IF(G139="Suez",Shipping!$P$56,0))/Shipping!$P$31*(DO139+nabh4_st_ab_losses)/1000000+IF(inland_transport_to_port="hv dc grid",$BM139/100*1000*DR139,IF(inland_transport_to_port="pipeline",$BN139,0)))</f>
        <v>1634.2779943089895</v>
      </c>
      <c r="DQ139" s="28">
        <f t="shared" si="146"/>
        <v>46973.283429344061</v>
      </c>
      <c r="DR139" s="29">
        <f>((Carriers!$V$18/Carriers!$V$23*alk_el_e_demand)+nabh4_e_demand)*(DO139+nabh4_st_ab_losses)/1000000+nabh4_st_e_demand*DO139/1000000</f>
        <v>980.02139682539689</v>
      </c>
      <c r="DS139" s="28">
        <f t="shared" si="189"/>
        <v>3.1960000000000002</v>
      </c>
      <c r="DT139" s="28">
        <f>IFERROR(DQ139*1000000/Storage!$O$12,"")</f>
        <v>734.87614876946282</v>
      </c>
      <c r="DU139" s="28">
        <f>IF($E139="","No Port",((F139/24/Shipping!$P$44+F139/24/Shipping!$P$50+Shipping!$P$59+Shipping!$P$64)*Carriers!$V$39*wacc_nl))</f>
        <v>333.64063679563941</v>
      </c>
      <c r="DV139" s="100">
        <f>H2_retrieval!$N$25*h2_demand_kt/1000+(co2_liq_e_demand+co2_st_e_demand*2)*Storage!$O$12*co2_density/nabh4_density/1000000</f>
        <v>18.783638728971958</v>
      </c>
      <c r="DW139" s="28">
        <f>IFERROR(((DQ139*(1+H2_retrieval!$N$34)+DU139)*1000000/H2_retrieval!$N$8)+h2_regen_nabh4,"")</f>
        <v>3554.4028674158285</v>
      </c>
      <c r="DX139" s="149">
        <f>(Dme_invest*(M139+1/Dme_lifetime)/Dme_prod+Dme_opex+Dme_e_demand*1000*$AU139/100+Carriers!$X$21/Carriers!$X$23*(CO139*1000000/CS139))*(EB139+Dme_st_ab_losses)/1000000</f>
        <v>78479.179265159531</v>
      </c>
      <c r="DY139" s="86">
        <f>(Dme_invest*(M139+1/Dme_lifetime)/Dme_prod+Dme_opex+Dme_e_demand*1000*$AU139/100+Carriers!$X$21/Carriers!$X$23*(CP139*1000000/CS139))*(EB139+Dme_st_ab_losses)/1000000</f>
        <v>97084.311881553251</v>
      </c>
      <c r="DZ139" s="63">
        <f>Dme_st_nl_cost*Dme_st_nl_demand/1000000+(Dme_st_invest*(M139+1/Dme_st_lifetime+Dme_st_opex)/(Storage!$Q$63/1000000)+Dme_st_e_demand*1000*$AU139/100)*(EB139+Dme_st_ab_losses)/1000000+co2_st_nl_cost*Storage!$Q$12*co2_density/Dme_density/1000000+(co2_st_opex_lev+co2_st_invest_lev+co2_st_e_demand*1000*$AU139/100)*Storage!$Q$12/1000000+co2_st_invest_lev*Storage!$Q$12*co2_st_lifetime*M139/1000000+(h2_demand_kt*1000/365.25*short_st_duration_hrs/24)*(h2_short_st_invest*(1/gh2_short_st_lifetime+$M139+h2_short_st_opex)+h2_short_st_e_demand*1000*$AU139/100)/1000000</f>
        <v>5489.5673523540272</v>
      </c>
      <c r="EA139" s="63">
        <f>Dme_st_nl_cost*Dme_st_nl_demand/1000000+(Dme_st_invest*(M139+1/Dme_st_lifetime+Dme_st_opex)/(Storage!$Q$63/1000000)+Dme_st_e_demand*1000*$AU139/100)*(EB139+Dme_st_ab_losses)/1000000+(h2_demand_kt*1000/365.25*short_st_duration_hrs/24)*(h2_short_st_invest*(1/gh2_short_st_lifetime+$M139+h2_short_st_opex)+h2_short_st_e_demand*1000*$AU139/100)/1000000</f>
        <v>2739.9598347148558</v>
      </c>
      <c r="EB139" s="63">
        <f>Storage!$Q$57/((1-Shipping!$R$37)^($F139/24/Shipping!$R$44+0.5*Shipping!$R$59))</f>
        <v>103547089.94708996</v>
      </c>
      <c r="EC139" s="153">
        <f>IF($E139="","No Port",IF(AND(ship_choice="VLCC",G139="Panama"),"Ship cannot pass through Panama",IF(ship_choice="VLCC",((F139/24/Shipping!$AD$44+F139/24/Shipping!$AD$50+Shipping!$AD$59+Shipping!$AD$64)*(Shipping!$AD$22+wacc_nl*Shipping!$AD$19/365.25*1000000+Shipping!$AD$35)+(F139/24/Shipping!$AD$44*Shipping!$AD$45+Shipping!$AD$64*Shipping!$AD$65)*IF(bunker_choice="HFO",$H139,IF(bunker_choice="hydrogen",$BD139*hfo_e_density_lhv/h2_e_density_lhv,(DX139+DZ139)*1000000/EB139*hfo_e_density_lhv/Dme_e_density_lhv))+(F139/24/Shipping!$AD$50*Shipping!$AD$51+Shipping!$AD$59*Shipping!$AD$60)*IF(bunker_choice="HFO",bunker_price_ROT,IF(bunker_choice="hydrogen",$BD139*hfo_e_density_lhv/h2_e_density_lhv,(DX139+DZ139)*1000000/EB139*hfo_e_density_lhv/Dme_e_density_lhv))+Shipping!$AD$73+IF(G139="Panama",Shipping!$AD$55,0)+IF(G139="Suez",Shipping!$AD$56,0))/Shipping!$AD$31*(EB139+Dme_st_ab_losses)/1000000+IF(inland_transport_to_port="hv dc grid",$BM139/100*1000*EE139,IF(inland_transport_to_port="pipeline",$BN139,0)),((F139/24/Shipping!$R$44+F139/24/Shipping!$R$50+Shipping!$R$59+Shipping!$R$64)*(Shipping!$R$22+wacc_nl*Shipping!$R$19/365.25*1000000+Shipping!$R$35)+(F139/24/Shipping!$R$44*Shipping!$R$45+Shipping!$R$64*Shipping!$R$65)*IF(bunker_choice="HFO",$H139,IF(bunker_choice="hydrogen",$BD139*hfo_e_density_lhv/h2_e_density_lhv,(DX139+DZ139)*1000000/EB139*hfo_e_density_lhv/Dme_e_density_lhv))+(F139/24/Shipping!$R$50*Shipping!$R$51+Shipping!$R$59*Shipping!$R$60)*IF(bunker_choice="HFO",bunker_price_ROT,IF(bunker_choice="hydrogen",$BD139*hfo_e_density_lhv/h2_e_density_lhv,(DX139+DZ139)*1000000/EB139*hfo_e_density_lhv/Dme_e_density_lhv))+Shipping!$R$73+IF(G139="Panama",Shipping!$R$55,0)+IF(G139="Suez",Shipping!$R$56,0))/Shipping!$R$31*(EB139+Dme_st_ab_losses)/1000000+IF(inland_transport_to_port="hv dc grid",$BM139/100*1000*EE139,IF(inland_transport_to_port="pipeline",$BN139,0)))))</f>
        <v>2877.7773944866303</v>
      </c>
      <c r="ED139" s="28">
        <f t="shared" si="215"/>
        <v>102702.04911075474</v>
      </c>
      <c r="EE139" s="29">
        <f>(Dme_e_demand)*(EB139+Dme_st_ab_losses)/1000000+Dme_st_e_demand*DZ139/1000000+$CV139*(Carriers!$X$21/Carriers!$X$23*EB139)/$CS139</f>
        <v>1550.2168150627294</v>
      </c>
      <c r="EF139" s="29">
        <f t="shared" si="190"/>
        <v>1.0354708994708997</v>
      </c>
      <c r="EG139" s="28">
        <f>IFERROR(ED139*1000000/Storage!$Q$12,"")</f>
        <v>991.83906726140731</v>
      </c>
      <c r="EH139" s="28">
        <f>IF($E139="","No Port",((F139/24/Shipping!$R$44+F139/24/Shipping!$R$50+Shipping!$R$59+Shipping!$R$64)*Carriers!$X$39*wacc_nl))</f>
        <v>48.821579436147474</v>
      </c>
      <c r="EI139" s="100">
        <f>H2_retrieval!$P$25*h2_demand_kt/1000+(co2_liq_e_demand+co2_st_e_demand*2)*Storage!$Q$12*co2_density/Dme_density/1000000</f>
        <v>252.45335899349112</v>
      </c>
      <c r="EJ139" s="28">
        <f>IFERROR((((DX139+DZ139+EC139)*(1+H2_retrieval!$P$34)+EH139)*1000000/H2_retrieval!$P$8)+h2_regen_dme,"")</f>
        <v>7559.492189625259</v>
      </c>
      <c r="EK139" s="149">
        <f>(ome_invest*(M139+1/ome_lifetime)/ome_prod+ome_opex+ome_e_demand*1000*$AU139/100+Carriers!$Z$21/Carriers!$Z$23*(CO139*1000000/CS139))*(EO139+ome_st_ab_losses)/1000000</f>
        <v>170531.853710553</v>
      </c>
      <c r="EL139" s="86">
        <f>(ome_invest*(M139+1/ome_lifetime)/ome_prod+ome_opex+ome_e_demand*1000*$AU139/100+Carriers!$Z$21/Carriers!$Z$23*(CP139*1000000/CS139))*(EO139+ome_st_ab_losses)/1000000</f>
        <v>209587.64880391484</v>
      </c>
      <c r="EM139" s="63">
        <f>ome_st_nl_cost*ome_st_nl_demand/1000000+(ome_st_invest*(M139+1/ome_st_lifetime+ome_st_opex)/(Storage!$S$63/1000000)+ome_st_e_demand*1000*$AU139/100)*(EO139+ome_st_ab_losses)/1000000+co2_st_nl_cost*Storage!$S$12*co2_density/ome_density/1000000+(co2_st_opex_lev+co2_st_invest_lev+co2_st_e_demand*1000*$AU139/100)*Storage!$S$12/1000000+co2_st_invest_lev*Storage!$S$12*co2_st_lifetime*M139/1000000+(h2_demand_kt*1000/365.25*short_st_duration_hrs/24)*(h2_short_st_invest*(1/gh2_short_st_lifetime+$M139+h2_short_st_opex)+h2_short_st_e_demand*1000*$AU139/100)/1000000</f>
        <v>4700.5221657298043</v>
      </c>
      <c r="EN139" s="63">
        <f>ome_st_nl_cost*ome_st_nl_demand/1000000+(ome_st_invest*(M139+1/ome_st_lifetime+ome_st_opex)/(Storage!$S$63/1000000)+ome_st_e_demand*1000*$AU139/100)*(EO139+ome_st_ab_losses)/1000000+(h2_demand_kt*1000/365.25*short_st_duration_hrs/24)*(h2_short_st_invest*(1/gh2_short_st_lifetime+$M139+h2_short_st_opex)+h2_short_st_e_demand*1000*$AU139/100)/1000000</f>
        <v>1633.0530322799509</v>
      </c>
      <c r="EO139" s="63">
        <f>Storage!$S$57/((1-Shipping!$T$37)^($F139/24/Shipping!$T$44+0.5*Shipping!$T$59))</f>
        <v>128282539.68253967</v>
      </c>
      <c r="EP139" s="28">
        <f>IF($E139="","No Port",IF(AND(ship_choice="VLCC",G139="Panama"),"Ship cannot pass through Panama",IF(ship_choice="VLCC",((F139/24/Shipping!$AD$44+F139/24/Shipping!$AD$50+Shipping!$AD$59+Shipping!$AD$64)*(Shipping!$AD$22+wacc_nl*Shipping!$AD$19/365.25*1000000+Shipping!$AD$35)+(F139/24/Shipping!$AD$44*Shipping!$AD$45+Shipping!$AD$64*Shipping!$AD$65)*IF(bunker_choice="HFO",$H139,IF(bunker_choice="hydrogen",$BD139*hfo_e_density_lhv/h2_e_density_lhv,(EK139+EM139)*1000000/EO139*hfo_e_density_lhv/Dme_e_density_lhv))+(F139/24/Shipping!$AD$50*Shipping!$AD$51+Shipping!$AD$59*Shipping!$AD$60)*IF(bunker_choice="HFO",bunker_price_ROT,IF(bunker_choice="hydrogen",$BD139*hfo_e_density_lhv/h2_e_density_lhv,(EK139+EM139)*1000000/EO139*hfo_e_density_lhv/ome_e_density_lhv))+Shipping!$AD$73+IF(G139="Panama",Shipping!$AD$55,0)+IF(G139="Suez",Shipping!$AD$56,0))/Shipping!$AD$31*(EO139+ome_st_ab_losses)/1000000+IF(inland_transport_to_port="hv dc grid",$BM139/100*1000*ER139,IF(inland_transport_to_port="pipeline",$BN139,0)),((F139/24/Shipping!$T$44+F139/24/Shipping!$T$50+Shipping!$T$59+Shipping!$T$64)*(Shipping!$T$22+wacc_nl*Shipping!$T$19/365.25*1000000+Shipping!$T$35)+(F139/24/Shipping!$T$44*Shipping!$T$45+Shipping!$T$64*Shipping!$T$65)*IF(bunker_choice="HFO",$H139,IF(bunker_choice="hydrogen",$BD139*hfo_e_density_lhv/h2_e_density_lhv,(EK139+EM139)*1000000/EO139*hfo_e_density_lhv/Dme_e_density_lhv))+(F139/24/Shipping!$T$50*Shipping!$T$51+Shipping!$T$59*Shipping!$T$60)*IF(bunker_choice="HFO",bunker_price_ROT,IF(bunker_choice="hydrogen",$BD139*hfo_e_density_lhv/h2_e_density_lhv,(EK139+EM139)*1000000/EO139*hfo_e_density_lhv/ome_e_density_lhv))+Shipping!$T$73+IF(G139="Panama",Shipping!$T$55,0)+IF(G139="Suez",Shipping!$T$56,0))/Shipping!$T$31*(EO139+ome_st_ab_losses)/1000000+IF(inland_transport_to_port="hv dc grid",$BM139/100*1000*ER139,IF(inland_transport_to_port="pipeline",$BN139,0)))))</f>
        <v>3067.6531990860335</v>
      </c>
      <c r="EQ139" s="28">
        <f t="shared" si="216"/>
        <v>214288.35503528081</v>
      </c>
      <c r="ER139" s="29">
        <f>(ome_e_demand)*(EO139+ome_st_ab_losses)/1000000+ome_st_e_demand*EM139/1000000+$CV139*(Carriers!$Z$21/Carriers!$Z$23*EO139)/$CS139</f>
        <v>3352.0814571915666</v>
      </c>
      <c r="ES139" s="29">
        <f t="shared" si="191"/>
        <v>0.1924238095238095</v>
      </c>
      <c r="ET139" s="28">
        <f>IFERROR(EQ139*1000000/Storage!$S$12,"")</f>
        <v>1670.4405413673553</v>
      </c>
      <c r="EU139" s="28">
        <f>IF($E139="","No Port",((F139/24/Shipping!$T$44+F139/24/Shipping!$T$50+Shipping!$T$59+Shipping!$T$64)*Carriers!$Z$39*wacc_nl))</f>
        <v>56.675412987107769</v>
      </c>
      <c r="EV139" s="100">
        <f>H2_retrieval!$R$25*h2_demand_kt/1000+(co2_liq_e_demand+co2_st_e_demand*2)*Storage!$S$12*co2_density/ome_density/1000000</f>
        <v>254.51942895252085</v>
      </c>
      <c r="EW139" s="28">
        <f>IFERROR((((EK139+EM139+EP139)*(1+H2_retrieval!$R$34)+EU139)*1000000/H2_retrieval!$R$8)+h2_regen_ome,"")</f>
        <v>14284.592108516405</v>
      </c>
      <c r="EX139" s="149">
        <f>(sng_invest*(M139+1/sng_lifetime)/sng_prod+lng_invest*(M139+1/lng_lifetime)/lng_prod+sng_opex+lng_opex+(sng_e_demand+lng_e_demand)*1000*$AU139/100+Carriers!$AB$18/Carriers!$AB$23*BD139+Carriers!$AB$20/Carriers!$AB$23*co2_liq_cost)*(FB139+lng_st_ab_losses)/1000000</f>
        <v>60252.281535907445</v>
      </c>
      <c r="EY139" s="86">
        <f>(sng_invest*(M139+1/sng_lifetime)/sng_prod+lng_invest*(M139+1/lng_lifetime)/lng_prod+sng_opex+lng_opex+(sng_e_demand+lng_e_demand)*1000*$AU139/100+Carriers!$AB$18/Carriers!$AB$23*BD139+Carriers!$AB$20/Carriers!$AB$23*BP139)*(FB139+lng_st_ab_losses)/1000000</f>
        <v>70463.391468376125</v>
      </c>
      <c r="EZ139" s="63">
        <f>lng_st_nl_cost*lng_st_nl_demand/1000000+(lng_st_invest*(M139+1/lng_st_lifetime+lng_st_opex)/(Storage!$U$63/1000000)+lng_st_e_demand*1000*$AU139/100)*(FB139+lng_st_ab_losses)/1000000+co2_st_nl_cost*Storage!$U$12*co2_density/lng_density/1000000+(co2_st_opex_lev+co2_st_invest_lev+co2_st_e_demand*1000*$AU139/100)*Storage!$U$12/1000000+co2_st_invest_lev*Storage!$U$12*co2_st_lifetime*M139/1000000+Carriers!$AB$18/Carriers!$AB$23*((FB139+lng_st_ab_losses)/365.25*short_st_duration_hrs/24)*(h2_short_st_invest*(1/gh2_short_st_lifetime+$M139+h2_short_st_opex)+h2_short_st_e_demand*1000*$AU139/100)/1000000+Carriers!$AB$20/Carriers!$AB$23*((FB139+lng_st_ab_losses)/365.25*short_st_duration_hrs/24)*(co2_short_st_invest*(1/co2_short_st_lifetime+$M139+co2_short_st_opex)+co2_short_st_e_demand*1000*$AU139/100)/1000000</f>
        <v>5789.8591099657524</v>
      </c>
      <c r="FA139" s="63">
        <f>lng_st_nl_cost*lng_st_nl_demand/1000000+(lng_st_invest*(M139+1/lng_st_lifetime+lng_st_opex)/(Storage!$U$63/1000000)+lng_st_e_demand*1000*$AU139/100)*(FB139+lng_st_ab_losses)/1000000+Carriers!$AB$18/Carriers!$AB$23*((FB139+lng_st_ab_losses)/365.25*short_st_duration_hrs/24)*(h2_short_st_invest*(1/gh2_short_st_lifetime+$M139+h2_short_st_opex)+h2_short_st_e_demand*1000*$AU139/100)/1000000+Carriers!$AB$20/Carriers!$AB$23*((FB139+lng_st_ab_losses)/365.25*short_st_duration_hrs/24)*(co2_short_st_invest*(1/co2_short_st_lifetime+$M139+co2_short_st_opex)+co2_short_st_e_demand*1000*$AU139/100)/1000000</f>
        <v>4274.4927658092756</v>
      </c>
      <c r="FB139" s="63">
        <f>Storage!$U$57/((1-Shipping!$V$37)^($F139/24/Shipping!$V$44+0.5*Shipping!$V$59))</f>
        <v>40990423.168341316</v>
      </c>
      <c r="FC139" s="28">
        <f>IF($E139="","No Port",IF(G139="Panama","Ship cannot pass through Panama",((F139/24/Shipping!$V$44+F139/24/Shipping!$V$50+Shipping!$V$59+Shipping!$V$64)*(Shipping!$V$22+wacc_nl*Shipping!$V$19/365.25*1000000+Shipping!$V$35)+(F139/24/Shipping!$V$44*Shipping!$V$45+Shipping!$V$64*Shipping!$V$65)*IF(bunker_choice="HFO",$H139,IF(bunker_choice="hydrogen",$BD139*hfo_e_density_lhv/h2_e_density_lhv,(EX139+EZ139)*1000000/FB139*hfo_e_density_lhv/lng_e_density_lhv))+(F139/24/Shipping!$V$50*Shipping!$V$51+Shipping!$V$59*Shipping!$V$60)*IF(bunker_choice="HFO",bunker_price_ROT,IF(bunker_choice="hydrogen",$BD139*hfo_e_density_lhv/h2_e_density_lhv,(EX139+EZ139)*1000000/FB139*hfo_e_density_lhv/lng_e_density_lhv))+Shipping!$V$73+IF(G139="Panama",Shipping!$V$55,0)+IF(G139="Suez",Shipping!$V$56,0))/Shipping!$V$31*(FB139+lng_st_ab_losses)/1000000)+IF(inland_transport_to_port="hv dc grid",$BM139/100*1000*FE139,IF(inland_transport_to_port="pipeline",$BN139,0)))</f>
        <v>1431.0873021478897</v>
      </c>
      <c r="FD139" s="28">
        <f t="shared" si="217"/>
        <v>76168.971536333294</v>
      </c>
      <c r="FE139" s="29">
        <f>((Carriers!$AB$18/Carriers!$AB$23*alk_el_e_demand)+sng_e_demand+lng_e_demand)*(FB139+lng_st_ab_losses)/1000000+lng_st_e_demand*EZ139/1000000</f>
        <v>1099.3382402756113</v>
      </c>
      <c r="FF139" s="29">
        <f t="shared" si="192"/>
        <v>0.8126185861001558</v>
      </c>
      <c r="FG139" s="28">
        <f>IFERROR(FD139*1000000/Storage!$U$12,"")</f>
        <v>1876.8168049080873</v>
      </c>
      <c r="FH139" s="28">
        <f>IF($E139="","No Port",((F139/24/Shipping!$V$44+F139/24/Shipping!$V$50+Shipping!$V$59+Shipping!$V$64)*Carriers!$AB$39*wacc_nl))</f>
        <v>17.003385913616626</v>
      </c>
      <c r="FI139" s="100">
        <f>H2_retrieval!$T$25*h2_demand_kt/1000+(co2_liq_e_demand+co2_st_e_demand*2)*Storage!$U$12*co2_density/lng_density/1000000</f>
        <v>236.51371749646054</v>
      </c>
      <c r="FJ139" s="28">
        <f>IFERROR((((EX139+EZ139+FC139)*(1+H2_retrieval!$T$34)+FH139)*1000000/H2_retrieval!$T$8)+h2_regen_lng,"")</f>
        <v>6132.6455530442554</v>
      </c>
      <c r="FK139" s="149">
        <f>(lh2_invest*(M139+1/lh2_lifetime)/lh2_prod+lh2_opex+lh2_e_demand*1000*$AU139/100+Carriers!$AD$18/Carriers!$AD$23*BD139)*(FM139+lh2_st_ab_losses)/1000000</f>
        <v>46620.753697432221</v>
      </c>
      <c r="FL139" s="28">
        <f>lh2_st_nl_cost*lh2_st_nl_demand/1000000+(lh2_st_invest*(M139+1/lh2_st_lifetime+lh2_st_opex)/(Storage!$Y$63/1000000)+lh2_st_e_demand*1000*$AU139/100)*(FM139+lh2_st_ab_losses)/1000000+((FM139+lh2_st_ab_losses)/365.25*short_st_duration_hrs/24)*(h2_short_st_invest*(1/gh2_short_st_lifetime+$M139+h2_short_st_opex)+h2_short_st_e_demand*1000*$AU139/100)/1000000</f>
        <v>50078.351612403982</v>
      </c>
      <c r="FM139" s="63">
        <f>Storage!$Y$57/((1-Shipping!$Z$37)^($F139/24/Shipping!$Z$44+0.5*Shipping!$Z$59))</f>
        <v>13812406.093353286</v>
      </c>
      <c r="FN139" s="28">
        <f>IF($E139="","No Port",IF(G139="Panama","Ship cannot pass through Panama",((F139/24/Shipping!$Z$44+F139/24/Shipping!$Z$50+Shipping!$Z$59+Shipping!$Z$64)*(Shipping!$Z$22+wacc_nl*Shipping!$Z$19/365.25*1000000+Shipping!$Z$35)+(F139/24/Shipping!$Z$44*Shipping!$Z$45+Shipping!$Z$64*Shipping!$Z$65)*IF(bunker_choice="HFO",$H139,IF(bunker_choice="hydrogen",$BD139*hfo_e_density_lhv/h2_e_density_lhv,(FK139+FL139)*1000000/FM139*hfo_e_density_lhv/lh2_e_density_lhv))+(F139/24/Shipping!$Z$50*Shipping!$Z$51+Shipping!$Z$59*Shipping!$Z$60)*IF(bunker_choice="HFO",bunker_price_ROT,IF(bunker_choice="hydrogen",$BD139*hfo_e_density_lhv/h2_e_density_lhv,(FK139+FL139)*1000000/FM139*hfo_e_density_lhv/lh2_e_density_lhv))+Shipping!$Z$73+IF(G139="Panama",Shipping!$Z$55,0)+IF(G139="Suez",Shipping!$Z$56,0))/Shipping!$Z$31*(FM139+lh2_st_ab_losses)/1000000)+IF(inland_transport_to_port="hv dc grid",$BM139/100*1000*FP139,IF(inland_transport_to_port="pipeline",$BN139,0)))</f>
        <v>2160.6996018753844</v>
      </c>
      <c r="FO139" s="28">
        <f t="shared" si="200"/>
        <v>98859.804911711588</v>
      </c>
      <c r="FP139" s="29">
        <f>((Carriers!$AD$18/Carriers!$AD$23*alk_el_e_demand)+lh2_e_demand)*(FM139+lh2_st_ab_losses)/1000000+lh2_st_e_demand*FM139/1000000</f>
        <v>800.42299377235838</v>
      </c>
      <c r="FQ139" s="100">
        <f t="shared" si="193"/>
        <v>1.361902463475859</v>
      </c>
      <c r="FR139" s="28">
        <f>IFERROR(FO139*1000000/Storage!$Y$12,"")</f>
        <v>7269.103302331735</v>
      </c>
      <c r="FS139" s="100">
        <f>H2_retrieval!$V$25*h2_demand_kt/1000</f>
        <v>8.16</v>
      </c>
      <c r="FT139" s="28">
        <f>IFERROR(FR139*(1+H2_retrieval!$V$34)/Carrier_properties!$U$7+H2_retrieval!$V$38,"")</f>
        <v>7301.0720282002021</v>
      </c>
      <c r="FU139" s="12"/>
      <c r="FV139" s="24">
        <f t="shared" si="201"/>
        <v>2.1281263021604739</v>
      </c>
      <c r="FW139" s="24" t="str">
        <f t="shared" si="143"/>
        <v/>
      </c>
      <c r="FX139" s="24">
        <f t="shared" si="144"/>
        <v>6.9656422753984408</v>
      </c>
      <c r="FY139" s="24">
        <f t="shared" si="202"/>
        <v>2.1281263021604739</v>
      </c>
      <c r="FZ139" s="28">
        <f t="shared" si="145"/>
        <v>2545.7848710655826</v>
      </c>
      <c r="GA139" s="28">
        <f t="shared" si="218"/>
        <v>577.12773153483886</v>
      </c>
      <c r="GB139" s="28">
        <f t="shared" si="219"/>
        <v>365.81292150589519</v>
      </c>
      <c r="GC139" s="28">
        <f t="shared" si="220"/>
        <v>643.95152482479216</v>
      </c>
      <c r="GD139" s="28">
        <f t="shared" si="221"/>
        <v>937.58609663642869</v>
      </c>
      <c r="GE139" s="28">
        <f t="shared" si="222"/>
        <v>1633.7971583863291</v>
      </c>
      <c r="GF139" s="28">
        <f t="shared" si="223"/>
        <v>1719.0208351593224</v>
      </c>
      <c r="GG139" s="12"/>
      <c r="GH139" s="12"/>
      <c r="GI139" s="12"/>
      <c r="GJ139" s="12"/>
      <c r="GK139" s="12"/>
      <c r="GL139" s="12"/>
      <c r="GM139" s="12"/>
      <c r="GN139" s="12"/>
      <c r="GO139" s="12"/>
      <c r="GP139" s="12"/>
      <c r="GQ139" s="12"/>
      <c r="GR139" s="12"/>
      <c r="GS139" s="12"/>
      <c r="GT139" s="12"/>
      <c r="GU139" s="12"/>
      <c r="GV139" s="12"/>
      <c r="GW139" s="12"/>
      <c r="GX139" s="12"/>
      <c r="GY139" s="12"/>
      <c r="GZ139" s="12"/>
      <c r="HA139" s="12"/>
      <c r="HB139" s="12"/>
      <c r="HC139" s="12"/>
      <c r="HD139" s="12"/>
      <c r="HE139" s="12"/>
      <c r="HF139" s="12"/>
    </row>
    <row r="140" spans="1:214" x14ac:dyDescent="0.2">
      <c r="A140" s="154" t="s">
        <v>284</v>
      </c>
      <c r="B140" s="12">
        <v>2724</v>
      </c>
      <c r="C140" s="12">
        <v>1</v>
      </c>
      <c r="D140" s="12">
        <f t="shared" si="194"/>
        <v>0</v>
      </c>
      <c r="E140" s="12" t="s">
        <v>798</v>
      </c>
      <c r="F140" s="12">
        <v>3146</v>
      </c>
      <c r="G140" s="12"/>
      <c r="H140" s="16">
        <f t="shared" si="203"/>
        <v>382.75862068965517</v>
      </c>
      <c r="I140" s="16">
        <v>769630</v>
      </c>
      <c r="J140" s="16">
        <f t="shared" si="195"/>
        <v>494.95538960964029</v>
      </c>
      <c r="K140" s="16">
        <f t="shared" si="196"/>
        <v>593.94646753156837</v>
      </c>
      <c r="L140" s="103">
        <v>0.08</v>
      </c>
      <c r="M140" s="103">
        <f t="shared" si="204"/>
        <v>9.8002902367341937E-2</v>
      </c>
      <c r="N140" s="122">
        <f t="shared" si="197"/>
        <v>0.9</v>
      </c>
      <c r="O140" s="46">
        <f t="shared" si="205"/>
        <v>40</v>
      </c>
      <c r="P140" s="70">
        <f t="array" ref="P140">SUMPRODUCT(IF(Solar_data!A$4:A$777=A140,Solar_data!C$4:C$777),IF(Solar_data!A$4:A$777=A140,Solar_data!I$4:I$777))/SUMIF(Solar_data!A$4:A$777,A140,Solar_data!I$4:I$777)</f>
        <v>1905.8696789788469</v>
      </c>
      <c r="Q140" s="16">
        <f t="array" ref="Q140">MAX(IF(Solar_data!$A$777:'Solar_data'!$A$4=Country_details!$A140,Solar_data!$C$4:'Solar_data'!$C$777))</f>
        <v>2098.75</v>
      </c>
      <c r="R140" s="16">
        <f t="array" ref="R140">MIN(IF(Solar_data!$A$777:'Solar_data'!$A$4=Country_details!A140,Solar_data!$C$4:'Solar_data'!$C$777))</f>
        <v>1368.75</v>
      </c>
      <c r="S140" s="24">
        <f t="shared" si="176"/>
        <v>1.9791905884116219</v>
      </c>
      <c r="T140" s="24">
        <f t="shared" si="177"/>
        <v>1.7972980733169805</v>
      </c>
      <c r="U140" s="24">
        <f t="shared" si="178"/>
        <v>2.7558570457527036</v>
      </c>
      <c r="V140" s="16">
        <f t="array" ref="V140">SUM(IF(Solar_data!$A$777:'Solar_data'!$A$4=Country_details!$A140,Solar_data!$I$4:'Solar_data'!$I$777))</f>
        <v>5962.3959117772647</v>
      </c>
      <c r="W140" s="148"/>
      <c r="X140" s="16" t="str">
        <f>IFERROR(INDEX(Onshore_wind_data!$J$5:'Onshore_wind_data'!$J$221,MATCH(A140,Onshore_wind_data!$B$5:'Onshore_wind_data'!$B$221,0)),"")</f>
        <v/>
      </c>
      <c r="Y140" s="16" t="str">
        <f>IFERROR(INDEX(Onshore_wind_data!$K$5:'Onshore_wind_data'!$K$221,MATCH(A140,Onshore_wind_data!$B$5:'Onshore_wind_data'!$B$221,0)),"")</f>
        <v/>
      </c>
      <c r="Z140" s="16" t="str">
        <f>IFERROR(INDEX(Onshore_wind_data!$L$5:'Onshore_wind_data'!$L$221,MATCH(A140,Onshore_wind_data!$B$5:'Onshore_wind_data'!$B$221,0)),"")</f>
        <v/>
      </c>
      <c r="AA140" s="24" t="str">
        <f t="shared" si="206"/>
        <v/>
      </c>
      <c r="AB140" s="24" t="str">
        <f t="shared" si="207"/>
        <v/>
      </c>
      <c r="AC140" s="24" t="str">
        <f t="shared" si="208"/>
        <v/>
      </c>
      <c r="AD140" s="16">
        <f>IFERROR(INDEX(Onshore_wind_data!$I$5:'Onshore_wind_data'!$I$221,MATCH(A140,Onshore_wind_data!$B$5:'Onshore_wind_data'!$B$221,0)),"")</f>
        <v>0</v>
      </c>
      <c r="AE140" s="148"/>
      <c r="AF140" s="16">
        <f>INDEX(Offshore_wind_data!$AA$7:$AA$192,MATCH(Country_details!A140,Offshore_wind_data!$A$7:$A$192,0))</f>
        <v>4056.1928571428566</v>
      </c>
      <c r="AG140" s="16">
        <f>INDEX(Offshore_wind_data!$Y$7:$Y$192,MATCH(Country_details!A140,Offshore_wind_data!$A$7:$A$192,0))</f>
        <v>4204.8</v>
      </c>
      <c r="AH140" s="16">
        <f>INDEX(Offshore_wind_data!$Z$7:$Z$192,MATCH(Country_details!A140,Offshore_wind_data!$A$7:$A$192,0))</f>
        <v>3504</v>
      </c>
      <c r="AI140" s="24">
        <f t="shared" si="179"/>
        <v>5.7986410310863334</v>
      </c>
      <c r="AJ140" s="24">
        <f t="shared" si="180"/>
        <v>5.5937039410739802</v>
      </c>
      <c r="AK140" s="24">
        <f t="shared" si="181"/>
        <v>6.7124447292887757</v>
      </c>
      <c r="AL140" s="16">
        <f>INDEX(Offshore_wind_data!$W$7:$W$191,MATCH(A140,Offshore_wind_data!$A$7:$A$191,0))</f>
        <v>18.171744</v>
      </c>
      <c r="AM140" s="148"/>
      <c r="AN140" s="12">
        <v>80.8</v>
      </c>
      <c r="AO140" s="12">
        <v>95.6</v>
      </c>
      <c r="AP140" s="34">
        <f>1.528*11.63</f>
        <v>17.77064</v>
      </c>
      <c r="AQ140" s="15">
        <f t="shared" si="182"/>
        <v>50</v>
      </c>
      <c r="AR140" s="12">
        <f>AQ140*AO140</f>
        <v>4780</v>
      </c>
      <c r="AS140" s="16">
        <f t="shared" si="198"/>
        <v>1200.5676557772649</v>
      </c>
      <c r="AT140" s="12"/>
      <c r="AU140" s="24">
        <f t="shared" si="183"/>
        <v>1.9791905884116219</v>
      </c>
      <c r="AV140" s="16">
        <f t="shared" si="184"/>
        <v>1905.8696789788469</v>
      </c>
      <c r="AW140" s="149">
        <f>HV_DC_Grid!$E$3/(1-AX140)*AU140/100*1000</f>
        <v>2117.5920337793596</v>
      </c>
      <c r="AX140" s="31">
        <f>(1-(1-HV_DC_Grid!$E$25)^(B140*C140*HV_DC_Grid!$E$8/1000))+(1-(1-HV_DC_Grid!$E$26)^(B140*D140*HV_DC_Grid!$E$8/1000))+HV_DC_Grid!$E$35*HV_DC_Grid!$E$28</f>
        <v>6.5357936354117449E-2</v>
      </c>
      <c r="AY140" s="28">
        <f>B140*nl_e_demand/IF(hv_dc_flh="electricity FLH",$AV140,hv_dc_custom)*1000*hv_dc_capacity_multiplier*hv_dc_length_multiplier*1000*(C140*hv_dc_overhead_invest*(hv_dc_overhead_opex+M140+1/hv_dc_lifetime)+D140*hv_dc_sea_invest*(hv_dc_sea_opex+M140+1/hv_dc_lifetime))/1000000+HV_DC_Grid!$E$10*1000*hv_dc_station_invest*hv_dc_station_number*(hv_dc_station_opex+M140+1/hv_dc_lifetime)/1000000</f>
        <v>2264.0711661865989</v>
      </c>
      <c r="AZ140" s="24">
        <f>(AW140+AY140)/(HV_DC_Grid!$E$3*1000)*100</f>
        <v>4.381663199965959</v>
      </c>
      <c r="BA140" s="28">
        <f>MIN(((Carriers!$F$26+Carriers!$F$27)*(alk_el_opex+wacc_nl+1/alk_el_lifetime)+IF(hv_dc_flh="electricity FLH",$AV140,hv_dc_custom)*AZ140/100)/(IF(hv_dc_flh="electricity FLH",$AV140,hv_dc_custom)/alk_el_e_demand)*1000,((Carriers!$H$26+Carriers!$H$27)*(pem_el_opex+wacc_nl+1/pem_el_lifetime)+IF(hv_dc_flh="electricity FLH",$AV140,hv_dc_custom)*AZ140/100)/(IF(hv_dc_flh="electricity FLH",$AV140,hv_dc_custom)/pem_el_e_demand)*1000)</f>
        <v>2574.906795689657</v>
      </c>
      <c r="BB140" s="12"/>
      <c r="BC140" s="12"/>
      <c r="BD140" s="149">
        <f>MIN(((Carriers!$F$26+Carriers!$F$27)*(alk_el_opex+M140+1/alk_el_lifetime)+$AV140*$AU140/100)/($AV140/alk_el_e_demand)*1000,((Carriers!$H$26+Carriers!$H$27)*(pem_el_opex+M140+1/pem_el_lifetime)+$AV140*$AU140/100)/($AV140/pem_el_e_demand)*1000)</f>
        <v>2538.7160809964398</v>
      </c>
      <c r="BE140" s="28">
        <f>Storage!$AC$50</f>
        <v>8.1664117557772418</v>
      </c>
      <c r="BF140" s="28">
        <f>((Pipeline!$D$22*Pipeline!$D$24*B140*(pipeline_opex+M140+1/pipeline_lifetime))*(Pipeline!$D$39/Pipeline!$D$3)+(Pipeline!$D$57*(pipeline_comp_opex+M140+1/pipeline_comp_lifetime)+Pipeline!$D$47*1000*Pipeline!$D$45*$AU140/100/1000000))*(Pipeline!$D$75/Pipeline!$D$45)</f>
        <v>5288.6242502863142</v>
      </c>
      <c r="BG140" s="28">
        <f>BD140+(BE140+BF140)/Storage!$AC$12*1000000</f>
        <v>2928.1859826171817</v>
      </c>
      <c r="BH140" s="28"/>
      <c r="BI140" s="28"/>
      <c r="BJ140" s="28">
        <f>IF($E140="","No Port",BK140*HV_DC_Grid!$E$3*$AU140/100*1000)</f>
        <v>50.331135175761716</v>
      </c>
      <c r="BK140" s="31">
        <f>IFERROR((1-(1-HV_DC_Grid!$E$25)^(K140*HV_DC_Grid!$E$8/1000))+HV_DC_Grid!$E$35*HV_DC_Grid!$E$28,"")</f>
        <v>2.543016093066329E-2</v>
      </c>
      <c r="BL140" s="28">
        <f>IFERROR(K140*nl_e_demand/IF(hv_dc_flh="electricity FLH",$AV140,hv_dc_custom)*1000*hv_dc_capacity_multiplier*hv_dc_length_multiplier*1000*(hv_dc_overhead_invest*(hv_dc_overhead_opex+M140+1/hv_dc_lifetime))/1000000+HV_DC_Grid!$E$10*1000*hv_dc_station_invest*hv_dc_station_number*(hv_dc_station_opex+M140+1/hv_dc_lifetime)/1000000,"")</f>
        <v>768.22973154153499</v>
      </c>
      <c r="BM140" s="29">
        <f>IFERROR((BJ140+BL140)/(HV_DC_Grid!$E$3*1000)*100,"")</f>
        <v>0.81856086671729666</v>
      </c>
      <c r="BN140" s="28">
        <f>IFERROR(((Pipeline!$D$22*Pipeline!$D$24*K140*(pipeline_opex+M140+1/pipeline_lifetime))*(Pipeline!$D$39/Pipeline!$D$3)+(Pipeline!$D$57*(pipeline_comp_opex+M140+1/pipeline_comp_lifetime)+Pipeline!$D$47*1000*Pipeline!$D$45*S140/100/1000000))*(Pipeline!$D$75/Pipeline!$D$45),"")</f>
        <v>1205.1195519395578</v>
      </c>
      <c r="BO140" s="28"/>
      <c r="BP140" s="150">
        <f t="shared" si="209"/>
        <v>96.386999419934881</v>
      </c>
      <c r="BQ140" s="34">
        <f t="shared" si="210"/>
        <v>28.905800220044348</v>
      </c>
      <c r="BR140" s="151">
        <f>(nh3_invest*(M140+1/nh3_lifetime)/nh3_prod+nh3_opex+nh3_e_demand*1000*$AU140/100+Carriers!$N$18/Carriers!$N$23*BD140+Carriers!$N$19/Carriers!$N$23*BQ140)*(BT140+nh3_st_ab_losses)/1000000</f>
        <v>44995.061008701821</v>
      </c>
      <c r="BS140" s="63">
        <f>nh3_st_nl_cost*nh3_st_nl_demand/1000000+(nh3_st_invest*(M140+1/nh3_st_lifetime+nh3_st_opex)/(Storage!$G$63/1000000)+nh3_st_e_demand*1000*$AU140/100)*(BT140+nh3_st_ab_losses)/1000000+Carriers!$N$18/Carriers!$N$23*((BT140+nh3_st_ab_losses)/365.25*short_st_duration_hrs/24)*(h2_short_st_invest*(1/gh2_short_st_lifetime+$M140+h2_short_st_opex)+h2_short_st_e_demand*1000*$AU140/100)/1000000+Carriers!$N$19/Carriers!$N$23*((BT140+nh3_st_ab_losses)/365.25*short_st_duration_hrs/24)*(n2_short_st_invest*(1/n2_short_st_lifetime+$M140+n2_short_st_opex)+n2_short_st_e_demand*1000*$AU140/100)/1000000</f>
        <v>3092.6456442643412</v>
      </c>
      <c r="BT140" s="63">
        <f>Storage!$G$57/((1-Shipping!$H$37)^(F140/24/Shipping!$H$44+0.5*Shipping!$H$59))</f>
        <v>78400499.121259809</v>
      </c>
      <c r="BU140" s="63">
        <f>IF($E140="","No Port",((F140/24/Shipping!$H$44+F140/24/Shipping!$H$50+Shipping!$H$59+Shipping!$H$64)*(Shipping!$H$22+wacc_nl*Shipping!$H$19/365.25*1000000+Shipping!$H$35)+(F140/24/Shipping!$H$44*Shipping!$H$45+Shipping!$H$64*Shipping!$H$65)*IF(bunker_choice="HFO",H140,IF(bunker_choice="hydrogen",BD140*hfo_e_density_lhv/h2_e_density_lhv,(BR140+BS140)*1000000/BT140*hfo_e_density_lhv/nh3_e_density_lhv))+(F140/24/Shipping!$H$50*Shipping!$H$51+Shipping!$H$59*Shipping!$H$60)*IF(bunker_choice="HFO",bunker_price_ROT,IF(bunker_choice="hydrogen",BD140*hfo_e_density_lhv/h2_e_density_lhv,(BR140+BS140)*1000000/BT140*hfo_e_density_lhv/nh3_e_density_lhv))+Shipping!$H$73+IF(G140="Panama",Shipping!$H$55,0)+IF(G140="Suez",Shipping!$H$56,0))/Shipping!$H$31*BT140/1000000+IF(inland_transport_to_port="hv dc grid",$BM140/100*1000*BW140,IF(inland_transport_to_port="pipeline",$BN140,0)))</f>
        <v>3340.7268744650801</v>
      </c>
      <c r="BV140" s="63">
        <f t="shared" si="199"/>
        <v>51428.43352743124</v>
      </c>
      <c r="BW140" s="33">
        <f>((Carriers!$N$18/Carriers!$N$23*alk_el_e_demand)+(Carriers!$N$19/Carriers!$N$23*n2_e_demand)+nh3_e_demand)*(BT140+nh3_st_ab_losses)/1000000+nh3_st_e_demand*BT140/1000000</f>
        <v>774.22979552920481</v>
      </c>
      <c r="BX140" s="33">
        <f t="shared" si="185"/>
        <v>0.76626754477640768</v>
      </c>
      <c r="BY140" s="63">
        <f>IFERROR(BV140*1000000/Storage!$G$12,"")</f>
        <v>671.71425369613155</v>
      </c>
      <c r="BZ140" s="63">
        <f>H2_retrieval!$F$25*h2_demand_kt/1000</f>
        <v>80</v>
      </c>
      <c r="CA140" s="63">
        <f>IFERROR(BY140*(1+H2_retrieval!$F$34)/Carrier_properties!$E$7+H2_retrieval!$F$38,"")</f>
        <v>4190.7284448960318</v>
      </c>
      <c r="CB140" s="149">
        <f>(FA_invest*(M140+1/FA_lifetime)/FA_prod+FA_opex+FA_e_demand*1000*$AU140/100+Carriers!$P$18/Carriers!$P$23*BD140+Carriers!$P$20/Carriers!$P$23*co2_liq_cost)*(CF140+FA_st_ab_losses)/1000000</f>
        <v>88480.036086016727</v>
      </c>
      <c r="CC140" s="86">
        <f>(FA_invest*(M140+1/FA_lifetime)/FA_prod+FA_opex+FA_e_demand*1000*$AU140/100+Carriers!$P$18/Carriers!$P$23*BD140+Carriers!$P$20/Carriers!$P$23*BP140)*(CF140+FA_st_ab_losses)/1000000</f>
        <v>111448.19669841678</v>
      </c>
      <c r="CD140" s="63">
        <f>FA_st_nl_cost*FA_st_nl_demand/1000000+(FA_st_invest*(M140+1/FA_st_lifetime+FA_st_opex)/(Storage!$I$63/1000000)+FA_st_e_demand*1000*$AU140/100)*(CF140+FA_st_ab_losses)/1000000+co2_st_nl_cost*Storage!$I$12*co2_density/FA_density/1000000+(co2_st_opex_lev+co2_st_invest_lev+co2_st_e_demand*1000*$AU140/100)*Storage!$I$12/1000000+co2_st_invest_lev*Storage!$I$12*co2_st_lifetime*M140/1000000+Carriers!$P$18/Carriers!$P$23*((CF140+FA_st_ab_losses)/365.25*short_st_duration_hrs/24)*(h2_short_st_invest*(1/gh2_short_st_lifetime+$M140+h2_short_st_opex)+h2_short_st_e_demand*1000*$AU140/100)/1000000+Carriers!$P$20/Carriers!$P$23*((CF140+FA_st_ab_losses)/365.25*short_st_duration_hrs/24)*(co2_short_st_invest*(1/co2_short_st_lifetime+$M140+co2_short_st_opex)+co2_short_st_e_demand*1000*$AU140/100)/1000000</f>
        <v>10688.215729997217</v>
      </c>
      <c r="CE140" s="63">
        <f>FA_st_nl_cost*FA_st_nl_demand/1000000+(FA_st_invest*(M140+1/FA_st_lifetime+FA_st_opex)/(Storage!$I$63/1000000)+FA_st_e_demand*1000*$AU140/100)*(CF140+FA_st_ab_losses)/1000000+Carriers!$P$18/Carriers!$P$23*((CF140+FA_st_ab_losses)/365.25*short_st_duration_hrs/24)*(h2_short_st_invest*(1/gh2_short_st_lifetime+$M140+h2_short_st_opex)+h2_short_st_e_demand*1000*$AU140/100)/1000000+Carriers!$P$20/Carriers!$P$23*((CF140+FA_st_ab_losses)/365.25*short_st_duration_hrs/24)*(co2_short_st_invest*(1/co2_short_st_lifetime+$M140+co2_short_st_opex)+co2_short_st_e_demand*1000*$AU140/100)/1000000</f>
        <v>4613.3789208497883</v>
      </c>
      <c r="CF140" s="63">
        <f>Storage!$I$57/((1-Shipping!$J$37)^($F140/24/Shipping!$J$44+0.5*Shipping!$J$59))</f>
        <v>310425396.82539684</v>
      </c>
      <c r="CG140" s="28">
        <f>IF($E140="","No Port",((F140/24/Shipping!$J$44+F140/24/Shipping!$J$50+Shipping!$J$59+Shipping!$J$64)*(Shipping!$J$22+wacc_nl*Shipping!$J$19/365.25*1000000+Shipping!$J$35)+(F140/24/Shipping!$J$44*Shipping!$J$45+Shipping!$J$64*Shipping!$J$65)*IF(bunker_choice="HFO",$H140,IF(bunker_choice="hydrogen",$BD140*hfo_e_density_lhv/h2_e_density_lhv,(CB140+CD140)*1000000/CF140*hfo_e_density_lhv/FA_e_density_lhv))+(F140/24/Shipping!$J$50*Shipping!$J$51+Shipping!$J$59*Shipping!$J$60)*IF(bunker_choice="HFO",bunker_price_ROT,IF(bunker_choice="hydrogen",$BD140*hfo_e_density_lhv/h2_e_density_lhv,(CB140+CD140)*1000000/CF140*hfo_e_density_lhv/FA_e_density_lhv))+Shipping!$J$73+IF(G140="Panama",Shipping!$J$55,0)+IF(G140="Suez",Shipping!$J$56,0))/Shipping!$J$31*CF140/1000000+IF(inland_transport_to_port="hv dc grid",$BM140/100*1000*CI140,IF(inland_transport_to_port="pipeline",$BN140,0)))</f>
        <v>10327.592196725062</v>
      </c>
      <c r="CH140" s="28">
        <f t="shared" si="213"/>
        <v>126389.16781599163</v>
      </c>
      <c r="CI140" s="29">
        <f>((Carriers!$P$18/Carriers!$P$23*alk_el_e_demand)+FA_e_demand)*(CF140+FA_st_ab_losses)/1000000+FA_st_e_demand*CF140/1000000</f>
        <v>1897.8881241622576</v>
      </c>
      <c r="CJ140" s="29">
        <f t="shared" si="186"/>
        <v>0.46563809523809524</v>
      </c>
      <c r="CK140" s="28">
        <f>IFERROR(CH140*1000000/Storage!$I$12,"")</f>
        <v>407.14828460727074</v>
      </c>
      <c r="CL140" s="28">
        <f>IF($E140="","No Port",((F140/24/Shipping!$J$44+F140/24/Shipping!$J$50+Shipping!$J$59+Shipping!$J$64)*Carriers!$P$39*wacc_nl))</f>
        <v>175.1363865138799</v>
      </c>
      <c r="CM140" s="29">
        <f>H2_retrieval!$H$25*h2_demand_kt/1000+(co2_liq_e_demand+co2_st_e_demand*2)*Storage!$I$12*co2_density/FA_density/1000000</f>
        <v>94.204253879484654</v>
      </c>
      <c r="CN140" s="28">
        <f>IFERROR((((CB140+CD140+CG140)*(1+H2_retrieval!$H$34)+CL140)*1000000/H2_retrieval!$H$8)+h2_regen_fa,"")</f>
        <v>8153.7300441826092</v>
      </c>
      <c r="CO140" s="149">
        <f>(meoh_invest*(M140+1/meoh_lifetime)/meoh_prod+meoh_opex+meoh_e_demand*1000*$AU140/100+Carriers!$R$18/Carriers!$R$23*BD140+Carriers!$R$20/Carriers!$R$23*co2_liq_cost)*(CS140+meoh_st_ab_losses)/1000000</f>
        <v>55636.310633467037</v>
      </c>
      <c r="CP140" s="86">
        <f>(meoh_invest*(M140+1/meoh_lifetime)/meoh_prod+meoh_opex+meoh_e_demand*1000*$AU140/100+Carriers!$R$18/Carriers!$R$23*BD140+Carriers!$R$20/Carriers!$R$23*BP140)*(CS140+meoh_st_ab_losses)/1000000</f>
        <v>69119.329982243406</v>
      </c>
      <c r="CQ140" s="63">
        <f>meoh_st_nl_cost*meoh_st_nl_demand/1000000+(meoh_st_invest*(M140+1/meoh_st_lifetime+meoh_st_opex)/(Storage!$K$63/1000000)+meoh_st_e_demand*1000*$AU140/100)*(CS140+meoh_st_ab_losses)/1000000+co2_st_nl_cost*Storage!$K$12*co2_density/meoh_density/1000000+(co2_st_opex_lev+co2_st_invest_lev+co2_st_e_demand*1000*IFERROR(MIN(S140,AA140,AI140),S140)/100)*Storage!$K$12/1000000+co2_st_invest_lev*Storage!$K$12*co2_st_lifetime*M140/1000000+Carriers!$R$18/Carriers!$R$23*((CS140+meoh_st_ab_losses)/365.25*short_st_duration_hrs/24)*(h2_short_st_invest*(1/gh2_short_st_lifetime+$M140+h2_short_st_opex)+h2_short_st_e_demand*1000*$AU140/100)/1000000+Carriers!$R$20/Carriers!$R$23*((CF140+meoh_st_ab_losses)/365.25*short_st_duration_hrs/24)*(co2_short_st_invest*(1/co2_short_st_lifetime+$M140+co2_short_st_opex)+co2_short_st_e_demand*1000*$AU140/100)/1000000</f>
        <v>4500.5870738703852</v>
      </c>
      <c r="CR140" s="63">
        <f>meoh_st_nl_cost*meoh_st_nl_demand/1000000+(meoh_st_invest*(M140+1/meoh_st_lifetime+meoh_st_opex)/(Storage!$K$63/1000000)+meoh_st_e_demand*1000*$AU140/100)*(CS140+meoh_st_ab_losses)/1000000+Carriers!$R$18/Carriers!$R$23*((CS140+meoh_st_ab_losses)/365.25*short_st_duration_hrs/24)*(h2_short_st_invest*(1/gh2_short_st_lifetime+$M140+h2_short_st_opex)+h2_short_st_e_demand*1000*$AU140/100)/1000000+Carriers!$R$20/Carriers!$R$23*((CF140+meoh_st_ab_losses)/365.25*short_st_duration_hrs/24)*(co2_short_st_invest*(1/co2_short_st_lifetime+$M140+co2_short_st_opex)+co2_short_st_e_demand*1000*$AU140/100)/1000000</f>
        <v>1787.2253639553608</v>
      </c>
      <c r="CS140" s="63">
        <f>Storage!$K$57/((1-Shipping!$L$37)^($F140/24/Shipping!$L$44+0.5*Shipping!$L$59))</f>
        <v>108044444.44444443</v>
      </c>
      <c r="CT140" s="28">
        <f>IF($E140="","No Port",IF(AND(ship_choice="VLCC",G140="Panama"),"Ship cannot pass through Panama",IF(ship_choice="VLCC",((F140/24/Shipping!$AD$44+F140/24/Shipping!$AD$50+Shipping!$AD$59+Shipping!$AD$64)*(Shipping!$AD$22+wacc_nl*Shipping!$AD$19/365.25*1000000+Shipping!$AD$35)+(F140/24/Shipping!$AD$44*Shipping!$AD$45+Shipping!$AD$64*Shipping!$AD$65)*IF(bunker_choice="HFO",$H140,IF(bunker_choice="hydrogen",$BD140*hfo_e_density_lhv/h2_e_density_lhv,(CO140+CQ140)*1000000/CS140*hfo_e_density_lhv/meoh_e_density_lhv))+(F140/24/Shipping!$AD$50*Shipping!$AD$51+Shipping!$AD$59*Shipping!$AD$60)*IF(bunker_choice="HFO",bunker_price_ROT,IF(bunker_choice="hydrogen",$BD140*hfo_e_density_lhv/h2_e_density_lhv,(CO140+CQ140)*1000000/CS140*hfo_e_density_lhv/meoh_e_density_lhv))+Shipping!$AD$73+IF(G140="Panama",Shipping!$AD$55,0)+IF(G140="Suez",Shipping!$AD$56,0))/Shipping!$AD$31*CS140/1000000+IF(inland_transport_to_port="hv dc grid",$BM140/100*1000*CV140,IF(inland_transport_to_port="pipeline",$BN140,0)),((F140/24/Shipping!$L$44+F140/24/Shipping!$L$50+Shipping!$L$59+Shipping!$L$64)*(Shipping!$L$22+wacc_nl*Shipping!$L$19/365.25*1000000+Shipping!$L$35)+(F140/24/Shipping!$L$44*Shipping!$L$45+Shipping!$L$64*Shipping!$L$65)*IF(bunker_choice="HFO",$H140,IF(bunker_choice="hydrogen",$BD140*hfo_e_density_lhv/h2_e_density_lhv,(CO140+CQ140)*1000000/CS140*hfo_e_density_lhv/meoh_e_density_lhv))+(F140/24/Shipping!$L$50*Shipping!$L$51+Shipping!$L$59*Shipping!$L$60)*IF(bunker_choice="HFO",bunker_price_ROT,IF(bunker_choice="hydrogen",$BD140*hfo_e_density_lhv/h2_e_density_lhv,(CO140+CQ140)*1000000/CS140*hfo_e_density_lhv/meoh_e_density_lhv))+Shipping!$L$73+IF(G140="Panama",Shipping!$L$55,0)+IF(G140="Suez",Shipping!$L$56,0))/Shipping!$L$31*CS140/1000000+IF(inland_transport_to_port="hv dc grid",$BM140/100*1000*CV140,IF(inland_transport_to_port="pipeline",$BN140,0)))))</f>
        <v>4186.7352571250703</v>
      </c>
      <c r="CU140" s="28">
        <f t="shared" si="214"/>
        <v>75093.29060332384</v>
      </c>
      <c r="CV140" s="29">
        <f>((Carriers!$R$18/Carriers!$R$23*alk_el_e_demand)+meoh_e_demand)*(CS140+meoh_st_ab_losses)/1000000+meoh_st_e_demand*CS140/1000000</f>
        <v>1119.9789871111109</v>
      </c>
      <c r="CW140" s="29">
        <f t="shared" si="187"/>
        <v>0.16206666666666666</v>
      </c>
      <c r="CX140" s="28">
        <f>IFERROR(CU140*1000000/Storage!$K$12,"")</f>
        <v>695.0222289489044</v>
      </c>
      <c r="CY140" s="28">
        <f>IF($E140="","No Port",((F140/24/Shipping!$L$44+F140/24/Shipping!$L$50+Shipping!$L$59+Shipping!$L$64)*Carriers!$R$39*wacc_nl))</f>
        <v>62.52149694875925</v>
      </c>
      <c r="CZ140" s="29">
        <f>H2_retrieval!$J$25*h2_demand_kt/1000+(co2_liq_e_demand+co2_st_e_demand*2)*Storage!$K$12*co2_density/meoh_density/1000000</f>
        <v>251.05079059698966</v>
      </c>
      <c r="DA140" s="28">
        <f>IFERROR((((CO140+CQ140+CT140)*(1+H2_retrieval!$J$34)+CY140)*1000000/H2_retrieval!$J$8)+h2_regen_meoh,"")</f>
        <v>5904.4046065351786</v>
      </c>
      <c r="DB140" s="149">
        <f>(DBT_invest*(M140+1/DBT_lifetime)/DBT_prod+DBT_opex+DBT_e_demand*1000*$AU140/100+Carriers!$T$18/Carriers!$T$23*BD140)*(DD140+DBT_st_ab_losses)/1000000</f>
        <v>37458.646470780768</v>
      </c>
      <c r="DC140" s="28">
        <f>2*(DBT_st_nl_cost*DBT_st_nl_demand/1000000+(DBT_st_invest*(M140+1/DBT_st_lifetime+DBT_st_opex)/(Storage!$M$63/1000000)+DBT_st_e_demand*1000*$AU140/100)*(DD140+DBT_st_ab_losses)/1000000)+Carriers!$T$18/Carriers!$T$23*((DD140+DBT_st_ab_losses)/365.25*short_st_duration_hrs/24)*(h2_short_st_invest*(1/gh2_short_st_lifetime+$M140+h2_short_st_opex)+h2_short_st_e_demand*1000*$AU140/100)/1000000</f>
        <v>3754.0937114698359</v>
      </c>
      <c r="DD140" s="63">
        <f>Storage!$M$57/((1-Shipping!$N$37)^($F140/24/Shipping!$N$44+0.5*Shipping!$N$59))</f>
        <v>219354838.70967743</v>
      </c>
      <c r="DE140" s="28">
        <f>IF($E140="","No Port",IF(AND(ship_choice="VLCC",G140="Panama"),"Ship cannot pass through Panama",IF(ship_choice="VLCC",((F140/24/Shipping!$AD$44+F140/24/Shipping!$AD$50+Shipping!$AD$59+Shipping!$AD$64)*(Shipping!$AD$22+wacc_nl*Shipping!$AD$19/365.25*1000000+Shipping!$AD$35)+(F140/24/Shipping!$AD$44*Shipping!$AD$45+Shipping!$AD$64*Shipping!$AD$65)*IF(bunker_choice="HFO",$H140,IF(bunker_choice="hydrogen",$BD140*hfo_e_density_lhv/h2_e_density_lhv,(DB140+DC140)*1000000/DD140*hfo_e_density_lhv/DBT_e_density_lhv))+(F140/24/Shipping!$AD$50*Shipping!$AD$51+Shipping!$AD$59*Shipping!$AD$60)*IF(bunker_choice="HFO",bunker_price_ROT,IF(bunker_choice="hydrogen",$BD140*hfo_e_density_lhv/h2_e_density_lhv,(DB140+DC140)*1000000/DD140*hfo_e_density_lhv/DBT_e_density_lhv))+Shipping!$AD$73+IF(G140="Panama",Shipping!$AD$55,0)+IF(G140="Suez",Shipping!$AD$56,0))/Shipping!$AD$31*DD140/1000000+IF(inland_transport_to_port="hv dc grid",$BM140/100*1000*DG140,IF(inland_transport_to_port="pipeline",$BN140,0)),((F140/24/Shipping!$N$44+F140/24/Shipping!$N$50+Shipping!$N$59+Shipping!$N$64)*(Shipping!$N$22+wacc_nl*Shipping!$N$19/365.25*1000000+Shipping!$N$35)+(F140/24/Shipping!$N$44*Shipping!$N$45+Shipping!$N$64*Shipping!$N$65)*IF(bunker_choice="HFO",$H140,IF(bunker_choice="hydrogen",$BD140*hfo_e_density_lhv/h2_e_density_lhv,(DB140+DC140)*1000000/DD140*hfo_e_density_lhv/DBT_e_density_lhv))+(F140/24/Shipping!$N$50*Shipping!$N$51+Shipping!$N$59*Shipping!$N$60)*IF(bunker_choice="HFO",bunker_price_ROT,IF(bunker_choice="hydrogen",$BD140*hfo_e_density_lhv/h2_e_density_lhv,(DB140+DC140)*1000000/DD140*hfo_e_density_lhv/DBT_e_density_lhv))+Shipping!$N$73+IF(G140="Panama",Shipping!$N$55,0)+IF(G140="Suez",Shipping!$N$56,0))/Shipping!$N$31*Shipping!$N$86/1000000+IF(inland_transport_to_port="hv dc grid",$BM140/100*1000*DG140,IF(inland_transport_to_port="pipeline",$BN140,0)))))</f>
        <v>6795.281271599405</v>
      </c>
      <c r="DF140" s="28">
        <f t="shared" si="159"/>
        <v>48008.021453850015</v>
      </c>
      <c r="DG140" s="29">
        <f>((Carriers!$T$18/Carriers!$T$23*alk_el_e_demand)+DBT_e_demand)*(DD140+DBT_st_ab_losses)/1000000+DBT_st_e_demand*DD140/1000000</f>
        <v>703.88335483870969</v>
      </c>
      <c r="DH140" s="29">
        <f t="shared" si="188"/>
        <v>0.21935483870967742</v>
      </c>
      <c r="DI140" s="28">
        <f>IFERROR(DF140*1000000/Storage!$M$12,"")</f>
        <v>218.86009780431624</v>
      </c>
      <c r="DJ140" s="28">
        <f>IF($E140="","No Port",((F140/24/Shipping!$N$44+F140/24/Shipping!$N$50+Shipping!$N$59+Shipping!$N$64)*Carriers!$T$39*wacc_nl))</f>
        <v>4553.6460447081736</v>
      </c>
      <c r="DK140" s="100">
        <f>H2_retrieval!$L$25*h2_demand_kt/1000+(co2_liq_e_demand+co2_st_e_demand*2)*Storage!$M$12*co2_density/DBT_density/1000000</f>
        <v>206.61934861671787</v>
      </c>
      <c r="DL140" s="28">
        <f>IFERROR(((DF140*(1+H2_retrieval!$L$34)+DJ140)*1000000/H2_retrieval!$L$8)+h2_regen_lohc,"")</f>
        <v>4335.4782731798387</v>
      </c>
      <c r="DM140" s="149">
        <f t="shared" si="211"/>
        <v>42498.085494299383</v>
      </c>
      <c r="DN140" s="16">
        <f>2*(nabh4_st_nl_cost*nabh4_st_nl_demand/1000000+(nabh4_st_invest*(M140+1/nabh4_st_lifetime+nabh4_st_opex)/(Storage!$O$63/1000000)+nabh4_st_e_demand*1000*$AU140/100)*(DO140+nabh4_st_ab_losses)/1000000)+(h2_demand_kt*1000/365.25*short_st_duration_hrs/24)*(h2_short_st_invest*(1/gh2_short_st_lifetime+$M140+h2_short_st_opex)+h2_short_st_e_demand*1000*$AU140/100)/1000000</f>
        <v>1253.0974305273614</v>
      </c>
      <c r="DO140" s="63">
        <f>Storage!$O$57/((1-Shipping!$P$37)^($F140/24/Shipping!$P$44+0.5*Shipping!$P$59))</f>
        <v>63920000</v>
      </c>
      <c r="DP140" s="16">
        <f>IF($E140="","No Port",((F140/24/Shipping!$P$44+F140/24/Shipping!$P$50+Shipping!$P$59+Shipping!$P$64)*(Shipping!$P$22+wacc_nl*Shipping!$P$19/365.25*1000000+Shipping!$P$35)+(F140/24/Shipping!$P$44*Shipping!$P$45+Shipping!$P$64*Shipping!$P$65)*IF(bunker_choice="HFO",$H140,IF(bunker_choice="hydrogen",$BD140*hfo_e_density_lhv/h2_e_density_lhv,(DM140+DN140)*1000000/DO140*hfo_e_density_lhv/nabh4_e_density_lhv))+(F140/24/Shipping!$P$50*Shipping!$P$51+Shipping!$P$59*Shipping!$P$60)*IF(bunker_choice="HFO",bunker_price_ROT,IF(bunker_choice="hydrogen",$BD140*hfo_e_density_lhv/h2_e_density_lhv,(DM140+DN140)*1000000/DO140*hfo_e_density_lhv/nabh4_e_density_lhv))+Shipping!$P$73+IF(G140="Panama",Shipping!$P$55,0)+IF(G140="Suez",Shipping!$P$56,0))/Shipping!$P$31*(DO140+nabh4_st_ab_losses)/1000000+IF(inland_transport_to_port="hv dc grid",$BM140/100*1000*DR140,IF(inland_transport_to_port="pipeline",$BN140,0)))</f>
        <v>2610.5201221109992</v>
      </c>
      <c r="DQ140" s="28">
        <f t="shared" si="146"/>
        <v>46361.703046937742</v>
      </c>
      <c r="DR140" s="29">
        <f>((Carriers!$V$18/Carriers!$V$23*alk_el_e_demand)+nabh4_e_demand)*(DO140+nabh4_st_ab_losses)/1000000+nabh4_st_e_demand*DO140/1000000</f>
        <v>980.02139682539689</v>
      </c>
      <c r="DS140" s="28">
        <f t="shared" si="189"/>
        <v>3.1960000000000002</v>
      </c>
      <c r="DT140" s="28">
        <f>IFERROR(DQ140*1000000/Storage!$O$12,"")</f>
        <v>725.3082454151712</v>
      </c>
      <c r="DU140" s="28">
        <f>IF($E140="","No Port",((F140/24/Shipping!$P$44+F140/24/Shipping!$P$50+Shipping!$P$59+Shipping!$P$64)*Carriers!$V$39*wacc_nl))</f>
        <v>430.05338277583394</v>
      </c>
      <c r="DV140" s="100">
        <f>H2_retrieval!$N$25*h2_demand_kt/1000+(co2_liq_e_demand+co2_st_e_demand*2)*Storage!$O$12*co2_density/nabh4_density/1000000</f>
        <v>18.783638728971958</v>
      </c>
      <c r="DW140" s="28">
        <f>IFERROR(((DQ140*(1+H2_retrieval!$N$34)+DU140)*1000000/H2_retrieval!$N$8)+h2_regen_nabh4,"")</f>
        <v>3515.6235112338986</v>
      </c>
      <c r="DX140" s="149">
        <f>(Dme_invest*(M140+1/Dme_lifetime)/Dme_prod+Dme_opex+Dme_e_demand*1000*$AU140/100+Carriers!$X$21/Carriers!$X$23*(CO140*1000000/CS140))*(EB140+Dme_st_ab_losses)/1000000</f>
        <v>78110.141452323078</v>
      </c>
      <c r="DY140" s="86">
        <f>(Dme_invest*(M140+1/Dme_lifetime)/Dme_prod+Dme_opex+Dme_e_demand*1000*$AU140/100+Carriers!$X$21/Carriers!$X$23*(CP140*1000000/CS140))*(EB140+Dme_st_ab_losses)/1000000</f>
        <v>96402.068575406185</v>
      </c>
      <c r="DZ140" s="63">
        <f>Dme_st_nl_cost*Dme_st_nl_demand/1000000+(Dme_st_invest*(M140+1/Dme_st_lifetime+Dme_st_opex)/(Storage!$Q$63/1000000)+Dme_st_e_demand*1000*$AU140/100)*(EB140+Dme_st_ab_losses)/1000000+co2_st_nl_cost*Storage!$Q$12*co2_density/Dme_density/1000000+(co2_st_opex_lev+co2_st_invest_lev+co2_st_e_demand*1000*$AU140/100)*Storage!$Q$12/1000000+co2_st_invest_lev*Storage!$Q$12*co2_st_lifetime*M140/1000000+(h2_demand_kt*1000/365.25*short_st_duration_hrs/24)*(h2_short_st_invest*(1/gh2_short_st_lifetime+$M140+h2_short_st_opex)+h2_short_st_e_demand*1000*$AU140/100)/1000000</f>
        <v>5450.88897052841</v>
      </c>
      <c r="EA140" s="63">
        <f>Dme_st_nl_cost*Dme_st_nl_demand/1000000+(Dme_st_invest*(M140+1/Dme_st_lifetime+Dme_st_opex)/(Storage!$Q$63/1000000)+Dme_st_e_demand*1000*$AU140/100)*(EB140+Dme_st_ab_losses)/1000000+(h2_demand_kt*1000/365.25*short_st_duration_hrs/24)*(h2_short_st_invest*(1/gh2_short_st_lifetime+$M140+h2_short_st_opex)+h2_short_st_e_demand*1000*$AU140/100)/1000000</f>
        <v>2723.5703597588513</v>
      </c>
      <c r="EB140" s="63">
        <f>Storage!$Q$57/((1-Shipping!$R$37)^($F140/24/Shipping!$R$44+0.5*Shipping!$R$59))</f>
        <v>103547089.94708996</v>
      </c>
      <c r="EC140" s="153">
        <f>IF($E140="","No Port",IF(AND(ship_choice="VLCC",G140="Panama"),"Ship cannot pass through Panama",IF(ship_choice="VLCC",((F140/24/Shipping!$AD$44+F140/24/Shipping!$AD$50+Shipping!$AD$59+Shipping!$AD$64)*(Shipping!$AD$22+wacc_nl*Shipping!$AD$19/365.25*1000000+Shipping!$AD$35)+(F140/24/Shipping!$AD$44*Shipping!$AD$45+Shipping!$AD$64*Shipping!$AD$65)*IF(bunker_choice="HFO",$H140,IF(bunker_choice="hydrogen",$BD140*hfo_e_density_lhv/h2_e_density_lhv,(DX140+DZ140)*1000000/EB140*hfo_e_density_lhv/Dme_e_density_lhv))+(F140/24/Shipping!$AD$50*Shipping!$AD$51+Shipping!$AD$59*Shipping!$AD$60)*IF(bunker_choice="HFO",bunker_price_ROT,IF(bunker_choice="hydrogen",$BD140*hfo_e_density_lhv/h2_e_density_lhv,(DX140+DZ140)*1000000/EB140*hfo_e_density_lhv/Dme_e_density_lhv))+Shipping!$AD$73+IF(G140="Panama",Shipping!$AD$55,0)+IF(G140="Suez",Shipping!$AD$56,0))/Shipping!$AD$31*(EB140+Dme_st_ab_losses)/1000000+IF(inland_transport_to_port="hv dc grid",$BM140/100*1000*EE140,IF(inland_transport_to_port="pipeline",$BN140,0)),((F140/24/Shipping!$R$44+F140/24/Shipping!$R$50+Shipping!$R$59+Shipping!$R$64)*(Shipping!$R$22+wacc_nl*Shipping!$R$19/365.25*1000000+Shipping!$R$35)+(F140/24/Shipping!$R$44*Shipping!$R$45+Shipping!$R$64*Shipping!$R$65)*IF(bunker_choice="HFO",$H140,IF(bunker_choice="hydrogen",$BD140*hfo_e_density_lhv/h2_e_density_lhv,(DX140+DZ140)*1000000/EB140*hfo_e_density_lhv/Dme_e_density_lhv))+(F140/24/Shipping!$R$50*Shipping!$R$51+Shipping!$R$59*Shipping!$R$60)*IF(bunker_choice="HFO",bunker_price_ROT,IF(bunker_choice="hydrogen",$BD140*hfo_e_density_lhv/h2_e_density_lhv,(DX140+DZ140)*1000000/EB140*hfo_e_density_lhv/Dme_e_density_lhv))+Shipping!$R$73+IF(G140="Panama",Shipping!$R$55,0)+IF(G140="Suez",Shipping!$R$56,0))/Shipping!$R$31*(EB140+Dme_st_ab_losses)/1000000+IF(inland_transport_to_port="hv dc grid",$BM140/100*1000*EE140,IF(inland_transport_to_port="pipeline",$BN140,0)))))</f>
        <v>4269.2703798606472</v>
      </c>
      <c r="ED140" s="28">
        <f t="shared" si="215"/>
        <v>103394.9093150257</v>
      </c>
      <c r="EE140" s="29">
        <f>(Dme_e_demand)*(EB140+Dme_st_ab_losses)/1000000+Dme_st_e_demand*DZ140/1000000+$CV140*(Carriers!$X$21/Carriers!$X$23*EB140)/$CS140</f>
        <v>1550.2168146759454</v>
      </c>
      <c r="EF140" s="29">
        <f t="shared" si="190"/>
        <v>1.0354708994708997</v>
      </c>
      <c r="EG140" s="28">
        <f>IFERROR(ED140*1000000/Storage!$Q$12,"")</f>
        <v>998.53032439499725</v>
      </c>
      <c r="EH140" s="28">
        <f>IF($E140="","No Port",((F140/24/Shipping!$R$44+F140/24/Shipping!$R$50+Shipping!$R$59+Shipping!$R$64)*Carriers!$X$39*wacc_nl))</f>
        <v>64.401596574429874</v>
      </c>
      <c r="EI140" s="100">
        <f>H2_retrieval!$P$25*h2_demand_kt/1000+(co2_liq_e_demand+co2_st_e_demand*2)*Storage!$Q$12*co2_density/Dme_density/1000000</f>
        <v>252.45335899349112</v>
      </c>
      <c r="EJ140" s="28">
        <f>IFERROR((((DX140+DZ140+EC140)*(1+H2_retrieval!$P$34)+EH140)*1000000/H2_retrieval!$P$8)+h2_regen_dme,"")</f>
        <v>7632.9743078495403</v>
      </c>
      <c r="EK140" s="149">
        <f>(ome_invest*(M140+1/ome_lifetime)/ome_prod+ome_opex+ome_e_demand*1000*$AU140/100+Carriers!$Z$21/Carriers!$Z$23*(CO140*1000000/CS140))*(EO140+ome_st_ab_losses)/1000000</f>
        <v>169585.58042544944</v>
      </c>
      <c r="EL140" s="86">
        <f>(ome_invest*(M140+1/ome_lifetime)/ome_prod+ome_opex+ome_e_demand*1000*$AU140/100+Carriers!$Z$21/Carriers!$Z$23*(CP140*1000000/CS140))*(EO140+ome_st_ab_losses)/1000000</f>
        <v>207983.89621882085</v>
      </c>
      <c r="EM140" s="63">
        <f>ome_st_nl_cost*ome_st_nl_demand/1000000+(ome_st_invest*(M140+1/ome_st_lifetime+ome_st_opex)/(Storage!$S$63/1000000)+ome_st_e_demand*1000*$AU140/100)*(EO140+ome_st_ab_losses)/1000000+co2_st_nl_cost*Storage!$S$12*co2_density/ome_density/1000000+(co2_st_opex_lev+co2_st_invest_lev+co2_st_e_demand*1000*$AU140/100)*Storage!$S$12/1000000+co2_st_invest_lev*Storage!$S$12*co2_st_lifetime*M140/1000000+(h2_demand_kt*1000/365.25*short_st_duration_hrs/24)*(h2_short_st_invest*(1/gh2_short_st_lifetime+$M140+h2_short_st_opex)+h2_short_st_e_demand*1000*$AU140/100)/1000000</f>
        <v>4662.9332534466257</v>
      </c>
      <c r="EN140" s="63">
        <f>ome_st_nl_cost*ome_st_nl_demand/1000000+(ome_st_invest*(M140+1/ome_st_lifetime+ome_st_opex)/(Storage!$S$63/1000000)+ome_st_e_demand*1000*$AU140/100)*(EO140+ome_st_ab_losses)/1000000+(h2_demand_kt*1000/365.25*short_st_duration_hrs/24)*(h2_short_st_invest*(1/gh2_short_st_lifetime+$M140+h2_short_st_opex)+h2_short_st_e_demand*1000*$AU140/100)/1000000</f>
        <v>1623.0774269611932</v>
      </c>
      <c r="EO140" s="63">
        <f>Storage!$S$57/((1-Shipping!$T$37)^($F140/24/Shipping!$T$44+0.5*Shipping!$T$59))</f>
        <v>128282539.68253967</v>
      </c>
      <c r="EP140" s="28">
        <f>IF($E140="","No Port",IF(AND(ship_choice="VLCC",G140="Panama"),"Ship cannot pass through Panama",IF(ship_choice="VLCC",((F140/24/Shipping!$AD$44+F140/24/Shipping!$AD$50+Shipping!$AD$59+Shipping!$AD$64)*(Shipping!$AD$22+wacc_nl*Shipping!$AD$19/365.25*1000000+Shipping!$AD$35)+(F140/24/Shipping!$AD$44*Shipping!$AD$45+Shipping!$AD$64*Shipping!$AD$65)*IF(bunker_choice="HFO",$H140,IF(bunker_choice="hydrogen",$BD140*hfo_e_density_lhv/h2_e_density_lhv,(EK140+EM140)*1000000/EO140*hfo_e_density_lhv/Dme_e_density_lhv))+(F140/24/Shipping!$AD$50*Shipping!$AD$51+Shipping!$AD$59*Shipping!$AD$60)*IF(bunker_choice="HFO",bunker_price_ROT,IF(bunker_choice="hydrogen",$BD140*hfo_e_density_lhv/h2_e_density_lhv,(EK140+EM140)*1000000/EO140*hfo_e_density_lhv/ome_e_density_lhv))+Shipping!$AD$73+IF(G140="Panama",Shipping!$AD$55,0)+IF(G140="Suez",Shipping!$AD$56,0))/Shipping!$AD$31*(EO140+ome_st_ab_losses)/1000000+IF(inland_transport_to_port="hv dc grid",$BM140/100*1000*ER140,IF(inland_transport_to_port="pipeline",$BN140,0)),((F140/24/Shipping!$T$44+F140/24/Shipping!$T$50+Shipping!$T$59+Shipping!$T$64)*(Shipping!$T$22+wacc_nl*Shipping!$T$19/365.25*1000000+Shipping!$T$35)+(F140/24/Shipping!$T$44*Shipping!$T$45+Shipping!$T$64*Shipping!$T$65)*IF(bunker_choice="HFO",$H140,IF(bunker_choice="hydrogen",$BD140*hfo_e_density_lhv/h2_e_density_lhv,(EK140+EM140)*1000000/EO140*hfo_e_density_lhv/Dme_e_density_lhv))+(F140/24/Shipping!$T$50*Shipping!$T$51+Shipping!$T$59*Shipping!$T$60)*IF(bunker_choice="HFO",bunker_price_ROT,IF(bunker_choice="hydrogen",$BD140*hfo_e_density_lhv/h2_e_density_lhv,(EK140+EM140)*1000000/EO140*hfo_e_density_lhv/ome_e_density_lhv))+Shipping!$T$73+IF(G140="Panama",Shipping!$T$55,0)+IF(G140="Suez",Shipping!$T$56,0))/Shipping!$T$31*(EO140+ome_st_ab_losses)/1000000+IF(inland_transport_to_port="hv dc grid",$BM140/100*1000*ER140,IF(inland_transport_to_port="pipeline",$BN140,0)))))</f>
        <v>4542.4578507323613</v>
      </c>
      <c r="EQ140" s="28">
        <f t="shared" si="216"/>
        <v>214149.43149651441</v>
      </c>
      <c r="ER140" s="29">
        <f>(ome_e_demand)*(EO140+ome_st_ab_losses)/1000000+ome_st_e_demand*EM140/1000000+$CV140*(Carriers!$Z$21/Carriers!$Z$23*EO140)/$CS140</f>
        <v>3352.0814571351834</v>
      </c>
      <c r="ES140" s="29">
        <f t="shared" si="191"/>
        <v>0.1924238095238095</v>
      </c>
      <c r="ET140" s="28">
        <f>IFERROR(EQ140*1000000/Storage!$S$12,"")</f>
        <v>1669.3575916603243</v>
      </c>
      <c r="EU140" s="28">
        <f>IF($E140="","No Port",((F140/24/Shipping!$T$44+F140/24/Shipping!$T$50+Shipping!$T$59+Shipping!$T$64)*Carriers!$Z$39*wacc_nl))</f>
        <v>74.232566557043327</v>
      </c>
      <c r="EV140" s="100">
        <f>H2_retrieval!$R$25*h2_demand_kt/1000+(co2_liq_e_demand+co2_st_e_demand*2)*Storage!$S$12*co2_density/ome_density/1000000</f>
        <v>254.51942895252085</v>
      </c>
      <c r="EW140" s="28">
        <f>IFERROR((((EK140+EM140+EP140)*(1+H2_retrieval!$R$34)+EU140)*1000000/H2_retrieval!$R$8)+h2_regen_ome,"")</f>
        <v>14321.981785562695</v>
      </c>
      <c r="EX140" s="149">
        <f>(sng_invest*(M140+1/sng_lifetime)/sng_prod+lng_invest*(M140+1/lng_lifetime)/lng_prod+sng_opex+lng_opex+(sng_e_demand+lng_e_demand)*1000*$AU140/100+Carriers!$AB$18/Carriers!$AB$23*BD140+Carriers!$AB$20/Carriers!$AB$23*co2_liq_cost)*(FB140+lng_st_ab_losses)/1000000</f>
        <v>60194.251510041613</v>
      </c>
      <c r="EY140" s="86">
        <f>(sng_invest*(M140+1/sng_lifetime)/sng_prod+lng_invest*(M140+1/lng_lifetime)/lng_prod+sng_opex+lng_opex+(sng_e_demand+lng_e_demand)*1000*$AU140/100+Carriers!$AB$18/Carriers!$AB$23*BD140+Carriers!$AB$20/Carriers!$AB$23*BP140)*(FB140+lng_st_ab_losses)/1000000</f>
        <v>70265.484254010633</v>
      </c>
      <c r="EZ140" s="63">
        <f>lng_st_nl_cost*lng_st_nl_demand/1000000+(lng_st_invest*(M140+1/lng_st_lifetime+lng_st_opex)/(Storage!$U$63/1000000)+lng_st_e_demand*1000*$AU140/100)*(FB140+lng_st_ab_losses)/1000000+co2_st_nl_cost*Storage!$U$12*co2_density/lng_density/1000000+(co2_st_opex_lev+co2_st_invest_lev+co2_st_e_demand*1000*$AU140/100)*Storage!$U$12/1000000+co2_st_invest_lev*Storage!$U$12*co2_st_lifetime*M140/1000000+Carriers!$AB$18/Carriers!$AB$23*((FB140+lng_st_ab_losses)/365.25*short_st_duration_hrs/24)*(h2_short_st_invest*(1/gh2_short_st_lifetime+$M140+h2_short_st_opex)+h2_short_st_e_demand*1000*$AU140/100)/1000000+Carriers!$AB$20/Carriers!$AB$23*((FB140+lng_st_ab_losses)/365.25*short_st_duration_hrs/24)*(co2_short_st_invest*(1/co2_short_st_lifetime+$M140+co2_short_st_opex)+co2_short_st_e_demand*1000*$AU140/100)/1000000</f>
        <v>5764.9568665031302</v>
      </c>
      <c r="FA140" s="63">
        <f>lng_st_nl_cost*lng_st_nl_demand/1000000+(lng_st_invest*(M140+1/lng_st_lifetime+lng_st_opex)/(Storage!$U$63/1000000)+lng_st_e_demand*1000*$AU140/100)*(FB140+lng_st_ab_losses)/1000000+Carriers!$AB$18/Carriers!$AB$23*((FB140+lng_st_ab_losses)/365.25*short_st_duration_hrs/24)*(h2_short_st_invest*(1/gh2_short_st_lifetime+$M140+h2_short_st_opex)+h2_short_st_e_demand*1000*$AU140/100)/1000000+Carriers!$AB$20/Carriers!$AB$23*((FB140+lng_st_ab_losses)/365.25*short_st_duration_hrs/24)*(co2_short_st_invest*(1/co2_short_st_lifetime+$M140+co2_short_st_opex)+co2_short_st_e_demand*1000*$AU140/100)/1000000</f>
        <v>4258.3264107931182</v>
      </c>
      <c r="FB140" s="63">
        <f>Storage!$U$57/((1-Shipping!$V$37)^($F140/24/Shipping!$V$44+0.5*Shipping!$V$59))</f>
        <v>41121312.380889878</v>
      </c>
      <c r="FC140" s="28">
        <f>IF($E140="","No Port",IF(G140="Panama","Ship cannot pass through Panama",((F140/24/Shipping!$V$44+F140/24/Shipping!$V$50+Shipping!$V$59+Shipping!$V$64)*(Shipping!$V$22+wacc_nl*Shipping!$V$19/365.25*1000000+Shipping!$V$35)+(F140/24/Shipping!$V$44*Shipping!$V$45+Shipping!$V$64*Shipping!$V$65)*IF(bunker_choice="HFO",$H140,IF(bunker_choice="hydrogen",$BD140*hfo_e_density_lhv/h2_e_density_lhv,(EX140+EZ140)*1000000/FB140*hfo_e_density_lhv/lng_e_density_lhv))+(F140/24/Shipping!$V$50*Shipping!$V$51+Shipping!$V$59*Shipping!$V$60)*IF(bunker_choice="HFO",bunker_price_ROT,IF(bunker_choice="hydrogen",$BD140*hfo_e_density_lhv/h2_e_density_lhv,(EX140+EZ140)*1000000/FB140*hfo_e_density_lhv/lng_e_density_lhv))+Shipping!$V$73+IF(G140="Panama",Shipping!$V$55,0)+IF(G140="Suez",Shipping!$V$56,0))/Shipping!$V$31*(FB140+lng_st_ab_losses)/1000000)+IF(inland_transport_to_port="hv dc grid",$BM140/100*1000*FE140,IF(inland_transport_to_port="pipeline",$BN140,0)))</f>
        <v>2329.4815812997604</v>
      </c>
      <c r="FD140" s="28">
        <f t="shared" si="217"/>
        <v>76853.292246103505</v>
      </c>
      <c r="FE140" s="29">
        <f>((Carriers!$AB$18/Carriers!$AB$23*alk_el_e_demand)+sng_e_demand+lng_e_demand)*(FB140+lng_st_ab_losses)/1000000+lng_st_e_demand*EZ140/1000000</f>
        <v>1102.8446050281946</v>
      </c>
      <c r="FF140" s="29">
        <f t="shared" si="192"/>
        <v>0.8126185861001558</v>
      </c>
      <c r="FG140" s="28">
        <f>IFERROR(FD140*1000000/Storage!$U$12,"")</f>
        <v>1893.6785871028319</v>
      </c>
      <c r="FH140" s="28">
        <f>IF($E140="","No Port",((F140/24/Shipping!$V$44+F140/24/Shipping!$V$50+Shipping!$V$59+Shipping!$V$64)*Carriers!$AB$39*wacc_nl))</f>
        <v>22.076654848521809</v>
      </c>
      <c r="FI140" s="100">
        <f>H2_retrieval!$T$25*h2_demand_kt/1000+(co2_liq_e_demand+co2_st_e_demand*2)*Storage!$U$12*co2_density/lng_density/1000000</f>
        <v>236.51371749646054</v>
      </c>
      <c r="FJ140" s="28">
        <f>IFERROR((((EX140+EZ140+FC140)*(1+H2_retrieval!$T$34)+FH140)*1000000/H2_retrieval!$T$8)+h2_regen_lng,"")</f>
        <v>6192.9790294235445</v>
      </c>
      <c r="FK140" s="149">
        <f>(lh2_invest*(M140+1/lh2_lifetime)/lh2_prod+lh2_opex+lh2_e_demand*1000*$AU140/100+Carriers!$AD$18/Carriers!$AD$23*BD140)*(FM140+lh2_st_ab_losses)/1000000</f>
        <v>46544.957292294341</v>
      </c>
      <c r="FL140" s="28">
        <f>lh2_st_nl_cost*lh2_st_nl_demand/1000000+(lh2_st_invest*(M140+1/lh2_st_lifetime+lh2_st_opex)/(Storage!$Y$63/1000000)+lh2_st_e_demand*1000*$AU140/100)*(FM140+lh2_st_ab_losses)/1000000+((FM140+lh2_st_ab_losses)/365.25*short_st_duration_hrs/24)*(h2_short_st_invest*(1/gh2_short_st_lifetime+$M140+h2_short_st_opex)+h2_short_st_e_demand*1000*$AU140/100)/1000000</f>
        <v>49969.609165523623</v>
      </c>
      <c r="FM140" s="63">
        <f>Storage!$Y$57/((1-Shipping!$Z$37)^($F140/24/Shipping!$Z$44+0.5*Shipping!$Z$59))</f>
        <v>13883068.744625103</v>
      </c>
      <c r="FN140" s="28">
        <f>IF($E140="","No Port",IF(G140="Panama","Ship cannot pass through Panama",((F140/24/Shipping!$Z$44+F140/24/Shipping!$Z$50+Shipping!$Z$59+Shipping!$Z$64)*(Shipping!$Z$22+wacc_nl*Shipping!$Z$19/365.25*1000000+Shipping!$Z$35)+(F140/24/Shipping!$Z$44*Shipping!$Z$45+Shipping!$Z$64*Shipping!$Z$65)*IF(bunker_choice="HFO",$H140,IF(bunker_choice="hydrogen",$BD140*hfo_e_density_lhv/h2_e_density_lhv,(FK140+FL140)*1000000/FM140*hfo_e_density_lhv/lh2_e_density_lhv))+(F140/24/Shipping!$Z$50*Shipping!$Z$51+Shipping!$Z$59*Shipping!$Z$60)*IF(bunker_choice="HFO",bunker_price_ROT,IF(bunker_choice="hydrogen",$BD140*hfo_e_density_lhv/h2_e_density_lhv,(FK140+FL140)*1000000/FM140*hfo_e_density_lhv/lh2_e_density_lhv))+Shipping!$Z$73+IF(G140="Panama",Shipping!$Z$55,0)+IF(G140="Suez",Shipping!$Z$56,0))/Shipping!$Z$31*(FM140+lh2_st_ab_losses)/1000000)+IF(inland_transport_to_port="hv dc grid",$BM140/100*1000*FP140,IF(inland_transport_to_port="pipeline",$BN140,0)))</f>
        <v>3289.6387243708959</v>
      </c>
      <c r="FO140" s="28">
        <f t="shared" si="200"/>
        <v>99804.20518218886</v>
      </c>
      <c r="FP140" s="29">
        <f>((Carriers!$AD$18/Carriers!$AD$23*alk_el_e_demand)+lh2_e_demand)*(FM140+lh2_st_ab_losses)/1000000+lh2_st_e_demand*FM140/1000000</f>
        <v>804.51224140145837</v>
      </c>
      <c r="FQ140" s="100">
        <f t="shared" si="193"/>
        <v>1.361902463475859</v>
      </c>
      <c r="FR140" s="28">
        <f>IFERROR(FO140*1000000/Storage!$Y$12,"")</f>
        <v>7338.5444986903576</v>
      </c>
      <c r="FS140" s="100">
        <f>H2_retrieval!$V$25*h2_demand_kt/1000</f>
        <v>8.16</v>
      </c>
      <c r="FT140" s="28">
        <f>IFERROR(FR140*(1+H2_retrieval!$V$34)/Carrier_properties!$U$7+H2_retrieval!$V$38,"")</f>
        <v>7370.5132245588247</v>
      </c>
      <c r="FU140" s="12"/>
      <c r="FV140" s="24">
        <f t="shared" si="201"/>
        <v>1.9791905884116219</v>
      </c>
      <c r="FW140" s="24" t="str">
        <f t="shared" si="143"/>
        <v/>
      </c>
      <c r="FX140" s="24">
        <f t="shared" si="144"/>
        <v>5.7986410310863334</v>
      </c>
      <c r="FY140" s="24">
        <f t="shared" si="202"/>
        <v>1.9791905884116219</v>
      </c>
      <c r="FZ140" s="28">
        <f t="shared" si="145"/>
        <v>2538.7160809964398</v>
      </c>
      <c r="GA140" s="28">
        <f t="shared" si="218"/>
        <v>573.91294077234443</v>
      </c>
      <c r="GB140" s="28">
        <f t="shared" si="219"/>
        <v>359.01765074042055</v>
      </c>
      <c r="GC140" s="28">
        <f t="shared" si="220"/>
        <v>639.73053253824639</v>
      </c>
      <c r="GD140" s="28">
        <f t="shared" si="221"/>
        <v>930.99737157910761</v>
      </c>
      <c r="GE140" s="28">
        <f t="shared" si="222"/>
        <v>1621.2954368811052</v>
      </c>
      <c r="GF140" s="28">
        <f t="shared" si="223"/>
        <v>1708.7364236620228</v>
      </c>
      <c r="GG140" s="12"/>
      <c r="GH140" s="12"/>
      <c r="GI140" s="12"/>
      <c r="GJ140" s="12"/>
      <c r="GK140" s="12"/>
      <c r="GL140" s="12"/>
      <c r="GM140" s="12"/>
      <c r="GN140" s="12"/>
      <c r="GO140" s="12"/>
      <c r="GP140" s="12"/>
      <c r="GQ140" s="12"/>
      <c r="GR140" s="12"/>
      <c r="GS140" s="12"/>
      <c r="GT140" s="12"/>
      <c r="GU140" s="12"/>
      <c r="GV140" s="12"/>
      <c r="GW140" s="12"/>
      <c r="GX140" s="12"/>
      <c r="GY140" s="12"/>
      <c r="GZ140" s="12"/>
      <c r="HA140" s="12"/>
      <c r="HB140" s="12"/>
      <c r="HC140" s="12"/>
      <c r="HD140" s="12"/>
      <c r="HE140" s="12"/>
      <c r="HF140" s="12"/>
    </row>
    <row r="141" spans="1:214" x14ac:dyDescent="0.2">
      <c r="A141" s="154" t="s">
        <v>138</v>
      </c>
      <c r="B141" s="12">
        <v>4356</v>
      </c>
      <c r="C141" s="12">
        <v>1</v>
      </c>
      <c r="D141" s="12">
        <f t="shared" si="194"/>
        <v>0</v>
      </c>
      <c r="E141" s="12"/>
      <c r="F141" s="12"/>
      <c r="G141" s="12"/>
      <c r="H141" s="16">
        <f t="shared" si="203"/>
        <v>382.75862068965517</v>
      </c>
      <c r="I141" s="16">
        <v>469930</v>
      </c>
      <c r="J141" s="16">
        <f t="shared" si="195"/>
        <v>386.76008689412191</v>
      </c>
      <c r="K141" s="16" t="str">
        <f t="shared" si="196"/>
        <v/>
      </c>
      <c r="L141" s="103">
        <v>0.20499999999999999</v>
      </c>
      <c r="M141" s="103">
        <f t="shared" si="204"/>
        <v>0.18639125001566037</v>
      </c>
      <c r="N141" s="122">
        <f t="shared" si="197"/>
        <v>0.9</v>
      </c>
      <c r="O141" s="46">
        <f t="shared" si="205"/>
        <v>40</v>
      </c>
      <c r="P141" s="70">
        <f t="array" ref="P141">SUMPRODUCT(IF(Solar_data!A$4:A$777=A141,Solar_data!C$4:C$777),IF(Solar_data!A$4:A$777=A141,Solar_data!I$4:I$777))/SUMIF(Solar_data!A$4:A$777,A141,Solar_data!I$4:I$777)</f>
        <v>1806.5368345090897</v>
      </c>
      <c r="Q141" s="16">
        <f t="array" ref="Q141">MAX(IF(Solar_data!$A$777:'Solar_data'!$A$4=Country_details!$A141,Solar_data!$C$4:'Solar_data'!$C$777))</f>
        <v>1916.25</v>
      </c>
      <c r="R141" s="16">
        <f t="array" ref="R141">MIN(IF(Solar_data!$A$777:'Solar_data'!$A$4=Country_details!A141,Solar_data!$C$4:'Solar_data'!$C$777))</f>
        <v>1551.25</v>
      </c>
      <c r="S141" s="24">
        <f t="shared" si="176"/>
        <v>3.425353628125491</v>
      </c>
      <c r="T141" s="24">
        <f t="shared" si="177"/>
        <v>3.2292380954614743</v>
      </c>
      <c r="U141" s="24">
        <f t="shared" si="178"/>
        <v>3.9890588238053506</v>
      </c>
      <c r="V141" s="16">
        <f t="array" ref="V141">SUM(IF(Solar_data!$A$777:'Solar_data'!$A$4=Country_details!$A141,Solar_data!$I$4:'Solar_data'!$I$777))</f>
        <v>4006.0515885492096</v>
      </c>
      <c r="W141" s="148"/>
      <c r="X141" s="16" t="str">
        <f>IFERROR(INDEX(Onshore_wind_data!$J$5:'Onshore_wind_data'!$J$221,MATCH(A141,Onshore_wind_data!$B$5:'Onshore_wind_data'!$B$221,0)),"")</f>
        <v/>
      </c>
      <c r="Y141" s="16" t="str">
        <f>IFERROR(INDEX(Onshore_wind_data!$K$5:'Onshore_wind_data'!$K$221,MATCH(A141,Onshore_wind_data!$B$5:'Onshore_wind_data'!$B$221,0)),"")</f>
        <v/>
      </c>
      <c r="Z141" s="16" t="str">
        <f>IFERROR(INDEX(Onshore_wind_data!$L$5:'Onshore_wind_data'!$L$221,MATCH(A141,Onshore_wind_data!$B$5:'Onshore_wind_data'!$B$221,0)),"")</f>
        <v/>
      </c>
      <c r="AA141" s="24" t="str">
        <f t="shared" si="206"/>
        <v/>
      </c>
      <c r="AB141" s="24" t="str">
        <f t="shared" si="207"/>
        <v/>
      </c>
      <c r="AC141" s="24" t="str">
        <f t="shared" si="208"/>
        <v/>
      </c>
      <c r="AD141" s="16">
        <f>IFERROR(INDEX(Onshore_wind_data!$I$5:'Onshore_wind_data'!$I$221,MATCH(A141,Onshore_wind_data!$B$5:'Onshore_wind_data'!$B$221,0)),"")</f>
        <v>0</v>
      </c>
      <c r="AE141" s="148"/>
      <c r="AF141" s="16" t="str">
        <f>INDEX(Offshore_wind_data!$AA$7:$AA$192,MATCH(Country_details!A141,Offshore_wind_data!$A$7:$A$192,0))</f>
        <v/>
      </c>
      <c r="AG141" s="16" t="str">
        <f>INDEX(Offshore_wind_data!$Y$7:$Y$192,MATCH(Country_details!A141,Offshore_wind_data!$A$7:$A$192,0))</f>
        <v/>
      </c>
      <c r="AH141" s="16" t="str">
        <f>INDEX(Offshore_wind_data!$Z$7:$Z$192,MATCH(Country_details!A141,Offshore_wind_data!$A$7:$A$192,0))</f>
        <v/>
      </c>
      <c r="AI141" s="24" t="str">
        <f t="shared" si="179"/>
        <v/>
      </c>
      <c r="AJ141" s="24" t="str">
        <f t="shared" si="180"/>
        <v/>
      </c>
      <c r="AK141" s="24" t="str">
        <f t="shared" si="181"/>
        <v/>
      </c>
      <c r="AL141" s="16">
        <f>INDEX(Offshore_wind_data!$W$7:$W$191,MATCH(A141,Offshore_wind_data!$A$7:$A$191,0))</f>
        <v>0</v>
      </c>
      <c r="AM141" s="148"/>
      <c r="AN141" s="12">
        <v>5.8</v>
      </c>
      <c r="AO141" s="12">
        <v>7.9</v>
      </c>
      <c r="AP141" s="34">
        <f>5.011*11.63</f>
        <v>58.277930000000005</v>
      </c>
      <c r="AQ141" s="15">
        <f t="shared" si="182"/>
        <v>50</v>
      </c>
      <c r="AR141" s="12">
        <f t="shared" si="212"/>
        <v>395</v>
      </c>
      <c r="AS141" s="16">
        <f t="shared" si="198"/>
        <v>3611.0515885492096</v>
      </c>
      <c r="AT141" s="12"/>
      <c r="AU141" s="24">
        <f t="shared" si="183"/>
        <v>3.425353628125491</v>
      </c>
      <c r="AV141" s="16">
        <f t="shared" si="184"/>
        <v>1806.5368345090897</v>
      </c>
      <c r="AW141" s="149">
        <f>HV_DC_Grid!$E$3/(1-AX141)*AU141/100*1000</f>
        <v>3784.3152564731045</v>
      </c>
      <c r="AX141" s="31">
        <f>(1-(1-HV_DC_Grid!$E$25)^(B141*C141*HV_DC_Grid!$E$8/1000))+(1-(1-HV_DC_Grid!$E$26)^(B141*D141*HV_DC_Grid!$E$8/1000))+HV_DC_Grid!$E$35*HV_DC_Grid!$E$28</f>
        <v>9.4855106940048381E-2</v>
      </c>
      <c r="AY141" s="28">
        <f>B141*nl_e_demand/IF(hv_dc_flh="electricity FLH",$AV141,hv_dc_custom)*1000*hv_dc_capacity_multiplier*hv_dc_length_multiplier*1000*(C141*hv_dc_overhead_invest*(hv_dc_overhead_opex+M141+1/hv_dc_lifetime)+D141*hv_dc_sea_invest*(hv_dc_sea_opex+M141+1/hv_dc_lifetime))/1000000+HV_DC_Grid!$E$10*1000*hv_dc_station_invest*hv_dc_station_number*(hv_dc_station_opex+M141+1/hv_dc_lifetime)/1000000</f>
        <v>5676.4008052015279</v>
      </c>
      <c r="AZ141" s="24">
        <f>(AW141+AY141)/(HV_DC_Grid!$E$3*1000)*100</f>
        <v>9.4607160616746331</v>
      </c>
      <c r="BA141" s="28">
        <f>MIN(((Carriers!$F$26+Carriers!$F$27)*(alk_el_opex+wacc_nl+1/alk_el_lifetime)+IF(hv_dc_flh="electricity FLH",$AV141,hv_dc_custom)*AZ141/100)/(IF(hv_dc_flh="electricity FLH",$AV141,hv_dc_custom)/alk_el_e_demand)*1000,((Carriers!$H$26+Carriers!$H$27)*(pem_el_opex+wacc_nl+1/pem_el_lifetime)+IF(hv_dc_flh="electricity FLH",$AV141,hv_dc_custom)*AZ141/100)/(IF(hv_dc_flh="electricity FLH",$AV141,hv_dc_custom)/pem_el_e_demand)*1000)</f>
        <v>5184.0162507494024</v>
      </c>
      <c r="BB141" s="12"/>
      <c r="BC141" s="12"/>
      <c r="BD141" s="149">
        <f>MIN(((Carriers!$F$26+Carriers!$F$27)*(alk_el_opex+M141+1/alk_el_lifetime)+$AV141*$AU141/100)/($AV141/alk_el_e_demand)*1000,((Carriers!$H$26+Carriers!$H$27)*(pem_el_opex+M141+1/pem_el_lifetime)+$AV141*$AU141/100)/($AV141/pem_el_e_demand)*1000)</f>
        <v>4244.9800783480978</v>
      </c>
      <c r="BE141" s="28">
        <f>Storage!$AC$50</f>
        <v>8.1664117557772418</v>
      </c>
      <c r="BF141" s="28">
        <f>((Pipeline!$D$22*Pipeline!$D$24*B141*(pipeline_opex+M141+1/pipeline_lifetime))*(Pipeline!$D$39/Pipeline!$D$3)+(Pipeline!$D$57*(pipeline_comp_opex+M141+1/pipeline_comp_lifetime)+Pipeline!$D$47*1000*Pipeline!$D$45*$AU141/100/1000000))*(Pipeline!$D$75/Pipeline!$D$45)</f>
        <v>12991.363302202715</v>
      </c>
      <c r="BG141" s="28">
        <f>BD141+(BE141+BF141)/Storage!$AC$12*1000000</f>
        <v>5200.8278514332815</v>
      </c>
      <c r="BH141" s="28"/>
      <c r="BI141" s="28"/>
      <c r="BJ141" s="28" t="str">
        <f>IF($E141="","No Port",BK141*HV_DC_Grid!$E$3*$AU141/100*1000)</f>
        <v>No Port</v>
      </c>
      <c r="BK141" s="31" t="str">
        <f>IFERROR((1-(1-HV_DC_Grid!$E$25)^(K141*HV_DC_Grid!$E$8/1000))+HV_DC_Grid!$E$35*HV_DC_Grid!$E$28,"")</f>
        <v/>
      </c>
      <c r="BL141" s="28" t="str">
        <f>IFERROR(K141*nl_e_demand/IF(hv_dc_flh="electricity FLH",$AV141,hv_dc_custom)*1000*hv_dc_capacity_multiplier*hv_dc_length_multiplier*1000*(hv_dc_overhead_invest*(hv_dc_overhead_opex+M141+1/hv_dc_lifetime))/1000000+HV_DC_Grid!$E$10*1000*hv_dc_station_invest*hv_dc_station_number*(hv_dc_station_opex+M141+1/hv_dc_lifetime)/1000000,"")</f>
        <v/>
      </c>
      <c r="BM141" s="29" t="str">
        <f>IFERROR((BJ141+BL141)/(HV_DC_Grid!$E$3*1000)*100,"")</f>
        <v/>
      </c>
      <c r="BN141" s="28" t="str">
        <f>IFERROR(((Pipeline!$D$22*Pipeline!$D$24*K141*(pipeline_opex+M141+1/pipeline_lifetime))*(Pipeline!$D$39/Pipeline!$D$3)+(Pipeline!$D$57*(pipeline_comp_opex+M141+1/pipeline_comp_lifetime)+Pipeline!$D$47*1000*Pipeline!$D$45*S141/100/1000000))*(Pipeline!$D$75/Pipeline!$D$45),"")</f>
        <v/>
      </c>
      <c r="BO141" s="28"/>
      <c r="BP141" s="150">
        <f t="shared" si="209"/>
        <v>148.5350699625204</v>
      </c>
      <c r="BQ141" s="34">
        <f t="shared" si="210"/>
        <v>44.345029882329861</v>
      </c>
      <c r="BR141" s="151">
        <f>(nh3_invest*(M141+1/nh3_lifetime)/nh3_prod+nh3_opex+nh3_e_demand*1000*$AU141/100+Carriers!$N$18/Carriers!$N$23*BD141+Carriers!$N$19/Carriers!$N$23*BQ141)*(BT141+nh3_st_ab_losses)/1000000</f>
        <v>72400.93945066123</v>
      </c>
      <c r="BS141" s="63">
        <f>nh3_st_nl_cost*nh3_st_nl_demand/1000000+(nh3_st_invest*(M141+1/nh3_st_lifetime+nh3_st_opex)/(Storage!$G$63/1000000)+nh3_st_e_demand*1000*$AU141/100)*(BT141+nh3_st_ab_losses)/1000000+Carriers!$N$18/Carriers!$N$23*((BT141+nh3_st_ab_losses)/365.25*short_st_duration_hrs/24)*(h2_short_st_invest*(1/gh2_short_st_lifetime+$M141+h2_short_st_opex)+h2_short_st_e_demand*1000*$AU141/100)/1000000+Carriers!$N$19/Carriers!$N$23*((BT141+nh3_st_ab_losses)/365.25*short_st_duration_hrs/24)*(n2_short_st_invest*(1/n2_short_st_lifetime+$M141+n2_short_st_opex)+n2_short_st_e_demand*1000*$AU141/100)/1000000</f>
        <v>4091.7963478947922</v>
      </c>
      <c r="BT141" s="63">
        <f>Storage!$G$57/((1-Shipping!$H$37)^(F141/24/Shipping!$H$44+0.5*Shipping!$H$59))</f>
        <v>76857210.785724297</v>
      </c>
      <c r="BU141" s="63" t="str">
        <f>IF($E141="","No Port",((F141/24/Shipping!$H$44+F141/24/Shipping!$H$50+Shipping!$H$59+Shipping!$H$64)*(Shipping!$H$22+wacc_nl*Shipping!$H$19/365.25*1000000+Shipping!$H$35)+(F141/24/Shipping!$H$44*Shipping!$H$45+Shipping!$H$64*Shipping!$H$65)*IF(bunker_choice="HFO",H141,IF(bunker_choice="hydrogen",BD141*hfo_e_density_lhv/h2_e_density_lhv,(BR141+BS141)*1000000/BT141*hfo_e_density_lhv/nh3_e_density_lhv))+(F141/24/Shipping!$H$50*Shipping!$H$51+Shipping!$H$59*Shipping!$H$60)*IF(bunker_choice="HFO",bunker_price_ROT,IF(bunker_choice="hydrogen",BD141*hfo_e_density_lhv/h2_e_density_lhv,(BR141+BS141)*1000000/BT141*hfo_e_density_lhv/nh3_e_density_lhv))+Shipping!$H$73+IF(G141="Panama",Shipping!$H$55,0)+IF(G141="Suez",Shipping!$H$56,0))/Shipping!$H$31*BT141/1000000+IF(inland_transport_to_port="hv dc grid",$BM141/100*1000*BW141,IF(inland_transport_to_port="pipeline",$BN141,0)))</f>
        <v>No Port</v>
      </c>
      <c r="BV141" s="63" t="str">
        <f t="shared" si="199"/>
        <v/>
      </c>
      <c r="BW141" s="33">
        <f>((Carriers!$N$18/Carriers!$N$23*alk_el_e_demand)+(Carriers!$N$19/Carriers!$N$23*n2_e_demand)+nh3_e_demand)*(BT141+nh3_st_ab_losses)/1000000+nh3_st_e_demand*BT141/1000000</f>
        <v>759.00171168026975</v>
      </c>
      <c r="BX141" s="33">
        <f t="shared" si="185"/>
        <v>0.76626754477640768</v>
      </c>
      <c r="BY141" s="63" t="str">
        <f>IFERROR(BV141*1000000/Storage!$G$12,"")</f>
        <v/>
      </c>
      <c r="BZ141" s="63">
        <f>H2_retrieval!$F$25*h2_demand_kt/1000</f>
        <v>80</v>
      </c>
      <c r="CA141" s="63" t="str">
        <f>IFERROR(BY141*(1+H2_retrieval!$F$34)/Carrier_properties!$E$7+H2_retrieval!$F$38,"")</f>
        <v/>
      </c>
      <c r="CB141" s="149">
        <f>(FA_invest*(M141+1/FA_lifetime)/FA_prod+FA_opex+FA_e_demand*1000*$AU141/100+Carriers!$P$18/Carriers!$P$23*BD141+Carriers!$P$20/Carriers!$P$23*co2_liq_cost)*(CF141+FA_st_ab_losses)/1000000</f>
        <v>143936.62742180465</v>
      </c>
      <c r="CC141" s="86">
        <f>(FA_invest*(M141+1/FA_lifetime)/FA_prod+FA_opex+FA_e_demand*1000*$AU141/100+Carriers!$P$18/Carriers!$P$23*BD141+Carriers!$P$20/Carriers!$P$23*BP141)*(CF141+FA_st_ab_losses)/1000000</f>
        <v>180341.95703725264</v>
      </c>
      <c r="CD141" s="63">
        <f>FA_st_nl_cost*FA_st_nl_demand/1000000+(FA_st_invest*(M141+1/FA_st_lifetime+FA_st_opex)/(Storage!$I$63/1000000)+FA_st_e_demand*1000*$AU141/100)*(CF141+FA_st_ab_losses)/1000000+co2_st_nl_cost*Storage!$I$12*co2_density/FA_density/1000000+(co2_st_opex_lev+co2_st_invest_lev+co2_st_e_demand*1000*$AU141/100)*Storage!$I$12/1000000+co2_st_invest_lev*Storage!$I$12*co2_st_lifetime*M141/1000000+Carriers!$P$18/Carriers!$P$23*((CF141+FA_st_ab_losses)/365.25*short_st_duration_hrs/24)*(h2_short_st_invest*(1/gh2_short_st_lifetime+$M141+h2_short_st_opex)+h2_short_st_e_demand*1000*$AU141/100)/1000000+Carriers!$P$20/Carriers!$P$23*((CF141+FA_st_ab_losses)/365.25*short_st_duration_hrs/24)*(co2_short_st_invest*(1/co2_short_st_lifetime+$M141+co2_short_st_opex)+co2_short_st_e_demand*1000*$AU141/100)/1000000</f>
        <v>13991.563085965494</v>
      </c>
      <c r="CE141" s="63">
        <f>FA_st_nl_cost*FA_st_nl_demand/1000000+(FA_st_invest*(M141+1/FA_st_lifetime+FA_st_opex)/(Storage!$I$63/1000000)+FA_st_e_demand*1000*$AU141/100)*(CF141+FA_st_ab_losses)/1000000+Carriers!$P$18/Carriers!$P$23*((CF141+FA_st_ab_losses)/365.25*short_st_duration_hrs/24)*(h2_short_st_invest*(1/gh2_short_st_lifetime+$M141+h2_short_st_opex)+h2_short_st_e_demand*1000*$AU141/100)/1000000+Carriers!$P$20/Carriers!$P$23*((CF141+FA_st_ab_losses)/365.25*short_st_duration_hrs/24)*(co2_short_st_invest*(1/co2_short_st_lifetime+$M141+co2_short_st_opex)+co2_short_st_e_demand*1000*$AU141/100)/1000000</f>
        <v>6181.1239741443942</v>
      </c>
      <c r="CF141" s="63">
        <f>Storage!$I$57/((1-Shipping!$J$37)^($F141/24/Shipping!$J$44+0.5*Shipping!$J$59))</f>
        <v>310425396.82539684</v>
      </c>
      <c r="CG141" s="28" t="str">
        <f>IF($E141="","No Port",((F141/24/Shipping!$J$44+F141/24/Shipping!$J$50+Shipping!$J$59+Shipping!$J$64)*(Shipping!$J$22+wacc_nl*Shipping!$J$19/365.25*1000000+Shipping!$J$35)+(F141/24/Shipping!$J$44*Shipping!$J$45+Shipping!$J$64*Shipping!$J$65)*IF(bunker_choice="HFO",$H141,IF(bunker_choice="hydrogen",$BD141*hfo_e_density_lhv/h2_e_density_lhv,(CB141+CD141)*1000000/CF141*hfo_e_density_lhv/FA_e_density_lhv))+(F141/24/Shipping!$J$50*Shipping!$J$51+Shipping!$J$59*Shipping!$J$60)*IF(bunker_choice="HFO",bunker_price_ROT,IF(bunker_choice="hydrogen",$BD141*hfo_e_density_lhv/h2_e_density_lhv,(CB141+CD141)*1000000/CF141*hfo_e_density_lhv/FA_e_density_lhv))+Shipping!$J$73+IF(G141="Panama",Shipping!$J$55,0)+IF(G141="Suez",Shipping!$J$56,0))/Shipping!$J$31*CF141/1000000+IF(inland_transport_to_port="hv dc grid",$BM141/100*1000*CI141,IF(inland_transport_to_port="pipeline",$BN141,0)))</f>
        <v>No Port</v>
      </c>
      <c r="CH141" s="28" t="str">
        <f t="shared" si="213"/>
        <v/>
      </c>
      <c r="CI141" s="29">
        <f>((Carriers!$P$18/Carriers!$P$23*alk_el_e_demand)+FA_e_demand)*(CF141+FA_st_ab_losses)/1000000+FA_st_e_demand*CF141/1000000</f>
        <v>1897.8881241622576</v>
      </c>
      <c r="CJ141" s="29">
        <f t="shared" si="186"/>
        <v>0.46563809523809524</v>
      </c>
      <c r="CK141" s="28" t="str">
        <f>IFERROR(CH141*1000000/Storage!$I$12,"")</f>
        <v/>
      </c>
      <c r="CL141" s="28" t="str">
        <f>IF($E141="","No Port",((F141/24/Shipping!$J$44+F141/24/Shipping!$J$50+Shipping!$J$59+Shipping!$J$64)*Carriers!$P$39*wacc_nl))</f>
        <v>No Port</v>
      </c>
      <c r="CM141" s="29">
        <f>H2_retrieval!$H$25*h2_demand_kt/1000+(co2_liq_e_demand+co2_st_e_demand*2)*Storage!$I$12*co2_density/FA_density/1000000</f>
        <v>94.204253879484654</v>
      </c>
      <c r="CN141" s="28" t="str">
        <f>IFERROR((((CB141+CD141+CG141)*(1+H2_retrieval!$H$34)+CL141)*1000000/H2_retrieval!$H$8)+h2_regen_fa,"")</f>
        <v/>
      </c>
      <c r="CO141" s="149">
        <f>(meoh_invest*(M141+1/meoh_lifetime)/meoh_prod+meoh_opex+meoh_e_demand*1000*$AU141/100+Carriers!$R$18/Carriers!$R$23*BD141+Carriers!$R$20/Carriers!$R$23*co2_liq_cost)*(CS141+meoh_st_ab_losses)/1000000</f>
        <v>92255.392575866601</v>
      </c>
      <c r="CP141" s="86">
        <f>(meoh_invest*(M141+1/meoh_lifetime)/meoh_prod+meoh_opex+meoh_e_demand*1000*$AU141/100+Carriers!$R$18/Carriers!$R$23*BD141+Carriers!$R$20/Carriers!$R$23*BP141)*(CS141+meoh_st_ab_losses)/1000000</f>
        <v>113626.44495951566</v>
      </c>
      <c r="CQ141" s="63">
        <f>meoh_st_nl_cost*meoh_st_nl_demand/1000000+(meoh_st_invest*(M141+1/meoh_st_lifetime+meoh_st_opex)/(Storage!$K$63/1000000)+meoh_st_e_demand*1000*$AU141/100)*(CS141+meoh_st_ab_losses)/1000000+co2_st_nl_cost*Storage!$K$12*co2_density/meoh_density/1000000+(co2_st_opex_lev+co2_st_invest_lev+co2_st_e_demand*1000*IFERROR(MIN(S141,AA141,AI141),S141)/100)*Storage!$K$12/1000000+co2_st_invest_lev*Storage!$K$12*co2_st_lifetime*M141/1000000+Carriers!$R$18/Carriers!$R$23*((CS141+meoh_st_ab_losses)/365.25*short_st_duration_hrs/24)*(h2_short_st_invest*(1/gh2_short_st_lifetime+$M141+h2_short_st_opex)+h2_short_st_e_demand*1000*$AU141/100)/1000000+Carriers!$R$20/Carriers!$R$23*((CF141+meoh_st_ab_losses)/365.25*short_st_duration_hrs/24)*(co2_short_st_invest*(1/co2_short_st_lifetime+$M141+co2_short_st_opex)+co2_short_st_e_demand*1000*$AU141/100)/1000000</f>
        <v>5822.7657395828583</v>
      </c>
      <c r="CR141" s="63">
        <f>meoh_st_nl_cost*meoh_st_nl_demand/1000000+(meoh_st_invest*(M141+1/meoh_st_lifetime+meoh_st_opex)/(Storage!$K$63/1000000)+meoh_st_e_demand*1000*$AU141/100)*(CS141+meoh_st_ab_losses)/1000000+Carriers!$R$18/Carriers!$R$23*((CS141+meoh_st_ab_losses)/365.25*short_st_duration_hrs/24)*(h2_short_st_invest*(1/gh2_short_st_lifetime+$M141+h2_short_st_opex)+h2_short_st_e_demand*1000*$AU141/100)/1000000+Carriers!$R$20/Carriers!$R$23*((CF141+meoh_st_ab_losses)/365.25*short_st_duration_hrs/24)*(co2_short_st_invest*(1/co2_short_st_lifetime+$M141+co2_short_st_opex)+co2_short_st_e_demand*1000*$AU141/100)/1000000</f>
        <v>2505.3226997038764</v>
      </c>
      <c r="CS141" s="63">
        <f>Storage!$K$57/((1-Shipping!$L$37)^($F141/24/Shipping!$L$44+0.5*Shipping!$L$59))</f>
        <v>108044444.44444443</v>
      </c>
      <c r="CT141" s="28" t="str">
        <f>IF($E141="","No Port",IF(AND(ship_choice="VLCC",G141="Panama"),"Ship cannot pass through Panama",IF(ship_choice="VLCC",((F141/24/Shipping!$AD$44+F141/24/Shipping!$AD$50+Shipping!$AD$59+Shipping!$AD$64)*(Shipping!$AD$22+wacc_nl*Shipping!$AD$19/365.25*1000000+Shipping!$AD$35)+(F141/24/Shipping!$AD$44*Shipping!$AD$45+Shipping!$AD$64*Shipping!$AD$65)*IF(bunker_choice="HFO",$H141,IF(bunker_choice="hydrogen",$BD141*hfo_e_density_lhv/h2_e_density_lhv,(CO141+CQ141)*1000000/CS141*hfo_e_density_lhv/meoh_e_density_lhv))+(F141/24/Shipping!$AD$50*Shipping!$AD$51+Shipping!$AD$59*Shipping!$AD$60)*IF(bunker_choice="HFO",bunker_price_ROT,IF(bunker_choice="hydrogen",$BD141*hfo_e_density_lhv/h2_e_density_lhv,(CO141+CQ141)*1000000/CS141*hfo_e_density_lhv/meoh_e_density_lhv))+Shipping!$AD$73+IF(G141="Panama",Shipping!$AD$55,0)+IF(G141="Suez",Shipping!$AD$56,0))/Shipping!$AD$31*CS141/1000000+IF(inland_transport_to_port="hv dc grid",$BM141/100*1000*CV141,IF(inland_transport_to_port="pipeline",$BN141,0)),((F141/24/Shipping!$L$44+F141/24/Shipping!$L$50+Shipping!$L$59+Shipping!$L$64)*(Shipping!$L$22+wacc_nl*Shipping!$L$19/365.25*1000000+Shipping!$L$35)+(F141/24/Shipping!$L$44*Shipping!$L$45+Shipping!$L$64*Shipping!$L$65)*IF(bunker_choice="HFO",$H141,IF(bunker_choice="hydrogen",$BD141*hfo_e_density_lhv/h2_e_density_lhv,(CO141+CQ141)*1000000/CS141*hfo_e_density_lhv/meoh_e_density_lhv))+(F141/24/Shipping!$L$50*Shipping!$L$51+Shipping!$L$59*Shipping!$L$60)*IF(bunker_choice="HFO",bunker_price_ROT,IF(bunker_choice="hydrogen",$BD141*hfo_e_density_lhv/h2_e_density_lhv,(CO141+CQ141)*1000000/CS141*hfo_e_density_lhv/meoh_e_density_lhv))+Shipping!$L$73+IF(G141="Panama",Shipping!$L$55,0)+IF(G141="Suez",Shipping!$L$56,0))/Shipping!$L$31*CS141/1000000+IF(inland_transport_to_port="hv dc grid",$BM141/100*1000*CV141,IF(inland_transport_to_port="pipeline",$BN141,0)))))</f>
        <v>No Port</v>
      </c>
      <c r="CU141" s="28" t="str">
        <f t="shared" si="214"/>
        <v/>
      </c>
      <c r="CV141" s="29">
        <f>((Carriers!$R$18/Carriers!$R$23*alk_el_e_demand)+meoh_e_demand)*(CS141+meoh_st_ab_losses)/1000000+meoh_st_e_demand*CS141/1000000</f>
        <v>1119.9789871111109</v>
      </c>
      <c r="CW141" s="29">
        <f t="shared" si="187"/>
        <v>0.16206666666666666</v>
      </c>
      <c r="CX141" s="28" t="str">
        <f>IFERROR(CU141*1000000/Storage!$K$12,"")</f>
        <v/>
      </c>
      <c r="CY141" s="28" t="str">
        <f>IF($E141="","No Port",((F141/24/Shipping!$L$44+F141/24/Shipping!$L$50+Shipping!$L$59+Shipping!$L$64)*Carriers!$R$39*wacc_nl))</f>
        <v>No Port</v>
      </c>
      <c r="CZ141" s="29">
        <f>H2_retrieval!$J$25*h2_demand_kt/1000+(co2_liq_e_demand+co2_st_e_demand*2)*Storage!$K$12*co2_density/meoh_density/1000000</f>
        <v>251.05079059698966</v>
      </c>
      <c r="DA141" s="28" t="str">
        <f>IFERROR((((CO141+CQ141+CT141)*(1+H2_retrieval!$J$34)+CY141)*1000000/H2_retrieval!$J$8)+h2_regen_meoh,"")</f>
        <v/>
      </c>
      <c r="DB141" s="149">
        <f>(DBT_invest*(M141+1/DBT_lifetime)/DBT_prod+DBT_opex+DBT_e_demand*1000*$AU141/100+Carriers!$T$18/Carriers!$T$23*BD141)*(DD141+DBT_st_ab_losses)/1000000</f>
        <v>61707.421505938626</v>
      </c>
      <c r="DC141" s="28">
        <f>2*(DBT_st_nl_cost*DBT_st_nl_demand/1000000+(DBT_st_invest*(M141+1/DBT_st_lifetime+DBT_st_opex)/(Storage!$M$63/1000000)+DBT_st_e_demand*1000*$AU141/100)*(DD141+DBT_st_ab_losses)/1000000)+Carriers!$T$18/Carriers!$T$23*((DD141+DBT_st_ab_losses)/365.25*short_st_duration_hrs/24)*(h2_short_st_invest*(1/gh2_short_st_lifetime+$M141+h2_short_st_opex)+h2_short_st_e_demand*1000*$AU141/100)/1000000</f>
        <v>5018.2319231105603</v>
      </c>
      <c r="DD141" s="63">
        <f>Storage!$M$57/((1-Shipping!$N$37)^($F141/24/Shipping!$N$44+0.5*Shipping!$N$59))</f>
        <v>219354838.70967743</v>
      </c>
      <c r="DE141" s="28" t="str">
        <f>IF($E141="","No Port",IF(AND(ship_choice="VLCC",G141="Panama"),"Ship cannot pass through Panama",IF(ship_choice="VLCC",((F141/24/Shipping!$AD$44+F141/24/Shipping!$AD$50+Shipping!$AD$59+Shipping!$AD$64)*(Shipping!$AD$22+wacc_nl*Shipping!$AD$19/365.25*1000000+Shipping!$AD$35)+(F141/24/Shipping!$AD$44*Shipping!$AD$45+Shipping!$AD$64*Shipping!$AD$65)*IF(bunker_choice="HFO",$H141,IF(bunker_choice="hydrogen",$BD141*hfo_e_density_lhv/h2_e_density_lhv,(DB141+DC141)*1000000/DD141*hfo_e_density_lhv/DBT_e_density_lhv))+(F141/24/Shipping!$AD$50*Shipping!$AD$51+Shipping!$AD$59*Shipping!$AD$60)*IF(bunker_choice="HFO",bunker_price_ROT,IF(bunker_choice="hydrogen",$BD141*hfo_e_density_lhv/h2_e_density_lhv,(DB141+DC141)*1000000/DD141*hfo_e_density_lhv/DBT_e_density_lhv))+Shipping!$AD$73+IF(G141="Panama",Shipping!$AD$55,0)+IF(G141="Suez",Shipping!$AD$56,0))/Shipping!$AD$31*DD141/1000000+IF(inland_transport_to_port="hv dc grid",$BM141/100*1000*DG141,IF(inland_transport_to_port="pipeline",$BN141,0)),((F141/24/Shipping!$N$44+F141/24/Shipping!$N$50+Shipping!$N$59+Shipping!$N$64)*(Shipping!$N$22+wacc_nl*Shipping!$N$19/365.25*1000000+Shipping!$N$35)+(F141/24/Shipping!$N$44*Shipping!$N$45+Shipping!$N$64*Shipping!$N$65)*IF(bunker_choice="HFO",$H141,IF(bunker_choice="hydrogen",$BD141*hfo_e_density_lhv/h2_e_density_lhv,(DB141+DC141)*1000000/DD141*hfo_e_density_lhv/DBT_e_density_lhv))+(F141/24/Shipping!$N$50*Shipping!$N$51+Shipping!$N$59*Shipping!$N$60)*IF(bunker_choice="HFO",bunker_price_ROT,IF(bunker_choice="hydrogen",$BD141*hfo_e_density_lhv/h2_e_density_lhv,(DB141+DC141)*1000000/DD141*hfo_e_density_lhv/DBT_e_density_lhv))+Shipping!$N$73+IF(G141="Panama",Shipping!$N$55,0)+IF(G141="Suez",Shipping!$N$56,0))/Shipping!$N$31*Shipping!$N$86/1000000+IF(inland_transport_to_port="hv dc grid",$BM141/100*1000*DG141,IF(inland_transport_to_port="pipeline",$BN141,0)))))</f>
        <v>No Port</v>
      </c>
      <c r="DF141" s="28" t="str">
        <f t="shared" si="159"/>
        <v/>
      </c>
      <c r="DG141" s="29">
        <f>((Carriers!$T$18/Carriers!$T$23*alk_el_e_demand)+DBT_e_demand)*(DD141+DBT_st_ab_losses)/1000000+DBT_st_e_demand*DD141/1000000</f>
        <v>703.88335483870969</v>
      </c>
      <c r="DH141" s="29">
        <f t="shared" si="188"/>
        <v>0.21935483870967742</v>
      </c>
      <c r="DI141" s="28" t="str">
        <f>IFERROR(DF141*1000000/Storage!$M$12,"")</f>
        <v/>
      </c>
      <c r="DJ141" s="28" t="str">
        <f>IF($E141="","No Port",((F141/24/Shipping!$N$44+F141/24/Shipping!$N$50+Shipping!$N$59+Shipping!$N$64)*Carriers!$T$39*wacc_nl))</f>
        <v>No Port</v>
      </c>
      <c r="DK141" s="100">
        <f>H2_retrieval!$L$25*h2_demand_kt/1000+(co2_liq_e_demand+co2_st_e_demand*2)*Storage!$M$12*co2_density/DBT_density/1000000</f>
        <v>206.61934861671787</v>
      </c>
      <c r="DL141" s="28" t="str">
        <f>IFERROR(((DF141*(1+H2_retrieval!$L$34)+DJ141)*1000000/H2_retrieval!$L$8)+h2_regen_lohc,"")</f>
        <v/>
      </c>
      <c r="DM141" s="149">
        <f t="shared" si="211"/>
        <v>63969.29148191127</v>
      </c>
      <c r="DN141" s="16">
        <f>2*(nabh4_st_nl_cost*nabh4_st_nl_demand/1000000+(nabh4_st_invest*(M141+1/nabh4_st_lifetime+nabh4_st_opex)/(Storage!$O$63/1000000)+nabh4_st_e_demand*1000*$AU141/100)*(DO141+nabh4_st_ab_losses)/1000000)+(h2_demand_kt*1000/365.25*short_st_duration_hrs/24)*(h2_short_st_invest*(1/gh2_short_st_lifetime+$M141+h2_short_st_opex)+h2_short_st_e_demand*1000*$AU141/100)/1000000</f>
        <v>1717.0118609303224</v>
      </c>
      <c r="DO141" s="63">
        <f>Storage!$O$57/((1-Shipping!$P$37)^($F141/24/Shipping!$P$44+0.5*Shipping!$P$59))</f>
        <v>63920000</v>
      </c>
      <c r="DP141" s="16" t="str">
        <f>IF($E141="","No Port",((F141/24/Shipping!$P$44+F141/24/Shipping!$P$50+Shipping!$P$59+Shipping!$P$64)*(Shipping!$P$22+wacc_nl*Shipping!$P$19/365.25*1000000+Shipping!$P$35)+(F141/24/Shipping!$P$44*Shipping!$P$45+Shipping!$P$64*Shipping!$P$65)*IF(bunker_choice="HFO",$H141,IF(bunker_choice="hydrogen",$BD141*hfo_e_density_lhv/h2_e_density_lhv,(DM141+DN141)*1000000/DO141*hfo_e_density_lhv/nabh4_e_density_lhv))+(F141/24/Shipping!$P$50*Shipping!$P$51+Shipping!$P$59*Shipping!$P$60)*IF(bunker_choice="HFO",bunker_price_ROT,IF(bunker_choice="hydrogen",$BD141*hfo_e_density_lhv/h2_e_density_lhv,(DM141+DN141)*1000000/DO141*hfo_e_density_lhv/nabh4_e_density_lhv))+Shipping!$P$73+IF(G141="Panama",Shipping!$P$55,0)+IF(G141="Suez",Shipping!$P$56,0))/Shipping!$P$31*(DO141+nabh4_st_ab_losses)/1000000+IF(inland_transport_to_port="hv dc grid",$BM141/100*1000*DR141,IF(inland_transport_to_port="pipeline",$BN141,0)))</f>
        <v>No Port</v>
      </c>
      <c r="DQ141" s="28" t="str">
        <f t="shared" si="146"/>
        <v/>
      </c>
      <c r="DR141" s="29">
        <f>((Carriers!$V$18/Carriers!$V$23*alk_el_e_demand)+nabh4_e_demand)*(DO141+nabh4_st_ab_losses)/1000000+nabh4_st_e_demand*DO141/1000000</f>
        <v>980.02139682539689</v>
      </c>
      <c r="DS141" s="28">
        <f t="shared" si="189"/>
        <v>3.1960000000000002</v>
      </c>
      <c r="DT141" s="28" t="str">
        <f>IFERROR(DQ141*1000000/Storage!$O$12,"")</f>
        <v/>
      </c>
      <c r="DU141" s="28" t="str">
        <f>IF($E141="","No Port",((F141/24/Shipping!$P$44+F141/24/Shipping!$P$50+Shipping!$P$59+Shipping!$P$64)*Carriers!$V$39*wacc_nl))</f>
        <v>No Port</v>
      </c>
      <c r="DV141" s="100">
        <f>H2_retrieval!$N$25*h2_demand_kt/1000+(co2_liq_e_demand+co2_st_e_demand*2)*Storage!$O$12*co2_density/nabh4_density/1000000</f>
        <v>18.783638728971958</v>
      </c>
      <c r="DW141" s="28" t="str">
        <f>IFERROR(((DQ141*(1+H2_retrieval!$N$34)+DU141)*1000000/H2_retrieval!$N$8)+h2_regen_nabh4,"")</f>
        <v/>
      </c>
      <c r="DX141" s="149">
        <f>(Dme_invest*(M141+1/Dme_lifetime)/Dme_prod+Dme_opex+Dme_e_demand*1000*$AU141/100+Carriers!$X$21/Carriers!$X$23*(CO141*1000000/CS141))*(EB141+Dme_st_ab_losses)/1000000</f>
        <v>129244.35214357649</v>
      </c>
      <c r="DY141" s="86">
        <f>(Dme_invest*(M141+1/Dme_lifetime)/Dme_prod+Dme_opex+Dme_e_demand*1000*$AU141/100+Carriers!$X$21/Carriers!$X$23*(CP141*1000000/CS141))*(EB141+Dme_st_ab_losses)/1000000</f>
        <v>158237.68981024515</v>
      </c>
      <c r="DZ141" s="63">
        <f>Dme_st_nl_cost*Dme_st_nl_demand/1000000+(Dme_st_invest*(M141+1/Dme_st_lifetime+Dme_st_opex)/(Storage!$Q$63/1000000)+Dme_st_e_demand*1000*$AU141/100)*(EB141+Dme_st_ab_losses)/1000000+co2_st_nl_cost*Storage!$Q$12*co2_density/Dme_density/1000000+(co2_st_opex_lev+co2_st_invest_lev+co2_st_e_demand*1000*$AU141/100)*Storage!$Q$12/1000000+co2_st_invest_lev*Storage!$Q$12*co2_st_lifetime*M141/1000000+(h2_demand_kt*1000/365.25*short_st_duration_hrs/24)*(h2_short_st_invest*(1/gh2_short_st_lifetime+$M141+h2_short_st_opex)+h2_short_st_e_demand*1000*$AU141/100)/1000000</f>
        <v>6972.5924400157537</v>
      </c>
      <c r="EA141" s="63">
        <f>Dme_st_nl_cost*Dme_st_nl_demand/1000000+(Dme_st_invest*(M141+1/Dme_st_lifetime+Dme_st_opex)/(Storage!$Q$63/1000000)+Dme_st_e_demand*1000*$AU141/100)*(EB141+Dme_st_ab_losses)/1000000+(h2_demand_kt*1000/365.25*short_st_duration_hrs/24)*(h2_short_st_invest*(1/gh2_short_st_lifetime+$M141+h2_short_st_opex)+h2_short_st_e_demand*1000*$AU141/100)/1000000</f>
        <v>3666.3374097868982</v>
      </c>
      <c r="EB141" s="63">
        <f>Storage!$Q$57/((1-Shipping!$R$37)^($F141/24/Shipping!$R$44+0.5*Shipping!$R$59))</f>
        <v>103547089.94708996</v>
      </c>
      <c r="EC141" s="153" t="str">
        <f>IF($E141="","No Port",IF(AND(ship_choice="VLCC",G141="Panama"),"Ship cannot pass through Panama",IF(ship_choice="VLCC",((F141/24/Shipping!$AD$44+F141/24/Shipping!$AD$50+Shipping!$AD$59+Shipping!$AD$64)*(Shipping!$AD$22+wacc_nl*Shipping!$AD$19/365.25*1000000+Shipping!$AD$35)+(F141/24/Shipping!$AD$44*Shipping!$AD$45+Shipping!$AD$64*Shipping!$AD$65)*IF(bunker_choice="HFO",$H141,IF(bunker_choice="hydrogen",$BD141*hfo_e_density_lhv/h2_e_density_lhv,(DX141+DZ141)*1000000/EB141*hfo_e_density_lhv/Dme_e_density_lhv))+(F141/24/Shipping!$AD$50*Shipping!$AD$51+Shipping!$AD$59*Shipping!$AD$60)*IF(bunker_choice="HFO",bunker_price_ROT,IF(bunker_choice="hydrogen",$BD141*hfo_e_density_lhv/h2_e_density_lhv,(DX141+DZ141)*1000000/EB141*hfo_e_density_lhv/Dme_e_density_lhv))+Shipping!$AD$73+IF(G141="Panama",Shipping!$AD$55,0)+IF(G141="Suez",Shipping!$AD$56,0))/Shipping!$AD$31*(EB141+Dme_st_ab_losses)/1000000+IF(inland_transport_to_port="hv dc grid",$BM141/100*1000*EE141,IF(inland_transport_to_port="pipeline",$BN141,0)),((F141/24/Shipping!$R$44+F141/24/Shipping!$R$50+Shipping!$R$59+Shipping!$R$64)*(Shipping!$R$22+wacc_nl*Shipping!$R$19/365.25*1000000+Shipping!$R$35)+(F141/24/Shipping!$R$44*Shipping!$R$45+Shipping!$R$64*Shipping!$R$65)*IF(bunker_choice="HFO",$H141,IF(bunker_choice="hydrogen",$BD141*hfo_e_density_lhv/h2_e_density_lhv,(DX141+DZ141)*1000000/EB141*hfo_e_density_lhv/Dme_e_density_lhv))+(F141/24/Shipping!$R$50*Shipping!$R$51+Shipping!$R$59*Shipping!$R$60)*IF(bunker_choice="HFO",bunker_price_ROT,IF(bunker_choice="hydrogen",$BD141*hfo_e_density_lhv/h2_e_density_lhv,(DX141+DZ141)*1000000/EB141*hfo_e_density_lhv/Dme_e_density_lhv))+Shipping!$R$73+IF(G141="Panama",Shipping!$R$55,0)+IF(G141="Suez",Shipping!$R$56,0))/Shipping!$R$31*(EB141+Dme_st_ab_losses)/1000000+IF(inland_transport_to_port="hv dc grid",$BM141/100*1000*EE141,IF(inland_transport_to_port="pipeline",$BN141,0)))))</f>
        <v>No Port</v>
      </c>
      <c r="ED141" s="28" t="str">
        <f t="shared" si="215"/>
        <v/>
      </c>
      <c r="EE141" s="29">
        <f>(Dme_e_demand)*(EB141+Dme_st_ab_losses)/1000000+Dme_st_e_demand*DZ141/1000000+$CV141*(Carriers!$X$21/Carriers!$X$23*EB141)/$CS141</f>
        <v>1550.2168298929803</v>
      </c>
      <c r="EF141" s="29">
        <f t="shared" si="190"/>
        <v>1.0354708994708997</v>
      </c>
      <c r="EG141" s="28" t="str">
        <f>IFERROR(ED141*1000000/Storage!$Q$12,"")</f>
        <v/>
      </c>
      <c r="EH141" s="28" t="str">
        <f>IF($E141="","No Port",((F141/24/Shipping!$R$44+F141/24/Shipping!$R$50+Shipping!$R$59+Shipping!$R$64)*Carriers!$X$39*wacc_nl))</f>
        <v>No Port</v>
      </c>
      <c r="EI141" s="100">
        <f>H2_retrieval!$P$25*h2_demand_kt/1000+(co2_liq_e_demand+co2_st_e_demand*2)*Storage!$Q$12*co2_density/Dme_density/1000000</f>
        <v>252.45335899349112</v>
      </c>
      <c r="EJ141" s="28" t="str">
        <f>IFERROR((((DX141+DZ141+EC141)*(1+H2_retrieval!$P$34)+EH141)*1000000/H2_retrieval!$P$8)+h2_regen_dme,"")</f>
        <v/>
      </c>
      <c r="EK141" s="149">
        <f>(ome_invest*(M141+1/ome_lifetime)/ome_prod+ome_opex+ome_e_demand*1000*$AU141/100+Carriers!$Z$21/Carriers!$Z$23*(CO141*1000000/CS141))*(EO141+ome_st_ab_losses)/1000000</f>
        <v>280157.13945104816</v>
      </c>
      <c r="EL141" s="86">
        <f>(ome_invest*(M141+1/ome_lifetime)/ome_prod+ome_opex+ome_e_demand*1000*$AU141/100+Carriers!$Z$21/Carriers!$Z$23*(CP141*1000000/CS141))*(EO141+ome_st_ab_losses)/1000000</f>
        <v>341019.79914444336</v>
      </c>
      <c r="EM141" s="63">
        <f>ome_st_nl_cost*ome_st_nl_demand/1000000+(ome_st_invest*(M141+1/ome_st_lifetime+ome_st_opex)/(Storage!$S$63/1000000)+ome_st_e_demand*1000*$AU141/100)*(EO141+ome_st_ab_losses)/1000000+co2_st_nl_cost*Storage!$S$12*co2_density/ome_density/1000000+(co2_st_opex_lev+co2_st_invest_lev+co2_st_e_demand*1000*$AU141/100)*Storage!$S$12/1000000+co2_st_invest_lev*Storage!$S$12*co2_st_lifetime*M141/1000000+(h2_demand_kt*1000/365.25*short_st_duration_hrs/24)*(h2_short_st_invest*(1/gh2_short_st_lifetime+$M141+h2_short_st_opex)+h2_short_st_e_demand*1000*$AU141/100)/1000000</f>
        <v>5988.4154553507078</v>
      </c>
      <c r="EN141" s="63">
        <f>ome_st_nl_cost*ome_st_nl_demand/1000000+(ome_st_invest*(M141+1/ome_st_lifetime+ome_st_opex)/(Storage!$S$63/1000000)+ome_st_e_demand*1000*$AU141/100)*(EO141+ome_st_ab_losses)/1000000+(h2_demand_kt*1000/365.25*short_st_duration_hrs/24)*(h2_short_st_invest*(1/gh2_short_st_lifetime+$M141+h2_short_st_opex)+h2_short_st_e_demand*1000*$AU141/100)/1000000</f>
        <v>2231.3262016303461</v>
      </c>
      <c r="EO141" s="63">
        <f>Storage!$S$57/((1-Shipping!$T$37)^($F141/24/Shipping!$T$44+0.5*Shipping!$T$59))</f>
        <v>128282539.68253967</v>
      </c>
      <c r="EP141" s="28" t="str">
        <f>IF($E141="","No Port",IF(AND(ship_choice="VLCC",G141="Panama"),"Ship cannot pass through Panama",IF(ship_choice="VLCC",((F141/24/Shipping!$AD$44+F141/24/Shipping!$AD$50+Shipping!$AD$59+Shipping!$AD$64)*(Shipping!$AD$22+wacc_nl*Shipping!$AD$19/365.25*1000000+Shipping!$AD$35)+(F141/24/Shipping!$AD$44*Shipping!$AD$45+Shipping!$AD$64*Shipping!$AD$65)*IF(bunker_choice="HFO",$H141,IF(bunker_choice="hydrogen",$BD141*hfo_e_density_lhv/h2_e_density_lhv,(EK141+EM141)*1000000/EO141*hfo_e_density_lhv/Dme_e_density_lhv))+(F141/24/Shipping!$AD$50*Shipping!$AD$51+Shipping!$AD$59*Shipping!$AD$60)*IF(bunker_choice="HFO",bunker_price_ROT,IF(bunker_choice="hydrogen",$BD141*hfo_e_density_lhv/h2_e_density_lhv,(EK141+EM141)*1000000/EO141*hfo_e_density_lhv/ome_e_density_lhv))+Shipping!$AD$73+IF(G141="Panama",Shipping!$AD$55,0)+IF(G141="Suez",Shipping!$AD$56,0))/Shipping!$AD$31*(EO141+ome_st_ab_losses)/1000000+IF(inland_transport_to_port="hv dc grid",$BM141/100*1000*ER141,IF(inland_transport_to_port="pipeline",$BN141,0)),((F141/24/Shipping!$T$44+F141/24/Shipping!$T$50+Shipping!$T$59+Shipping!$T$64)*(Shipping!$T$22+wacc_nl*Shipping!$T$19/365.25*1000000+Shipping!$T$35)+(F141/24/Shipping!$T$44*Shipping!$T$45+Shipping!$T$64*Shipping!$T$65)*IF(bunker_choice="HFO",$H141,IF(bunker_choice="hydrogen",$BD141*hfo_e_density_lhv/h2_e_density_lhv,(EK141+EM141)*1000000/EO141*hfo_e_density_lhv/Dme_e_density_lhv))+(F141/24/Shipping!$T$50*Shipping!$T$51+Shipping!$T$59*Shipping!$T$60)*IF(bunker_choice="HFO",bunker_price_ROT,IF(bunker_choice="hydrogen",$BD141*hfo_e_density_lhv/h2_e_density_lhv,(EK141+EM141)*1000000/EO141*hfo_e_density_lhv/ome_e_density_lhv))+Shipping!$T$73+IF(G141="Panama",Shipping!$T$55,0)+IF(G141="Suez",Shipping!$T$56,0))/Shipping!$T$31*(EO141+ome_st_ab_losses)/1000000+IF(inland_transport_to_port="hv dc grid",$BM141/100*1000*ER141,IF(inland_transport_to_port="pipeline",$BN141,0)))))</f>
        <v>No Port</v>
      </c>
      <c r="EQ141" s="28" t="str">
        <f t="shared" si="216"/>
        <v/>
      </c>
      <c r="ER141" s="29">
        <f>(ome_e_demand)*(EO141+ome_st_ab_losses)/1000000+ome_st_e_demand*EM141/1000000+$CV141*(Carriers!$Z$21/Carriers!$Z$23*EO141)/$CS141</f>
        <v>3352.0814591234066</v>
      </c>
      <c r="ES141" s="29">
        <f t="shared" si="191"/>
        <v>0.1924238095238095</v>
      </c>
      <c r="ET141" s="28" t="str">
        <f>IFERROR(EQ141*1000000/Storage!$S$12,"")</f>
        <v/>
      </c>
      <c r="EU141" s="28" t="str">
        <f>IF($E141="","No Port",((F141/24/Shipping!$T$44+F141/24/Shipping!$T$50+Shipping!$T$59+Shipping!$T$64)*Carriers!$Z$39*wacc_nl))</f>
        <v>No Port</v>
      </c>
      <c r="EV141" s="100">
        <f>H2_retrieval!$R$25*h2_demand_kt/1000+(co2_liq_e_demand+co2_st_e_demand*2)*Storage!$S$12*co2_density/ome_density/1000000</f>
        <v>254.51942895252085</v>
      </c>
      <c r="EW141" s="28" t="str">
        <f>IFERROR((((EK141+EM141+EP141)*(1+H2_retrieval!$R$34)+EU141)*1000000/H2_retrieval!$R$8)+h2_regen_ome,"")</f>
        <v/>
      </c>
      <c r="EX141" s="149">
        <f>(sng_invest*(M141+1/sng_lifetime)/sng_prod+lng_invest*(M141+1/lng_lifetime)/lng_prod+sng_opex+lng_opex+(sng_e_demand+lng_e_demand)*1000*$AU141/100+Carriers!$AB$18/Carriers!$AB$23*BD141+Carriers!$AB$20/Carriers!$AB$23*co2_liq_cost)*(FB141+lng_st_ab_losses)/1000000</f>
        <v>97945.695180446462</v>
      </c>
      <c r="EY141" s="86">
        <f>(sng_invest*(M141+1/sng_lifetime)/sng_prod+lng_invest*(M141+1/lng_lifetime)/lng_prod+sng_opex+lng_opex+(sng_e_demand+lng_e_demand)*1000*$AU141/100+Carriers!$AB$18/Carriers!$AB$23*BD141+Carriers!$AB$20/Carriers!$AB$23*BP141)*(FB141+lng_st_ab_losses)/1000000</f>
        <v>113748.3846586086</v>
      </c>
      <c r="EZ141" s="63">
        <f>lng_st_nl_cost*lng_st_nl_demand/1000000+(lng_st_invest*(M141+1/lng_st_lifetime+lng_st_opex)/(Storage!$U$63/1000000)+lng_st_e_demand*1000*$AU141/100)*(FB141+lng_st_ab_losses)/1000000+co2_st_nl_cost*Storage!$U$12*co2_density/lng_density/1000000+(co2_st_opex_lev+co2_st_invest_lev+co2_st_e_demand*1000*$AU141/100)*Storage!$U$12/1000000+co2_st_invest_lev*Storage!$U$12*co2_st_lifetime*M141/1000000+Carriers!$AB$18/Carriers!$AB$23*((FB141+lng_st_ab_losses)/365.25*short_st_duration_hrs/24)*(h2_short_st_invest*(1/gh2_short_st_lifetime+$M141+h2_short_st_opex)+h2_short_st_e_demand*1000*$AU141/100)/1000000+Carriers!$AB$20/Carriers!$AB$23*((FB141+lng_st_ab_losses)/365.25*short_st_duration_hrs/24)*(co2_short_st_invest*(1/co2_short_st_lifetime+$M141+co2_short_st_opex)+co2_short_st_e_demand*1000*$AU141/100)/1000000</f>
        <v>7422.2591576937502</v>
      </c>
      <c r="FA141" s="63">
        <f>lng_st_nl_cost*lng_st_nl_demand/1000000+(lng_st_invest*(M141+1/lng_st_lifetime+lng_st_opex)/(Storage!$U$63/1000000)+lng_st_e_demand*1000*$AU141/100)*(FB141+lng_st_ab_losses)/1000000+Carriers!$AB$18/Carriers!$AB$23*((FB141+lng_st_ab_losses)/365.25*short_st_duration_hrs/24)*(h2_short_st_invest*(1/gh2_short_st_lifetime+$M141+h2_short_st_opex)+h2_short_st_e_demand*1000*$AU141/100)/1000000+Carriers!$AB$20/Carriers!$AB$23*((FB141+lng_st_ab_losses)/365.25*short_st_duration_hrs/24)*(co2_short_st_invest*(1/co2_short_st_lifetime+$M141+co2_short_st_opex)+co2_short_st_e_demand*1000*$AU141/100)/1000000</f>
        <v>5688.7210295896839</v>
      </c>
      <c r="FB141" s="63">
        <f>Storage!$U$57/((1-Shipping!$V$37)^($F141/24/Shipping!$V$44+0.5*Shipping!$V$59))</f>
        <v>40707231.50721889</v>
      </c>
      <c r="FC141" s="28" t="str">
        <f>IF($E141="","No Port",IF(G141="Panama","Ship cannot pass through Panama",((F141/24/Shipping!$V$44+F141/24/Shipping!$V$50+Shipping!$V$59+Shipping!$V$64)*(Shipping!$V$22+wacc_nl*Shipping!$V$19/365.25*1000000+Shipping!$V$35)+(F141/24/Shipping!$V$44*Shipping!$V$45+Shipping!$V$64*Shipping!$V$65)*IF(bunker_choice="HFO",$H141,IF(bunker_choice="hydrogen",$BD141*hfo_e_density_lhv/h2_e_density_lhv,(EX141+EZ141)*1000000/FB141*hfo_e_density_lhv/lng_e_density_lhv))+(F141/24/Shipping!$V$50*Shipping!$V$51+Shipping!$V$59*Shipping!$V$60)*IF(bunker_choice="HFO",bunker_price_ROT,IF(bunker_choice="hydrogen",$BD141*hfo_e_density_lhv/h2_e_density_lhv,(EX141+EZ141)*1000000/FB141*hfo_e_density_lhv/lng_e_density_lhv))+Shipping!$V$73+IF(G141="Panama",Shipping!$V$55,0)+IF(G141="Suez",Shipping!$V$56,0))/Shipping!$V$31*(FB141+lng_st_ab_losses)/1000000)+IF(inland_transport_to_port="hv dc grid",$BM141/100*1000*FE141,IF(inland_transport_to_port="pipeline",$BN141,0)))</f>
        <v>No Port</v>
      </c>
      <c r="FD141" s="28" t="str">
        <f t="shared" si="217"/>
        <v/>
      </c>
      <c r="FE141" s="29">
        <f>((Carriers!$AB$18/Carriers!$AB$23*alk_el_e_demand)+sng_e_demand+lng_e_demand)*(FB141+lng_st_ab_losses)/1000000+lng_st_e_demand*EZ141/1000000</f>
        <v>1091.7519074738325</v>
      </c>
      <c r="FF141" s="29">
        <f t="shared" si="192"/>
        <v>0.8126185861001558</v>
      </c>
      <c r="FG141" s="28" t="str">
        <f>IFERROR(FD141*1000000/Storage!$U$12,"")</f>
        <v/>
      </c>
      <c r="FH141" s="28" t="str">
        <f>IF($E141="","No Port",((F141/24/Shipping!$V$44+F141/24/Shipping!$V$50+Shipping!$V$59+Shipping!$V$64)*Carriers!$AB$39*wacc_nl))</f>
        <v>No Port</v>
      </c>
      <c r="FI141" s="100">
        <f>H2_retrieval!$T$25*h2_demand_kt/1000+(co2_liq_e_demand+co2_st_e_demand*2)*Storage!$U$12*co2_density/lng_density/1000000</f>
        <v>236.51371749646054</v>
      </c>
      <c r="FJ141" s="28" t="str">
        <f>IFERROR((((EX141+EZ141+FC141)*(1+H2_retrieval!$T$34)+FH141)*1000000/H2_retrieval!$T$8)+h2_regen_lng,"")</f>
        <v/>
      </c>
      <c r="FK141" s="149">
        <f>(lh2_invest*(M141+1/lh2_lifetime)/lh2_prod+lh2_opex+lh2_e_demand*1000*$AU141/100+Carriers!$AD$18/Carriers!$AD$23*BD141)*(FM141+lh2_st_ab_losses)/1000000</f>
        <v>75520.084175248427</v>
      </c>
      <c r="FL141" s="28">
        <f>lh2_st_nl_cost*lh2_st_nl_demand/1000000+(lh2_st_invest*(M141+1/lh2_st_lifetime+lh2_st_opex)/(Storage!$Y$63/1000000)+lh2_st_e_demand*1000*$AU141/100)*(FM141+lh2_st_ab_losses)/1000000+((FM141+lh2_st_ab_losses)/365.25*short_st_duration_hrs/24)*(h2_short_st_invest*(1/gh2_short_st_lifetime+$M141+h2_short_st_opex)+h2_short_st_e_demand*1000*$AU141/100)/1000000</f>
        <v>64735.12553886629</v>
      </c>
      <c r="FM141" s="63">
        <f>Storage!$Y$57/((1-Shipping!$Z$37)^($F141/24/Shipping!$Z$44+0.5*Shipping!$Z$59))</f>
        <v>13659984.090217989</v>
      </c>
      <c r="FN141" s="28" t="str">
        <f>IF($E141="","No Port",IF(G141="Panama","Ship cannot pass through Panama",((F141/24/Shipping!$Z$44+F141/24/Shipping!$Z$50+Shipping!$Z$59+Shipping!$Z$64)*(Shipping!$Z$22+wacc_nl*Shipping!$Z$19/365.25*1000000+Shipping!$Z$35)+(F141/24/Shipping!$Z$44*Shipping!$Z$45+Shipping!$Z$64*Shipping!$Z$65)*IF(bunker_choice="HFO",$H141,IF(bunker_choice="hydrogen",$BD141*hfo_e_density_lhv/h2_e_density_lhv,(FK141+FL141)*1000000/FM141*hfo_e_density_lhv/lh2_e_density_lhv))+(F141/24/Shipping!$Z$50*Shipping!$Z$51+Shipping!$Z$59*Shipping!$Z$60)*IF(bunker_choice="HFO",bunker_price_ROT,IF(bunker_choice="hydrogen",$BD141*hfo_e_density_lhv/h2_e_density_lhv,(FK141+FL141)*1000000/FM141*hfo_e_density_lhv/lh2_e_density_lhv))+Shipping!$Z$73+IF(G141="Panama",Shipping!$Z$55,0)+IF(G141="Suez",Shipping!$Z$56,0))/Shipping!$Z$31*(FM141+lh2_st_ab_losses)/1000000)+IF(inland_transport_to_port="hv dc grid",$BM141/100*1000*FP141,IF(inland_transport_to_port="pipeline",$BN141,0)))</f>
        <v>No Port</v>
      </c>
      <c r="FO141" s="28" t="str">
        <f t="shared" si="200"/>
        <v/>
      </c>
      <c r="FP141" s="29">
        <f>((Carriers!$AD$18/Carriers!$AD$23*alk_el_e_demand)+lh2_e_demand)*(FM141+lh2_st_ab_losses)/1000000+lh2_st_e_demand*FM141/1000000</f>
        <v>791.60233245091877</v>
      </c>
      <c r="FQ141" s="100">
        <f t="shared" si="193"/>
        <v>1.361902463475859</v>
      </c>
      <c r="FR141" s="28" t="str">
        <f>IFERROR(FO141*1000000/Storage!$Y$12,"")</f>
        <v/>
      </c>
      <c r="FS141" s="100">
        <f>H2_retrieval!$V$25*h2_demand_kt/1000</f>
        <v>8.16</v>
      </c>
      <c r="FT141" s="28" t="str">
        <f>IFERROR(FR141*(1+H2_retrieval!$V$34)/Carrier_properties!$U$7+H2_retrieval!$V$38,"")</f>
        <v/>
      </c>
      <c r="FU141" s="12"/>
      <c r="FV141" s="24">
        <f t="shared" si="201"/>
        <v>3.425353628125491</v>
      </c>
      <c r="FW141" s="24" t="str">
        <f t="shared" si="143"/>
        <v/>
      </c>
      <c r="FX141" s="24" t="str">
        <f t="shared" si="144"/>
        <v/>
      </c>
      <c r="FY141" s="24">
        <f t="shared" si="202"/>
        <v>3.425353628125491</v>
      </c>
      <c r="FZ141" s="28">
        <f t="shared" si="145"/>
        <v>4244.9800783480978</v>
      </c>
      <c r="GA141" s="28">
        <f t="shared" si="218"/>
        <v>942.01882569630288</v>
      </c>
      <c r="GB141" s="28">
        <f t="shared" si="219"/>
        <v>580.95103970725859</v>
      </c>
      <c r="GC141" s="28">
        <f t="shared" si="220"/>
        <v>1051.6639290781993</v>
      </c>
      <c r="GD141" s="28">
        <f t="shared" si="221"/>
        <v>1528.1712879724651</v>
      </c>
      <c r="GE141" s="28">
        <f t="shared" si="222"/>
        <v>2658.3492967036964</v>
      </c>
      <c r="GF141" s="28">
        <f t="shared" si="223"/>
        <v>2794.3041186290652</v>
      </c>
      <c r="GG141" s="12"/>
      <c r="GH141" s="12"/>
      <c r="GI141" s="12"/>
      <c r="GJ141" s="12"/>
      <c r="GK141" s="12"/>
      <c r="GL141" s="12"/>
      <c r="GM141" s="12"/>
      <c r="GN141" s="12"/>
      <c r="GO141" s="12"/>
      <c r="GP141" s="12"/>
      <c r="GQ141" s="12"/>
      <c r="GR141" s="12"/>
      <c r="GS141" s="12"/>
      <c r="GT141" s="12"/>
      <c r="GU141" s="12"/>
      <c r="GV141" s="12"/>
      <c r="GW141" s="12"/>
      <c r="GX141" s="12"/>
      <c r="GY141" s="12"/>
      <c r="GZ141" s="12"/>
      <c r="HA141" s="12"/>
      <c r="HB141" s="12"/>
      <c r="HC141" s="12"/>
      <c r="HD141" s="12"/>
      <c r="HE141" s="12"/>
      <c r="HF141" s="12"/>
    </row>
    <row r="142" spans="1:214" x14ac:dyDescent="0.2">
      <c r="A142" s="154" t="s">
        <v>139</v>
      </c>
      <c r="B142" s="12">
        <v>6177</v>
      </c>
      <c r="C142" s="12">
        <v>0.9</v>
      </c>
      <c r="D142" s="12">
        <f t="shared" si="194"/>
        <v>9.9999999999999978E-2</v>
      </c>
      <c r="E142" s="12"/>
      <c r="F142" s="12"/>
      <c r="G142" s="12"/>
      <c r="H142" s="16">
        <f t="shared" si="203"/>
        <v>382.75862068965517</v>
      </c>
      <c r="I142" s="16">
        <v>200520</v>
      </c>
      <c r="J142" s="16">
        <f t="shared" si="195"/>
        <v>252.64104650189705</v>
      </c>
      <c r="K142" s="16" t="str">
        <f t="shared" si="196"/>
        <v/>
      </c>
      <c r="L142" s="103">
        <v>0.17</v>
      </c>
      <c r="M142" s="103">
        <f t="shared" si="204"/>
        <v>0.16164251267413124</v>
      </c>
      <c r="N142" s="122">
        <f t="shared" si="197"/>
        <v>0.85</v>
      </c>
      <c r="O142" s="46">
        <f t="shared" si="205"/>
        <v>40</v>
      </c>
      <c r="P142" s="70">
        <f t="array" ref="P142">SUMPRODUCT(IF(Solar_data!A$4:A$777=A142,Solar_data!C$4:C$777),IF(Solar_data!A$4:A$777=A142,Solar_data!I$4:I$777))/SUMIF(Solar_data!A$4:A$777,A142,Solar_data!I$4:I$777)</f>
        <v>2047.0078826427484</v>
      </c>
      <c r="Q142" s="16">
        <f t="array" ref="Q142">MAX(IF(Solar_data!$A$777:'Solar_data'!$A$4=Country_details!$A142,Solar_data!$C$4:'Solar_data'!$C$777))</f>
        <v>2281.25</v>
      </c>
      <c r="R142" s="16">
        <f t="array" ref="R142">MIN(IF(Solar_data!$A$777:'Solar_data'!$A$4=Country_details!A142,Solar_data!$C$4:'Solar_data'!$C$777))</f>
        <v>1551.25</v>
      </c>
      <c r="S142" s="24">
        <f t="shared" si="176"/>
        <v>2.8508788816878914</v>
      </c>
      <c r="T142" s="24">
        <f t="shared" si="177"/>
        <v>2.558146429928704</v>
      </c>
      <c r="U142" s="24">
        <f t="shared" si="178"/>
        <v>3.7619800440128004</v>
      </c>
      <c r="V142" s="16">
        <f t="array" ref="V142">SUM(IF(Solar_data!$A$777:'Solar_data'!$A$4=Country_details!$A142,Solar_data!$I$4:'Solar_data'!$I$777))</f>
        <v>1894.9196723183345</v>
      </c>
      <c r="W142" s="148"/>
      <c r="X142" s="16" t="str">
        <f>IFERROR(INDEX(Onshore_wind_data!$J$5:'Onshore_wind_data'!$J$221,MATCH(A142,Onshore_wind_data!$B$5:'Onshore_wind_data'!$B$221,0)),"")</f>
        <v/>
      </c>
      <c r="Y142" s="16" t="str">
        <f>IFERROR(INDEX(Onshore_wind_data!$K$5:'Onshore_wind_data'!$K$221,MATCH(A142,Onshore_wind_data!$B$5:'Onshore_wind_data'!$B$221,0)),"")</f>
        <v/>
      </c>
      <c r="Z142" s="16" t="str">
        <f>IFERROR(INDEX(Onshore_wind_data!$L$5:'Onshore_wind_data'!$L$221,MATCH(A142,Onshore_wind_data!$B$5:'Onshore_wind_data'!$B$221,0)),"")</f>
        <v/>
      </c>
      <c r="AA142" s="24" t="str">
        <f t="shared" si="206"/>
        <v/>
      </c>
      <c r="AB142" s="24" t="str">
        <f t="shared" si="207"/>
        <v/>
      </c>
      <c r="AC142" s="24" t="str">
        <f t="shared" si="208"/>
        <v/>
      </c>
      <c r="AD142" s="16">
        <f>IFERROR(INDEX(Onshore_wind_data!$I$5:'Onshore_wind_data'!$I$221,MATCH(A142,Onshore_wind_data!$B$5:'Onshore_wind_data'!$B$221,0)),"")</f>
        <v>0</v>
      </c>
      <c r="AE142" s="148"/>
      <c r="AF142" s="16" t="str">
        <f>INDEX(Offshore_wind_data!$AA$7:$AA$192,MATCH(Country_details!A142,Offshore_wind_data!$A$7:$A$192,0))</f>
        <v/>
      </c>
      <c r="AG142" s="16" t="str">
        <f>INDEX(Offshore_wind_data!$Y$7:$Y$192,MATCH(Country_details!A142,Offshore_wind_data!$A$7:$A$192,0))</f>
        <v/>
      </c>
      <c r="AH142" s="16" t="str">
        <f>INDEX(Offshore_wind_data!$Z$7:$Z$192,MATCH(Country_details!A142,Offshore_wind_data!$A$7:$A$192,0))</f>
        <v/>
      </c>
      <c r="AI142" s="24" t="str">
        <f t="shared" si="179"/>
        <v/>
      </c>
      <c r="AJ142" s="24" t="str">
        <f t="shared" si="180"/>
        <v/>
      </c>
      <c r="AK142" s="24" t="str">
        <f t="shared" si="181"/>
        <v/>
      </c>
      <c r="AL142" s="16">
        <f>INDEX(Offshore_wind_data!$W$7:$W$191,MATCH(A142,Offshore_wind_data!$A$7:$A$191,0))</f>
        <v>0</v>
      </c>
      <c r="AM142" s="148"/>
      <c r="AN142" s="12">
        <v>42.9</v>
      </c>
      <c r="AO142" s="12">
        <v>105.7</v>
      </c>
      <c r="AP142" s="34"/>
      <c r="AQ142" s="15">
        <f t="shared" si="182"/>
        <v>50</v>
      </c>
      <c r="AR142" s="12">
        <f t="shared" si="212"/>
        <v>5285</v>
      </c>
      <c r="AS142" s="16">
        <f t="shared" si="198"/>
        <v>-3390.0803276816655</v>
      </c>
      <c r="AT142" s="12"/>
      <c r="AU142" s="24">
        <f t="shared" si="183"/>
        <v>2.8508788816878914</v>
      </c>
      <c r="AV142" s="16">
        <f t="shared" si="184"/>
        <v>2047.0078826427484</v>
      </c>
      <c r="AW142" s="149">
        <f>HV_DC_Grid!$E$3/(1-AX142)*AU142/100*1000</f>
        <v>3268.9792082192826</v>
      </c>
      <c r="AX142" s="31">
        <f>(1-(1-HV_DC_Grid!$E$25)^(B142*C142*HV_DC_Grid!$E$8/1000))+(1-(1-HV_DC_Grid!$E$26)^(B142*D142*HV_DC_Grid!$E$8/1000))+HV_DC_Grid!$E$35*HV_DC_Grid!$E$28</f>
        <v>0.12789935325380797</v>
      </c>
      <c r="AY142" s="28">
        <f>B142*nl_e_demand/IF(hv_dc_flh="electricity FLH",$AV142,hv_dc_custom)*1000*hv_dc_capacity_multiplier*hv_dc_length_multiplier*1000*(C142*hv_dc_overhead_invest*(hv_dc_overhead_opex+M142+1/hv_dc_lifetime)+D142*hv_dc_sea_invest*(hv_dc_sea_opex+M142+1/hv_dc_lifetime))/1000000+HV_DC_Grid!$E$10*1000*hv_dc_station_invest*hv_dc_station_number*(hv_dc_station_opex+M142+1/hv_dc_lifetime)/1000000</f>
        <v>8331.1636881918712</v>
      </c>
      <c r="AZ142" s="24">
        <f>(AW142+AY142)/(HV_DC_Grid!$E$3*1000)*100</f>
        <v>11.600142896411155</v>
      </c>
      <c r="BA142" s="28">
        <f>MIN(((Carriers!$F$26+Carriers!$F$27)*(alk_el_opex+wacc_nl+1/alk_el_lifetime)+IF(hv_dc_flh="electricity FLH",$AV142,hv_dc_custom)*AZ142/100)/(IF(hv_dc_flh="electricity FLH",$AV142,hv_dc_custom)/alk_el_e_demand)*1000,((Carriers!$H$26+Carriers!$H$27)*(pem_el_opex+wacc_nl+1/pem_el_lifetime)+IF(hv_dc_flh="electricity FLH",$AV142,hv_dc_custom)*AZ142/100)/(IF(hv_dc_flh="electricity FLH",$AV142,hv_dc_custom)/pem_el_e_demand)*1000)</f>
        <v>6283.0398157535528</v>
      </c>
      <c r="BB142" s="12"/>
      <c r="BC142" s="12"/>
      <c r="BD142" s="149">
        <f>MIN(((Carriers!$F$26+Carriers!$F$27)*(alk_el_opex+M142+1/alk_el_lifetime)+$AV142*$AU142/100)/($AV142/alk_el_e_demand)*1000,((Carriers!$H$26+Carriers!$H$27)*(pem_el_opex+M142+1/pem_el_lifetime)+$AV142*$AU142/100)/($AV142/pem_el_e_demand)*1000)</f>
        <v>3440.5285513503013</v>
      </c>
      <c r="BE142" s="28">
        <f>Storage!$AC$50</f>
        <v>8.1664117557772418</v>
      </c>
      <c r="BF142" s="28">
        <f>((Pipeline!$D$22*Pipeline!$D$24*B142*(pipeline_opex+M142+1/pipeline_lifetime))*(Pipeline!$D$39/Pipeline!$D$3)+(Pipeline!$D$57*(pipeline_comp_opex+M142+1/pipeline_comp_lifetime)+Pipeline!$D$47*1000*Pipeline!$D$45*$AU142/100/1000000))*(Pipeline!$D$75/Pipeline!$D$45)</f>
        <v>16559.934477295064</v>
      </c>
      <c r="BG142" s="28">
        <f>BD142+(BE142+BF142)/Storage!$AC$12*1000000</f>
        <v>4658.7712637805107</v>
      </c>
      <c r="BH142" s="28"/>
      <c r="BI142" s="28"/>
      <c r="BJ142" s="28" t="str">
        <f>IF($E142="","No Port",BK142*HV_DC_Grid!$E$3*$AU142/100*1000)</f>
        <v>No Port</v>
      </c>
      <c r="BK142" s="31" t="str">
        <f>IFERROR((1-(1-HV_DC_Grid!$E$25)^(K142*HV_DC_Grid!$E$8/1000))+HV_DC_Grid!$E$35*HV_DC_Grid!$E$28,"")</f>
        <v/>
      </c>
      <c r="BL142" s="28" t="str">
        <f>IFERROR(K142*nl_e_demand/IF(hv_dc_flh="electricity FLH",$AV142,hv_dc_custom)*1000*hv_dc_capacity_multiplier*hv_dc_length_multiplier*1000*(hv_dc_overhead_invest*(hv_dc_overhead_opex+M142+1/hv_dc_lifetime))/1000000+HV_DC_Grid!$E$10*1000*hv_dc_station_invest*hv_dc_station_number*(hv_dc_station_opex+M142+1/hv_dc_lifetime)/1000000,"")</f>
        <v/>
      </c>
      <c r="BM142" s="29" t="str">
        <f>IFERROR((BJ142+BL142)/(HV_DC_Grid!$E$3*1000)*100,"")</f>
        <v/>
      </c>
      <c r="BN142" s="28" t="str">
        <f>IFERROR(((Pipeline!$D$22*Pipeline!$D$24*K142*(pipeline_opex+M142+1/pipeline_lifetime))*(Pipeline!$D$39/Pipeline!$D$3)+(Pipeline!$D$57*(pipeline_comp_opex+M142+1/pipeline_comp_lifetime)+Pipeline!$D$47*1000*Pipeline!$D$45*S142/100/1000000))*(Pipeline!$D$75/Pipeline!$D$45),"")</f>
        <v/>
      </c>
      <c r="BO142" s="28"/>
      <c r="BP142" s="150">
        <f t="shared" si="209"/>
        <v>133.00109018634902</v>
      </c>
      <c r="BQ142" s="34">
        <f t="shared" si="210"/>
        <v>39.838627406811312</v>
      </c>
      <c r="BR142" s="151">
        <f>(nh3_invest*(M142+1/nh3_lifetime)/nh3_prod+nh3_opex+nh3_e_demand*1000*$AU142/100+Carriers!$N$18/Carriers!$N$23*BD142+Carriers!$N$19/Carriers!$N$23*BQ142)*(BT142+nh3_st_ab_losses)/1000000</f>
        <v>59919.469736808009</v>
      </c>
      <c r="BS142" s="63">
        <f>nh3_st_nl_cost*nh3_st_nl_demand/1000000+(nh3_st_invest*(M142+1/nh3_st_lifetime+nh3_st_opex)/(Storage!$G$63/1000000)+nh3_st_e_demand*1000*$AU142/100)*(BT142+nh3_st_ab_losses)/1000000+Carriers!$N$18/Carriers!$N$23*((BT142+nh3_st_ab_losses)/365.25*short_st_duration_hrs/24)*(h2_short_st_invest*(1/gh2_short_st_lifetime+$M142+h2_short_st_opex)+h2_short_st_e_demand*1000*$AU142/100)/1000000+Carriers!$N$19/Carriers!$N$23*((BT142+nh3_st_ab_losses)/365.25*short_st_duration_hrs/24)*(n2_short_st_invest*(1/n2_short_st_lifetime+$M142+n2_short_st_opex)+n2_short_st_e_demand*1000*$AU142/100)/1000000</f>
        <v>3800.3395056348086</v>
      </c>
      <c r="BT142" s="63">
        <f>Storage!$G$57/((1-Shipping!$H$37)^(F142/24/Shipping!$H$44+0.5*Shipping!$H$59))</f>
        <v>76857210.785724297</v>
      </c>
      <c r="BU142" s="63" t="str">
        <f>IF($E142="","No Port",((F142/24/Shipping!$H$44+F142/24/Shipping!$H$50+Shipping!$H$59+Shipping!$H$64)*(Shipping!$H$22+wacc_nl*Shipping!$H$19/365.25*1000000+Shipping!$H$35)+(F142/24/Shipping!$H$44*Shipping!$H$45+Shipping!$H$64*Shipping!$H$65)*IF(bunker_choice="HFO",H142,IF(bunker_choice="hydrogen",BD142*hfo_e_density_lhv/h2_e_density_lhv,(BR142+BS142)*1000000/BT142*hfo_e_density_lhv/nh3_e_density_lhv))+(F142/24/Shipping!$H$50*Shipping!$H$51+Shipping!$H$59*Shipping!$H$60)*IF(bunker_choice="HFO",bunker_price_ROT,IF(bunker_choice="hydrogen",BD142*hfo_e_density_lhv/h2_e_density_lhv,(BR142+BS142)*1000000/BT142*hfo_e_density_lhv/nh3_e_density_lhv))+Shipping!$H$73+IF(G142="Panama",Shipping!$H$55,0)+IF(G142="Suez",Shipping!$H$56,0))/Shipping!$H$31*BT142/1000000+IF(inland_transport_to_port="hv dc grid",$BM142/100*1000*BW142,IF(inland_transport_to_port="pipeline",$BN142,0)))</f>
        <v>No Port</v>
      </c>
      <c r="BV142" s="63" t="str">
        <f t="shared" si="199"/>
        <v/>
      </c>
      <c r="BW142" s="33">
        <f>((Carriers!$N$18/Carriers!$N$23*alk_el_e_demand)+(Carriers!$N$19/Carriers!$N$23*n2_e_demand)+nh3_e_demand)*(BT142+nh3_st_ab_losses)/1000000+nh3_st_e_demand*BT142/1000000</f>
        <v>759.00171168026975</v>
      </c>
      <c r="BX142" s="33">
        <f t="shared" si="185"/>
        <v>0.76626754477640768</v>
      </c>
      <c r="BY142" s="63" t="str">
        <f>IFERROR(BV142*1000000/Storage!$G$12,"")</f>
        <v/>
      </c>
      <c r="BZ142" s="63">
        <f>H2_retrieval!$F$25*h2_demand_kt/1000</f>
        <v>80</v>
      </c>
      <c r="CA142" s="63" t="str">
        <f>IFERROR(BY142*(1+H2_retrieval!$F$34)/Carrier_properties!$E$7+H2_retrieval!$F$38,"")</f>
        <v/>
      </c>
      <c r="CB142" s="149">
        <f>(FA_invest*(M142+1/FA_lifetime)/FA_prod+FA_opex+FA_e_demand*1000*$AU142/100+Carriers!$P$18/Carriers!$P$23*BD142+Carriers!$P$20/Carriers!$P$23*co2_liq_cost)*(CF142+FA_st_ab_losses)/1000000</f>
        <v>120792.23625289372</v>
      </c>
      <c r="CC142" s="86">
        <f>(FA_invest*(M142+1/FA_lifetime)/FA_prod+FA_opex+FA_e_demand*1000*$AU142/100+Carriers!$P$18/Carriers!$P$23*BD142+Carriers!$P$20/Carriers!$P$23*BP142)*(CF142+FA_st_ab_losses)/1000000</f>
        <v>153194.87297154724</v>
      </c>
      <c r="CD142" s="63">
        <f>FA_st_nl_cost*FA_st_nl_demand/1000000+(FA_st_invest*(M142+1/FA_st_lifetime+FA_st_opex)/(Storage!$I$63/1000000)+FA_st_e_demand*1000*$AU142/100)*(CF142+FA_st_ab_losses)/1000000+co2_st_nl_cost*Storage!$I$12*co2_density/FA_density/1000000+(co2_st_opex_lev+co2_st_invest_lev+co2_st_e_demand*1000*$AU142/100)*Storage!$I$12/1000000+co2_st_invest_lev*Storage!$I$12*co2_st_lifetime*M142/1000000+Carriers!$P$18/Carriers!$P$23*((CF142+FA_st_ab_losses)/365.25*short_st_duration_hrs/24)*(h2_short_st_invest*(1/gh2_short_st_lifetime+$M142+h2_short_st_opex)+h2_short_st_e_demand*1000*$AU142/100)/1000000+Carriers!$P$20/Carriers!$P$23*((CF142+FA_st_ab_losses)/365.25*short_st_duration_hrs/24)*(co2_short_st_invest*(1/co2_short_st_lifetime+$M142+co2_short_st_opex)+co2_short_st_e_demand*1000*$AU142/100)/1000000</f>
        <v>13013.161284073507</v>
      </c>
      <c r="CE142" s="63">
        <f>FA_st_nl_cost*FA_st_nl_demand/1000000+(FA_st_invest*(M142+1/FA_st_lifetime+FA_st_opex)/(Storage!$I$63/1000000)+FA_st_e_demand*1000*$AU142/100)*(CF142+FA_st_ab_losses)/1000000+Carriers!$P$18/Carriers!$P$23*((CF142+FA_st_ab_losses)/365.25*short_st_duration_hrs/24)*(h2_short_st_invest*(1/gh2_short_st_lifetime+$M142+h2_short_st_opex)+h2_short_st_e_demand*1000*$AU142/100)/1000000+Carriers!$P$20/Carriers!$P$23*((CF142+FA_st_ab_losses)/365.25*short_st_duration_hrs/24)*(co2_short_st_invest*(1/co2_short_st_lifetime+$M142+co2_short_st_opex)+co2_short_st_e_demand*1000*$AU142/100)/1000000</f>
        <v>5741.3231621964233</v>
      </c>
      <c r="CF142" s="63">
        <f>Storage!$I$57/((1-Shipping!$J$37)^($F142/24/Shipping!$J$44+0.5*Shipping!$J$59))</f>
        <v>310425396.82539684</v>
      </c>
      <c r="CG142" s="28" t="str">
        <f>IF($E142="","No Port",((F142/24/Shipping!$J$44+F142/24/Shipping!$J$50+Shipping!$J$59+Shipping!$J$64)*(Shipping!$J$22+wacc_nl*Shipping!$J$19/365.25*1000000+Shipping!$J$35)+(F142/24/Shipping!$J$44*Shipping!$J$45+Shipping!$J$64*Shipping!$J$65)*IF(bunker_choice="HFO",$H142,IF(bunker_choice="hydrogen",$BD142*hfo_e_density_lhv/h2_e_density_lhv,(CB142+CD142)*1000000/CF142*hfo_e_density_lhv/FA_e_density_lhv))+(F142/24/Shipping!$J$50*Shipping!$J$51+Shipping!$J$59*Shipping!$J$60)*IF(bunker_choice="HFO",bunker_price_ROT,IF(bunker_choice="hydrogen",$BD142*hfo_e_density_lhv/h2_e_density_lhv,(CB142+CD142)*1000000/CF142*hfo_e_density_lhv/FA_e_density_lhv))+Shipping!$J$73+IF(G142="Panama",Shipping!$J$55,0)+IF(G142="Suez",Shipping!$J$56,0))/Shipping!$J$31*CF142/1000000+IF(inland_transport_to_port="hv dc grid",$BM142/100*1000*CI142,IF(inland_transport_to_port="pipeline",$BN142,0)))</f>
        <v>No Port</v>
      </c>
      <c r="CH142" s="28" t="str">
        <f t="shared" si="213"/>
        <v/>
      </c>
      <c r="CI142" s="29">
        <f>((Carriers!$P$18/Carriers!$P$23*alk_el_e_demand)+FA_e_demand)*(CF142+FA_st_ab_losses)/1000000+FA_st_e_demand*CF142/1000000</f>
        <v>1897.8881241622576</v>
      </c>
      <c r="CJ142" s="29">
        <f t="shared" si="186"/>
        <v>0.46563809523809524</v>
      </c>
      <c r="CK142" s="28" t="str">
        <f>IFERROR(CH142*1000000/Storage!$I$12,"")</f>
        <v/>
      </c>
      <c r="CL142" s="28" t="str">
        <f>IF($E142="","No Port",((F142/24/Shipping!$J$44+F142/24/Shipping!$J$50+Shipping!$J$59+Shipping!$J$64)*Carriers!$P$39*wacc_nl))</f>
        <v>No Port</v>
      </c>
      <c r="CM142" s="29">
        <f>H2_retrieval!$H$25*h2_demand_kt/1000+(co2_liq_e_demand+co2_st_e_demand*2)*Storage!$I$12*co2_density/FA_density/1000000</f>
        <v>94.204253879484654</v>
      </c>
      <c r="CN142" s="28" t="str">
        <f>IFERROR((((CB142+CD142+CG142)*(1+H2_retrieval!$H$34)+CL142)*1000000/H2_retrieval!$H$8)+h2_regen_fa,"")</f>
        <v/>
      </c>
      <c r="CO142" s="149">
        <f>(meoh_invest*(M142+1/meoh_lifetime)/meoh_prod+meoh_opex+meoh_e_demand*1000*$AU142/100+Carriers!$R$18/Carriers!$R$23*BD142+Carriers!$R$20/Carriers!$R$23*co2_liq_cost)*(CS142+meoh_st_ab_losses)/1000000</f>
        <v>75107.127586652889</v>
      </c>
      <c r="CP142" s="86">
        <f>(meoh_invest*(M142+1/meoh_lifetime)/meoh_prod+meoh_opex+meoh_e_demand*1000*$AU142/100+Carriers!$R$18/Carriers!$R$23*BD142+Carriers!$R$20/Carriers!$R$23*BP142)*(CS142+meoh_st_ab_losses)/1000000</f>
        <v>94128.475669403211</v>
      </c>
      <c r="CQ142" s="63">
        <f>meoh_st_nl_cost*meoh_st_nl_demand/1000000+(meoh_st_invest*(M142+1/meoh_st_lifetime+meoh_st_opex)/(Storage!$K$63/1000000)+meoh_st_e_demand*1000*$AU142/100)*(CS142+meoh_st_ab_losses)/1000000+co2_st_nl_cost*Storage!$K$12*co2_density/meoh_density/1000000+(co2_st_opex_lev+co2_st_invest_lev+co2_st_e_demand*1000*IFERROR(MIN(S142,AA142,AI142),S142)/100)*Storage!$K$12/1000000+co2_st_invest_lev*Storage!$K$12*co2_st_lifetime*M142/1000000+Carriers!$R$18/Carriers!$R$23*((CS142+meoh_st_ab_losses)/365.25*short_st_duration_hrs/24)*(h2_short_st_invest*(1/gh2_short_st_lifetime+$M142+h2_short_st_opex)+h2_short_st_e_demand*1000*$AU142/100)/1000000+Carriers!$R$20/Carriers!$R$23*((CF142+meoh_st_ab_losses)/365.25*short_st_duration_hrs/24)*(co2_short_st_invest*(1/co2_short_st_lifetime+$M142+co2_short_st_opex)+co2_short_st_e_demand*1000*$AU142/100)/1000000</f>
        <v>5433.8916197798935</v>
      </c>
      <c r="CR142" s="63">
        <f>meoh_st_nl_cost*meoh_st_nl_demand/1000000+(meoh_st_invest*(M142+1/meoh_st_lifetime+meoh_st_opex)/(Storage!$K$63/1000000)+meoh_st_e_demand*1000*$AU142/100)*(CS142+meoh_st_ab_losses)/1000000+Carriers!$R$18/Carriers!$R$23*((CS142+meoh_st_ab_losses)/365.25*short_st_duration_hrs/24)*(h2_short_st_invest*(1/gh2_short_st_lifetime+$M142+h2_short_st_opex)+h2_short_st_e_demand*1000*$AU142/100)/1000000+Carriers!$R$20/Carriers!$R$23*((CF142+meoh_st_ab_losses)/365.25*short_st_duration_hrs/24)*(co2_short_st_invest*(1/co2_short_st_lifetime+$M142+co2_short_st_opex)+co2_short_st_e_demand*1000*$AU142/100)/1000000</f>
        <v>2303.9101901004801</v>
      </c>
      <c r="CS142" s="63">
        <f>Storage!$K$57/((1-Shipping!$L$37)^($F142/24/Shipping!$L$44+0.5*Shipping!$L$59))</f>
        <v>108044444.44444443</v>
      </c>
      <c r="CT142" s="28" t="str">
        <f>IF($E142="","No Port",IF(AND(ship_choice="VLCC",G142="Panama"),"Ship cannot pass through Panama",IF(ship_choice="VLCC",((F142/24/Shipping!$AD$44+F142/24/Shipping!$AD$50+Shipping!$AD$59+Shipping!$AD$64)*(Shipping!$AD$22+wacc_nl*Shipping!$AD$19/365.25*1000000+Shipping!$AD$35)+(F142/24/Shipping!$AD$44*Shipping!$AD$45+Shipping!$AD$64*Shipping!$AD$65)*IF(bunker_choice="HFO",$H142,IF(bunker_choice="hydrogen",$BD142*hfo_e_density_lhv/h2_e_density_lhv,(CO142+CQ142)*1000000/CS142*hfo_e_density_lhv/meoh_e_density_lhv))+(F142/24/Shipping!$AD$50*Shipping!$AD$51+Shipping!$AD$59*Shipping!$AD$60)*IF(bunker_choice="HFO",bunker_price_ROT,IF(bunker_choice="hydrogen",$BD142*hfo_e_density_lhv/h2_e_density_lhv,(CO142+CQ142)*1000000/CS142*hfo_e_density_lhv/meoh_e_density_lhv))+Shipping!$AD$73+IF(G142="Panama",Shipping!$AD$55,0)+IF(G142="Suez",Shipping!$AD$56,0))/Shipping!$AD$31*CS142/1000000+IF(inland_transport_to_port="hv dc grid",$BM142/100*1000*CV142,IF(inland_transport_to_port="pipeline",$BN142,0)),((F142/24/Shipping!$L$44+F142/24/Shipping!$L$50+Shipping!$L$59+Shipping!$L$64)*(Shipping!$L$22+wacc_nl*Shipping!$L$19/365.25*1000000+Shipping!$L$35)+(F142/24/Shipping!$L$44*Shipping!$L$45+Shipping!$L$64*Shipping!$L$65)*IF(bunker_choice="HFO",$H142,IF(bunker_choice="hydrogen",$BD142*hfo_e_density_lhv/h2_e_density_lhv,(CO142+CQ142)*1000000/CS142*hfo_e_density_lhv/meoh_e_density_lhv))+(F142/24/Shipping!$L$50*Shipping!$L$51+Shipping!$L$59*Shipping!$L$60)*IF(bunker_choice="HFO",bunker_price_ROT,IF(bunker_choice="hydrogen",$BD142*hfo_e_density_lhv/h2_e_density_lhv,(CO142+CQ142)*1000000/CS142*hfo_e_density_lhv/meoh_e_density_lhv))+Shipping!$L$73+IF(G142="Panama",Shipping!$L$55,0)+IF(G142="Suez",Shipping!$L$56,0))/Shipping!$L$31*CS142/1000000+IF(inland_transport_to_port="hv dc grid",$BM142/100*1000*CV142,IF(inland_transport_to_port="pipeline",$BN142,0)))))</f>
        <v>No Port</v>
      </c>
      <c r="CU142" s="28" t="str">
        <f t="shared" si="214"/>
        <v/>
      </c>
      <c r="CV142" s="29">
        <f>((Carriers!$R$18/Carriers!$R$23*alk_el_e_demand)+meoh_e_demand)*(CS142+meoh_st_ab_losses)/1000000+meoh_st_e_demand*CS142/1000000</f>
        <v>1119.9789871111109</v>
      </c>
      <c r="CW142" s="29">
        <f t="shared" si="187"/>
        <v>0.16206666666666666</v>
      </c>
      <c r="CX142" s="28" t="str">
        <f>IFERROR(CU142*1000000/Storage!$K$12,"")</f>
        <v/>
      </c>
      <c r="CY142" s="28" t="str">
        <f>IF($E142="","No Port",((F142/24/Shipping!$L$44+F142/24/Shipping!$L$50+Shipping!$L$59+Shipping!$L$64)*Carriers!$R$39*wacc_nl))</f>
        <v>No Port</v>
      </c>
      <c r="CZ142" s="29">
        <f>H2_retrieval!$J$25*h2_demand_kt/1000+(co2_liq_e_demand+co2_st_e_demand*2)*Storage!$K$12*co2_density/meoh_density/1000000</f>
        <v>251.05079059698966</v>
      </c>
      <c r="DA142" s="28" t="str">
        <f>IFERROR((((CO142+CQ142+CT142)*(1+H2_retrieval!$J$34)+CY142)*1000000/H2_retrieval!$J$8)+h2_regen_meoh,"")</f>
        <v/>
      </c>
      <c r="DB142" s="149">
        <f>(DBT_invest*(M142+1/DBT_lifetime)/DBT_prod+DBT_opex+DBT_e_demand*1000*$AU142/100+Carriers!$T$18/Carriers!$T$23*BD142)*(DD142+DBT_st_ab_losses)/1000000</f>
        <v>50466.14532036311</v>
      </c>
      <c r="DC142" s="28">
        <f>2*(DBT_st_nl_cost*DBT_st_nl_demand/1000000+(DBT_st_invest*(M142+1/DBT_st_lifetime+DBT_st_opex)/(Storage!$M$63/1000000)+DBT_st_e_demand*1000*$AU142/100)*(DD142+DBT_st_ab_losses)/1000000)+Carriers!$T$18/Carriers!$T$23*((DD142+DBT_st_ab_losses)/365.25*short_st_duration_hrs/24)*(h2_short_st_invest*(1/gh2_short_st_lifetime+$M142+h2_short_st_opex)+h2_short_st_e_demand*1000*$AU142/100)/1000000</f>
        <v>4663.5272911881266</v>
      </c>
      <c r="DD142" s="63">
        <f>Storage!$M$57/((1-Shipping!$N$37)^($F142/24/Shipping!$N$44+0.5*Shipping!$N$59))</f>
        <v>219354838.70967743</v>
      </c>
      <c r="DE142" s="28" t="str">
        <f>IF($E142="","No Port",IF(AND(ship_choice="VLCC",G142="Panama"),"Ship cannot pass through Panama",IF(ship_choice="VLCC",((F142/24/Shipping!$AD$44+F142/24/Shipping!$AD$50+Shipping!$AD$59+Shipping!$AD$64)*(Shipping!$AD$22+wacc_nl*Shipping!$AD$19/365.25*1000000+Shipping!$AD$35)+(F142/24/Shipping!$AD$44*Shipping!$AD$45+Shipping!$AD$64*Shipping!$AD$65)*IF(bunker_choice="HFO",$H142,IF(bunker_choice="hydrogen",$BD142*hfo_e_density_lhv/h2_e_density_lhv,(DB142+DC142)*1000000/DD142*hfo_e_density_lhv/DBT_e_density_lhv))+(F142/24/Shipping!$AD$50*Shipping!$AD$51+Shipping!$AD$59*Shipping!$AD$60)*IF(bunker_choice="HFO",bunker_price_ROT,IF(bunker_choice="hydrogen",$BD142*hfo_e_density_lhv/h2_e_density_lhv,(DB142+DC142)*1000000/DD142*hfo_e_density_lhv/DBT_e_density_lhv))+Shipping!$AD$73+IF(G142="Panama",Shipping!$AD$55,0)+IF(G142="Suez",Shipping!$AD$56,0))/Shipping!$AD$31*DD142/1000000+IF(inland_transport_to_port="hv dc grid",$BM142/100*1000*DG142,IF(inland_transport_to_port="pipeline",$BN142,0)),((F142/24/Shipping!$N$44+F142/24/Shipping!$N$50+Shipping!$N$59+Shipping!$N$64)*(Shipping!$N$22+wacc_nl*Shipping!$N$19/365.25*1000000+Shipping!$N$35)+(F142/24/Shipping!$N$44*Shipping!$N$45+Shipping!$N$64*Shipping!$N$65)*IF(bunker_choice="HFO",$H142,IF(bunker_choice="hydrogen",$BD142*hfo_e_density_lhv/h2_e_density_lhv,(DB142+DC142)*1000000/DD142*hfo_e_density_lhv/DBT_e_density_lhv))+(F142/24/Shipping!$N$50*Shipping!$N$51+Shipping!$N$59*Shipping!$N$60)*IF(bunker_choice="HFO",bunker_price_ROT,IF(bunker_choice="hydrogen",$BD142*hfo_e_density_lhv/h2_e_density_lhv,(DB142+DC142)*1000000/DD142*hfo_e_density_lhv/DBT_e_density_lhv))+Shipping!$N$73+IF(G142="Panama",Shipping!$N$55,0)+IF(G142="Suez",Shipping!$N$56,0))/Shipping!$N$31*Shipping!$N$86/1000000+IF(inland_transport_to_port="hv dc grid",$BM142/100*1000*DG142,IF(inland_transport_to_port="pipeline",$BN142,0)))))</f>
        <v>No Port</v>
      </c>
      <c r="DF142" s="28" t="str">
        <f t="shared" si="159"/>
        <v/>
      </c>
      <c r="DG142" s="29">
        <f>((Carriers!$T$18/Carriers!$T$23*alk_el_e_demand)+DBT_e_demand)*(DD142+DBT_st_ab_losses)/1000000+DBT_st_e_demand*DD142/1000000</f>
        <v>703.88335483870969</v>
      </c>
      <c r="DH142" s="29">
        <f t="shared" si="188"/>
        <v>0.21935483870967742</v>
      </c>
      <c r="DI142" s="28" t="str">
        <f>IFERROR(DF142*1000000/Storage!$M$12,"")</f>
        <v/>
      </c>
      <c r="DJ142" s="28" t="str">
        <f>IF($E142="","No Port",((F142/24/Shipping!$N$44+F142/24/Shipping!$N$50+Shipping!$N$59+Shipping!$N$64)*Carriers!$T$39*wacc_nl))</f>
        <v>No Port</v>
      </c>
      <c r="DK142" s="100">
        <f>H2_retrieval!$L$25*h2_demand_kt/1000+(co2_liq_e_demand+co2_st_e_demand*2)*Storage!$M$12*co2_density/DBT_density/1000000</f>
        <v>206.61934861671787</v>
      </c>
      <c r="DL142" s="28" t="str">
        <f>IFERROR(((DF142*(1+H2_retrieval!$L$34)+DJ142)*1000000/H2_retrieval!$L$8)+h2_regen_lohc,"")</f>
        <v/>
      </c>
      <c r="DM142" s="149">
        <f t="shared" si="211"/>
        <v>56301.155182228795</v>
      </c>
      <c r="DN142" s="16">
        <f>2*(nabh4_st_nl_cost*nabh4_st_nl_demand/1000000+(nabh4_st_invest*(M142+1/nabh4_st_lifetime+nabh4_st_opex)/(Storage!$O$63/1000000)+nabh4_st_e_demand*1000*$AU142/100)*(DO142+nabh4_st_ab_losses)/1000000)+(h2_demand_kt*1000/365.25*short_st_duration_hrs/24)*(h2_short_st_invest*(1/gh2_short_st_lifetime+$M142+h2_short_st_opex)+h2_short_st_e_demand*1000*$AU142/100)/1000000</f>
        <v>1576.2761378708892</v>
      </c>
      <c r="DO142" s="63">
        <f>Storage!$O$57/((1-Shipping!$P$37)^($F142/24/Shipping!$P$44+0.5*Shipping!$P$59))</f>
        <v>63920000</v>
      </c>
      <c r="DP142" s="16" t="str">
        <f>IF($E142="","No Port",((F142/24/Shipping!$P$44+F142/24/Shipping!$P$50+Shipping!$P$59+Shipping!$P$64)*(Shipping!$P$22+wacc_nl*Shipping!$P$19/365.25*1000000+Shipping!$P$35)+(F142/24/Shipping!$P$44*Shipping!$P$45+Shipping!$P$64*Shipping!$P$65)*IF(bunker_choice="HFO",$H142,IF(bunker_choice="hydrogen",$BD142*hfo_e_density_lhv/h2_e_density_lhv,(DM142+DN142)*1000000/DO142*hfo_e_density_lhv/nabh4_e_density_lhv))+(F142/24/Shipping!$P$50*Shipping!$P$51+Shipping!$P$59*Shipping!$P$60)*IF(bunker_choice="HFO",bunker_price_ROT,IF(bunker_choice="hydrogen",$BD142*hfo_e_density_lhv/h2_e_density_lhv,(DM142+DN142)*1000000/DO142*hfo_e_density_lhv/nabh4_e_density_lhv))+Shipping!$P$73+IF(G142="Panama",Shipping!$P$55,0)+IF(G142="Suez",Shipping!$P$56,0))/Shipping!$P$31*(DO142+nabh4_st_ab_losses)/1000000+IF(inland_transport_to_port="hv dc grid",$BM142/100*1000*DR142,IF(inland_transport_to_port="pipeline",$BN142,0)))</f>
        <v>No Port</v>
      </c>
      <c r="DQ142" s="28" t="str">
        <f t="shared" si="146"/>
        <v/>
      </c>
      <c r="DR142" s="29">
        <f>((Carriers!$V$18/Carriers!$V$23*alk_el_e_demand)+nabh4_e_demand)*(DO142+nabh4_st_ab_losses)/1000000+nabh4_st_e_demand*DO142/1000000</f>
        <v>980.02139682539689</v>
      </c>
      <c r="DS142" s="28">
        <f t="shared" si="189"/>
        <v>3.1960000000000002</v>
      </c>
      <c r="DT142" s="28" t="str">
        <f>IFERROR(DQ142*1000000/Storage!$O$12,"")</f>
        <v/>
      </c>
      <c r="DU142" s="28" t="str">
        <f>IF($E142="","No Port",((F142/24/Shipping!$P$44+F142/24/Shipping!$P$50+Shipping!$P$59+Shipping!$P$64)*Carriers!$V$39*wacc_nl))</f>
        <v>No Port</v>
      </c>
      <c r="DV142" s="100">
        <f>H2_retrieval!$N$25*h2_demand_kt/1000+(co2_liq_e_demand+co2_st_e_demand*2)*Storage!$O$12*co2_density/nabh4_density/1000000</f>
        <v>18.783638728971958</v>
      </c>
      <c r="DW142" s="28" t="str">
        <f>IFERROR(((DQ142*(1+H2_retrieval!$N$34)+DU142)*1000000/H2_retrieval!$N$8)+h2_regen_nabh4,"")</f>
        <v/>
      </c>
      <c r="DX142" s="149">
        <f>(Dme_invest*(M142+1/Dme_lifetime)/Dme_prod+Dme_opex+Dme_e_demand*1000*$AU142/100+Carriers!$X$21/Carriers!$X$23*(CO142*1000000/CS142))*(EB142+Dme_st_ab_losses)/1000000</f>
        <v>105518.41887525852</v>
      </c>
      <c r="DY142" s="86">
        <f>(Dme_invest*(M142+1/Dme_lifetime)/Dme_prod+Dme_opex+Dme_e_demand*1000*$AU142/100+Carriers!$X$21/Carriers!$X$23*(CP142*1000000/CS142))*(EB142+Dme_st_ab_losses)/1000000</f>
        <v>131323.99727814362</v>
      </c>
      <c r="DZ142" s="63">
        <f>Dme_st_nl_cost*Dme_st_nl_demand/1000000+(Dme_st_invest*(M142+1/Dme_st_lifetime+Dme_st_opex)/(Storage!$Q$63/1000000)+Dme_st_e_demand*1000*$AU142/100)*(EB142+Dme_st_ab_losses)/1000000+co2_st_nl_cost*Storage!$Q$12*co2_density/Dme_density/1000000+(co2_st_opex_lev+co2_st_invest_lev+co2_st_e_demand*1000*$AU142/100)*Storage!$Q$12/1000000+co2_st_invest_lev*Storage!$Q$12*co2_st_lifetime*M142/1000000+(h2_demand_kt*1000/365.25*short_st_duration_hrs/24)*(h2_short_st_invest*(1/gh2_short_st_lifetime+$M142+h2_short_st_opex)+h2_short_st_e_demand*1000*$AU142/100)/1000000</f>
        <v>6527.2000041914898</v>
      </c>
      <c r="EA142" s="63">
        <f>Dme_st_nl_cost*Dme_st_nl_demand/1000000+(Dme_st_invest*(M142+1/Dme_st_lifetime+Dme_st_opex)/(Storage!$Q$63/1000000)+Dme_st_e_demand*1000*$AU142/100)*(EB142+Dme_st_ab_losses)/1000000+(h2_demand_kt*1000/365.25*short_st_duration_hrs/24)*(h2_short_st_invest*(1/gh2_short_st_lifetime+$M142+h2_short_st_opex)+h2_short_st_e_demand*1000*$AU142/100)/1000000</f>
        <v>3400.6034868345469</v>
      </c>
      <c r="EB142" s="63">
        <f>Storage!$Q$57/((1-Shipping!$R$37)^($F142/24/Shipping!$R$44+0.5*Shipping!$R$59))</f>
        <v>103547089.94708996</v>
      </c>
      <c r="EC142" s="153" t="str">
        <f>IF($E142="","No Port",IF(AND(ship_choice="VLCC",G142="Panama"),"Ship cannot pass through Panama",IF(ship_choice="VLCC",((F142/24/Shipping!$AD$44+F142/24/Shipping!$AD$50+Shipping!$AD$59+Shipping!$AD$64)*(Shipping!$AD$22+wacc_nl*Shipping!$AD$19/365.25*1000000+Shipping!$AD$35)+(F142/24/Shipping!$AD$44*Shipping!$AD$45+Shipping!$AD$64*Shipping!$AD$65)*IF(bunker_choice="HFO",$H142,IF(bunker_choice="hydrogen",$BD142*hfo_e_density_lhv/h2_e_density_lhv,(DX142+DZ142)*1000000/EB142*hfo_e_density_lhv/Dme_e_density_lhv))+(F142/24/Shipping!$AD$50*Shipping!$AD$51+Shipping!$AD$59*Shipping!$AD$60)*IF(bunker_choice="HFO",bunker_price_ROT,IF(bunker_choice="hydrogen",$BD142*hfo_e_density_lhv/h2_e_density_lhv,(DX142+DZ142)*1000000/EB142*hfo_e_density_lhv/Dme_e_density_lhv))+Shipping!$AD$73+IF(G142="Panama",Shipping!$AD$55,0)+IF(G142="Suez",Shipping!$AD$56,0))/Shipping!$AD$31*(EB142+Dme_st_ab_losses)/1000000+IF(inland_transport_to_port="hv dc grid",$BM142/100*1000*EE142,IF(inland_transport_to_port="pipeline",$BN142,0)),((F142/24/Shipping!$R$44+F142/24/Shipping!$R$50+Shipping!$R$59+Shipping!$R$64)*(Shipping!$R$22+wacc_nl*Shipping!$R$19/365.25*1000000+Shipping!$R$35)+(F142/24/Shipping!$R$44*Shipping!$R$45+Shipping!$R$64*Shipping!$R$65)*IF(bunker_choice="HFO",$H142,IF(bunker_choice="hydrogen",$BD142*hfo_e_density_lhv/h2_e_density_lhv,(DX142+DZ142)*1000000/EB142*hfo_e_density_lhv/Dme_e_density_lhv))+(F142/24/Shipping!$R$50*Shipping!$R$51+Shipping!$R$59*Shipping!$R$60)*IF(bunker_choice="HFO",bunker_price_ROT,IF(bunker_choice="hydrogen",$BD142*hfo_e_density_lhv/h2_e_density_lhv,(DX142+DZ142)*1000000/EB142*hfo_e_density_lhv/Dme_e_density_lhv))+Shipping!$R$73+IF(G142="Panama",Shipping!$R$55,0)+IF(G142="Suez",Shipping!$R$56,0))/Shipping!$R$31*(EB142+Dme_st_ab_losses)/1000000+IF(inland_transport_to_port="hv dc grid",$BM142/100*1000*EE142,IF(inland_transport_to_port="pipeline",$BN142,0)))))</f>
        <v>No Port</v>
      </c>
      <c r="ED142" s="28" t="str">
        <f t="shared" si="215"/>
        <v/>
      </c>
      <c r="EE142" s="29">
        <f>(Dme_e_demand)*(EB142+Dme_st_ab_losses)/1000000+Dme_st_e_demand*DZ142/1000000+$CV142*(Carriers!$X$21/Carriers!$X$23*EB142)/$CS142</f>
        <v>1550.2168254390558</v>
      </c>
      <c r="EF142" s="29">
        <f t="shared" si="190"/>
        <v>1.0354708994708997</v>
      </c>
      <c r="EG142" s="28" t="str">
        <f>IFERROR(ED142*1000000/Storage!$Q$12,"")</f>
        <v/>
      </c>
      <c r="EH142" s="28" t="str">
        <f>IF($E142="","No Port",((F142/24/Shipping!$R$44+F142/24/Shipping!$R$50+Shipping!$R$59+Shipping!$R$64)*Carriers!$X$39*wacc_nl))</f>
        <v>No Port</v>
      </c>
      <c r="EI142" s="100">
        <f>H2_retrieval!$P$25*h2_demand_kt/1000+(co2_liq_e_demand+co2_st_e_demand*2)*Storage!$Q$12*co2_density/Dme_density/1000000</f>
        <v>252.45335899349112</v>
      </c>
      <c r="EJ142" s="28" t="str">
        <f>IFERROR((((DX142+DZ142+EC142)*(1+H2_retrieval!$P$34)+EH142)*1000000/H2_retrieval!$P$8)+h2_regen_dme,"")</f>
        <v/>
      </c>
      <c r="EK142" s="149">
        <f>(ome_invest*(M142+1/ome_lifetime)/ome_prod+ome_opex+ome_e_demand*1000*$AU142/100+Carriers!$Z$21/Carriers!$Z$23*(CO142*1000000/CS142))*(EO142+ome_st_ab_losses)/1000000</f>
        <v>229285.53926333736</v>
      </c>
      <c r="EL142" s="86">
        <f>(ome_invest*(M142+1/ome_lifetime)/ome_prod+ome_opex+ome_e_demand*1000*$AU142/100+Carriers!$Z$21/Carriers!$Z$23*(CP142*1000000/CS142))*(EO142+ome_st_ab_losses)/1000000</f>
        <v>283456.47172316303</v>
      </c>
      <c r="EM142" s="63">
        <f>ome_st_nl_cost*ome_st_nl_demand/1000000+(ome_st_invest*(M142+1/ome_st_lifetime+ome_st_opex)/(Storage!$S$63/1000000)+ome_st_e_demand*1000*$AU142/100)*(EO142+ome_st_ab_losses)/1000000+co2_st_nl_cost*Storage!$S$12*co2_density/ome_density/1000000+(co2_st_opex_lev+co2_st_invest_lev+co2_st_e_demand*1000*$AU142/100)*Storage!$S$12/1000000+co2_st_invest_lev*Storage!$S$12*co2_st_lifetime*M142/1000000+(h2_demand_kt*1000/365.25*short_st_duration_hrs/24)*(h2_short_st_invest*(1/gh2_short_st_lifetime+$M142+h2_short_st_opex)+h2_short_st_e_demand*1000*$AU142/100)/1000000</f>
        <v>5595.2018930672129</v>
      </c>
      <c r="EN142" s="63">
        <f>ome_st_nl_cost*ome_st_nl_demand/1000000+(ome_st_invest*(M142+1/ome_st_lifetime+ome_st_opex)/(Storage!$S$63/1000000)+ome_st_e_demand*1000*$AU142/100)*(EO142+ome_st_ab_losses)/1000000+(h2_demand_kt*1000/365.25*short_st_duration_hrs/24)*(h2_short_st_invest*(1/gh2_short_st_lifetime+$M142+h2_short_st_opex)+h2_short_st_e_demand*1000*$AU142/100)/1000000</f>
        <v>2060.6881875208642</v>
      </c>
      <c r="EO142" s="63">
        <f>Storage!$S$57/((1-Shipping!$T$37)^($F142/24/Shipping!$T$44+0.5*Shipping!$T$59))</f>
        <v>128282539.68253967</v>
      </c>
      <c r="EP142" s="28" t="str">
        <f>IF($E142="","No Port",IF(AND(ship_choice="VLCC",G142="Panama"),"Ship cannot pass through Panama",IF(ship_choice="VLCC",((F142/24/Shipping!$AD$44+F142/24/Shipping!$AD$50+Shipping!$AD$59+Shipping!$AD$64)*(Shipping!$AD$22+wacc_nl*Shipping!$AD$19/365.25*1000000+Shipping!$AD$35)+(F142/24/Shipping!$AD$44*Shipping!$AD$45+Shipping!$AD$64*Shipping!$AD$65)*IF(bunker_choice="HFO",$H142,IF(bunker_choice="hydrogen",$BD142*hfo_e_density_lhv/h2_e_density_lhv,(EK142+EM142)*1000000/EO142*hfo_e_density_lhv/Dme_e_density_lhv))+(F142/24/Shipping!$AD$50*Shipping!$AD$51+Shipping!$AD$59*Shipping!$AD$60)*IF(bunker_choice="HFO",bunker_price_ROT,IF(bunker_choice="hydrogen",$BD142*hfo_e_density_lhv/h2_e_density_lhv,(EK142+EM142)*1000000/EO142*hfo_e_density_lhv/ome_e_density_lhv))+Shipping!$AD$73+IF(G142="Panama",Shipping!$AD$55,0)+IF(G142="Suez",Shipping!$AD$56,0))/Shipping!$AD$31*(EO142+ome_st_ab_losses)/1000000+IF(inland_transport_to_port="hv dc grid",$BM142/100*1000*ER142,IF(inland_transport_to_port="pipeline",$BN142,0)),((F142/24/Shipping!$T$44+F142/24/Shipping!$T$50+Shipping!$T$59+Shipping!$T$64)*(Shipping!$T$22+wacc_nl*Shipping!$T$19/365.25*1000000+Shipping!$T$35)+(F142/24/Shipping!$T$44*Shipping!$T$45+Shipping!$T$64*Shipping!$T$65)*IF(bunker_choice="HFO",$H142,IF(bunker_choice="hydrogen",$BD142*hfo_e_density_lhv/h2_e_density_lhv,(EK142+EM142)*1000000/EO142*hfo_e_density_lhv/Dme_e_density_lhv))+(F142/24/Shipping!$T$50*Shipping!$T$51+Shipping!$T$59*Shipping!$T$60)*IF(bunker_choice="HFO",bunker_price_ROT,IF(bunker_choice="hydrogen",$BD142*hfo_e_density_lhv/h2_e_density_lhv,(EK142+EM142)*1000000/EO142*hfo_e_density_lhv/ome_e_density_lhv))+Shipping!$T$73+IF(G142="Panama",Shipping!$T$55,0)+IF(G142="Suez",Shipping!$T$56,0))/Shipping!$T$31*(EO142+ome_st_ab_losses)/1000000+IF(inland_transport_to_port="hv dc grid",$BM142/100*1000*ER142,IF(inland_transport_to_port="pipeline",$BN142,0)))))</f>
        <v>No Port</v>
      </c>
      <c r="EQ142" s="28" t="str">
        <f t="shared" si="216"/>
        <v/>
      </c>
      <c r="ER142" s="29">
        <f>(ome_e_demand)*(EO142+ome_st_ab_losses)/1000000+ome_st_e_demand*EM142/1000000+$CV142*(Carriers!$Z$21/Carriers!$Z$23*EO142)/$CS142</f>
        <v>3352.0814585335861</v>
      </c>
      <c r="ES142" s="29">
        <f t="shared" si="191"/>
        <v>0.1924238095238095</v>
      </c>
      <c r="ET142" s="28" t="str">
        <f>IFERROR(EQ142*1000000/Storage!$S$12,"")</f>
        <v/>
      </c>
      <c r="EU142" s="28" t="str">
        <f>IF($E142="","No Port",((F142/24/Shipping!$T$44+F142/24/Shipping!$T$50+Shipping!$T$59+Shipping!$T$64)*Carriers!$Z$39*wacc_nl))</f>
        <v>No Port</v>
      </c>
      <c r="EV142" s="100">
        <f>H2_retrieval!$R$25*h2_demand_kt/1000+(co2_liq_e_demand+co2_st_e_demand*2)*Storage!$S$12*co2_density/ome_density/1000000</f>
        <v>254.51942895252085</v>
      </c>
      <c r="EW142" s="28" t="str">
        <f>IFERROR((((EK142+EM142+EP142)*(1+H2_retrieval!$R$34)+EU142)*1000000/H2_retrieval!$R$8)+h2_regen_ome,"")</f>
        <v/>
      </c>
      <c r="EX142" s="149">
        <f>(sng_invest*(M142+1/sng_lifetime)/sng_prod+lng_invest*(M142+1/lng_lifetime)/lng_prod+sng_opex+lng_opex+(sng_e_demand+lng_e_demand)*1000*$AU142/100+Carriers!$AB$18/Carriers!$AB$23*BD142+Carriers!$AB$20/Carriers!$AB$23*co2_liq_cost)*(FB142+lng_st_ab_losses)/1000000</f>
        <v>80443.13571122408</v>
      </c>
      <c r="EY142" s="86">
        <f>(sng_invest*(M142+1/sng_lifetime)/sng_prod+lng_invest*(M142+1/lng_lifetime)/lng_prod+sng_opex+lng_opex+(sng_e_demand+lng_e_demand)*1000*$AU142/100+Carriers!$AB$18/Carriers!$AB$23*BD142+Carriers!$AB$20/Carriers!$AB$23*BP142)*(FB142+lng_st_ab_losses)/1000000</f>
        <v>94508.351209816799</v>
      </c>
      <c r="EZ142" s="63">
        <f>lng_st_nl_cost*lng_st_nl_demand/1000000+(lng_st_invest*(M142+1/lng_st_lifetime+lng_st_opex)/(Storage!$U$63/1000000)+lng_st_e_demand*1000*$AU142/100)*(FB142+lng_st_ab_losses)/1000000+co2_st_nl_cost*Storage!$U$12*co2_density/lng_density/1000000+(co2_st_opex_lev+co2_st_invest_lev+co2_st_e_demand*1000*$AU142/100)*Storage!$U$12/1000000+co2_st_invest_lev*Storage!$U$12*co2_st_lifetime*M142/1000000+Carriers!$AB$18/Carriers!$AB$23*((FB142+lng_st_ab_losses)/365.25*short_st_duration_hrs/24)*(h2_short_st_invest*(1/gh2_short_st_lifetime+$M142+h2_short_st_opex)+h2_short_st_e_demand*1000*$AU142/100)/1000000+Carriers!$AB$20/Carriers!$AB$23*((FB142+lng_st_ab_losses)/365.25*short_st_duration_hrs/24)*(co2_short_st_invest*(1/co2_short_st_lifetime+$M142+co2_short_st_opex)+co2_short_st_e_demand*1000*$AU142/100)/1000000</f>
        <v>6942.5323803029323</v>
      </c>
      <c r="FA142" s="63">
        <f>lng_st_nl_cost*lng_st_nl_demand/1000000+(lng_st_invest*(M142+1/lng_st_lifetime+lng_st_opex)/(Storage!$U$63/1000000)+lng_st_e_demand*1000*$AU142/100)*(FB142+lng_st_ab_losses)/1000000+Carriers!$AB$18/Carriers!$AB$23*((FB142+lng_st_ab_losses)/365.25*short_st_duration_hrs/24)*(h2_short_st_invest*(1/gh2_short_st_lifetime+$M142+h2_short_st_opex)+h2_short_st_e_demand*1000*$AU142/100)/1000000+Carriers!$AB$20/Carriers!$AB$23*((FB142+lng_st_ab_losses)/365.25*short_st_duration_hrs/24)*(co2_short_st_invest*(1/co2_short_st_lifetime+$M142+co2_short_st_opex)+co2_short_st_e_demand*1000*$AU142/100)/1000000</f>
        <v>5279.4094024836186</v>
      </c>
      <c r="FB142" s="63">
        <f>Storage!$U$57/((1-Shipping!$V$37)^($F142/24/Shipping!$V$44+0.5*Shipping!$V$59))</f>
        <v>40707231.50721889</v>
      </c>
      <c r="FC142" s="28" t="str">
        <f>IF($E142="","No Port",IF(G142="Panama","Ship cannot pass through Panama",((F142/24/Shipping!$V$44+F142/24/Shipping!$V$50+Shipping!$V$59+Shipping!$V$64)*(Shipping!$V$22+wacc_nl*Shipping!$V$19/365.25*1000000+Shipping!$V$35)+(F142/24/Shipping!$V$44*Shipping!$V$45+Shipping!$V$64*Shipping!$V$65)*IF(bunker_choice="HFO",$H142,IF(bunker_choice="hydrogen",$BD142*hfo_e_density_lhv/h2_e_density_lhv,(EX142+EZ142)*1000000/FB142*hfo_e_density_lhv/lng_e_density_lhv))+(F142/24/Shipping!$V$50*Shipping!$V$51+Shipping!$V$59*Shipping!$V$60)*IF(bunker_choice="HFO",bunker_price_ROT,IF(bunker_choice="hydrogen",$BD142*hfo_e_density_lhv/h2_e_density_lhv,(EX142+EZ142)*1000000/FB142*hfo_e_density_lhv/lng_e_density_lhv))+Shipping!$V$73+IF(G142="Panama",Shipping!$V$55,0)+IF(G142="Suez",Shipping!$V$56,0))/Shipping!$V$31*(FB142+lng_st_ab_losses)/1000000)+IF(inland_transport_to_port="hv dc grid",$BM142/100*1000*FE142,IF(inland_transport_to_port="pipeline",$BN142,0)))</f>
        <v>No Port</v>
      </c>
      <c r="FD142" s="28" t="str">
        <f t="shared" si="217"/>
        <v/>
      </c>
      <c r="FE142" s="29">
        <f>((Carriers!$AB$18/Carriers!$AB$23*alk_el_e_demand)+sng_e_demand+lng_e_demand)*(FB142+lng_st_ab_losses)/1000000+lng_st_e_demand*EZ142/1000000</f>
        <v>1091.7518978792968</v>
      </c>
      <c r="FF142" s="29">
        <f t="shared" si="192"/>
        <v>0.8126185861001558</v>
      </c>
      <c r="FG142" s="28" t="str">
        <f>IFERROR(FD142*1000000/Storage!$U$12,"")</f>
        <v/>
      </c>
      <c r="FH142" s="28" t="str">
        <f>IF($E142="","No Port",((F142/24/Shipping!$V$44+F142/24/Shipping!$V$50+Shipping!$V$59+Shipping!$V$64)*Carriers!$AB$39*wacc_nl))</f>
        <v>No Port</v>
      </c>
      <c r="FI142" s="100">
        <f>H2_retrieval!$T$25*h2_demand_kt/1000+(co2_liq_e_demand+co2_st_e_demand*2)*Storage!$U$12*co2_density/lng_density/1000000</f>
        <v>236.51371749646054</v>
      </c>
      <c r="FJ142" s="28" t="str">
        <f>IFERROR((((EX142+EZ142+FC142)*(1+H2_retrieval!$T$34)+FH142)*1000000/H2_retrieval!$T$8)+h2_regen_lng,"")</f>
        <v/>
      </c>
      <c r="FK142" s="149">
        <f>(lh2_invest*(M142+1/lh2_lifetime)/lh2_prod+lh2_opex+lh2_e_demand*1000*$AU142/100+Carriers!$AD$18/Carriers!$AD$23*BD142)*(FM142+lh2_st_ab_losses)/1000000</f>
        <v>62580.584511625188</v>
      </c>
      <c r="FL142" s="28">
        <f>lh2_st_nl_cost*lh2_st_nl_demand/1000000+(lh2_st_invest*(M142+1/lh2_st_lifetime+lh2_st_opex)/(Storage!$Y$63/1000000)+lh2_st_e_demand*1000*$AU142/100)*(FM142+lh2_st_ab_losses)/1000000+((FM142+lh2_st_ab_losses)/365.25*short_st_duration_hrs/24)*(h2_short_st_invest*(1/gh2_short_st_lifetime+$M142+h2_short_st_opex)+h2_short_st_e_demand*1000*$AU142/100)/1000000</f>
        <v>60475.606945820495</v>
      </c>
      <c r="FM142" s="63">
        <f>Storage!$Y$57/((1-Shipping!$Z$37)^($F142/24/Shipping!$Z$44+0.5*Shipping!$Z$59))</f>
        <v>13659984.090217989</v>
      </c>
      <c r="FN142" s="28" t="str">
        <f>IF($E142="","No Port",IF(G142="Panama","Ship cannot pass through Panama",((F142/24/Shipping!$Z$44+F142/24/Shipping!$Z$50+Shipping!$Z$59+Shipping!$Z$64)*(Shipping!$Z$22+wacc_nl*Shipping!$Z$19/365.25*1000000+Shipping!$Z$35)+(F142/24/Shipping!$Z$44*Shipping!$Z$45+Shipping!$Z$64*Shipping!$Z$65)*IF(bunker_choice="HFO",$H142,IF(bunker_choice="hydrogen",$BD142*hfo_e_density_lhv/h2_e_density_lhv,(FK142+FL142)*1000000/FM142*hfo_e_density_lhv/lh2_e_density_lhv))+(F142/24/Shipping!$Z$50*Shipping!$Z$51+Shipping!$Z$59*Shipping!$Z$60)*IF(bunker_choice="HFO",bunker_price_ROT,IF(bunker_choice="hydrogen",$BD142*hfo_e_density_lhv/h2_e_density_lhv,(FK142+FL142)*1000000/FM142*hfo_e_density_lhv/lh2_e_density_lhv))+Shipping!$Z$73+IF(G142="Panama",Shipping!$Z$55,0)+IF(G142="Suez",Shipping!$Z$56,0))/Shipping!$Z$31*(FM142+lh2_st_ab_losses)/1000000)+IF(inland_transport_to_port="hv dc grid",$BM142/100*1000*FP142,IF(inland_transport_to_port="pipeline",$BN142,0)))</f>
        <v>No Port</v>
      </c>
      <c r="FO142" s="28" t="str">
        <f t="shared" si="200"/>
        <v/>
      </c>
      <c r="FP142" s="29">
        <f>((Carriers!$AD$18/Carriers!$AD$23*alk_el_e_demand)+lh2_e_demand)*(FM142+lh2_st_ab_losses)/1000000+lh2_st_e_demand*FM142/1000000</f>
        <v>791.60233245091877</v>
      </c>
      <c r="FQ142" s="100">
        <f t="shared" si="193"/>
        <v>1.361902463475859</v>
      </c>
      <c r="FR142" s="28" t="str">
        <f>IFERROR(FO142*1000000/Storage!$Y$12,"")</f>
        <v/>
      </c>
      <c r="FS142" s="100">
        <f>H2_retrieval!$V$25*h2_demand_kt/1000</f>
        <v>8.16</v>
      </c>
      <c r="FT142" s="28" t="str">
        <f>IFERROR(FR142*(1+H2_retrieval!$V$34)/Carrier_properties!$U$7+H2_retrieval!$V$38,"")</f>
        <v/>
      </c>
      <c r="FU142" s="12"/>
      <c r="FV142" s="24">
        <f t="shared" si="201"/>
        <v>2.8508788816878914</v>
      </c>
      <c r="FW142" s="24" t="str">
        <f t="shared" si="143"/>
        <v/>
      </c>
      <c r="FX142" s="24" t="str">
        <f t="shared" si="144"/>
        <v/>
      </c>
      <c r="FY142" s="24">
        <f t="shared" si="202"/>
        <v>2.8508788816878914</v>
      </c>
      <c r="FZ142" s="28">
        <f t="shared" si="145"/>
        <v>3440.5285513503013</v>
      </c>
      <c r="GA142" s="28">
        <f t="shared" si="218"/>
        <v>779.62066440144145</v>
      </c>
      <c r="GB142" s="28">
        <f t="shared" si="219"/>
        <v>493.49980555139268</v>
      </c>
      <c r="GC142" s="28">
        <f t="shared" si="220"/>
        <v>871.2014407904453</v>
      </c>
      <c r="GD142" s="28">
        <f t="shared" si="221"/>
        <v>1268.253867349116</v>
      </c>
      <c r="GE142" s="28">
        <f t="shared" si="222"/>
        <v>2209.6262860450979</v>
      </c>
      <c r="GF142" s="28">
        <f t="shared" si="223"/>
        <v>2321.6600026719329</v>
      </c>
      <c r="GG142" s="12"/>
      <c r="GH142" s="12"/>
      <c r="GI142" s="12"/>
      <c r="GJ142" s="12"/>
      <c r="GK142" s="12"/>
      <c r="GL142" s="12"/>
      <c r="GM142" s="12"/>
      <c r="GN142" s="12"/>
      <c r="GO142" s="12"/>
      <c r="GP142" s="12"/>
      <c r="GQ142" s="12"/>
      <c r="GR142" s="12"/>
      <c r="GS142" s="12"/>
      <c r="GT142" s="12"/>
      <c r="GU142" s="12"/>
      <c r="GV142" s="12"/>
      <c r="GW142" s="12"/>
      <c r="GX142" s="12"/>
      <c r="GY142" s="12"/>
      <c r="GZ142" s="12"/>
      <c r="HA142" s="12"/>
      <c r="HB142" s="12"/>
      <c r="HC142" s="12"/>
      <c r="HD142" s="12"/>
      <c r="HE142" s="12"/>
      <c r="HF142" s="12"/>
    </row>
    <row r="143" spans="1:214" x14ac:dyDescent="0.2">
      <c r="A143" s="154" t="s">
        <v>287</v>
      </c>
      <c r="B143" s="12">
        <v>1875</v>
      </c>
      <c r="C143" s="12">
        <v>1</v>
      </c>
      <c r="D143" s="12">
        <f t="shared" si="194"/>
        <v>0</v>
      </c>
      <c r="E143" s="12" t="s">
        <v>799</v>
      </c>
      <c r="F143" s="12">
        <v>3502</v>
      </c>
      <c r="G143" s="12"/>
      <c r="H143" s="16">
        <f t="shared" si="203"/>
        <v>382.75862068965517</v>
      </c>
      <c r="I143" s="16">
        <v>579290</v>
      </c>
      <c r="J143" s="16">
        <f t="shared" si="195"/>
        <v>429.41091505387715</v>
      </c>
      <c r="K143" s="16">
        <f t="shared" si="196"/>
        <v>515.29309806465255</v>
      </c>
      <c r="L143" s="103">
        <v>0.08</v>
      </c>
      <c r="M143" s="103">
        <f t="shared" si="204"/>
        <v>9.8002902367341937E-2</v>
      </c>
      <c r="N143" s="122">
        <f t="shared" si="197"/>
        <v>0.9</v>
      </c>
      <c r="O143" s="46">
        <f t="shared" si="205"/>
        <v>40</v>
      </c>
      <c r="P143" s="70">
        <f t="array" ref="P143">SUMPRODUCT(IF(Solar_data!A$4:A$777=A143,Solar_data!C$4:C$777),IF(Solar_data!A$4:A$777=A143,Solar_data!I$4:I$777))/SUMIF(Solar_data!A$4:A$777,A143,Solar_data!I$4:I$777)</f>
        <v>1355.2313862975564</v>
      </c>
      <c r="Q143" s="16">
        <f t="array" ref="Q143">MAX(IF(Solar_data!$A$777:'Solar_data'!$A$4=Country_details!$A143,Solar_data!$C$4:'Solar_data'!$C$777))</f>
        <v>1733.75</v>
      </c>
      <c r="R143" s="16">
        <f t="array" ref="R143">MIN(IF(Solar_data!$A$777:'Solar_data'!$A$4=Country_details!A143,Solar_data!$C$4:'Solar_data'!$C$777))</f>
        <v>1186.25</v>
      </c>
      <c r="S143" s="24">
        <f t="shared" si="176"/>
        <v>2.7833470870824488</v>
      </c>
      <c r="T143" s="24">
        <f t="shared" si="177"/>
        <v>2.1756766150679239</v>
      </c>
      <c r="U143" s="24">
        <f t="shared" si="178"/>
        <v>3.1798350527915811</v>
      </c>
      <c r="V143" s="16">
        <f t="array" ref="V143">SUM(IF(Solar_data!$A$777:'Solar_data'!$A$4=Country_details!$A143,Solar_data!$I$4:'Solar_data'!$I$777))</f>
        <v>3246.4016955315547</v>
      </c>
      <c r="W143" s="148"/>
      <c r="X143" s="16" t="str">
        <f>IFERROR(INDEX(Onshore_wind_data!$J$5:'Onshore_wind_data'!$J$221,MATCH(A143,Onshore_wind_data!$B$5:'Onshore_wind_data'!$B$221,0)),"")</f>
        <v/>
      </c>
      <c r="Y143" s="16" t="str">
        <f>IFERROR(INDEX(Onshore_wind_data!$K$5:'Onshore_wind_data'!$K$221,MATCH(A143,Onshore_wind_data!$B$5:'Onshore_wind_data'!$B$221,0)),"")</f>
        <v/>
      </c>
      <c r="Z143" s="16" t="str">
        <f>IFERROR(INDEX(Onshore_wind_data!$L$5:'Onshore_wind_data'!$L$221,MATCH(A143,Onshore_wind_data!$B$5:'Onshore_wind_data'!$B$221,0)),"")</f>
        <v/>
      </c>
      <c r="AA143" s="24" t="str">
        <f t="shared" si="206"/>
        <v/>
      </c>
      <c r="AB143" s="24" t="str">
        <f t="shared" si="207"/>
        <v/>
      </c>
      <c r="AC143" s="24" t="str">
        <f t="shared" si="208"/>
        <v/>
      </c>
      <c r="AD143" s="16">
        <f>IFERROR(INDEX(Onshore_wind_data!$I$5:'Onshore_wind_data'!$I$221,MATCH(A143,Onshore_wind_data!$B$5:'Onshore_wind_data'!$B$221,0)),"")</f>
        <v>0</v>
      </c>
      <c r="AE143" s="148"/>
      <c r="AF143" s="16">
        <f>INDEX(Offshore_wind_data!$AA$7:$AA$192,MATCH(Country_details!A143,Offshore_wind_data!$A$7:$A$192,0))</f>
        <v>3404.1146685563358</v>
      </c>
      <c r="AG143" s="16">
        <f>INDEX(Offshore_wind_data!$Y$7:$Y$192,MATCH(Country_details!A143,Offshore_wind_data!$A$7:$A$192,0))</f>
        <v>3504</v>
      </c>
      <c r="AH143" s="16">
        <f>INDEX(Offshore_wind_data!$Z$7:$Z$192,MATCH(Country_details!A143,Offshore_wind_data!$A$7:$A$192,0))</f>
        <v>3153.6</v>
      </c>
      <c r="AI143" s="24">
        <f t="shared" si="179"/>
        <v>6.9094048295978041</v>
      </c>
      <c r="AJ143" s="24">
        <f t="shared" si="180"/>
        <v>6.7124447292887757</v>
      </c>
      <c r="AK143" s="24">
        <f t="shared" si="181"/>
        <v>7.4582719214319733</v>
      </c>
      <c r="AL143" s="16">
        <f>INDEX(Offshore_wind_data!$W$7:$W$191,MATCH(A143,Offshore_wind_data!$A$7:$A$191,0))</f>
        <v>1056.8414399999999</v>
      </c>
      <c r="AM143" s="148"/>
      <c r="AN143" s="12">
        <v>44.2</v>
      </c>
      <c r="AO143" s="12">
        <v>36.4</v>
      </c>
      <c r="AP143" s="34">
        <f>2.553*11.63</f>
        <v>29.691390000000002</v>
      </c>
      <c r="AQ143" s="15">
        <f t="shared" si="182"/>
        <v>50</v>
      </c>
      <c r="AR143" s="12">
        <f>AQ143*AO143</f>
        <v>1820</v>
      </c>
      <c r="AS143" s="16">
        <f t="shared" si="198"/>
        <v>2483.2431355315548</v>
      </c>
      <c r="AT143" s="12"/>
      <c r="AU143" s="24">
        <f t="shared" si="183"/>
        <v>2.7833470870824488</v>
      </c>
      <c r="AV143" s="16">
        <f t="shared" si="184"/>
        <v>1355.2313862975564</v>
      </c>
      <c r="AW143" s="149">
        <f>HV_DC_Grid!$E$3/(1-AX143)*AU143/100*1000</f>
        <v>2928.730688491039</v>
      </c>
      <c r="AX143" s="31">
        <f>(1-(1-HV_DC_Grid!$E$25)^(B143*C143*HV_DC_Grid!$E$8/1000))+(1-(1-HV_DC_Grid!$E$26)^(B143*D143*HV_DC_Grid!$E$8/1000))+HV_DC_Grid!$E$35*HV_DC_Grid!$E$28</f>
        <v>4.9640481448123705E-2</v>
      </c>
      <c r="AY143" s="28">
        <f>B143*nl_e_demand/IF(hv_dc_flh="electricity FLH",$AV143,hv_dc_custom)*1000*hv_dc_capacity_multiplier*hv_dc_length_multiplier*1000*(C143*hv_dc_overhead_invest*(hv_dc_overhead_opex+M143+1/hv_dc_lifetime)+D143*hv_dc_sea_invest*(hv_dc_sea_opex+M143+1/hv_dc_lifetime))/1000000+HV_DC_Grid!$E$10*1000*hv_dc_station_invest*hv_dc_station_number*(hv_dc_station_opex+M143+1/hv_dc_lifetime)/1000000</f>
        <v>1667.8563956864682</v>
      </c>
      <c r="AZ143" s="24">
        <f>(AW143+AY143)/(HV_DC_Grid!$E$3*1000)*100</f>
        <v>4.5965870841775063</v>
      </c>
      <c r="BA143" s="28">
        <f>MIN(((Carriers!$F$26+Carriers!$F$27)*(alk_el_opex+wacc_nl+1/alk_el_lifetime)+IF(hv_dc_flh="electricity FLH",$AV143,hv_dc_custom)*AZ143/100)/(IF(hv_dc_flh="electricity FLH",$AV143,hv_dc_custom)/alk_el_e_demand)*1000,((Carriers!$H$26+Carriers!$H$27)*(pem_el_opex+wacc_nl+1/pem_el_lifetime)+IF(hv_dc_flh="electricity FLH",$AV143,hv_dc_custom)*AZ143/100)/(IF(hv_dc_flh="electricity FLH",$AV143,hv_dc_custom)/pem_el_e_demand)*1000)</f>
        <v>2685.3131950091288</v>
      </c>
      <c r="BB143" s="12"/>
      <c r="BC143" s="12"/>
      <c r="BD143" s="149">
        <f>MIN(((Carriers!$F$26+Carriers!$F$27)*(alk_el_opex+M143+1/alk_el_lifetime)+$AV143*$AU143/100)/($AV143/alk_el_e_demand)*1000,((Carriers!$H$26+Carriers!$H$27)*(pem_el_opex+M143+1/pem_el_lifetime)+$AV143*$AU143/100)/($AV143/pem_el_e_demand)*1000)</f>
        <v>3570.2109995589944</v>
      </c>
      <c r="BE143" s="28">
        <f>Storage!$AC$50</f>
        <v>8.1664117557772418</v>
      </c>
      <c r="BF143" s="28">
        <f>((Pipeline!$D$22*Pipeline!$D$24*B143*(pipeline_opex+M143+1/pipeline_lifetime))*(Pipeline!$D$39/Pipeline!$D$3)+(Pipeline!$D$57*(pipeline_comp_opex+M143+1/pipeline_comp_lifetime)+Pipeline!$D$47*1000*Pipeline!$D$45*$AU143/100/1000000))*(Pipeline!$D$75/Pipeline!$D$45)</f>
        <v>3683.2185981090583</v>
      </c>
      <c r="BG143" s="28">
        <f>BD143+(BE143+BF143)/Storage!$AC$12*1000000</f>
        <v>3841.636367931409</v>
      </c>
      <c r="BH143" s="28"/>
      <c r="BI143" s="28"/>
      <c r="BJ143" s="28">
        <f>IF($E143="","No Port",BK143*HV_DC_Grid!$E$3*$AU143/100*1000)</f>
        <v>66.588960774332421</v>
      </c>
      <c r="BK143" s="31">
        <f>IFERROR((1-(1-HV_DC_Grid!$E$25)^(K143*HV_DC_Grid!$E$8/1000))+HV_DC_Grid!$E$35*HV_DC_Grid!$E$28,"")</f>
        <v>2.3924059303768716E-2</v>
      </c>
      <c r="BL143" s="28">
        <f>IFERROR(K143*nl_e_demand/IF(hv_dc_flh="electricity FLH",$AV143,hv_dc_custom)*1000*hv_dc_capacity_multiplier*hv_dc_length_multiplier*1000*(hv_dc_overhead_invest*(hv_dc_overhead_opex+M143+1/hv_dc_lifetime))/1000000+HV_DC_Grid!$E$10*1000*hv_dc_station_invest*hv_dc_station_number*(hv_dc_station_opex+M143+1/hv_dc_lifetime)/1000000,"")</f>
        <v>712.99498404356177</v>
      </c>
      <c r="BM143" s="29">
        <f>IFERROR((BJ143+BL143)/(HV_DC_Grid!$E$3*1000)*100,"")</f>
        <v>0.77958394481789428</v>
      </c>
      <c r="BN143" s="28">
        <f>IFERROR(((Pipeline!$D$22*Pipeline!$D$24*K143*(pipeline_opex+M143+1/pipeline_lifetime))*(Pipeline!$D$39/Pipeline!$D$3)+(Pipeline!$D$57*(pipeline_comp_opex+M143+1/pipeline_comp_lifetime)+Pipeline!$D$47*1000*Pipeline!$D$45*S143/100/1000000))*(Pipeline!$D$75/Pipeline!$D$45),"")</f>
        <v>1076.5378561499156</v>
      </c>
      <c r="BO143" s="28"/>
      <c r="BP143" s="150">
        <f t="shared" si="209"/>
        <v>100.80986016262443</v>
      </c>
      <c r="BQ143" s="34">
        <f t="shared" si="210"/>
        <v>29.775736524727243</v>
      </c>
      <c r="BR143" s="151">
        <f>(nh3_invest*(M143+1/nh3_lifetime)/nh3_prod+nh3_opex+nh3_e_demand*1000*$AU143/100+Carriers!$N$18/Carriers!$N$23*BD143+Carriers!$N$19/Carriers!$N$23*BQ143)*(BT143+nh3_st_ab_losses)/1000000</f>
        <v>59970.225707624006</v>
      </c>
      <c r="BS143" s="63">
        <f>nh3_st_nl_cost*nh3_st_nl_demand/1000000+(nh3_st_invest*(M143+1/nh3_st_lifetime+nh3_st_opex)/(Storage!$G$63/1000000)+nh3_st_e_demand*1000*$AU143/100)*(BT143+nh3_st_ab_losses)/1000000+Carriers!$N$18/Carriers!$N$23*((BT143+nh3_st_ab_losses)/365.25*short_st_duration_hrs/24)*(h2_short_st_invest*(1/gh2_short_st_lifetime+$M143+h2_short_st_opex)+h2_short_st_e_demand*1000*$AU143/100)/1000000+Carriers!$N$19/Carriers!$N$23*((BT143+nh3_st_ab_losses)/365.25*short_st_duration_hrs/24)*(n2_short_st_invest*(1/n2_short_st_lifetime+$M143+n2_short_st_opex)+n2_short_st_e_demand*1000*$AU143/100)/1000000</f>
        <v>3103.2683182880223</v>
      </c>
      <c r="BT143" s="63">
        <f>Storage!$G$57/((1-Shipping!$H$37)^(F143/24/Shipping!$H$44+0.5*Shipping!$H$59))</f>
        <v>78577077.253319815</v>
      </c>
      <c r="BU143" s="63">
        <f>IF($E143="","No Port",((F143/24/Shipping!$H$44+F143/24/Shipping!$H$50+Shipping!$H$59+Shipping!$H$64)*(Shipping!$H$22+wacc_nl*Shipping!$H$19/365.25*1000000+Shipping!$H$35)+(F143/24/Shipping!$H$44*Shipping!$H$45+Shipping!$H$64*Shipping!$H$65)*IF(bunker_choice="HFO",H143,IF(bunker_choice="hydrogen",BD143*hfo_e_density_lhv/h2_e_density_lhv,(BR143+BS143)*1000000/BT143*hfo_e_density_lhv/nh3_e_density_lhv))+(F143/24/Shipping!$H$50*Shipping!$H$51+Shipping!$H$59*Shipping!$H$60)*IF(bunker_choice="HFO",bunker_price_ROT,IF(bunker_choice="hydrogen",BD143*hfo_e_density_lhv/h2_e_density_lhv,(BR143+BS143)*1000000/BT143*hfo_e_density_lhv/nh3_e_density_lhv))+Shipping!$H$73+IF(G143="Panama",Shipping!$H$55,0)+IF(G143="Suez",Shipping!$H$56,0))/Shipping!$H$31*BT143/1000000+IF(inland_transport_to_port="hv dc grid",$BM143/100*1000*BW143,IF(inland_transport_to_port="pipeline",$BN143,0)))</f>
        <v>3724.4668449668138</v>
      </c>
      <c r="BV143" s="63">
        <f t="shared" si="199"/>
        <v>66797.960870878844</v>
      </c>
      <c r="BW143" s="33">
        <f>((Carriers!$N$18/Carriers!$N$23*alk_el_e_demand)+(Carriers!$N$19/Carriers!$N$23*n2_e_demand)+nh3_e_demand)*(BT143+nh3_st_ab_losses)/1000000+nh3_st_e_demand*BT143/1000000</f>
        <v>775.97214434308671</v>
      </c>
      <c r="BX143" s="33">
        <f t="shared" si="185"/>
        <v>0.76626754477640768</v>
      </c>
      <c r="BY143" s="63">
        <f>IFERROR(BV143*1000000/Storage!$G$12,"")</f>
        <v>872.45788676167217</v>
      </c>
      <c r="BZ143" s="63">
        <f>H2_retrieval!$F$25*h2_demand_kt/1000</f>
        <v>80</v>
      </c>
      <c r="CA143" s="63">
        <f>IFERROR(BY143*(1+H2_retrieval!$F$34)/Carrier_properties!$E$7+H2_retrieval!$F$38,"")</f>
        <v>5320.8407495612973</v>
      </c>
      <c r="CB143" s="149">
        <f>(FA_invest*(M143+1/FA_lifetime)/FA_prod+FA_opex+FA_e_demand*1000*$AU143/100+Carriers!$P$18/Carriers!$P$23*BD143+Carriers!$P$20/Carriers!$P$23*co2_liq_cost)*(CF143+FA_st_ab_losses)/1000000</f>
        <v>115093.19192162553</v>
      </c>
      <c r="CC143" s="86">
        <f>(FA_invest*(M143+1/FA_lifetime)/FA_prod+FA_opex+FA_e_demand*1000*$AU143/100+Carriers!$P$18/Carriers!$P$23*BD143+Carriers!$P$20/Carriers!$P$23*BP143)*(CF143+FA_st_ab_losses)/1000000</f>
        <v>139201.00596047274</v>
      </c>
      <c r="CD143" s="63">
        <f>FA_st_nl_cost*FA_st_nl_demand/1000000+(FA_st_invest*(M143+1/FA_st_lifetime+FA_st_opex)/(Storage!$I$63/1000000)+FA_st_e_demand*1000*$AU143/100)*(CF143+FA_st_ab_losses)/1000000+co2_st_nl_cost*Storage!$I$12*co2_density/FA_density/1000000+(co2_st_opex_lev+co2_st_invest_lev+co2_st_e_demand*1000*$AU143/100)*Storage!$I$12/1000000+co2_st_invest_lev*Storage!$I$12*co2_st_lifetime*M143/1000000+Carriers!$P$18/Carriers!$P$23*((CF143+FA_st_ab_losses)/365.25*short_st_duration_hrs/24)*(h2_short_st_invest*(1/gh2_short_st_lifetime+$M143+h2_short_st_opex)+h2_short_st_e_demand*1000*$AU143/100)/1000000+Carriers!$P$20/Carriers!$P$23*((CF143+FA_st_ab_losses)/365.25*short_st_duration_hrs/24)*(co2_short_st_invest*(1/co2_short_st_lifetime+$M143+co2_short_st_opex)+co2_short_st_e_demand*1000*$AU143/100)/1000000</f>
        <v>10941.793367759352</v>
      </c>
      <c r="CE143" s="63">
        <f>FA_st_nl_cost*FA_st_nl_demand/1000000+(FA_st_invest*(M143+1/FA_st_lifetime+FA_st_opex)/(Storage!$I$63/1000000)+FA_st_e_demand*1000*$AU143/100)*(CF143+FA_st_ab_losses)/1000000+Carriers!$P$18/Carriers!$P$23*((CF143+FA_st_ab_losses)/365.25*short_st_duration_hrs/24)*(h2_short_st_invest*(1/gh2_short_st_lifetime+$M143+h2_short_st_opex)+h2_short_st_e_demand*1000*$AU143/100)/1000000+Carriers!$P$20/Carriers!$P$23*((CF143+FA_st_ab_losses)/365.25*short_st_duration_hrs/24)*(co2_short_st_invest*(1/co2_short_st_lifetime+$M143+co2_short_st_opex)+co2_short_st_e_demand*1000*$AU143/100)/1000000</f>
        <v>4617.3259584023108</v>
      </c>
      <c r="CF143" s="63">
        <f>Storage!$I$57/((1-Shipping!$J$37)^($F143/24/Shipping!$J$44+0.5*Shipping!$J$59))</f>
        <v>310425396.82539684</v>
      </c>
      <c r="CG143" s="28">
        <f>IF($E143="","No Port",((F143/24/Shipping!$J$44+F143/24/Shipping!$J$50+Shipping!$J$59+Shipping!$J$64)*(Shipping!$J$22+wacc_nl*Shipping!$J$19/365.25*1000000+Shipping!$J$35)+(F143/24/Shipping!$J$44*Shipping!$J$45+Shipping!$J$64*Shipping!$J$65)*IF(bunker_choice="HFO",$H143,IF(bunker_choice="hydrogen",$BD143*hfo_e_density_lhv/h2_e_density_lhv,(CB143+CD143)*1000000/CF143*hfo_e_density_lhv/FA_e_density_lhv))+(F143/24/Shipping!$J$50*Shipping!$J$51+Shipping!$J$59*Shipping!$J$60)*IF(bunker_choice="HFO",bunker_price_ROT,IF(bunker_choice="hydrogen",$BD143*hfo_e_density_lhv/h2_e_density_lhv,(CB143+CD143)*1000000/CF143*hfo_e_density_lhv/FA_e_density_lhv))+Shipping!$J$73+IF(G143="Panama",Shipping!$J$55,0)+IF(G143="Suez",Shipping!$J$56,0))/Shipping!$J$31*CF143/1000000+IF(inland_transport_to_port="hv dc grid",$BM143/100*1000*CI143,IF(inland_transport_to_port="pipeline",$BN143,0)))</f>
        <v>12941.773515344201</v>
      </c>
      <c r="CH143" s="28">
        <f t="shared" si="213"/>
        <v>156760.10543421924</v>
      </c>
      <c r="CI143" s="29">
        <f>((Carriers!$P$18/Carriers!$P$23*alk_el_e_demand)+FA_e_demand)*(CF143+FA_st_ab_losses)/1000000+FA_st_e_demand*CF143/1000000</f>
        <v>1897.8881241622576</v>
      </c>
      <c r="CJ143" s="29">
        <f t="shared" si="186"/>
        <v>0.46563809523809524</v>
      </c>
      <c r="CK143" s="28">
        <f>IFERROR(CH143*1000000/Storage!$I$12,"")</f>
        <v>504.98479517895623</v>
      </c>
      <c r="CL143" s="28">
        <f>IF($E143="","No Port",((F143/24/Shipping!$J$44+F143/24/Shipping!$J$50+Shipping!$J$59+Shipping!$J$64)*Carriers!$P$39*wacc_nl))</f>
        <v>189.88994865276803</v>
      </c>
      <c r="CM143" s="29">
        <f>H2_retrieval!$H$25*h2_demand_kt/1000+(co2_liq_e_demand+co2_st_e_demand*2)*Storage!$I$12*co2_density/FA_density/1000000</f>
        <v>94.204253879484654</v>
      </c>
      <c r="CN143" s="28">
        <f>IFERROR((((CB143+CD143+CG143)*(1+H2_retrieval!$H$34)+CL143)*1000000/H2_retrieval!$H$8)+h2_regen_fa,"")</f>
        <v>10322.529187868564</v>
      </c>
      <c r="CO143" s="149">
        <f>(meoh_invest*(M143+1/meoh_lifetime)/meoh_prod+meoh_opex+meoh_e_demand*1000*$AU143/100+Carriers!$R$18/Carriers!$R$23*BD143+Carriers!$R$20/Carriers!$R$23*co2_liq_cost)*(CS143+meoh_st_ab_losses)/1000000</f>
        <v>77536.619539829029</v>
      </c>
      <c r="CP143" s="86">
        <f>(meoh_invest*(M143+1/meoh_lifetime)/meoh_prod+meoh_opex+meoh_e_demand*1000*$AU143/100+Carriers!$R$18/Carriers!$R$23*BD143+Carriers!$R$20/Carriers!$R$23*BP143)*(CS143+meoh_st_ab_losses)/1000000</f>
        <v>91688.650633124038</v>
      </c>
      <c r="CQ143" s="63">
        <f>meoh_st_nl_cost*meoh_st_nl_demand/1000000+(meoh_st_invest*(M143+1/meoh_st_lifetime+meoh_st_opex)/(Storage!$K$63/1000000)+meoh_st_e_demand*1000*$AU143/100)*(CS143+meoh_st_ab_losses)/1000000+co2_st_nl_cost*Storage!$K$12*co2_density/meoh_density/1000000+(co2_st_opex_lev+co2_st_invest_lev+co2_st_e_demand*1000*IFERROR(MIN(S143,AA143,AI143),S143)/100)*Storage!$K$12/1000000+co2_st_invest_lev*Storage!$K$12*co2_st_lifetime*M143/1000000+Carriers!$R$18/Carriers!$R$23*((CS143+meoh_st_ab_losses)/365.25*short_st_duration_hrs/24)*(h2_short_st_invest*(1/gh2_short_st_lifetime+$M143+h2_short_st_opex)+h2_short_st_e_demand*1000*$AU143/100)/1000000+Carriers!$R$20/Carriers!$R$23*((CF143+meoh_st_ab_losses)/365.25*short_st_duration_hrs/24)*(co2_short_st_invest*(1/co2_short_st_lifetime+$M143+co2_short_st_opex)+co2_short_st_e_demand*1000*$AU143/100)/1000000</f>
        <v>4589.1092330365973</v>
      </c>
      <c r="CR143" s="63">
        <f>meoh_st_nl_cost*meoh_st_nl_demand/1000000+(meoh_st_invest*(M143+1/meoh_st_lifetime+meoh_st_opex)/(Storage!$K$63/1000000)+meoh_st_e_demand*1000*$AU143/100)*(CS143+meoh_st_ab_losses)/1000000+Carriers!$R$18/Carriers!$R$23*((CS143+meoh_st_ab_losses)/365.25*short_st_duration_hrs/24)*(h2_short_st_invest*(1/gh2_short_st_lifetime+$M143+h2_short_st_opex)+h2_short_st_e_demand*1000*$AU143/100)/1000000+Carriers!$R$20/Carriers!$R$23*((CF143+meoh_st_ab_losses)/365.25*short_st_duration_hrs/24)*(co2_short_st_invest*(1/co2_short_st_lifetime+$M143+co2_short_st_opex)+co2_short_st_e_demand*1000*$AU143/100)/1000000</f>
        <v>1788.8628809762945</v>
      </c>
      <c r="CS143" s="63">
        <f>Storage!$K$57/((1-Shipping!$L$37)^($F143/24/Shipping!$L$44+0.5*Shipping!$L$59))</f>
        <v>108044444.44444443</v>
      </c>
      <c r="CT143" s="28">
        <f>IF($E143="","No Port",IF(AND(ship_choice="VLCC",G143="Panama"),"Ship cannot pass through Panama",IF(ship_choice="VLCC",((F143/24/Shipping!$AD$44+F143/24/Shipping!$AD$50+Shipping!$AD$59+Shipping!$AD$64)*(Shipping!$AD$22+wacc_nl*Shipping!$AD$19/365.25*1000000+Shipping!$AD$35)+(F143/24/Shipping!$AD$44*Shipping!$AD$45+Shipping!$AD$64*Shipping!$AD$65)*IF(bunker_choice="HFO",$H143,IF(bunker_choice="hydrogen",$BD143*hfo_e_density_lhv/h2_e_density_lhv,(CO143+CQ143)*1000000/CS143*hfo_e_density_lhv/meoh_e_density_lhv))+(F143/24/Shipping!$AD$50*Shipping!$AD$51+Shipping!$AD$59*Shipping!$AD$60)*IF(bunker_choice="HFO",bunker_price_ROT,IF(bunker_choice="hydrogen",$BD143*hfo_e_density_lhv/h2_e_density_lhv,(CO143+CQ143)*1000000/CS143*hfo_e_density_lhv/meoh_e_density_lhv))+Shipping!$AD$73+IF(G143="Panama",Shipping!$AD$55,0)+IF(G143="Suez",Shipping!$AD$56,0))/Shipping!$AD$31*CS143/1000000+IF(inland_transport_to_port="hv dc grid",$BM143/100*1000*CV143,IF(inland_transport_to_port="pipeline",$BN143,0)),((F143/24/Shipping!$L$44+F143/24/Shipping!$L$50+Shipping!$L$59+Shipping!$L$64)*(Shipping!$L$22+wacc_nl*Shipping!$L$19/365.25*1000000+Shipping!$L$35)+(F143/24/Shipping!$L$44*Shipping!$L$45+Shipping!$L$64*Shipping!$L$65)*IF(bunker_choice="HFO",$H143,IF(bunker_choice="hydrogen",$BD143*hfo_e_density_lhv/h2_e_density_lhv,(CO143+CQ143)*1000000/CS143*hfo_e_density_lhv/meoh_e_density_lhv))+(F143/24/Shipping!$L$50*Shipping!$L$51+Shipping!$L$59*Shipping!$L$60)*IF(bunker_choice="HFO",bunker_price_ROT,IF(bunker_choice="hydrogen",$BD143*hfo_e_density_lhv/h2_e_density_lhv,(CO143+CQ143)*1000000/CS143*hfo_e_density_lhv/meoh_e_density_lhv))+Shipping!$L$73+IF(G143="Panama",Shipping!$L$55,0)+IF(G143="Suez",Shipping!$L$56,0))/Shipping!$L$31*CS143/1000000+IF(inland_transport_to_port="hv dc grid",$BM143/100*1000*CV143,IF(inland_transport_to_port="pipeline",$BN143,0)))))</f>
        <v>4969.6923251802236</v>
      </c>
      <c r="CU143" s="28">
        <f t="shared" si="214"/>
        <v>98447.205839280548</v>
      </c>
      <c r="CV143" s="29">
        <f>((Carriers!$R$18/Carriers!$R$23*alk_el_e_demand)+meoh_e_demand)*(CS143+meoh_st_ab_losses)/1000000+meoh_st_e_demand*CS143/1000000</f>
        <v>1119.9789871111109</v>
      </c>
      <c r="CW143" s="29">
        <f t="shared" si="187"/>
        <v>0.16206666666666666</v>
      </c>
      <c r="CX143" s="28">
        <f>IFERROR(CU143*1000000/Storage!$K$12,"")</f>
        <v>911.17323380658684</v>
      </c>
      <c r="CY143" s="28">
        <f>IF($E143="","No Port",((F143/24/Shipping!$L$44+F143/24/Shipping!$L$50+Shipping!$L$59+Shipping!$L$64)*Carriers!$R$39*wacc_nl))</f>
        <v>67.833585949656211</v>
      </c>
      <c r="CZ143" s="29">
        <f>H2_retrieval!$J$25*h2_demand_kt/1000+(co2_liq_e_demand+co2_st_e_demand*2)*Storage!$K$12*co2_density/meoh_density/1000000</f>
        <v>251.05079059698966</v>
      </c>
      <c r="DA143" s="28">
        <f>IFERROR((((CO143+CQ143+CT143)*(1+H2_retrieval!$J$34)+CY143)*1000000/H2_retrieval!$J$8)+h2_regen_meoh,"")</f>
        <v>7579.1913876075496</v>
      </c>
      <c r="DB143" s="149">
        <f>(DBT_invest*(M143+1/DBT_lifetime)/DBT_prod+DBT_opex+DBT_e_demand*1000*$AU143/100+Carriers!$T$18/Carriers!$T$23*BD143)*(DD143+DBT_st_ab_losses)/1000000</f>
        <v>51527.442518244628</v>
      </c>
      <c r="DC143" s="28">
        <f>2*(DBT_st_nl_cost*DBT_st_nl_demand/1000000+(DBT_st_invest*(M143+1/DBT_st_lifetime+DBT_st_opex)/(Storage!$M$63/1000000)+DBT_st_e_demand*1000*$AU143/100)*(DD143+DBT_st_ab_losses)/1000000)+Carriers!$T$18/Carriers!$T$23*((DD143+DBT_st_ab_losses)/365.25*short_st_duration_hrs/24)*(h2_short_st_invest*(1/gh2_short_st_lifetime+$M143+h2_short_st_opex)+h2_short_st_e_demand*1000*$AU143/100)/1000000</f>
        <v>3757.6316047120481</v>
      </c>
      <c r="DD143" s="63">
        <f>Storage!$M$57/((1-Shipping!$N$37)^($F143/24/Shipping!$N$44+0.5*Shipping!$N$59))</f>
        <v>219354838.70967743</v>
      </c>
      <c r="DE143" s="28">
        <f>IF($E143="","No Port",IF(AND(ship_choice="VLCC",G143="Panama"),"Ship cannot pass through Panama",IF(ship_choice="VLCC",((F143/24/Shipping!$AD$44+F143/24/Shipping!$AD$50+Shipping!$AD$59+Shipping!$AD$64)*(Shipping!$AD$22+wacc_nl*Shipping!$AD$19/365.25*1000000+Shipping!$AD$35)+(F143/24/Shipping!$AD$44*Shipping!$AD$45+Shipping!$AD$64*Shipping!$AD$65)*IF(bunker_choice="HFO",$H143,IF(bunker_choice="hydrogen",$BD143*hfo_e_density_lhv/h2_e_density_lhv,(DB143+DC143)*1000000/DD143*hfo_e_density_lhv/DBT_e_density_lhv))+(F143/24/Shipping!$AD$50*Shipping!$AD$51+Shipping!$AD$59*Shipping!$AD$60)*IF(bunker_choice="HFO",bunker_price_ROT,IF(bunker_choice="hydrogen",$BD143*hfo_e_density_lhv/h2_e_density_lhv,(DB143+DC143)*1000000/DD143*hfo_e_density_lhv/DBT_e_density_lhv))+Shipping!$AD$73+IF(G143="Panama",Shipping!$AD$55,0)+IF(G143="Suez",Shipping!$AD$56,0))/Shipping!$AD$31*DD143/1000000+IF(inland_transport_to_port="hv dc grid",$BM143/100*1000*DG143,IF(inland_transport_to_port="pipeline",$BN143,0)),((F143/24/Shipping!$N$44+F143/24/Shipping!$N$50+Shipping!$N$59+Shipping!$N$64)*(Shipping!$N$22+wacc_nl*Shipping!$N$19/365.25*1000000+Shipping!$N$35)+(F143/24/Shipping!$N$44*Shipping!$N$45+Shipping!$N$64*Shipping!$N$65)*IF(bunker_choice="HFO",$H143,IF(bunker_choice="hydrogen",$BD143*hfo_e_density_lhv/h2_e_density_lhv,(DB143+DC143)*1000000/DD143*hfo_e_density_lhv/DBT_e_density_lhv))+(F143/24/Shipping!$N$50*Shipping!$N$51+Shipping!$N$59*Shipping!$N$60)*IF(bunker_choice="HFO",bunker_price_ROT,IF(bunker_choice="hydrogen",$BD143*hfo_e_density_lhv/h2_e_density_lhv,(DB143+DC143)*1000000/DD143*hfo_e_density_lhv/DBT_e_density_lhv))+Shipping!$N$73+IF(G143="Panama",Shipping!$N$55,0)+IF(G143="Suez",Shipping!$N$56,0))/Shipping!$N$31*Shipping!$N$86/1000000+IF(inland_transport_to_port="hv dc grid",$BM143/100*1000*DG143,IF(inland_transport_to_port="pipeline",$BN143,0)))))</f>
        <v>8428.6610952608353</v>
      </c>
      <c r="DF143" s="28">
        <f t="shared" si="159"/>
        <v>63713.735218217509</v>
      </c>
      <c r="DG143" s="29">
        <f>((Carriers!$T$18/Carriers!$T$23*alk_el_e_demand)+DBT_e_demand)*(DD143+DBT_st_ab_losses)/1000000+DBT_st_e_demand*DD143/1000000</f>
        <v>703.88335483870969</v>
      </c>
      <c r="DH143" s="29">
        <f t="shared" si="188"/>
        <v>0.21935483870967742</v>
      </c>
      <c r="DI143" s="28">
        <f>IFERROR(DF143*1000000/Storage!$M$12,"")</f>
        <v>290.45967525952096</v>
      </c>
      <c r="DJ143" s="28">
        <f>IF($E143="","No Port",((F143/24/Shipping!$N$44+F143/24/Shipping!$N$50+Shipping!$N$59+Shipping!$N$64)*Carriers!$T$39*wacc_nl))</f>
        <v>4940.5429401535448</v>
      </c>
      <c r="DK143" s="100">
        <f>H2_retrieval!$L$25*h2_demand_kt/1000+(co2_liq_e_demand+co2_st_e_demand*2)*Storage!$M$12*co2_density/DBT_density/1000000</f>
        <v>206.61934861671787</v>
      </c>
      <c r="DL143" s="28">
        <f>IFERROR(((DF143*(1+H2_retrieval!$L$34)+DJ143)*1000000/H2_retrieval!$L$8)+h2_regen_lohc,"")</f>
        <v>5518.7584687543149</v>
      </c>
      <c r="DM143" s="149">
        <f t="shared" si="211"/>
        <v>50353.290403537903</v>
      </c>
      <c r="DN143" s="16">
        <f>2*(nabh4_st_nl_cost*nabh4_st_nl_demand/1000000+(nabh4_st_invest*(M143+1/nabh4_st_lifetime+nabh4_st_opex)/(Storage!$O$63/1000000)+nabh4_st_e_demand*1000*$AU143/100)*(DO143+nabh4_st_ab_losses)/1000000)+(h2_demand_kt*1000/365.25*short_st_duration_hrs/24)*(h2_short_st_invest*(1/gh2_short_st_lifetime+$M143+h2_short_st_opex)+h2_short_st_e_demand*1000*$AU143/100)/1000000</f>
        <v>1304.5090947833469</v>
      </c>
      <c r="DO143" s="63">
        <f>Storage!$O$57/((1-Shipping!$P$37)^($F143/24/Shipping!$P$44+0.5*Shipping!$P$59))</f>
        <v>63920000</v>
      </c>
      <c r="DP143" s="16">
        <f>IF($E143="","No Port",((F143/24/Shipping!$P$44+F143/24/Shipping!$P$50+Shipping!$P$59+Shipping!$P$64)*(Shipping!$P$22+wacc_nl*Shipping!$P$19/365.25*1000000+Shipping!$P$35)+(F143/24/Shipping!$P$44*Shipping!$P$45+Shipping!$P$64*Shipping!$P$65)*IF(bunker_choice="HFO",$H143,IF(bunker_choice="hydrogen",$BD143*hfo_e_density_lhv/h2_e_density_lhv,(DM143+DN143)*1000000/DO143*hfo_e_density_lhv/nabh4_e_density_lhv))+(F143/24/Shipping!$P$50*Shipping!$P$51+Shipping!$P$59*Shipping!$P$60)*IF(bunker_choice="HFO",bunker_price_ROT,IF(bunker_choice="hydrogen",$BD143*hfo_e_density_lhv/h2_e_density_lhv,(DM143+DN143)*1000000/DO143*hfo_e_density_lhv/nabh4_e_density_lhv))+Shipping!$P$73+IF(G143="Panama",Shipping!$P$55,0)+IF(G143="Suez",Shipping!$P$56,0))/Shipping!$P$31*(DO143+nabh4_st_ab_losses)/1000000+IF(inland_transport_to_port="hv dc grid",$BM143/100*1000*DR143,IF(inland_transport_to_port="pipeline",$BN143,0)))</f>
        <v>2989.5170334456716</v>
      </c>
      <c r="DQ143" s="28">
        <f t="shared" si="146"/>
        <v>54647.316531766919</v>
      </c>
      <c r="DR143" s="29">
        <f>((Carriers!$V$18/Carriers!$V$23*alk_el_e_demand)+nabh4_e_demand)*(DO143+nabh4_st_ab_losses)/1000000+nabh4_st_e_demand*DO143/1000000</f>
        <v>980.02139682539689</v>
      </c>
      <c r="DS143" s="28">
        <f t="shared" si="189"/>
        <v>3.1960000000000002</v>
      </c>
      <c r="DT143" s="28">
        <f>IFERROR(DQ143*1000000/Storage!$O$12,"")</f>
        <v>854.93298704266147</v>
      </c>
      <c r="DU143" s="28">
        <f>IF($E143="","No Port",((F143/24/Shipping!$P$44+F143/24/Shipping!$P$50+Shipping!$P$59+Shipping!$P$64)*Carriers!$V$39*wacc_nl))</f>
        <v>464.68803218950609</v>
      </c>
      <c r="DV143" s="100">
        <f>H2_retrieval!$N$25*h2_demand_kt/1000+(co2_liq_e_demand+co2_st_e_demand*2)*Storage!$O$12*co2_density/nabh4_density/1000000</f>
        <v>18.783638728971958</v>
      </c>
      <c r="DW143" s="28">
        <f>IFERROR(((DQ143*(1+H2_retrieval!$N$34)+DU143)*1000000/H2_retrieval!$N$8)+h2_regen_nabh4,"")</f>
        <v>4139.5911879941514</v>
      </c>
      <c r="DX143" s="149">
        <f>(Dme_invest*(M143+1/Dme_lifetime)/Dme_prod+Dme_opex+Dme_e_demand*1000*$AU143/100+Carriers!$X$21/Carriers!$X$23*(CO143*1000000/CS143))*(EB143+Dme_st_ab_losses)/1000000</f>
        <v>108078.86074407493</v>
      </c>
      <c r="DY143" s="86">
        <f>(Dme_invest*(M143+1/Dme_lifetime)/Dme_prod+Dme_opex+Dme_e_demand*1000*$AU143/100+Carriers!$X$21/Carriers!$X$23*(CP143*1000000/CS143))*(EB143+Dme_st_ab_losses)/1000000</f>
        <v>127278.41202452697</v>
      </c>
      <c r="DZ143" s="63">
        <f>Dme_st_nl_cost*Dme_st_nl_demand/1000000+(Dme_st_invest*(M143+1/Dme_st_lifetime+Dme_st_opex)/(Storage!$Q$63/1000000)+Dme_st_e_demand*1000*$AU143/100)*(EB143+Dme_st_ab_losses)/1000000+co2_st_nl_cost*Storage!$Q$12*co2_density/Dme_density/1000000+(co2_st_opex_lev+co2_st_invest_lev+co2_st_e_demand*1000*$AU143/100)*Storage!$Q$12/1000000+co2_st_invest_lev*Storage!$Q$12*co2_st_lifetime*M143/1000000+(h2_demand_kt*1000/365.25*short_st_duration_hrs/24)*(h2_short_st_invest*(1/gh2_short_st_lifetime+$M143+h2_short_st_opex)+h2_short_st_e_demand*1000*$AU143/100)/1000000</f>
        <v>5542.5005250879494</v>
      </c>
      <c r="EA143" s="63">
        <f>Dme_st_nl_cost*Dme_st_nl_demand/1000000+(Dme_st_invest*(M143+1/Dme_st_lifetime+Dme_st_opex)/(Storage!$Q$63/1000000)+Dme_st_e_demand*1000*$AU143/100)*(EB143+Dme_st_ab_losses)/1000000+(h2_demand_kt*1000/365.25*short_st_duration_hrs/24)*(h2_short_st_invest*(1/gh2_short_st_lifetime+$M143+h2_short_st_opex)+h2_short_st_e_demand*1000*$AU143/100)/1000000</f>
        <v>2731.9138490189853</v>
      </c>
      <c r="EB143" s="63">
        <f>Storage!$Q$57/((1-Shipping!$R$37)^($F143/24/Shipping!$R$44+0.5*Shipping!$R$59))</f>
        <v>103547089.94708996</v>
      </c>
      <c r="EC143" s="153">
        <f>IF($E143="","No Port",IF(AND(ship_choice="VLCC",G143="Panama"),"Ship cannot pass through Panama",IF(ship_choice="VLCC",((F143/24/Shipping!$AD$44+F143/24/Shipping!$AD$50+Shipping!$AD$59+Shipping!$AD$64)*(Shipping!$AD$22+wacc_nl*Shipping!$AD$19/365.25*1000000+Shipping!$AD$35)+(F143/24/Shipping!$AD$44*Shipping!$AD$45+Shipping!$AD$64*Shipping!$AD$65)*IF(bunker_choice="HFO",$H143,IF(bunker_choice="hydrogen",$BD143*hfo_e_density_lhv/h2_e_density_lhv,(DX143+DZ143)*1000000/EB143*hfo_e_density_lhv/Dme_e_density_lhv))+(F143/24/Shipping!$AD$50*Shipping!$AD$51+Shipping!$AD$59*Shipping!$AD$60)*IF(bunker_choice="HFO",bunker_price_ROT,IF(bunker_choice="hydrogen",$BD143*hfo_e_density_lhv/h2_e_density_lhv,(DX143+DZ143)*1000000/EB143*hfo_e_density_lhv/Dme_e_density_lhv))+Shipping!$AD$73+IF(G143="Panama",Shipping!$AD$55,0)+IF(G143="Suez",Shipping!$AD$56,0))/Shipping!$AD$31*(EB143+Dme_st_ab_losses)/1000000+IF(inland_transport_to_port="hv dc grid",$BM143/100*1000*EE143,IF(inland_transport_to_port="pipeline",$BN143,0)),((F143/24/Shipping!$R$44+F143/24/Shipping!$R$50+Shipping!$R$59+Shipping!$R$64)*(Shipping!$R$22+wacc_nl*Shipping!$R$19/365.25*1000000+Shipping!$R$35)+(F143/24/Shipping!$R$44*Shipping!$R$45+Shipping!$R$64*Shipping!$R$65)*IF(bunker_choice="HFO",$H143,IF(bunker_choice="hydrogen",$BD143*hfo_e_density_lhv/h2_e_density_lhv,(DX143+DZ143)*1000000/EB143*hfo_e_density_lhv/Dme_e_density_lhv))+(F143/24/Shipping!$R$50*Shipping!$R$51+Shipping!$R$59*Shipping!$R$60)*IF(bunker_choice="HFO",bunker_price_ROT,IF(bunker_choice="hydrogen",$BD143*hfo_e_density_lhv/h2_e_density_lhv,(DX143+DZ143)*1000000/EB143*hfo_e_density_lhv/Dme_e_density_lhv))+Shipping!$R$73+IF(G143="Panama",Shipping!$R$55,0)+IF(G143="Suez",Shipping!$R$56,0))/Shipping!$R$31*(EB143+Dme_st_ab_losses)/1000000+IF(inland_transport_to_port="hv dc grid",$BM143/100*1000*EE143,IF(inland_transport_to_port="pipeline",$BN143,0)))))</f>
        <v>4945.3225986856105</v>
      </c>
      <c r="ED143" s="28">
        <f t="shared" si="215"/>
        <v>134955.64847223155</v>
      </c>
      <c r="EE143" s="29">
        <f>(Dme_e_demand)*(EB143+Dme_st_ab_losses)/1000000+Dme_st_e_demand*DZ143/1000000+$CV143*(Carriers!$X$21/Carriers!$X$23*EB143)/$CS143</f>
        <v>1550.216815592061</v>
      </c>
      <c r="EF143" s="29">
        <f t="shared" si="190"/>
        <v>1.0354708994708997</v>
      </c>
      <c r="EG143" s="28">
        <f>IFERROR(ED143*1000000/Storage!$Q$12,"")</f>
        <v>1303.3263275789845</v>
      </c>
      <c r="EH143" s="28">
        <f>IF($E143="","No Port",((F143/24/Shipping!$R$44+F143/24/Shipping!$R$50+Shipping!$R$59+Shipping!$R$64)*Carriers!$X$39*wacc_nl))</f>
        <v>69.998454396053006</v>
      </c>
      <c r="EI143" s="100">
        <f>H2_retrieval!$P$25*h2_demand_kt/1000+(co2_liq_e_demand+co2_st_e_demand*2)*Storage!$Q$12*co2_density/Dme_density/1000000</f>
        <v>252.45335899349112</v>
      </c>
      <c r="EJ143" s="28">
        <f>IFERROR((((DX143+DZ143+EC143)*(1+H2_retrieval!$P$34)+EH143)*1000000/H2_retrieval!$P$8)+h2_regen_dme,"")</f>
        <v>9893.4140080670386</v>
      </c>
      <c r="EK143" s="149">
        <f>(ome_invest*(M143+1/ome_lifetime)/ome_prod+ome_opex+ome_e_demand*1000*$AU143/100+Carriers!$Z$21/Carriers!$Z$23*(CO143*1000000/CS143))*(EO143+ome_st_ab_losses)/1000000</f>
        <v>233262.19443154667</v>
      </c>
      <c r="EL143" s="86">
        <f>(ome_invest*(M143+1/ome_lifetime)/ome_prod+ome_opex+ome_e_demand*1000*$AU143/100+Carriers!$Z$21/Carriers!$Z$23*(CP143*1000000/CS143))*(EO143+ome_st_ab_losses)/1000000</f>
        <v>273565.79001210711</v>
      </c>
      <c r="EM143" s="63">
        <f>ome_st_nl_cost*ome_st_nl_demand/1000000+(ome_st_invest*(M143+1/ome_st_lifetime+ome_st_opex)/(Storage!$S$63/1000000)+ome_st_e_demand*1000*$AU143/100)*(EO143+ome_st_ab_losses)/1000000+co2_st_nl_cost*Storage!$S$12*co2_density/ome_density/1000000+(co2_st_opex_lev+co2_st_invest_lev+co2_st_e_demand*1000*$AU143/100)*Storage!$S$12/1000000+co2_st_invest_lev*Storage!$S$12*co2_st_lifetime*M143/1000000+(h2_demand_kt*1000/365.25*short_st_duration_hrs/24)*(h2_short_st_invest*(1/gh2_short_st_lifetime+$M143+h2_short_st_opex)+h2_short_st_e_demand*1000*$AU143/100)/1000000</f>
        <v>4767.649860828561</v>
      </c>
      <c r="EN143" s="63">
        <f>ome_st_nl_cost*ome_st_nl_demand/1000000+(ome_st_invest*(M143+1/ome_st_lifetime+ome_st_opex)/(Storage!$S$63/1000000)+ome_st_e_demand*1000*$AU143/100)*(EO143+ome_st_ab_losses)/1000000+(h2_demand_kt*1000/365.25*short_st_duration_hrs/24)*(h2_short_st_invest*(1/gh2_short_st_lifetime+$M143+h2_short_st_opex)+h2_short_st_e_demand*1000*$AU143/100)/1000000</f>
        <v>1624.6347963914152</v>
      </c>
      <c r="EO143" s="63">
        <f>Storage!$S$57/((1-Shipping!$T$37)^($F143/24/Shipping!$T$44+0.5*Shipping!$T$59))</f>
        <v>128282539.68253967</v>
      </c>
      <c r="EP143" s="28">
        <f>IF($E143="","No Port",IF(AND(ship_choice="VLCC",G143="Panama"),"Ship cannot pass through Panama",IF(ship_choice="VLCC",((F143/24/Shipping!$AD$44+F143/24/Shipping!$AD$50+Shipping!$AD$59+Shipping!$AD$64)*(Shipping!$AD$22+wacc_nl*Shipping!$AD$19/365.25*1000000+Shipping!$AD$35)+(F143/24/Shipping!$AD$44*Shipping!$AD$45+Shipping!$AD$64*Shipping!$AD$65)*IF(bunker_choice="HFO",$H143,IF(bunker_choice="hydrogen",$BD143*hfo_e_density_lhv/h2_e_density_lhv,(EK143+EM143)*1000000/EO143*hfo_e_density_lhv/Dme_e_density_lhv))+(F143/24/Shipping!$AD$50*Shipping!$AD$51+Shipping!$AD$59*Shipping!$AD$60)*IF(bunker_choice="HFO",bunker_price_ROT,IF(bunker_choice="hydrogen",$BD143*hfo_e_density_lhv/h2_e_density_lhv,(EK143+EM143)*1000000/EO143*hfo_e_density_lhv/ome_e_density_lhv))+Shipping!$AD$73+IF(G143="Panama",Shipping!$AD$55,0)+IF(G143="Suez",Shipping!$AD$56,0))/Shipping!$AD$31*(EO143+ome_st_ab_losses)/1000000+IF(inland_transport_to_port="hv dc grid",$BM143/100*1000*ER143,IF(inland_transport_to_port="pipeline",$BN143,0)),((F143/24/Shipping!$T$44+F143/24/Shipping!$T$50+Shipping!$T$59+Shipping!$T$64)*(Shipping!$T$22+wacc_nl*Shipping!$T$19/365.25*1000000+Shipping!$T$35)+(F143/24/Shipping!$T$44*Shipping!$T$45+Shipping!$T$64*Shipping!$T$65)*IF(bunker_choice="HFO",$H143,IF(bunker_choice="hydrogen",$BD143*hfo_e_density_lhv/h2_e_density_lhv,(EK143+EM143)*1000000/EO143*hfo_e_density_lhv/Dme_e_density_lhv))+(F143/24/Shipping!$T$50*Shipping!$T$51+Shipping!$T$59*Shipping!$T$60)*IF(bunker_choice="HFO",bunker_price_ROT,IF(bunker_choice="hydrogen",$BD143*hfo_e_density_lhv/h2_e_density_lhv,(EK143+EM143)*1000000/EO143*hfo_e_density_lhv/ome_e_density_lhv))+Shipping!$T$73+IF(G143="Panama",Shipping!$T$55,0)+IF(G143="Suez",Shipping!$T$56,0))/Shipping!$T$31*(EO143+ome_st_ab_losses)/1000000+IF(inland_transport_to_port="hv dc grid",$BM143/100*1000*ER143,IF(inland_transport_to_port="pipeline",$BN143,0)))))</f>
        <v>5450.0892775989187</v>
      </c>
      <c r="EQ143" s="28">
        <f t="shared" si="216"/>
        <v>280640.51408609742</v>
      </c>
      <c r="ER143" s="29">
        <f>(ome_e_demand)*(EO143+ome_st_ab_losses)/1000000+ome_st_e_demand*EM143/1000000+$CV143*(Carriers!$Z$21/Carriers!$Z$23*EO143)/$CS143</f>
        <v>3352.0814572922582</v>
      </c>
      <c r="ES143" s="29">
        <f t="shared" si="191"/>
        <v>0.1924238095238095</v>
      </c>
      <c r="ET143" s="28">
        <f>IFERROR(EQ143*1000000/Storage!$S$12,"")</f>
        <v>2187.6750708287927</v>
      </c>
      <c r="EU143" s="28">
        <f>IF($E143="","No Port",((F143/24/Shipping!$T$44+F143/24/Shipping!$T$50+Shipping!$T$59+Shipping!$T$64)*Carriers!$Z$39*wacc_nl))</f>
        <v>80.539677223942448</v>
      </c>
      <c r="EV143" s="100">
        <f>H2_retrieval!$R$25*h2_demand_kt/1000+(co2_liq_e_demand+co2_st_e_demand*2)*Storage!$S$12*co2_density/ome_density/1000000</f>
        <v>254.51942895252085</v>
      </c>
      <c r="EW143" s="28">
        <f>IFERROR((((EK143+EM143+EP143)*(1+H2_retrieval!$R$34)+EU143)*1000000/H2_retrieval!$R$8)+h2_regen_ome,"")</f>
        <v>19078.986870195975</v>
      </c>
      <c r="EX143" s="149">
        <f>(sng_invest*(M143+1/sng_lifetime)/sng_prod+lng_invest*(M143+1/lng_lifetime)/lng_prod+sng_opex+lng_opex+(sng_e_demand+lng_e_demand)*1000*$AU143/100+Carriers!$AB$18/Carriers!$AB$23*BD143+Carriers!$AB$20/Carriers!$AB$23*co2_liq_cost)*(FB143+lng_st_ab_losses)/1000000</f>
        <v>81961.952911662578</v>
      </c>
      <c r="EY143" s="86">
        <f>(sng_invest*(M143+1/sng_lifetime)/sng_prod+lng_invest*(M143+1/lng_lifetime)/lng_prod+sng_opex+lng_opex+(sng_e_demand+lng_e_demand)*1000*$AU143/100+Carriers!$AB$18/Carriers!$AB$23*BD143+Carriers!$AB$20/Carriers!$AB$23*BP143)*(FB143+lng_st_ab_losses)/1000000</f>
        <v>92545.00820646777</v>
      </c>
      <c r="EZ143" s="63">
        <f>lng_st_nl_cost*lng_st_nl_demand/1000000+(lng_st_invest*(M143+1/lng_st_lifetime+lng_st_opex)/(Storage!$U$63/1000000)+lng_st_e_demand*1000*$AU143/100)*(FB143+lng_st_ab_losses)/1000000+co2_st_nl_cost*Storage!$U$12*co2_density/lng_density/1000000+(co2_st_opex_lev+co2_st_invest_lev+co2_st_e_demand*1000*$AU143/100)*Storage!$U$12/1000000+co2_st_invest_lev*Storage!$U$12*co2_st_lifetime*M143/1000000+Carriers!$AB$18/Carriers!$AB$23*((FB143+lng_st_ab_losses)/365.25*short_st_duration_hrs/24)*(h2_short_st_invest*(1/gh2_short_st_lifetime+$M143+h2_short_st_opex)+h2_short_st_e_demand*1000*$AU143/100)/1000000+Carriers!$AB$20/Carriers!$AB$23*((FB143+lng_st_ab_losses)/365.25*short_st_duration_hrs/24)*(co2_short_st_invest*(1/co2_short_st_lifetime+$M143+co2_short_st_opex)+co2_short_st_e_demand*1000*$AU143/100)/1000000</f>
        <v>5807.3267801391939</v>
      </c>
      <c r="FA143" s="63">
        <f>lng_st_nl_cost*lng_st_nl_demand/1000000+(lng_st_invest*(M143+1/lng_st_lifetime+lng_st_opex)/(Storage!$U$63/1000000)+lng_st_e_demand*1000*$AU143/100)*(FB143+lng_st_ab_losses)/1000000+Carriers!$AB$18/Carriers!$AB$23*((FB143+lng_st_ab_losses)/365.25*short_st_duration_hrs/24)*(h2_short_st_invest*(1/gh2_short_st_lifetime+$M143+h2_short_st_opex)+h2_short_st_e_demand*1000*$AU143/100)/1000000+Carriers!$AB$20/Carriers!$AB$23*((FB143+lng_st_ab_losses)/365.25*short_st_duration_hrs/24)*(co2_short_st_invest*(1/co2_short_st_lifetime+$M143+co2_short_st_opex)+co2_short_st_e_demand*1000*$AU143/100)/1000000</f>
        <v>4268.0603349720141</v>
      </c>
      <c r="FB143" s="63">
        <f>Storage!$U$57/((1-Shipping!$V$37)^($F143/24/Shipping!$V$44+0.5*Shipping!$V$59))</f>
        <v>41168434.087550648</v>
      </c>
      <c r="FC143" s="28">
        <f>IF($E143="","No Port",IF(G143="Panama","Ship cannot pass through Panama",((F143/24/Shipping!$V$44+F143/24/Shipping!$V$50+Shipping!$V$59+Shipping!$V$64)*(Shipping!$V$22+wacc_nl*Shipping!$V$19/365.25*1000000+Shipping!$V$35)+(F143/24/Shipping!$V$44*Shipping!$V$45+Shipping!$V$64*Shipping!$V$65)*IF(bunker_choice="HFO",$H143,IF(bunker_choice="hydrogen",$BD143*hfo_e_density_lhv/h2_e_density_lhv,(EX143+EZ143)*1000000/FB143*hfo_e_density_lhv/lng_e_density_lhv))+(F143/24/Shipping!$V$50*Shipping!$V$51+Shipping!$V$59*Shipping!$V$60)*IF(bunker_choice="HFO",bunker_price_ROT,IF(bunker_choice="hydrogen",$BD143*hfo_e_density_lhv/h2_e_density_lhv,(EX143+EZ143)*1000000/FB143*hfo_e_density_lhv/lng_e_density_lhv))+Shipping!$V$73+IF(G143="Panama",Shipping!$V$55,0)+IF(G143="Suez",Shipping!$V$56,0))/Shipping!$V$31*(FB143+lng_st_ab_losses)/1000000)+IF(inland_transport_to_port="hv dc grid",$BM143/100*1000*FE143,IF(inland_transport_to_port="pipeline",$BN143,0)))</f>
        <v>2533.604656550543</v>
      </c>
      <c r="FD143" s="28">
        <f t="shared" si="217"/>
        <v>99346.673197990327</v>
      </c>
      <c r="FE143" s="29">
        <f>((Carriers!$AB$18/Carriers!$AB$23*alk_el_e_demand)+sng_e_demand+lng_e_demand)*(FB143+lng_st_ab_losses)/1000000+lng_st_e_demand*EZ143/1000000</f>
        <v>1104.1069399638532</v>
      </c>
      <c r="FF143" s="29">
        <f t="shared" si="192"/>
        <v>0.8126185861001558</v>
      </c>
      <c r="FG143" s="28">
        <f>IFERROR(FD143*1000000/Storage!$U$12,"")</f>
        <v>2447.9194350255752</v>
      </c>
      <c r="FH143" s="28">
        <f>IF($E143="","No Port",((F143/24/Shipping!$V$44+F143/24/Shipping!$V$50+Shipping!$V$59+Shipping!$V$64)*Carriers!$AB$39*wacc_nl))</f>
        <v>23.89914096439087</v>
      </c>
      <c r="FI143" s="100">
        <f>H2_retrieval!$T$25*h2_demand_kt/1000+(co2_liq_e_demand+co2_st_e_demand*2)*Storage!$U$12*co2_density/lng_density/1000000</f>
        <v>236.51371749646054</v>
      </c>
      <c r="FJ143" s="28">
        <f>IFERROR((((EX143+EZ143+FC143)*(1+H2_retrieval!$T$34)+FH143)*1000000/H2_retrieval!$T$8)+h2_regen_lng,"")</f>
        <v>7811.8037997635201</v>
      </c>
      <c r="FK143" s="149">
        <f>(lh2_invest*(M143+1/lh2_lifetime)/lh2_prod+lh2_opex+lh2_e_demand*1000*$AU143/100+Carriers!$AD$18/Carriers!$AD$23*BD143)*(FM143+lh2_st_ab_losses)/1000000</f>
        <v>61713.25046109192</v>
      </c>
      <c r="FL143" s="28">
        <f>lh2_st_nl_cost*lh2_st_nl_demand/1000000+(lh2_st_invest*(M143+1/lh2_st_lifetime+lh2_st_opex)/(Storage!$Y$63/1000000)+lh2_st_e_demand*1000*$AU143/100)*(FM143+lh2_st_ab_losses)/1000000+((FM143+lh2_st_ab_losses)/365.25*short_st_duration_hrs/24)*(h2_short_st_invest*(1/gh2_short_st_lifetime+$M143+h2_short_st_opex)+h2_short_st_e_demand*1000*$AU143/100)/1000000</f>
        <v>50030.918289114779</v>
      </c>
      <c r="FM143" s="63">
        <f>Storage!$Y$57/((1-Shipping!$Z$37)^($F143/24/Shipping!$Z$44+0.5*Shipping!$Z$59))</f>
        <v>13908541.268843852</v>
      </c>
      <c r="FN143" s="28">
        <f>IF($E143="","No Port",IF(G143="Panama","Ship cannot pass through Panama",((F143/24/Shipping!$Z$44+F143/24/Shipping!$Z$50+Shipping!$Z$59+Shipping!$Z$64)*(Shipping!$Z$22+wacc_nl*Shipping!$Z$19/365.25*1000000+Shipping!$Z$35)+(F143/24/Shipping!$Z$44*Shipping!$Z$45+Shipping!$Z$64*Shipping!$Z$65)*IF(bunker_choice="HFO",$H143,IF(bunker_choice="hydrogen",$BD143*hfo_e_density_lhv/h2_e_density_lhv,(FK143+FL143)*1000000/FM143*hfo_e_density_lhv/lh2_e_density_lhv))+(F143/24/Shipping!$Z$50*Shipping!$Z$51+Shipping!$Z$59*Shipping!$Z$60)*IF(bunker_choice="HFO",bunker_price_ROT,IF(bunker_choice="hydrogen",$BD143*hfo_e_density_lhv/h2_e_density_lhv,(FK143+FL143)*1000000/FM143*hfo_e_density_lhv/lh2_e_density_lhv))+Shipping!$Z$73+IF(G143="Panama",Shipping!$Z$55,0)+IF(G143="Suez",Shipping!$Z$56,0))/Shipping!$Z$31*(FM143+lh2_st_ab_losses)/1000000)+IF(inland_transport_to_port="hv dc grid",$BM143/100*1000*FP143,IF(inland_transport_to_port="pipeline",$BN143,0)))</f>
        <v>3622.4806496153365</v>
      </c>
      <c r="FO143" s="28">
        <f t="shared" si="200"/>
        <v>115366.64939982204</v>
      </c>
      <c r="FP143" s="29">
        <f>((Carriers!$AD$18/Carriers!$AD$23*alk_el_e_demand)+lh2_e_demand)*(FM143+lh2_st_ab_losses)/1000000+lh2_st_e_demand*FM143/1000000</f>
        <v>805.98633637799742</v>
      </c>
      <c r="FQ143" s="100">
        <f t="shared" si="193"/>
        <v>1.361902463475859</v>
      </c>
      <c r="FR143" s="28">
        <f>IFERROR(FO143*1000000/Storage!$Y$12,"")</f>
        <v>8482.8418676339734</v>
      </c>
      <c r="FS143" s="100">
        <f>H2_retrieval!$V$25*h2_demand_kt/1000</f>
        <v>8.16</v>
      </c>
      <c r="FT143" s="28">
        <f>IFERROR(FR143*(1+H2_retrieval!$V$34)/Carrier_properties!$U$7+H2_retrieval!$V$38,"")</f>
        <v>8514.8105935024414</v>
      </c>
      <c r="FU143" s="12"/>
      <c r="FV143" s="24">
        <f t="shared" si="201"/>
        <v>2.7833470870824488</v>
      </c>
      <c r="FW143" s="24" t="str">
        <f t="shared" si="143"/>
        <v/>
      </c>
      <c r="FX143" s="24">
        <f t="shared" si="144"/>
        <v>6.9094048295978041</v>
      </c>
      <c r="FY143" s="24">
        <f t="shared" si="202"/>
        <v>2.7833470870824488</v>
      </c>
      <c r="FZ143" s="28">
        <f t="shared" si="145"/>
        <v>3570.2109995589944</v>
      </c>
      <c r="GA143" s="28">
        <f t="shared" si="218"/>
        <v>763.20254969893676</v>
      </c>
      <c r="GB143" s="28">
        <f t="shared" si="219"/>
        <v>448.42015951023598</v>
      </c>
      <c r="GC143" s="28">
        <f t="shared" si="220"/>
        <v>848.61976110460353</v>
      </c>
      <c r="GD143" s="28">
        <f t="shared" si="221"/>
        <v>1229.1838630092179</v>
      </c>
      <c r="GE143" s="28">
        <f t="shared" si="222"/>
        <v>2132.5255228739575</v>
      </c>
      <c r="GF143" s="28">
        <f t="shared" si="223"/>
        <v>2247.960367150652</v>
      </c>
      <c r="GG143" s="12"/>
      <c r="GH143" s="12"/>
      <c r="GI143" s="12"/>
      <c r="GJ143" s="12"/>
      <c r="GK143" s="12"/>
      <c r="GL143" s="12"/>
      <c r="GM143" s="12"/>
      <c r="GN143" s="12"/>
      <c r="GO143" s="12"/>
      <c r="GP143" s="12"/>
      <c r="GQ143" s="12"/>
      <c r="GR143" s="12"/>
      <c r="GS143" s="12"/>
      <c r="GT143" s="12"/>
      <c r="GU143" s="12"/>
      <c r="GV143" s="12"/>
      <c r="GW143" s="12"/>
      <c r="GX143" s="12"/>
      <c r="GY143" s="12"/>
      <c r="GZ143" s="12"/>
      <c r="HA143" s="12"/>
      <c r="HB143" s="12"/>
      <c r="HC143" s="12"/>
      <c r="HD143" s="12"/>
      <c r="HE143" s="12"/>
      <c r="HF143" s="12"/>
    </row>
    <row r="144" spans="1:214" x14ac:dyDescent="0.2">
      <c r="A144" s="154" t="s">
        <v>92</v>
      </c>
      <c r="B144" s="12">
        <v>5186</v>
      </c>
      <c r="C144" s="12">
        <v>1</v>
      </c>
      <c r="D144" s="12">
        <f t="shared" si="194"/>
        <v>0</v>
      </c>
      <c r="E144" s="12" t="s">
        <v>791</v>
      </c>
      <c r="F144" s="12">
        <v>6165</v>
      </c>
      <c r="G144" s="12" t="s">
        <v>692</v>
      </c>
      <c r="H144" s="16">
        <f t="shared" si="203"/>
        <v>382.75862068965517</v>
      </c>
      <c r="I144" s="16">
        <v>83600</v>
      </c>
      <c r="J144" s="16">
        <f t="shared" si="195"/>
        <v>163.12788383647015</v>
      </c>
      <c r="K144" s="16">
        <f t="shared" si="196"/>
        <v>195.75346060376418</v>
      </c>
      <c r="L144" s="103">
        <v>9.0999999999999998E-2</v>
      </c>
      <c r="M144" s="103">
        <f t="shared" si="204"/>
        <v>0.10578107696039396</v>
      </c>
      <c r="N144" s="122">
        <f t="shared" si="197"/>
        <v>0.85</v>
      </c>
      <c r="O144" s="46">
        <f t="shared" si="205"/>
        <v>40</v>
      </c>
      <c r="P144" s="70">
        <f t="array" ref="P144">SUMPRODUCT(IF(Solar_data!A$4:A$777=A144,Solar_data!C$4:C$777),IF(Solar_data!A$4:A$777=A144,Solar_data!I$4:I$777))/SUMIF(Solar_data!A$4:A$777,A144,Solar_data!I$4:I$777)</f>
        <v>2240.6117101190575</v>
      </c>
      <c r="Q144" s="16">
        <f t="array" ref="Q144">MAX(IF(Solar_data!$A$777:'Solar_data'!$A$4=Country_details!$A144,Solar_data!$C$4:'Solar_data'!$C$777))</f>
        <v>2281.25</v>
      </c>
      <c r="R144" s="16">
        <f t="array" ref="R144">MIN(IF(Solar_data!$A$777:'Solar_data'!$A$4=Country_details!A144,Solar_data!$C$4:'Solar_data'!$C$777))</f>
        <v>2098.75</v>
      </c>
      <c r="S144" s="24">
        <f t="shared" si="176"/>
        <v>1.8830017960403234</v>
      </c>
      <c r="T144" s="24">
        <f t="shared" si="177"/>
        <v>1.8494579175378261</v>
      </c>
      <c r="U144" s="24">
        <f t="shared" si="178"/>
        <v>2.0102803451498112</v>
      </c>
      <c r="V144" s="16">
        <f t="array" ref="V144">SUM(IF(Solar_data!$A$777:'Solar_data'!$A$4=Country_details!$A144,Solar_data!$I$4:'Solar_data'!$I$777))</f>
        <v>579.81883426216689</v>
      </c>
      <c r="W144" s="148"/>
      <c r="X144" s="16">
        <f>IFERROR(INDEX(Onshore_wind_data!$J$5:'Onshore_wind_data'!$J$221,MATCH(A144,Onshore_wind_data!$B$5:'Onshore_wind_data'!$B$221,0)),"")</f>
        <v>3055.1893409776026</v>
      </c>
      <c r="Y144" s="16">
        <f>IFERROR(INDEX(Onshore_wind_data!$K$5:'Onshore_wind_data'!$K$221,MATCH(A144,Onshore_wind_data!$B$5:'Onshore_wind_data'!$B$221,0)),"")</f>
        <v>3971</v>
      </c>
      <c r="Z144" s="16">
        <f>IFERROR(INDEX(Onshore_wind_data!$L$5:'Onshore_wind_data'!$L$221,MATCH(A144,Onshore_wind_data!$B$5:'Onshore_wind_data'!$B$221,0)),"")</f>
        <v>2847.5</v>
      </c>
      <c r="AA144" s="24">
        <f t="shared" si="206"/>
        <v>4.2270198190343073</v>
      </c>
      <c r="AB144" s="24">
        <f t="shared" si="207"/>
        <v>3.2521646676440925</v>
      </c>
      <c r="AC144" s="24">
        <f t="shared" si="208"/>
        <v>4.5353277946320247</v>
      </c>
      <c r="AD144" s="16">
        <f>IFERROR(INDEX(Onshore_wind_data!$I$5:'Onshore_wind_data'!$I$221,MATCH(A144,Onshore_wind_data!$B$5:'Onshore_wind_data'!$B$221,0)),"")</f>
        <v>12.419896132750001</v>
      </c>
      <c r="AE144" s="148"/>
      <c r="AF144" s="16" t="str">
        <f>INDEX(Offshore_wind_data!$AA$7:$AA$192,MATCH(Country_details!A144,Offshore_wind_data!$A$7:$A$192,0))</f>
        <v/>
      </c>
      <c r="AG144" s="16" t="str">
        <f>INDEX(Offshore_wind_data!$Y$7:$Y$192,MATCH(Country_details!A144,Offshore_wind_data!$A$7:$A$192,0))</f>
        <v/>
      </c>
      <c r="AH144" s="16" t="str">
        <f>INDEX(Offshore_wind_data!$Z$7:$Z$192,MATCH(Country_details!A144,Offshore_wind_data!$A$7:$A$192,0))</f>
        <v/>
      </c>
      <c r="AI144" s="24" t="str">
        <f t="shared" si="179"/>
        <v/>
      </c>
      <c r="AJ144" s="24" t="str">
        <f t="shared" si="180"/>
        <v/>
      </c>
      <c r="AK144" s="24" t="str">
        <f t="shared" si="181"/>
        <v/>
      </c>
      <c r="AL144" s="16">
        <f>INDEX(Offshore_wind_data!$W$7:$W$191,MATCH(A144,Offshore_wind_data!$A$7:$A$191,0))</f>
        <v>0</v>
      </c>
      <c r="AM144" s="148"/>
      <c r="AN144" s="12">
        <v>9.4</v>
      </c>
      <c r="AO144" s="12">
        <v>13.2</v>
      </c>
      <c r="AP144" s="34">
        <f>7.691*11.63</f>
        <v>89.446330000000003</v>
      </c>
      <c r="AQ144" s="15">
        <f t="shared" si="182"/>
        <v>50</v>
      </c>
      <c r="AR144" s="12">
        <f t="shared" si="212"/>
        <v>660</v>
      </c>
      <c r="AS144" s="16">
        <f t="shared" si="198"/>
        <v>-67.761269605083157</v>
      </c>
      <c r="AT144" s="12"/>
      <c r="AU144" s="24">
        <f t="shared" si="183"/>
        <v>3.2352842571474336</v>
      </c>
      <c r="AV144" s="16">
        <f t="shared" si="184"/>
        <v>5295.8010510966596</v>
      </c>
      <c r="AW144" s="149">
        <f>HV_DC_Grid!$E$3/(1-AX144)*AU144/100*1000</f>
        <v>3633.1223079322494</v>
      </c>
      <c r="AX144" s="31">
        <f>(1-(1-HV_DC_Grid!$E$25)^(B144*C144*HV_DC_Grid!$E$8/1000))+(1-(1-HV_DC_Grid!$E$26)^(B144*D144*HV_DC_Grid!$E$8/1000))+HV_DC_Grid!$E$35*HV_DC_Grid!$E$28</f>
        <v>0.10950307120578072</v>
      </c>
      <c r="AY144" s="28">
        <f>B144*nl_e_demand/IF(hv_dc_flh="electricity FLH",$AV144,hv_dc_custom)*1000*hv_dc_capacity_multiplier*hv_dc_length_multiplier*1000*(C144*hv_dc_overhead_invest*(hv_dc_overhead_opex+M144+1/hv_dc_lifetime)+D144*hv_dc_sea_invest*(hv_dc_sea_opex+M144+1/hv_dc_lifetime))/1000000+HV_DC_Grid!$E$10*1000*hv_dc_station_invest*hv_dc_station_number*(hv_dc_station_opex+M144+1/hv_dc_lifetime)/1000000</f>
        <v>4226.5407549911042</v>
      </c>
      <c r="AZ144" s="24">
        <f>(AW144+AY144)/(HV_DC_Grid!$E$3*1000)*100</f>
        <v>7.859663062923353</v>
      </c>
      <c r="BA144" s="28">
        <f>MIN(((Carriers!$F$26+Carriers!$F$27)*(alk_el_opex+wacc_nl+1/alk_el_lifetime)+IF(hv_dc_flh="electricity FLH",$AV144,hv_dc_custom)*AZ144/100)/(IF(hv_dc_flh="electricity FLH",$AV144,hv_dc_custom)/alk_el_e_demand)*1000,((Carriers!$H$26+Carriers!$H$27)*(pem_el_opex+wacc_nl+1/pem_el_lifetime)+IF(hv_dc_flh="electricity FLH",$AV144,hv_dc_custom)*AZ144/100)/(IF(hv_dc_flh="electricity FLH",$AV144,hv_dc_custom)/pem_el_e_demand)*1000)</f>
        <v>4361.5553252908703</v>
      </c>
      <c r="BB144" s="12"/>
      <c r="BC144" s="12"/>
      <c r="BD144" s="149">
        <f>MIN(((Carriers!$F$26+Carriers!$F$27)*(alk_el_opex+M144+1/alk_el_lifetime)+$AV144*$AU144/100)/($AV144/alk_el_e_demand)*1000,((Carriers!$H$26+Carriers!$H$27)*(pem_el_opex+M144+1/pem_el_lifetime)+$AV144*$AU144/100)/($AV144/pem_el_e_demand)*1000)</f>
        <v>2236.1171027122</v>
      </c>
      <c r="BE144" s="28">
        <f>Storage!$AC$50</f>
        <v>8.1664117557772418</v>
      </c>
      <c r="BF144" s="28">
        <f>((Pipeline!$D$22*Pipeline!$D$24*B144*(pipeline_opex+M144+1/pipeline_lifetime))*(Pipeline!$D$39/Pipeline!$D$3)+(Pipeline!$D$57*(pipeline_comp_opex+M144+1/pipeline_comp_lifetime)+Pipeline!$D$47*1000*Pipeline!$D$45*$AU144/100/1000000))*(Pipeline!$D$75/Pipeline!$D$45)</f>
        <v>10518.113293163422</v>
      </c>
      <c r="BG144" s="28">
        <f>BD144+(BE144+BF144)/Storage!$AC$12*1000000</f>
        <v>3010.1082574856705</v>
      </c>
      <c r="BH144" s="28"/>
      <c r="BI144" s="28"/>
      <c r="BJ144" s="28">
        <f>IF($E144="","No Port",BK144*HV_DC_Grid!$E$3*$AU144/100*1000)</f>
        <v>57.528822134230317</v>
      </c>
      <c r="BK144" s="31">
        <f>IFERROR((1-(1-HV_DC_Grid!$E$25)^(K144*HV_DC_Grid!$E$8/1000))+HV_DC_Grid!$E$35*HV_DC_Grid!$E$28,"")</f>
        <v>1.778169012726992E-2</v>
      </c>
      <c r="BL144" s="28">
        <f>IFERROR(K144*nl_e_demand/IF(hv_dc_flh="electricity FLH",$AV144,hv_dc_custom)*1000*hv_dc_capacity_multiplier*hv_dc_length_multiplier*1000*(hv_dc_overhead_invest*(hv_dc_overhead_opex+M144+1/hv_dc_lifetime))/1000000+HV_DC_Grid!$E$10*1000*hv_dc_station_invest*hv_dc_station_number*(hv_dc_station_opex+M144+1/hv_dc_lifetime)/1000000,"")</f>
        <v>517.17030542875614</v>
      </c>
      <c r="BM144" s="29">
        <f>IFERROR((BJ144+BL144)/(HV_DC_Grid!$E$3*1000)*100,"")</f>
        <v>0.57469912756298647</v>
      </c>
      <c r="BN144" s="28">
        <f>IFERROR(((Pipeline!$D$22*Pipeline!$D$24*K144*(pipeline_opex+M144+1/pipeline_lifetime))*(Pipeline!$D$39/Pipeline!$D$3)+(Pipeline!$D$57*(pipeline_comp_opex+M144+1/pipeline_comp_lifetime)+Pipeline!$D$47*1000*Pipeline!$D$45*S144/100/1000000))*(Pipeline!$D$75/Pipeline!$D$45),"")</f>
        <v>457.51581546494833</v>
      </c>
      <c r="BO144" s="28"/>
      <c r="BP144" s="150">
        <f t="shared" si="209"/>
        <v>107.18460189450786</v>
      </c>
      <c r="BQ144" s="34">
        <f t="shared" si="210"/>
        <v>31.485621879100488</v>
      </c>
      <c r="BR144" s="151">
        <f>(nh3_invest*(M144+1/nh3_lifetime)/nh3_prod+nh3_opex+nh3_e_demand*1000*$AU144/100+Carriers!$N$18/Carriers!$N$23*BD144+Carriers!$N$19/Carriers!$N$23*BQ144)*(BT144+nh3_st_ab_losses)/1000000</f>
        <v>42675.955725858141</v>
      </c>
      <c r="BS144" s="63">
        <f>nh3_st_nl_cost*nh3_st_nl_demand/1000000+(nh3_st_invest*(M144+1/nh3_st_lifetime+nh3_st_opex)/(Storage!$G$63/1000000)+nh3_st_e_demand*1000*$AU144/100)*(BT144+nh3_st_ab_losses)/1000000+Carriers!$N$18/Carriers!$N$23*((BT144+nh3_st_ab_losses)/365.25*short_st_duration_hrs/24)*(h2_short_st_invest*(1/gh2_short_st_lifetime+$M144+h2_short_st_opex)+h2_short_st_e_demand*1000*$AU144/100)/1000000+Carriers!$N$19/Carriers!$N$23*((BT144+nh3_st_ab_losses)/365.25*short_st_duration_hrs/24)*(n2_short_st_invest*(1/n2_short_st_lifetime+$M144+n2_short_st_opex)+n2_short_st_e_demand*1000*$AU144/100)/1000000</f>
        <v>3232.8321774505375</v>
      </c>
      <c r="BT144" s="63">
        <f>Storage!$G$57/((1-Shipping!$H$37)^(F144/24/Shipping!$H$44+0.5*Shipping!$H$59))</f>
        <v>79910616.949193984</v>
      </c>
      <c r="BU144" s="63">
        <f>IF($E144="","No Port",((F144/24/Shipping!$H$44+F144/24/Shipping!$H$50+Shipping!$H$59+Shipping!$H$64)*(Shipping!$H$22+wacc_nl*Shipping!$H$19/365.25*1000000+Shipping!$H$35)+(F144/24/Shipping!$H$44*Shipping!$H$45+Shipping!$H$64*Shipping!$H$65)*IF(bunker_choice="HFO",H144,IF(bunker_choice="hydrogen",BD144*hfo_e_density_lhv/h2_e_density_lhv,(BR144+BS144)*1000000/BT144*hfo_e_density_lhv/nh3_e_density_lhv))+(F144/24/Shipping!$H$50*Shipping!$H$51+Shipping!$H$59*Shipping!$H$60)*IF(bunker_choice="HFO",bunker_price_ROT,IF(bunker_choice="hydrogen",BD144*hfo_e_density_lhv/h2_e_density_lhv,(BR144+BS144)*1000000/BT144*hfo_e_density_lhv/nh3_e_density_lhv))+Shipping!$H$73+IF(G144="Panama",Shipping!$H$55,0)+IF(G144="Suez",Shipping!$H$56,0))/Shipping!$H$31*BT144/1000000+IF(inland_transport_to_port="hv dc grid",$BM144/100*1000*BW144,IF(inland_transport_to_port="pipeline",$BN144,0)))</f>
        <v>4650.416960872305</v>
      </c>
      <c r="BV144" s="63">
        <f t="shared" si="199"/>
        <v>50559.204864180982</v>
      </c>
      <c r="BW144" s="33">
        <f>((Carriers!$N$18/Carriers!$N$23*alk_el_e_demand)+(Carriers!$N$19/Carriers!$N$23*n2_e_demand)+nh3_e_demand)*(BT144+nh3_st_ab_losses)/1000000+nh3_st_e_demand*BT144/1000000</f>
        <v>789.13057613905357</v>
      </c>
      <c r="BX144" s="33">
        <f t="shared" si="185"/>
        <v>0.76626754477640768</v>
      </c>
      <c r="BY144" s="63">
        <f>IFERROR(BV144*1000000/Storage!$G$12,"")</f>
        <v>660.36113164323069</v>
      </c>
      <c r="BZ144" s="63">
        <f>H2_retrieval!$F$25*h2_demand_kt/1000</f>
        <v>80</v>
      </c>
      <c r="CA144" s="63">
        <f>IFERROR(BY144*(1+H2_retrieval!$F$34)/Carrier_properties!$E$7+H2_retrieval!$F$38,"")</f>
        <v>4126.8145725982195</v>
      </c>
      <c r="CB144" s="149">
        <f>(FA_invest*(M144+1/FA_lifetime)/FA_prod+FA_opex+FA_e_demand*1000*$AU144/100+Carriers!$P$18/Carriers!$P$23*BD144+Carriers!$P$20/Carriers!$P$23*co2_liq_cost)*(CF144+FA_st_ab_losses)/1000000</f>
        <v>95817.991638686042</v>
      </c>
      <c r="CC144" s="86">
        <f>(FA_invest*(M144+1/FA_lifetime)/FA_prod+FA_opex+FA_e_demand*1000*$AU144/100+Carriers!$P$18/Carriers!$P$23*BD144+Carriers!$P$20/Carriers!$P$23*BP144)*(CF144+FA_st_ab_losses)/1000000</f>
        <v>121568.40685358537</v>
      </c>
      <c r="CD144" s="63">
        <f>FA_st_nl_cost*FA_st_nl_demand/1000000+(FA_st_invest*(M144+1/FA_st_lifetime+FA_st_opex)/(Storage!$I$63/1000000)+FA_st_e_demand*1000*$AU144/100)*(CF144+FA_st_ab_losses)/1000000+co2_st_nl_cost*Storage!$I$12*co2_density/FA_density/1000000+(co2_st_opex_lev+co2_st_invest_lev+co2_st_e_demand*1000*$AU144/100)*Storage!$I$12/1000000+co2_st_invest_lev*Storage!$I$12*co2_st_lifetime*M144/1000000+Carriers!$P$18/Carriers!$P$23*((CF144+FA_st_ab_losses)/365.25*short_st_duration_hrs/24)*(h2_short_st_invest*(1/gh2_short_st_lifetime+$M144+h2_short_st_opex)+h2_short_st_e_demand*1000*$AU144/100)/1000000+Carriers!$P$20/Carriers!$P$23*((CF144+FA_st_ab_losses)/365.25*short_st_duration_hrs/24)*(co2_short_st_invest*(1/co2_short_st_lifetime+$M144+co2_short_st_opex)+co2_short_st_e_demand*1000*$AU144/100)/1000000</f>
        <v>11334.86884562158</v>
      </c>
      <c r="CE144" s="63">
        <f>FA_st_nl_cost*FA_st_nl_demand/1000000+(FA_st_invest*(M144+1/FA_st_lifetime+FA_st_opex)/(Storage!$I$63/1000000)+FA_st_e_demand*1000*$AU144/100)*(CF144+FA_st_ab_losses)/1000000+Carriers!$P$18/Carriers!$P$23*((CF144+FA_st_ab_losses)/365.25*short_st_duration_hrs/24)*(h2_short_st_invest*(1/gh2_short_st_lifetime+$M144+h2_short_st_opex)+h2_short_st_e_demand*1000*$AU144/100)/1000000+Carriers!$P$20/Carriers!$P$23*((CF144+FA_st_ab_losses)/365.25*short_st_duration_hrs/24)*(co2_short_st_invest*(1/co2_short_st_lifetime+$M144+co2_short_st_opex)+co2_short_st_e_demand*1000*$AU144/100)/1000000</f>
        <v>4756.8811229936982</v>
      </c>
      <c r="CF144" s="63">
        <f>Storage!$I$57/((1-Shipping!$J$37)^($F144/24/Shipping!$J$44+0.5*Shipping!$J$59))</f>
        <v>310425396.82539684</v>
      </c>
      <c r="CG144" s="28">
        <f>IF($E144="","No Port",((F144/24/Shipping!$J$44+F144/24/Shipping!$J$50+Shipping!$J$59+Shipping!$J$64)*(Shipping!$J$22+wacc_nl*Shipping!$J$19/365.25*1000000+Shipping!$J$35)+(F144/24/Shipping!$J$44*Shipping!$J$45+Shipping!$J$64*Shipping!$J$65)*IF(bunker_choice="HFO",$H144,IF(bunker_choice="hydrogen",$BD144*hfo_e_density_lhv/h2_e_density_lhv,(CB144+CD144)*1000000/CF144*hfo_e_density_lhv/FA_e_density_lhv))+(F144/24/Shipping!$J$50*Shipping!$J$51+Shipping!$J$59*Shipping!$J$60)*IF(bunker_choice="HFO",bunker_price_ROT,IF(bunker_choice="hydrogen",$BD144*hfo_e_density_lhv/h2_e_density_lhv,(CB144+CD144)*1000000/CF144*hfo_e_density_lhv/FA_e_density_lhv))+Shipping!$J$73+IF(G144="Panama",Shipping!$J$55,0)+IF(G144="Suez",Shipping!$J$56,0))/Shipping!$J$31*CF144/1000000+IF(inland_transport_to_port="hv dc grid",$BM144/100*1000*CI144,IF(inland_transport_to_port="pipeline",$BN144,0)))</f>
        <v>18103.434461845485</v>
      </c>
      <c r="CH144" s="28">
        <f t="shared" si="213"/>
        <v>144428.72243842456</v>
      </c>
      <c r="CI144" s="29">
        <f>((Carriers!$P$18/Carriers!$P$23*alk_el_e_demand)+FA_e_demand)*(CF144+FA_st_ab_losses)/1000000+FA_st_e_demand*CF144/1000000</f>
        <v>1897.8881241622576</v>
      </c>
      <c r="CJ144" s="29">
        <f t="shared" si="186"/>
        <v>0.46563809523809524</v>
      </c>
      <c r="CK144" s="28">
        <f>IFERROR(CH144*1000000/Storage!$I$12,"")</f>
        <v>465.26065172322399</v>
      </c>
      <c r="CL144" s="28">
        <f>IF($E144="","No Port",((F144/24/Shipping!$J$44+F144/24/Shipping!$J$50+Shipping!$J$59+Shipping!$J$64)*Carriers!$P$39*wacc_nl))</f>
        <v>300.25156656248458</v>
      </c>
      <c r="CM144" s="29">
        <f>H2_retrieval!$H$25*h2_demand_kt/1000+(co2_liq_e_demand+co2_st_e_demand*2)*Storage!$I$12*co2_density/FA_density/1000000</f>
        <v>94.204253879484654</v>
      </c>
      <c r="CN144" s="28">
        <f>IFERROR((((CB144+CD144+CG144)*(1+H2_retrieval!$H$34)+CL144)*1000000/H2_retrieval!$H$8)+h2_regen_fa,"")</f>
        <v>9321.7863760548662</v>
      </c>
      <c r="CO144" s="149">
        <f>(meoh_invest*(M144+1/meoh_lifetime)/meoh_prod+meoh_opex+meoh_e_demand*1000*$AU144/100+Carriers!$R$18/Carriers!$R$23*BD144+Carriers!$R$20/Carriers!$R$23*co2_liq_cost)*(CS144+meoh_st_ab_losses)/1000000</f>
        <v>49966.618663787995</v>
      </c>
      <c r="CP144" s="86">
        <f>(meoh_invest*(M144+1/meoh_lifetime)/meoh_prod+meoh_opex+meoh_e_demand*1000*$AU144/100+Carriers!$R$18/Carriers!$R$23*BD144+Carriers!$R$20/Carriers!$R$23*BP144)*(CS144+meoh_st_ab_losses)/1000000</f>
        <v>65082.90735754044</v>
      </c>
      <c r="CQ144" s="63">
        <f>meoh_st_nl_cost*meoh_st_nl_demand/1000000+(meoh_st_invest*(M144+1/meoh_st_lifetime+meoh_st_opex)/(Storage!$K$63/1000000)+meoh_st_e_demand*1000*$AU144/100)*(CS144+meoh_st_ab_losses)/1000000+co2_st_nl_cost*Storage!$K$12*co2_density/meoh_density/1000000+(co2_st_opex_lev+co2_st_invest_lev+co2_st_e_demand*1000*IFERROR(MIN(S144,AA144,AI144),S144)/100)*Storage!$K$12/1000000+co2_st_invest_lev*Storage!$K$12*co2_st_lifetime*M144/1000000+Carriers!$R$18/Carriers!$R$23*((CS144+meoh_st_ab_losses)/365.25*short_st_duration_hrs/24)*(h2_short_st_invest*(1/gh2_short_st_lifetime+$M144+h2_short_st_opex)+h2_short_st_e_demand*1000*$AU144/100)/1000000+Carriers!$R$20/Carriers!$R$23*((CF144+meoh_st_ab_losses)/365.25*short_st_duration_hrs/24)*(co2_short_st_invest*(1/co2_short_st_lifetime+$M144+co2_short_st_opex)+co2_short_st_e_demand*1000*$AU144/100)/1000000</f>
        <v>4595.0947998542097</v>
      </c>
      <c r="CR144" s="63">
        <f>meoh_st_nl_cost*meoh_st_nl_demand/1000000+(meoh_st_invest*(M144+1/meoh_st_lifetime+meoh_st_opex)/(Storage!$K$63/1000000)+meoh_st_e_demand*1000*$AU144/100)*(CS144+meoh_st_ab_losses)/1000000+Carriers!$R$18/Carriers!$R$23*((CS144+meoh_st_ab_losses)/365.25*short_st_duration_hrs/24)*(h2_short_st_invest*(1/gh2_short_st_lifetime+$M144+h2_short_st_opex)+h2_short_st_e_demand*1000*$AU144/100)/1000000+Carriers!$R$20/Carriers!$R$23*((CF144+meoh_st_ab_losses)/365.25*short_st_duration_hrs/24)*(co2_short_st_invest*(1/co2_short_st_lifetime+$M144+co2_short_st_opex)+co2_short_st_e_demand*1000*$AU144/100)/1000000</f>
        <v>1852.7165871696698</v>
      </c>
      <c r="CS144" s="63">
        <f>Storage!$K$57/((1-Shipping!$L$37)^($F144/24/Shipping!$L$44+0.5*Shipping!$L$59))</f>
        <v>108044444.44444443</v>
      </c>
      <c r="CT144" s="28">
        <f>IF($E144="","No Port",IF(AND(ship_choice="VLCC",G144="Panama"),"Ship cannot pass through Panama",IF(ship_choice="VLCC",((F144/24/Shipping!$AD$44+F144/24/Shipping!$AD$50+Shipping!$AD$59+Shipping!$AD$64)*(Shipping!$AD$22+wacc_nl*Shipping!$AD$19/365.25*1000000+Shipping!$AD$35)+(F144/24/Shipping!$AD$44*Shipping!$AD$45+Shipping!$AD$64*Shipping!$AD$65)*IF(bunker_choice="HFO",$H144,IF(bunker_choice="hydrogen",$BD144*hfo_e_density_lhv/h2_e_density_lhv,(CO144+CQ144)*1000000/CS144*hfo_e_density_lhv/meoh_e_density_lhv))+(F144/24/Shipping!$AD$50*Shipping!$AD$51+Shipping!$AD$59*Shipping!$AD$60)*IF(bunker_choice="HFO",bunker_price_ROT,IF(bunker_choice="hydrogen",$BD144*hfo_e_density_lhv/h2_e_density_lhv,(CO144+CQ144)*1000000/CS144*hfo_e_density_lhv/meoh_e_density_lhv))+Shipping!$AD$73+IF(G144="Panama",Shipping!$AD$55,0)+IF(G144="Suez",Shipping!$AD$56,0))/Shipping!$AD$31*CS144/1000000+IF(inland_transport_to_port="hv dc grid",$BM144/100*1000*CV144,IF(inland_transport_to_port="pipeline",$BN144,0)),((F144/24/Shipping!$L$44+F144/24/Shipping!$L$50+Shipping!$L$59+Shipping!$L$64)*(Shipping!$L$22+wacc_nl*Shipping!$L$19/365.25*1000000+Shipping!$L$35)+(F144/24/Shipping!$L$44*Shipping!$L$45+Shipping!$L$64*Shipping!$L$65)*IF(bunker_choice="HFO",$H144,IF(bunker_choice="hydrogen",$BD144*hfo_e_density_lhv/h2_e_density_lhv,(CO144+CQ144)*1000000/CS144*hfo_e_density_lhv/meoh_e_density_lhv))+(F144/24/Shipping!$L$50*Shipping!$L$51+Shipping!$L$59*Shipping!$L$60)*IF(bunker_choice="HFO",bunker_price_ROT,IF(bunker_choice="hydrogen",$BD144*hfo_e_density_lhv/h2_e_density_lhv,(CO144+CQ144)*1000000/CS144*hfo_e_density_lhv/meoh_e_density_lhv))+Shipping!$L$73+IF(G144="Panama",Shipping!$L$55,0)+IF(G144="Suez",Shipping!$L$56,0))/Shipping!$L$31*CS144/1000000+IF(inland_transport_to_port="hv dc grid",$BM144/100*1000*CV144,IF(inland_transport_to_port="pipeline",$BN144,0)))))</f>
        <v>6321.3289946270579</v>
      </c>
      <c r="CU144" s="28">
        <f t="shared" si="214"/>
        <v>73256.952939337163</v>
      </c>
      <c r="CV144" s="29">
        <f>((Carriers!$R$18/Carriers!$R$23*alk_el_e_demand)+meoh_e_demand)*(CS144+meoh_st_ab_losses)/1000000+meoh_st_e_demand*CS144/1000000</f>
        <v>1119.9789871111109</v>
      </c>
      <c r="CW144" s="29">
        <f t="shared" si="187"/>
        <v>0.16206666666666666</v>
      </c>
      <c r="CX144" s="28">
        <f>IFERROR(CU144*1000000/Storage!$K$12,"")</f>
        <v>678.02609672360597</v>
      </c>
      <c r="CY144" s="28">
        <f>IF($E144="","No Port",((F144/24/Shipping!$L$44+F144/24/Shipping!$L$50+Shipping!$L$59+Shipping!$L$64)*Carriers!$R$39*wacc_nl))</f>
        <v>107.56980226816357</v>
      </c>
      <c r="CZ144" s="29">
        <f>H2_retrieval!$J$25*h2_demand_kt/1000+(co2_liq_e_demand+co2_st_e_demand*2)*Storage!$K$12*co2_density/meoh_density/1000000</f>
        <v>251.05079059698966</v>
      </c>
      <c r="DA144" s="28">
        <f>IFERROR((((CO144+CQ144+CT144)*(1+H2_retrieval!$J$34)+CY144)*1000000/H2_retrieval!$J$8)+h2_regen_meoh,"")</f>
        <v>5654.7323858826912</v>
      </c>
      <c r="DB144" s="149">
        <f>(DBT_invest*(M144+1/DBT_lifetime)/DBT_prod+DBT_opex+DBT_e_demand*1000*$AU144/100+Carriers!$T$18/Carriers!$T$23*BD144)*(DD144+DBT_st_ab_losses)/1000000</f>
        <v>33491.938609263379</v>
      </c>
      <c r="DC144" s="28">
        <f>2*(DBT_st_nl_cost*DBT_st_nl_demand/1000000+(DBT_st_invest*(M144+1/DBT_st_lifetime+DBT_st_opex)/(Storage!$M$63/1000000)+DBT_st_e_demand*1000*$AU144/100)*(DD144+DBT_st_ab_losses)/1000000)+Carriers!$T$18/Carriers!$T$23*((DD144+DBT_st_ab_losses)/365.25*short_st_duration_hrs/24)*(h2_short_st_invest*(1/gh2_short_st_lifetime+$M144+h2_short_st_opex)+h2_short_st_e_demand*1000*$AU144/100)/1000000</f>
        <v>3870.304176934048</v>
      </c>
      <c r="DD144" s="63">
        <f>Storage!$M$57/((1-Shipping!$N$37)^($F144/24/Shipping!$N$44+0.5*Shipping!$N$59))</f>
        <v>219354838.70967743</v>
      </c>
      <c r="DE144" s="28">
        <f>IF($E144="","No Port",IF(AND(ship_choice="VLCC",G144="Panama"),"Ship cannot pass through Panama",IF(ship_choice="VLCC",((F144/24/Shipping!$AD$44+F144/24/Shipping!$AD$50+Shipping!$AD$59+Shipping!$AD$64)*(Shipping!$AD$22+wacc_nl*Shipping!$AD$19/365.25*1000000+Shipping!$AD$35)+(F144/24/Shipping!$AD$44*Shipping!$AD$45+Shipping!$AD$64*Shipping!$AD$65)*IF(bunker_choice="HFO",$H144,IF(bunker_choice="hydrogen",$BD144*hfo_e_density_lhv/h2_e_density_lhv,(DB144+DC144)*1000000/DD144*hfo_e_density_lhv/DBT_e_density_lhv))+(F144/24/Shipping!$AD$50*Shipping!$AD$51+Shipping!$AD$59*Shipping!$AD$60)*IF(bunker_choice="HFO",bunker_price_ROT,IF(bunker_choice="hydrogen",$BD144*hfo_e_density_lhv/h2_e_density_lhv,(DB144+DC144)*1000000/DD144*hfo_e_density_lhv/DBT_e_density_lhv))+Shipping!$AD$73+IF(G144="Panama",Shipping!$AD$55,0)+IF(G144="Suez",Shipping!$AD$56,0))/Shipping!$AD$31*DD144/1000000+IF(inland_transport_to_port="hv dc grid",$BM144/100*1000*DG144,IF(inland_transport_to_port="pipeline",$BN144,0)),((F144/24/Shipping!$N$44+F144/24/Shipping!$N$50+Shipping!$N$59+Shipping!$N$64)*(Shipping!$N$22+wacc_nl*Shipping!$N$19/365.25*1000000+Shipping!$N$35)+(F144/24/Shipping!$N$44*Shipping!$N$45+Shipping!$N$64*Shipping!$N$65)*IF(bunker_choice="HFO",$H144,IF(bunker_choice="hydrogen",$BD144*hfo_e_density_lhv/h2_e_density_lhv,(DB144+DC144)*1000000/DD144*hfo_e_density_lhv/DBT_e_density_lhv))+(F144/24/Shipping!$N$50*Shipping!$N$51+Shipping!$N$59*Shipping!$N$60)*IF(bunker_choice="HFO",bunker_price_ROT,IF(bunker_choice="hydrogen",$BD144*hfo_e_density_lhv/h2_e_density_lhv,(DB144+DC144)*1000000/DD144*hfo_e_density_lhv/DBT_e_density_lhv))+Shipping!$N$73+IF(G144="Panama",Shipping!$N$55,0)+IF(G144="Suez",Shipping!$N$56,0))/Shipping!$N$31*Shipping!$N$86/1000000+IF(inland_transport_to_port="hv dc grid",$BM144/100*1000*DG144,IF(inland_transport_to_port="pipeline",$BN144,0)))))</f>
        <v>11451.477314052796</v>
      </c>
      <c r="DF144" s="28">
        <f t="shared" si="159"/>
        <v>48813.720100250226</v>
      </c>
      <c r="DG144" s="29">
        <f>((Carriers!$T$18/Carriers!$T$23*alk_el_e_demand)+DBT_e_demand)*(DD144+DBT_st_ab_losses)/1000000+DBT_st_e_demand*DD144/1000000</f>
        <v>703.88335483870969</v>
      </c>
      <c r="DH144" s="29">
        <f t="shared" si="188"/>
        <v>0.21935483870967742</v>
      </c>
      <c r="DI144" s="28">
        <f>IFERROR(DF144*1000000/Storage!$M$12,"")</f>
        <v>222.53313575114075</v>
      </c>
      <c r="DJ144" s="28">
        <f>IF($E144="","No Port",((F144/24/Shipping!$N$44+F144/24/Shipping!$N$50+Shipping!$N$59+Shipping!$N$64)*Carriers!$T$39*wacc_nl))</f>
        <v>7834.6621327687872</v>
      </c>
      <c r="DK144" s="100">
        <f>H2_retrieval!$L$25*h2_demand_kt/1000+(co2_liq_e_demand+co2_st_e_demand*2)*Storage!$M$12*co2_density/DBT_density/1000000</f>
        <v>206.61934861671787</v>
      </c>
      <c r="DL144" s="28">
        <f>IFERROR(((DF144*(1+H2_retrieval!$L$34)+DJ144)*1000000/H2_retrieval!$L$8)+h2_regen_lohc,"")</f>
        <v>4635.9720036548988</v>
      </c>
      <c r="DM144" s="149">
        <f t="shared" si="211"/>
        <v>55414.262654410908</v>
      </c>
      <c r="DN144" s="16">
        <f>2*(nabh4_st_nl_cost*nabh4_st_nl_demand/1000000+(nabh4_st_invest*(M144+1/nabh4_st_lifetime+nabh4_st_opex)/(Storage!$O$63/1000000)+nabh4_st_e_demand*1000*$AU144/100)*(DO144+nabh4_st_ab_losses)/1000000)+(h2_demand_kt*1000/365.25*short_st_duration_hrs/24)*(h2_short_st_invest*(1/gh2_short_st_lifetime+$M144+h2_short_st_opex)+h2_short_st_e_demand*1000*$AU144/100)/1000000</f>
        <v>1366.0908090483497</v>
      </c>
      <c r="DO144" s="63">
        <f>Storage!$O$57/((1-Shipping!$P$37)^($F144/24/Shipping!$P$44+0.5*Shipping!$P$59))</f>
        <v>63920000</v>
      </c>
      <c r="DP144" s="16">
        <f>IF($E144="","No Port",((F144/24/Shipping!$P$44+F144/24/Shipping!$P$50+Shipping!$P$59+Shipping!$P$64)*(Shipping!$P$22+wacc_nl*Shipping!$P$19/365.25*1000000+Shipping!$P$35)+(F144/24/Shipping!$P$44*Shipping!$P$45+Shipping!$P$64*Shipping!$P$65)*IF(bunker_choice="HFO",$H144,IF(bunker_choice="hydrogen",$BD144*hfo_e_density_lhv/h2_e_density_lhv,(DM144+DN144)*1000000/DO144*hfo_e_density_lhv/nabh4_e_density_lhv))+(F144/24/Shipping!$P$50*Shipping!$P$51+Shipping!$P$59*Shipping!$P$60)*IF(bunker_choice="HFO",bunker_price_ROT,IF(bunker_choice="hydrogen",$BD144*hfo_e_density_lhv/h2_e_density_lhv,(DM144+DN144)*1000000/DO144*hfo_e_density_lhv/nabh4_e_density_lhv))+Shipping!$P$73+IF(G144="Panama",Shipping!$P$55,0)+IF(G144="Suez",Shipping!$P$56,0))/Shipping!$P$31*(DO144+nabh4_st_ab_losses)/1000000+IF(inland_transport_to_port="hv dc grid",$BM144/100*1000*DR144,IF(inland_transport_to_port="pipeline",$BN144,0)))</f>
        <v>3046.7317098411672</v>
      </c>
      <c r="DQ144" s="28">
        <f t="shared" si="146"/>
        <v>59827.085173300424</v>
      </c>
      <c r="DR144" s="29">
        <f>((Carriers!$V$18/Carriers!$V$23*alk_el_e_demand)+nabh4_e_demand)*(DO144+nabh4_st_ab_losses)/1000000+nabh4_st_e_demand*DO144/1000000</f>
        <v>980.02139682539689</v>
      </c>
      <c r="DS144" s="28">
        <f t="shared" si="189"/>
        <v>3.1960000000000002</v>
      </c>
      <c r="DT144" s="28">
        <f>IFERROR(DQ144*1000000/Storage!$O$12,"")</f>
        <v>935.96816604036951</v>
      </c>
      <c r="DU144" s="28">
        <f>IF($E144="","No Port",((F144/24/Shipping!$P$44+F144/24/Shipping!$P$50+Shipping!$P$59+Shipping!$P$64)*Carriers!$V$39*wacc_nl))</f>
        <v>723.76688440470082</v>
      </c>
      <c r="DV144" s="100">
        <f>H2_retrieval!$N$25*h2_demand_kt/1000+(co2_liq_e_demand+co2_st_e_demand*2)*Storage!$O$12*co2_density/nabh4_density/1000000</f>
        <v>18.783638728971958</v>
      </c>
      <c r="DW144" s="28">
        <f>IFERROR(((DQ144*(1+H2_retrieval!$N$34)+DU144)*1000000/H2_retrieval!$N$8)+h2_regen_nabh4,"")</f>
        <v>4547.1237517132222</v>
      </c>
      <c r="DX144" s="149">
        <f>(Dme_invest*(M144+1/Dme_lifetime)/Dme_prod+Dme_opex+Dme_e_demand*1000*$AU144/100+Carriers!$X$21/Carriers!$X$23*(CO144*1000000/CS144))*(EB144+Dme_st_ab_losses)/1000000</f>
        <v>70907.52906815699</v>
      </c>
      <c r="DY144" s="86">
        <f>(Dme_invest*(M144+1/Dme_lifetime)/Dme_prod+Dme_opex+Dme_e_demand*1000*$AU144/100+Carriers!$X$21/Carriers!$X$23*(CP144*1000000/CS144))*(EB144+Dme_st_ab_losses)/1000000</f>
        <v>91415.253933411223</v>
      </c>
      <c r="DZ144" s="63">
        <f>Dme_st_nl_cost*Dme_st_nl_demand/1000000+(Dme_st_invest*(M144+1/Dme_st_lifetime+Dme_st_opex)/(Storage!$Q$63/1000000)+Dme_st_e_demand*1000*$AU144/100)*(EB144+Dme_st_ab_losses)/1000000+co2_st_nl_cost*Storage!$Q$12*co2_density/Dme_density/1000000+(co2_st_opex_lev+co2_st_invest_lev+co2_st_e_demand*1000*$AU144/100)*Storage!$Q$12/1000000+co2_st_invest_lev*Storage!$Q$12*co2_st_lifetime*M144/1000000+(h2_demand_kt*1000/365.25*short_st_duration_hrs/24)*(h2_short_st_invest*(1/gh2_short_st_lifetime+$M144+h2_short_st_opex)+h2_short_st_e_demand*1000*$AU144/100)/1000000</f>
        <v>5713.3982123472188</v>
      </c>
      <c r="EA144" s="63">
        <f>Dme_st_nl_cost*Dme_st_nl_demand/1000000+(Dme_st_invest*(M144+1/Dme_st_lifetime+Dme_st_opex)/(Storage!$Q$63/1000000)+Dme_st_e_demand*1000*$AU144/100)*(EB144+Dme_st_ab_losses)/1000000+(h2_demand_kt*1000/365.25*short_st_duration_hrs/24)*(h2_short_st_invest*(1/gh2_short_st_lifetime+$M144+h2_short_st_opex)+h2_short_st_e_demand*1000*$AU144/100)/1000000</f>
        <v>2818.2459983096087</v>
      </c>
      <c r="EB144" s="63">
        <f>Storage!$Q$57/((1-Shipping!$R$37)^($F144/24/Shipping!$R$44+0.5*Shipping!$R$59))</f>
        <v>103547089.94708996</v>
      </c>
      <c r="EC144" s="153">
        <f>IF($E144="","No Port",IF(AND(ship_choice="VLCC",G144="Panama"),"Ship cannot pass through Panama",IF(ship_choice="VLCC",((F144/24/Shipping!$AD$44+F144/24/Shipping!$AD$50+Shipping!$AD$59+Shipping!$AD$64)*(Shipping!$AD$22+wacc_nl*Shipping!$AD$19/365.25*1000000+Shipping!$AD$35)+(F144/24/Shipping!$AD$44*Shipping!$AD$45+Shipping!$AD$64*Shipping!$AD$65)*IF(bunker_choice="HFO",$H144,IF(bunker_choice="hydrogen",$BD144*hfo_e_density_lhv/h2_e_density_lhv,(DX144+DZ144)*1000000/EB144*hfo_e_density_lhv/Dme_e_density_lhv))+(F144/24/Shipping!$AD$50*Shipping!$AD$51+Shipping!$AD$59*Shipping!$AD$60)*IF(bunker_choice="HFO",bunker_price_ROT,IF(bunker_choice="hydrogen",$BD144*hfo_e_density_lhv/h2_e_density_lhv,(DX144+DZ144)*1000000/EB144*hfo_e_density_lhv/Dme_e_density_lhv))+Shipping!$AD$73+IF(G144="Panama",Shipping!$AD$55,0)+IF(G144="Suez",Shipping!$AD$56,0))/Shipping!$AD$31*(EB144+Dme_st_ab_losses)/1000000+IF(inland_transport_to_port="hv dc grid",$BM144/100*1000*EE144,IF(inland_transport_to_port="pipeline",$BN144,0)),((F144/24/Shipping!$R$44+F144/24/Shipping!$R$50+Shipping!$R$59+Shipping!$R$64)*(Shipping!$R$22+wacc_nl*Shipping!$R$19/365.25*1000000+Shipping!$R$35)+(F144/24/Shipping!$R$44*Shipping!$R$45+Shipping!$R$64*Shipping!$R$65)*IF(bunker_choice="HFO",$H144,IF(bunker_choice="hydrogen",$BD144*hfo_e_density_lhv/h2_e_density_lhv,(DX144+DZ144)*1000000/EB144*hfo_e_density_lhv/Dme_e_density_lhv))+(F144/24/Shipping!$R$50*Shipping!$R$51+Shipping!$R$59*Shipping!$R$60)*IF(bunker_choice="HFO",bunker_price_ROT,IF(bunker_choice="hydrogen",$BD144*hfo_e_density_lhv/h2_e_density_lhv,(DX144+DZ144)*1000000/EB144*hfo_e_density_lhv/Dme_e_density_lhv))+Shipping!$R$73+IF(G144="Panama",Shipping!$R$55,0)+IF(G144="Suez",Shipping!$R$56,0))/Shipping!$R$31*(EB144+Dme_st_ab_losses)/1000000+IF(inland_transport_to_port="hv dc grid",$BM144/100*1000*EE144,IF(inland_transport_to_port="pipeline",$BN144,0)))))</f>
        <v>6383.8624571570272</v>
      </c>
      <c r="ED144" s="28">
        <f t="shared" si="215"/>
        <v>100617.36238887785</v>
      </c>
      <c r="EE144" s="29">
        <f>(Dme_e_demand)*(EB144+Dme_st_ab_losses)/1000000+Dme_st_e_demand*DZ144/1000000+$CV144*(Carriers!$X$21/Carriers!$X$23*EB144)/$CS144</f>
        <v>1550.216817301038</v>
      </c>
      <c r="EF144" s="29">
        <f t="shared" si="190"/>
        <v>1.0354708994708997</v>
      </c>
      <c r="EG144" s="28">
        <f>IFERROR(ED144*1000000/Storage!$Q$12,"")</f>
        <v>971.70632646741569</v>
      </c>
      <c r="EH144" s="28">
        <f>IF($E144="","No Port",((F144/24/Shipping!$R$44+F144/24/Shipping!$R$50+Shipping!$R$59+Shipping!$R$64)*Carriers!$X$39*wacc_nl))</f>
        <v>111.8648374830823</v>
      </c>
      <c r="EI144" s="100">
        <f>H2_retrieval!$P$25*h2_demand_kt/1000+(co2_liq_e_demand+co2_st_e_demand*2)*Storage!$Q$12*co2_density/Dme_density/1000000</f>
        <v>252.45335899349112</v>
      </c>
      <c r="EJ144" s="28">
        <f>IFERROR((((DX144+DZ144+EC144)*(1+H2_retrieval!$P$34)+EH144)*1000000/H2_retrieval!$P$8)+h2_regen_dme,"")</f>
        <v>7281.6472619567276</v>
      </c>
      <c r="EK144" s="149">
        <f>(ome_invest*(M144+1/ome_lifetime)/ome_prod+ome_opex+ome_e_demand*1000*$AU144/100+Carriers!$Z$21/Carriers!$Z$23*(CO144*1000000/CS144))*(EO144+ome_st_ab_losses)/1000000</f>
        <v>155826.09858430605</v>
      </c>
      <c r="EL144" s="86">
        <f>(ome_invest*(M144+1/ome_lifetime)/ome_prod+ome_opex+ome_e_demand*1000*$AU144/100+Carriers!$Z$21/Carriers!$Z$23*(CP144*1000000/CS144))*(EO144+ome_st_ab_losses)/1000000</f>
        <v>198875.80517240451</v>
      </c>
      <c r="EM144" s="63">
        <f>ome_st_nl_cost*ome_st_nl_demand/1000000+(ome_st_invest*(M144+1/ome_st_lifetime+ome_st_opex)/(Storage!$S$63/1000000)+ome_st_e_demand*1000*$AU144/100)*(EO144+ome_st_ab_losses)/1000000+co2_st_nl_cost*Storage!$S$12*co2_density/ome_density/1000000+(co2_st_opex_lev+co2_st_invest_lev+co2_st_e_demand*1000*$AU144/100)*Storage!$S$12/1000000+co2_st_invest_lev*Storage!$S$12*co2_st_lifetime*M144/1000000+(h2_demand_kt*1000/365.25*short_st_duration_hrs/24)*(h2_short_st_invest*(1/gh2_short_st_lifetime+$M144+h2_short_st_opex)+h2_short_st_e_demand*1000*$AU144/100)/1000000</f>
        <v>4926.5711867994105</v>
      </c>
      <c r="EN144" s="63">
        <f>ome_st_nl_cost*ome_st_nl_demand/1000000+(ome_st_invest*(M144+1/ome_st_lifetime+ome_st_opex)/(Storage!$S$63/1000000)+ome_st_e_demand*1000*$AU144/100)*(EO144+ome_st_ab_losses)/1000000+(h2_demand_kt*1000/365.25*short_st_duration_hrs/24)*(h2_short_st_invest*(1/gh2_short_st_lifetime+$M144+h2_short_st_opex)+h2_short_st_e_demand*1000*$AU144/100)/1000000</f>
        <v>1678.7894699553121</v>
      </c>
      <c r="EO144" s="63">
        <f>Storage!$S$57/((1-Shipping!$T$37)^($F144/24/Shipping!$T$44+0.5*Shipping!$T$59))</f>
        <v>128282539.68253967</v>
      </c>
      <c r="EP144" s="28">
        <f>IF($E144="","No Port",IF(AND(ship_choice="VLCC",G144="Panama"),"Ship cannot pass through Panama",IF(ship_choice="VLCC",((F144/24/Shipping!$AD$44+F144/24/Shipping!$AD$50+Shipping!$AD$59+Shipping!$AD$64)*(Shipping!$AD$22+wacc_nl*Shipping!$AD$19/365.25*1000000+Shipping!$AD$35)+(F144/24/Shipping!$AD$44*Shipping!$AD$45+Shipping!$AD$64*Shipping!$AD$65)*IF(bunker_choice="HFO",$H144,IF(bunker_choice="hydrogen",$BD144*hfo_e_density_lhv/h2_e_density_lhv,(EK144+EM144)*1000000/EO144*hfo_e_density_lhv/Dme_e_density_lhv))+(F144/24/Shipping!$AD$50*Shipping!$AD$51+Shipping!$AD$59*Shipping!$AD$60)*IF(bunker_choice="HFO",bunker_price_ROT,IF(bunker_choice="hydrogen",$BD144*hfo_e_density_lhv/h2_e_density_lhv,(EK144+EM144)*1000000/EO144*hfo_e_density_lhv/ome_e_density_lhv))+Shipping!$AD$73+IF(G144="Panama",Shipping!$AD$55,0)+IF(G144="Suez",Shipping!$AD$56,0))/Shipping!$AD$31*(EO144+ome_st_ab_losses)/1000000+IF(inland_transport_to_port="hv dc grid",$BM144/100*1000*ER144,IF(inland_transport_to_port="pipeline",$BN144,0)),((F144/24/Shipping!$T$44+F144/24/Shipping!$T$50+Shipping!$T$59+Shipping!$T$64)*(Shipping!$T$22+wacc_nl*Shipping!$T$19/365.25*1000000+Shipping!$T$35)+(F144/24/Shipping!$T$44*Shipping!$T$45+Shipping!$T$64*Shipping!$T$65)*IF(bunker_choice="HFO",$H144,IF(bunker_choice="hydrogen",$BD144*hfo_e_density_lhv/h2_e_density_lhv,(EK144+EM144)*1000000/EO144*hfo_e_density_lhv/Dme_e_density_lhv))+(F144/24/Shipping!$T$50*Shipping!$T$51+Shipping!$T$59*Shipping!$T$60)*IF(bunker_choice="HFO",bunker_price_ROT,IF(bunker_choice="hydrogen",$BD144*hfo_e_density_lhv/h2_e_density_lhv,(EK144+EM144)*1000000/EO144*hfo_e_density_lhv/ome_e_density_lhv))+Shipping!$T$73+IF(G144="Panama",Shipping!$T$55,0)+IF(G144="Suez",Shipping!$T$56,0))/Shipping!$T$31*(EO144+ome_st_ab_losses)/1000000+IF(inland_transport_to_port="hv dc grid",$BM144/100*1000*ER144,IF(inland_transport_to_port="pipeline",$BN144,0)))))</f>
        <v>7004.1685067900735</v>
      </c>
      <c r="EQ144" s="28">
        <f t="shared" si="216"/>
        <v>207558.76314914989</v>
      </c>
      <c r="ER144" s="29">
        <f>(ome_e_demand)*(EO144+ome_st_ab_losses)/1000000+ome_st_e_demand*EM144/1000000+$CV144*(Carriers!$Z$21/Carriers!$Z$23*EO144)/$CS144</f>
        <v>3352.0814575306404</v>
      </c>
      <c r="ES144" s="29">
        <f t="shared" si="191"/>
        <v>0.1924238095238095</v>
      </c>
      <c r="ET144" s="28">
        <f>IFERROR(EQ144*1000000/Storage!$S$12,"")</f>
        <v>1617.981399984712</v>
      </c>
      <c r="EU144" s="28">
        <f>IF($E144="","No Port",((F144/24/Shipping!$T$44+F144/24/Shipping!$T$50+Shipping!$T$59+Shipping!$T$64)*Carriers!$Z$39*wacc_nl))</f>
        <v>127.7189910047077</v>
      </c>
      <c r="EV144" s="100">
        <f>H2_retrieval!$R$25*h2_demand_kt/1000+(co2_liq_e_demand+co2_st_e_demand*2)*Storage!$S$12*co2_density/ome_density/1000000</f>
        <v>254.51942895252085</v>
      </c>
      <c r="EW144" s="28">
        <f>IFERROR((((EK144+EM144+EP144)*(1+H2_retrieval!$R$34)+EU144)*1000000/H2_retrieval!$R$8)+h2_regen_ome,"")</f>
        <v>13514.581283556427</v>
      </c>
      <c r="EX144" s="149">
        <f>(sng_invest*(M144+1/sng_lifetime)/sng_prod+lng_invest*(M144+1/lng_lifetime)/lng_prod+sng_opex+lng_opex+(sng_e_demand+lng_e_demand)*1000*$AU144/100+Carriers!$AB$18/Carriers!$AB$23*BD144+Carriers!$AB$20/Carriers!$AB$23*co2_liq_cost)*(FB144+lng_st_ab_losses)/1000000</f>
        <v>55203.144511850223</v>
      </c>
      <c r="EY144" s="86">
        <f>(sng_invest*(M144+1/sng_lifetime)/sng_prod+lng_invest*(M144+1/lng_lifetime)/lng_prod+sng_opex+lng_opex+(sng_e_demand+lng_e_demand)*1000*$AU144/100+Carriers!$AB$18/Carriers!$AB$23*BD144+Carriers!$AB$20/Carriers!$AB$23*BP144)*(FB144+lng_st_ab_losses)/1000000</f>
        <v>66604.43059512203</v>
      </c>
      <c r="EZ144" s="63">
        <f>lng_st_nl_cost*lng_st_nl_demand/1000000+(lng_st_invest*(M144+1/lng_st_lifetime+lng_st_opex)/(Storage!$U$63/1000000)+lng_st_e_demand*1000*$AU144/100)*(FB144+lng_st_ab_losses)/1000000+co2_st_nl_cost*Storage!$U$12*co2_density/lng_density/1000000+(co2_st_opex_lev+co2_st_invest_lev+co2_st_e_demand*1000*$AU144/100)*Storage!$U$12/1000000+co2_st_invest_lev*Storage!$U$12*co2_st_lifetime*M144/1000000+Carriers!$AB$18/Carriers!$AB$23*((FB144+lng_st_ab_losses)/365.25*short_st_duration_hrs/24)*(h2_short_st_invest*(1/gh2_short_st_lifetime+$M144+h2_short_st_opex)+h2_short_st_e_demand*1000*$AU144/100)/1000000+Carriers!$AB$20/Carriers!$AB$23*((FB144+lng_st_ab_losses)/365.25*short_st_duration_hrs/24)*(co2_short_st_invest*(1/co2_short_st_lifetime+$M144+co2_short_st_opex)+co2_short_st_e_demand*1000*$AU144/100)/1000000</f>
        <v>5996.6363800827976</v>
      </c>
      <c r="FA144" s="63">
        <f>lng_st_nl_cost*lng_st_nl_demand/1000000+(lng_st_invest*(M144+1/lng_st_lifetime+lng_st_opex)/(Storage!$U$63/1000000)+lng_st_e_demand*1000*$AU144/100)*(FB144+lng_st_ab_losses)/1000000+Carriers!$AB$18/Carriers!$AB$23*((FB144+lng_st_ab_losses)/365.25*short_st_duration_hrs/24)*(h2_short_st_invest*(1/gh2_short_st_lifetime+$M144+h2_short_st_opex)+h2_short_st_e_demand*1000*$AU144/100)/1000000+Carriers!$AB$20/Carriers!$AB$23*((FB144+lng_st_ab_losses)/365.25*short_st_duration_hrs/24)*(co2_short_st_invest*(1/co2_short_st_lifetime+$M144+co2_short_st_opex)+co2_short_st_e_demand*1000*$AU144/100)/1000000</f>
        <v>4424.2254155172041</v>
      </c>
      <c r="FB144" s="63">
        <f>Storage!$U$57/((1-Shipping!$V$37)^($F144/24/Shipping!$V$44+0.5*Shipping!$V$59))</f>
        <v>41522637.275504686</v>
      </c>
      <c r="FC144" s="28">
        <f>IF($E144="","No Port",IF(G144="Panama","Ship cannot pass through Panama",((F144/24/Shipping!$V$44+F144/24/Shipping!$V$50+Shipping!$V$59+Shipping!$V$64)*(Shipping!$V$22+wacc_nl*Shipping!$V$19/365.25*1000000+Shipping!$V$35)+(F144/24/Shipping!$V$44*Shipping!$V$45+Shipping!$V$64*Shipping!$V$65)*IF(bunker_choice="HFO",$H144,IF(bunker_choice="hydrogen",$BD144*hfo_e_density_lhv/h2_e_density_lhv,(EX144+EZ144)*1000000/FB144*hfo_e_density_lhv/lng_e_density_lhv))+(F144/24/Shipping!$V$50*Shipping!$V$51+Shipping!$V$59*Shipping!$V$60)*IF(bunker_choice="HFO",bunker_price_ROT,IF(bunker_choice="hydrogen",$BD144*hfo_e_density_lhv/h2_e_density_lhv,(EX144+EZ144)*1000000/FB144*hfo_e_density_lhv/lng_e_density_lhv))+Shipping!$V$73+IF(G144="Panama",Shipping!$V$55,0)+IF(G144="Suez",Shipping!$V$56,0))/Shipping!$V$31*(FB144+lng_st_ab_losses)/1000000)+IF(inland_transport_to_port="hv dc grid",$BM144/100*1000*FE144,IF(inland_transport_to_port="pipeline",$BN144,0)))</f>
        <v>2591.7936549277533</v>
      </c>
      <c r="FD144" s="28">
        <f t="shared" si="217"/>
        <v>73620.449665566979</v>
      </c>
      <c r="FE144" s="29">
        <f>((Carriers!$AB$18/Carriers!$AB$23*alk_el_e_demand)+sng_e_demand+lng_e_demand)*(FB144+lng_st_ab_losses)/1000000+lng_st_e_demand*EZ144/1000000</f>
        <v>1113.5956229598992</v>
      </c>
      <c r="FF144" s="29">
        <f t="shared" si="192"/>
        <v>0.8126185861001558</v>
      </c>
      <c r="FG144" s="28">
        <f>IFERROR(FD144*1000000/Storage!$U$12,"")</f>
        <v>1814.0207794628911</v>
      </c>
      <c r="FH144" s="28">
        <f>IF($E144="","No Port",((F144/24/Shipping!$V$44+F144/24/Shipping!$V$50+Shipping!$V$59+Shipping!$V$64)*Carriers!$AB$39*wacc_nl))</f>
        <v>37.531951432254139</v>
      </c>
      <c r="FI144" s="100">
        <f>H2_retrieval!$T$25*h2_demand_kt/1000+(co2_liq_e_demand+co2_st_e_demand*2)*Storage!$U$12*co2_density/lng_density/1000000</f>
        <v>236.51371749646054</v>
      </c>
      <c r="FJ144" s="28">
        <f>IFERROR((((EX144+EZ144+FC144)*(1+H2_retrieval!$T$34)+FH144)*1000000/H2_retrieval!$T$8)+h2_regen_lng,"")</f>
        <v>5863.4451974823678</v>
      </c>
      <c r="FK144" s="149">
        <f>(lh2_invest*(M144+1/lh2_lifetime)/lh2_prod+lh2_opex+lh2_e_demand*1000*$AU144/100+Carriers!$AD$18/Carriers!$AD$23*BD144)*(FM144+lh2_st_ab_losses)/1000000</f>
        <v>44600.376986204974</v>
      </c>
      <c r="FL144" s="28">
        <f>lh2_st_nl_cost*lh2_st_nl_demand/1000000+(lh2_st_invest*(M144+1/lh2_st_lifetime+lh2_st_opex)/(Storage!$Y$63/1000000)+lh2_st_e_demand*1000*$AU144/100)*(FM144+lh2_st_ab_losses)/1000000+((FM144+lh2_st_ab_losses)/365.25*short_st_duration_hrs/24)*(h2_short_st_invest*(1/gh2_short_st_lifetime+$M144+h2_short_st_opex)+h2_short_st_e_demand*1000*$AU144/100)/1000000</f>
        <v>51794.416823450774</v>
      </c>
      <c r="FM144" s="63">
        <f>Storage!$Y$57/((1-Shipping!$Z$37)^($F144/24/Shipping!$Z$44+0.5*Shipping!$Z$59))</f>
        <v>14100572.617318232</v>
      </c>
      <c r="FN144" s="28">
        <f>IF($E144="","No Port",IF(G144="Panama","Ship cannot pass through Panama",((F144/24/Shipping!$Z$44+F144/24/Shipping!$Z$50+Shipping!$Z$59+Shipping!$Z$64)*(Shipping!$Z$22+wacc_nl*Shipping!$Z$19/365.25*1000000+Shipping!$Z$35)+(F144/24/Shipping!$Z$44*Shipping!$Z$45+Shipping!$Z$64*Shipping!$Z$65)*IF(bunker_choice="HFO",$H144,IF(bunker_choice="hydrogen",$BD144*hfo_e_density_lhv/h2_e_density_lhv,(FK144+FL144)*1000000/FM144*hfo_e_density_lhv/lh2_e_density_lhv))+(F144/24/Shipping!$Z$50*Shipping!$Z$51+Shipping!$Z$59*Shipping!$Z$60)*IF(bunker_choice="HFO",bunker_price_ROT,IF(bunker_choice="hydrogen",$BD144*hfo_e_density_lhv/h2_e_density_lhv,(FK144+FL144)*1000000/FM144*hfo_e_density_lhv/lh2_e_density_lhv))+Shipping!$Z$73+IF(G144="Panama",Shipping!$Z$55,0)+IF(G144="Suez",Shipping!$Z$56,0))/Shipping!$Z$31*(FM144+lh2_st_ab_losses)/1000000)+IF(inland_transport_to_port="hv dc grid",$BM144/100*1000*FP144,IF(inland_transport_to_port="pipeline",$BN144,0)))</f>
        <v>4536.5942796398867</v>
      </c>
      <c r="FO144" s="28">
        <f t="shared" si="200"/>
        <v>100931.38808929564</v>
      </c>
      <c r="FP144" s="29">
        <f>((Carriers!$AD$18/Carriers!$AD$23*alk_el_e_demand)+lh2_e_demand)*(FM144+lh2_st_ab_losses)/1000000+lh2_st_e_demand*FM144/1000000</f>
        <v>817.09919051420968</v>
      </c>
      <c r="FQ144" s="100">
        <f t="shared" si="193"/>
        <v>1.361902463475859</v>
      </c>
      <c r="FR144" s="28">
        <f>IFERROR(FO144*1000000/Storage!$Y$12,"")</f>
        <v>7421.4255948011496</v>
      </c>
      <c r="FS144" s="100">
        <f>H2_retrieval!$V$25*h2_demand_kt/1000</f>
        <v>8.16</v>
      </c>
      <c r="FT144" s="28">
        <f>IFERROR(FR144*(1+H2_retrieval!$V$34)/Carrier_properties!$U$7+H2_retrieval!$V$38,"")</f>
        <v>7453.3943206696167</v>
      </c>
      <c r="FU144" s="12"/>
      <c r="FV144" s="24">
        <f t="shared" si="201"/>
        <v>1.8830017960403234</v>
      </c>
      <c r="FW144" s="24">
        <f t="shared" si="143"/>
        <v>4.2270198190343073</v>
      </c>
      <c r="FX144" s="24" t="str">
        <f t="shared" si="144"/>
        <v/>
      </c>
      <c r="FY144" s="24">
        <f t="shared" si="202"/>
        <v>1.8830017960403234</v>
      </c>
      <c r="FZ144" s="28">
        <f t="shared" si="145"/>
        <v>2236.1171027122</v>
      </c>
      <c r="GA144" s="28">
        <f t="shared" si="218"/>
        <v>534.04612997783374</v>
      </c>
      <c r="GB144" s="28">
        <f t="shared" si="219"/>
        <v>391.61875315879274</v>
      </c>
      <c r="GC144" s="28">
        <f t="shared" si="220"/>
        <v>602.37162301302351</v>
      </c>
      <c r="GD144" s="28">
        <f t="shared" si="221"/>
        <v>882.83749915253236</v>
      </c>
      <c r="GE144" s="28">
        <f t="shared" si="222"/>
        <v>1550.2951973398854</v>
      </c>
      <c r="GF144" s="28">
        <f t="shared" si="223"/>
        <v>1604.0510662460683</v>
      </c>
      <c r="GG144" s="12"/>
      <c r="GH144" s="12"/>
      <c r="GI144" s="12"/>
      <c r="GJ144" s="12"/>
      <c r="GK144" s="12"/>
      <c r="GL144" s="12"/>
      <c r="GM144" s="12"/>
      <c r="GN144" s="12"/>
      <c r="GO144" s="12"/>
      <c r="GP144" s="12"/>
      <c r="GQ144" s="12"/>
      <c r="GR144" s="12"/>
      <c r="GS144" s="12"/>
      <c r="GT144" s="12"/>
      <c r="GU144" s="12"/>
      <c r="GV144" s="12"/>
      <c r="GW144" s="12"/>
      <c r="GX144" s="12"/>
      <c r="GY144" s="12"/>
      <c r="GZ144" s="12"/>
      <c r="HA144" s="12"/>
      <c r="HB144" s="12"/>
      <c r="HC144" s="12"/>
      <c r="HD144" s="12"/>
      <c r="HE144" s="12"/>
      <c r="HF144" s="12"/>
    </row>
    <row r="145" spans="1:214" x14ac:dyDescent="0.2">
      <c r="A145" s="154" t="s">
        <v>140</v>
      </c>
      <c r="B145" s="12">
        <v>677</v>
      </c>
      <c r="C145" s="12">
        <v>0.3</v>
      </c>
      <c r="D145" s="12">
        <f t="shared" si="194"/>
        <v>0.7</v>
      </c>
      <c r="E145" s="12" t="s">
        <v>792</v>
      </c>
      <c r="F145" s="12">
        <v>198</v>
      </c>
      <c r="G145" s="12"/>
      <c r="H145" s="16">
        <f t="shared" si="203"/>
        <v>382.75862068965517</v>
      </c>
      <c r="I145" s="16">
        <v>241930</v>
      </c>
      <c r="J145" s="16">
        <f t="shared" si="195"/>
        <v>277.50443377438938</v>
      </c>
      <c r="K145" s="16">
        <f t="shared" si="196"/>
        <v>333.00532052926724</v>
      </c>
      <c r="L145" s="103">
        <v>4.1000000000000002E-2</v>
      </c>
      <c r="M145" s="103">
        <f t="shared" si="204"/>
        <v>7.0425737901066585E-2</v>
      </c>
      <c r="N145" s="122">
        <f t="shared" si="197"/>
        <v>0.9</v>
      </c>
      <c r="O145" s="46">
        <f t="shared" si="205"/>
        <v>40</v>
      </c>
      <c r="P145" s="70">
        <f t="array" ref="P145">SUMPRODUCT(IF(Solar_data!A$4:A$777=A145,Solar_data!C$4:C$777),IF(Solar_data!A$4:A$777=A145,Solar_data!I$4:I$777))/SUMIF(Solar_data!A$4:A$777,A145,Solar_data!I$4:I$777)</f>
        <v>1092.4765037387865</v>
      </c>
      <c r="Q145" s="16">
        <f t="array" ref="Q145">MAX(IF(Solar_data!$A$777:'Solar_data'!$A$4=Country_details!$A145,Solar_data!$C$4:'Solar_data'!$C$777))</f>
        <v>1368.75</v>
      </c>
      <c r="R145" s="16">
        <f t="array" ref="R145">MIN(IF(Solar_data!$A$777:'Solar_data'!$A$4=Country_details!A145,Solar_data!$C$4:'Solar_data'!$C$777))</f>
        <v>821.25</v>
      </c>
      <c r="S145" s="24">
        <f t="shared" si="176"/>
        <v>2.7628086208715721</v>
      </c>
      <c r="T145" s="24">
        <f t="shared" si="177"/>
        <v>2.205153243929975</v>
      </c>
      <c r="U145" s="24">
        <f t="shared" si="178"/>
        <v>3.6752554065499585</v>
      </c>
      <c r="V145" s="16">
        <f t="array" ref="V145">SUM(IF(Solar_data!$A$777:'Solar_data'!$A$4=Country_details!$A145,Solar_data!$I$4:'Solar_data'!$I$777))</f>
        <v>1055.7472760564156</v>
      </c>
      <c r="W145" s="148"/>
      <c r="X145" s="16">
        <f>IFERROR(INDEX(Onshore_wind_data!$J$5:'Onshore_wind_data'!$J$221,MATCH(A145,Onshore_wind_data!$B$5:'Onshore_wind_data'!$B$221,0)),"")</f>
        <v>3468.940144012839</v>
      </c>
      <c r="Y145" s="16">
        <f>IFERROR(INDEX(Onshore_wind_data!$K$5:'Onshore_wind_data'!$K$221,MATCH(A145,Onshore_wind_data!$B$5:'Onshore_wind_data'!$B$221,0)),"")</f>
        <v>3971</v>
      </c>
      <c r="Z145" s="16">
        <f>IFERROR(INDEX(Onshore_wind_data!$L$5:'Onshore_wind_data'!$L$221,MATCH(A145,Onshore_wind_data!$B$5:'Onshore_wind_data'!$B$221,0)),"")</f>
        <v>2847.5</v>
      </c>
      <c r="AA145" s="24">
        <f t="shared" si="206"/>
        <v>2.9288960203100816</v>
      </c>
      <c r="AB145" s="24">
        <f t="shared" si="207"/>
        <v>2.5585910305950859</v>
      </c>
      <c r="AC145" s="24">
        <f t="shared" si="208"/>
        <v>3.5681000816481427</v>
      </c>
      <c r="AD145" s="16">
        <f>IFERROR(INDEX(Onshore_wind_data!$I$5:'Onshore_wind_data'!$I$221,MATCH(A145,Onshore_wind_data!$B$5:'Onshore_wind_data'!$B$221,0)),"")</f>
        <v>2548.5524461</v>
      </c>
      <c r="AE145" s="148"/>
      <c r="AF145" s="16">
        <f>INDEX(Offshore_wind_data!$AA$7:$AA$192,MATCH(Country_details!A145,Offshore_wind_data!$A$7:$A$192,0))</f>
        <v>4190.5317913465433</v>
      </c>
      <c r="AG145" s="16">
        <f>INDEX(Offshore_wind_data!$Y$7:$Y$192,MATCH(Country_details!A145,Offshore_wind_data!$A$7:$A$192,0))</f>
        <v>4204.8</v>
      </c>
      <c r="AH145" s="16">
        <f>INDEX(Offshore_wind_data!$Z$7:$Z$192,MATCH(Country_details!A145,Offshore_wind_data!$A$7:$A$192,0))</f>
        <v>3854.4</v>
      </c>
      <c r="AI145" s="24">
        <f t="shared" si="179"/>
        <v>4.6914339957392626</v>
      </c>
      <c r="AJ145" s="24">
        <f t="shared" si="180"/>
        <v>4.6755144849099413</v>
      </c>
      <c r="AK145" s="24">
        <f t="shared" si="181"/>
        <v>5.100561256265391</v>
      </c>
      <c r="AL145" s="16">
        <f>INDEX(Offshore_wind_data!$W$7:$W$191,MATCH(A145,Offshore_wind_data!$A$7:$A$191,0))</f>
        <v>10363.185120000002</v>
      </c>
      <c r="AM145" s="148"/>
      <c r="AN145" s="12">
        <v>66.2</v>
      </c>
      <c r="AO145" s="12">
        <v>75.400000000000006</v>
      </c>
      <c r="AP145" s="34">
        <f>2.977*11.63</f>
        <v>34.622509999999998</v>
      </c>
      <c r="AQ145" s="15">
        <f t="shared" si="182"/>
        <v>50</v>
      </c>
      <c r="AR145" s="12">
        <f t="shared" si="212"/>
        <v>3770.0000000000005</v>
      </c>
      <c r="AS145" s="16">
        <f t="shared" si="198"/>
        <v>10197.484842156417</v>
      </c>
      <c r="AT145" s="12"/>
      <c r="AU145" s="24">
        <f t="shared" si="183"/>
        <v>2.8891174612645956</v>
      </c>
      <c r="AV145" s="16">
        <f t="shared" si="184"/>
        <v>4561.4166477516255</v>
      </c>
      <c r="AW145" s="149">
        <f>HV_DC_Grid!$E$3/(1-AX145)*AU145/100*1000</f>
        <v>2969.452600601132</v>
      </c>
      <c r="AX145" s="31">
        <f>(1-(1-HV_DC_Grid!$E$25)^(B145*C145*HV_DC_Grid!$E$8/1000))+(1-(1-HV_DC_Grid!$E$26)^(B145*D145*HV_DC_Grid!$E$8/1000))+HV_DC_Grid!$E$35*HV_DC_Grid!$E$28</f>
        <v>2.7053854747596681E-2</v>
      </c>
      <c r="AY145" s="28">
        <f>B145*nl_e_demand/IF(hv_dc_flh="electricity FLH",$AV145,hv_dc_custom)*1000*hv_dc_capacity_multiplier*hv_dc_length_multiplier*1000*(C145*hv_dc_overhead_invest*(hv_dc_overhead_opex+M145+1/hv_dc_lifetime)+D145*hv_dc_sea_invest*(hv_dc_sea_opex+M145+1/hv_dc_lifetime))/1000000+HV_DC_Grid!$E$10*1000*hv_dc_station_invest*hv_dc_station_number*(hv_dc_station_opex+M145+1/hv_dc_lifetime)/1000000</f>
        <v>1195.631502327459</v>
      </c>
      <c r="AZ145" s="24">
        <f>(AW145+AY145)/(HV_DC_Grid!$E$3*1000)*100</f>
        <v>4.1650841029285912</v>
      </c>
      <c r="BA145" s="28">
        <f>MIN(((Carriers!$F$26+Carriers!$F$27)*(alk_el_opex+wacc_nl+1/alk_el_lifetime)+IF(hv_dc_flh="electricity FLH",$AV145,hv_dc_custom)*AZ145/100)/(IF(hv_dc_flh="electricity FLH",$AV145,hv_dc_custom)/alk_el_e_demand)*1000,((Carriers!$H$26+Carriers!$H$27)*(pem_el_opex+wacc_nl+1/pem_el_lifetime)+IF(hv_dc_flh="electricity FLH",$AV145,hv_dc_custom)*AZ145/100)/(IF(hv_dc_flh="electricity FLH",$AV145,hv_dc_custom)/pem_el_e_demand)*1000)</f>
        <v>2463.6501135415615</v>
      </c>
      <c r="BB145" s="12"/>
      <c r="BC145" s="12"/>
      <c r="BD145" s="149">
        <f>MIN(((Carriers!$F$26+Carriers!$F$27)*(alk_el_opex+M145+1/alk_el_lifetime)+$AV145*$AU145/100)/($AV145/alk_el_e_demand)*1000,((Carriers!$H$26+Carriers!$H$27)*(pem_el_opex+M145+1/pem_el_lifetime)+$AV145*$AU145/100)/($AV145/pem_el_e_demand)*1000)</f>
        <v>2011.3708504546501</v>
      </c>
      <c r="BE145" s="28">
        <f>Storage!$AC$50</f>
        <v>8.1664117557772418</v>
      </c>
      <c r="BF145" s="28">
        <f>((Pipeline!$D$22*Pipeline!$D$24*B145*(pipeline_opex+M145+1/pipeline_lifetime))*(Pipeline!$D$39/Pipeline!$D$3)+(Pipeline!$D$57*(pipeline_comp_opex+M145+1/pipeline_comp_lifetime)+Pipeline!$D$47*1000*Pipeline!$D$45*$AU145/100/1000000))*(Pipeline!$D$75/Pipeline!$D$45)</f>
        <v>1168.0571489253077</v>
      </c>
      <c r="BG145" s="28">
        <f>BD145+(BE145+BF145)/Storage!$AC$12*1000000</f>
        <v>2097.857876975318</v>
      </c>
      <c r="BH145" s="28"/>
      <c r="BI145" s="28"/>
      <c r="BJ145" s="28">
        <f>IF($E145="","No Port",BK145*HV_DC_Grid!$E$3*$AU145/100*1000)</f>
        <v>59.009290783355546</v>
      </c>
      <c r="BK145" s="31">
        <f>IFERROR((1-(1-HV_DC_Grid!$E$25)^(K145*HV_DC_Grid!$E$8/1000))+HV_DC_Grid!$E$35*HV_DC_Grid!$E$28,"")</f>
        <v>2.0424676938377781E-2</v>
      </c>
      <c r="BL145" s="28">
        <f>IFERROR(K145*nl_e_demand/IF(hv_dc_flh="electricity FLH",$AV145,hv_dc_custom)*1000*hv_dc_capacity_multiplier*hv_dc_length_multiplier*1000*(hv_dc_overhead_invest*(hv_dc_overhead_opex+M145+1/hv_dc_lifetime))/1000000+HV_DC_Grid!$E$10*1000*hv_dc_station_invest*hv_dc_station_number*(hv_dc_station_opex+M145+1/hv_dc_lifetime)/1000000,"")</f>
        <v>463.69065912740996</v>
      </c>
      <c r="BM145" s="29">
        <f>IFERROR((BJ145+BL145)/(HV_DC_Grid!$E$3*1000)*100,"")</f>
        <v>0.52269994991076563</v>
      </c>
      <c r="BN145" s="28">
        <f>IFERROR(((Pipeline!$D$22*Pipeline!$D$24*K145*(pipeline_opex+M145+1/pipeline_lifetime))*(Pipeline!$D$39/Pipeline!$D$3)+(Pipeline!$D$57*(pipeline_comp_opex+M145+1/pipeline_comp_lifetime)+Pipeline!$D$47*1000*Pipeline!$D$45*S145/100/1000000))*(Pipeline!$D$75/Pipeline!$D$45),"")</f>
        <v>616.67104589126689</v>
      </c>
      <c r="BO145" s="28"/>
      <c r="BP145" s="150">
        <f t="shared" si="209"/>
        <v>87.603014987488564</v>
      </c>
      <c r="BQ145" s="34">
        <f t="shared" si="210"/>
        <v>25.561230388447832</v>
      </c>
      <c r="BR145" s="151">
        <f>(nh3_invest*(M145+1/nh3_lifetime)/nh3_prod+nh3_opex+nh3_e_demand*1000*$AU145/100+Carriers!$N$18/Carriers!$N$23*BD145+Carriers!$N$19/Carriers!$N$23*BQ145)*(BT145+nh3_st_ab_losses)/1000000</f>
        <v>36161.846616593277</v>
      </c>
      <c r="BS145" s="63">
        <f>nh3_st_nl_cost*nh3_st_nl_demand/1000000+(nh3_st_invest*(M145+1/nh3_st_lifetime+nh3_st_opex)/(Storage!$G$63/1000000)+nh3_st_e_demand*1000*$AU145/100)*(BT145+nh3_st_ab_losses)/1000000+Carriers!$N$18/Carriers!$N$23*((BT145+nh3_st_ab_losses)/365.25*short_st_duration_hrs/24)*(h2_short_st_invest*(1/gh2_short_st_lifetime+$M145+h2_short_st_opex)+h2_short_st_e_demand*1000*$AU145/100)/1000000+Carriers!$N$19/Carriers!$N$23*((BT145+nh3_st_ab_losses)/365.25*short_st_duration_hrs/24)*(n2_short_st_invest*(1/n2_short_st_lifetime+$M145+n2_short_st_opex)+n2_short_st_e_demand*1000*$AU145/100)/1000000</f>
        <v>2744.7651265533786</v>
      </c>
      <c r="BT145" s="63">
        <f>Storage!$G$57/((1-Shipping!$H$37)^(F145/24/Shipping!$H$44+0.5*Shipping!$H$59))</f>
        <v>76953438.689115331</v>
      </c>
      <c r="BU145" s="63">
        <f>IF($E145="","No Port",((F145/24/Shipping!$H$44+F145/24/Shipping!$H$50+Shipping!$H$59+Shipping!$H$64)*(Shipping!$H$22+wacc_nl*Shipping!$H$19/365.25*1000000+Shipping!$H$35)+(F145/24/Shipping!$H$44*Shipping!$H$45+Shipping!$H$64*Shipping!$H$65)*IF(bunker_choice="HFO",H145,IF(bunker_choice="hydrogen",BD145*hfo_e_density_lhv/h2_e_density_lhv,(BR145+BS145)*1000000/BT145*hfo_e_density_lhv/nh3_e_density_lhv))+(F145/24/Shipping!$H$50*Shipping!$H$51+Shipping!$H$59*Shipping!$H$60)*IF(bunker_choice="HFO",bunker_price_ROT,IF(bunker_choice="hydrogen",BD145*hfo_e_density_lhv/h2_e_density_lhv,(BR145+BS145)*1000000/BT145*hfo_e_density_lhv/nh3_e_density_lhv))+Shipping!$H$73+IF(G145="Panama",Shipping!$H$55,0)+IF(G145="Suez",Shipping!$H$56,0))/Shipping!$H$31*BT145/1000000+IF(inland_transport_to_port="hv dc grid",$BM145/100*1000*BW145,IF(inland_transport_to_port="pipeline",$BN145,0)))</f>
        <v>1150.2294121803425</v>
      </c>
      <c r="BV145" s="63">
        <f t="shared" si="199"/>
        <v>40056.841155326998</v>
      </c>
      <c r="BW145" s="33">
        <f>((Carriers!$N$18/Carriers!$N$23*alk_el_e_demand)+(Carriers!$N$19/Carriers!$N$23*n2_e_demand)+nh3_e_demand)*(BT145+nh3_st_ab_losses)/1000000+nh3_st_e_demand*BT145/1000000</f>
        <v>759.95122095064039</v>
      </c>
      <c r="BX145" s="33">
        <f t="shared" si="185"/>
        <v>0.76626754477640768</v>
      </c>
      <c r="BY145" s="63">
        <f>IFERROR(BV145*1000000/Storage!$G$12,"")</f>
        <v>523.18823103416639</v>
      </c>
      <c r="BZ145" s="63">
        <f>H2_retrieval!$F$25*h2_demand_kt/1000</f>
        <v>80</v>
      </c>
      <c r="CA145" s="63">
        <f>IFERROR(BY145*(1+H2_retrieval!$F$34)/Carrier_properties!$E$7+H2_retrieval!$F$38,"")</f>
        <v>3354.5819469471908</v>
      </c>
      <c r="CB145" s="149">
        <f>(FA_invest*(M145+1/FA_lifetime)/FA_prod+FA_opex+FA_e_demand*1000*$AU145/100+Carriers!$P$18/Carriers!$P$23*BD145+Carriers!$P$20/Carriers!$P$23*co2_liq_cost)*(CF145+FA_st_ab_losses)/1000000</f>
        <v>84257.166057736948</v>
      </c>
      <c r="CC145" s="86">
        <f>(FA_invest*(M145+1/FA_lifetime)/FA_prod+FA_opex+FA_e_demand*1000*$AU145/100+Carriers!$P$18/Carriers!$P$23*BD145+Carriers!$P$20/Carriers!$P$23*BP145)*(CF145+FA_st_ab_losses)/1000000</f>
        <v>104961.92781163975</v>
      </c>
      <c r="CD145" s="63">
        <f>FA_st_nl_cost*FA_st_nl_demand/1000000+(FA_st_invest*(M145+1/FA_st_lifetime+FA_st_opex)/(Storage!$I$63/1000000)+FA_st_e_demand*1000*$AU145/100)*(CF145+FA_st_ab_losses)/1000000+co2_st_nl_cost*Storage!$I$12*co2_density/FA_density/1000000+(co2_st_opex_lev+co2_st_invest_lev+co2_st_e_demand*1000*$AU145/100)*Storage!$I$12/1000000+co2_st_invest_lev*Storage!$I$12*co2_st_lifetime*M145/1000000+Carriers!$P$18/Carriers!$P$23*((CF145+FA_st_ab_losses)/365.25*short_st_duration_hrs/24)*(h2_short_st_invest*(1/gh2_short_st_lifetime+$M145+h2_short_st_opex)+h2_short_st_e_demand*1000*$AU145/100)/1000000+Carriers!$P$20/Carriers!$P$23*((CF145+FA_st_ab_losses)/365.25*short_st_duration_hrs/24)*(co2_short_st_invest*(1/co2_short_st_lifetime+$M145+co2_short_st_opex)+co2_short_st_e_demand*1000*$AU145/100)/1000000</f>
        <v>10086.78142168563</v>
      </c>
      <c r="CE145" s="63">
        <f>FA_st_nl_cost*FA_st_nl_demand/1000000+(FA_st_invest*(M145+1/FA_st_lifetime+FA_st_opex)/(Storage!$I$63/1000000)+FA_st_e_demand*1000*$AU145/100)*(CF145+FA_st_ab_losses)/1000000+Carriers!$P$18/Carriers!$P$23*((CF145+FA_st_ab_losses)/365.25*short_st_duration_hrs/24)*(h2_short_st_invest*(1/gh2_short_st_lifetime+$M145+h2_short_st_opex)+h2_short_st_e_demand*1000*$AU145/100)/1000000+Carriers!$P$20/Carriers!$P$23*((CF145+FA_st_ab_losses)/365.25*short_st_duration_hrs/24)*(co2_short_st_invest*(1/co2_short_st_lifetime+$M145+co2_short_st_opex)+co2_short_st_e_demand*1000*$AU145/100)/1000000</f>
        <v>4130.9232909159573</v>
      </c>
      <c r="CF145" s="63">
        <f>Storage!$I$57/((1-Shipping!$J$37)^($F145/24/Shipping!$J$44+0.5*Shipping!$J$59))</f>
        <v>310425396.82539684</v>
      </c>
      <c r="CG145" s="28">
        <f>IF($E145="","No Port",((F145/24/Shipping!$J$44+F145/24/Shipping!$J$50+Shipping!$J$59+Shipping!$J$64)*(Shipping!$J$22+wacc_nl*Shipping!$J$19/365.25*1000000+Shipping!$J$35)+(F145/24/Shipping!$J$44*Shipping!$J$45+Shipping!$J$64*Shipping!$J$65)*IF(bunker_choice="HFO",$H145,IF(bunker_choice="hydrogen",$BD145*hfo_e_density_lhv/h2_e_density_lhv,(CB145+CD145)*1000000/CF145*hfo_e_density_lhv/FA_e_density_lhv))+(F145/24/Shipping!$J$50*Shipping!$J$51+Shipping!$J$59*Shipping!$J$60)*IF(bunker_choice="HFO",bunker_price_ROT,IF(bunker_choice="hydrogen",$BD145*hfo_e_density_lhv/h2_e_density_lhv,(CB145+CD145)*1000000/CF145*hfo_e_density_lhv/FA_e_density_lhv))+Shipping!$J$73+IF(G145="Panama",Shipping!$J$55,0)+IF(G145="Suez",Shipping!$J$56,0))/Shipping!$J$31*CF145/1000000+IF(inland_transport_to_port="hv dc grid",$BM145/100*1000*CI145,IF(inland_transport_to_port="pipeline",$BN145,0)))</f>
        <v>2705.4748562102995</v>
      </c>
      <c r="CH145" s="28">
        <f t="shared" si="213"/>
        <v>111798.32595876601</v>
      </c>
      <c r="CI145" s="29">
        <f>((Carriers!$P$18/Carriers!$P$23*alk_el_e_demand)+FA_e_demand)*(CF145+FA_st_ab_losses)/1000000+FA_st_e_demand*CF145/1000000</f>
        <v>1897.8881241622576</v>
      </c>
      <c r="CJ145" s="29">
        <f t="shared" si="186"/>
        <v>0.46563809523809524</v>
      </c>
      <c r="CK145" s="28">
        <f>IFERROR(CH145*1000000/Storage!$I$12,"")</f>
        <v>360.1455522070205</v>
      </c>
      <c r="CL145" s="28">
        <f>IF($E145="","No Port",((F145/24/Shipping!$J$44+F145/24/Shipping!$J$50+Shipping!$J$59+Shipping!$J$64)*Carriers!$P$39*wacc_nl))</f>
        <v>52.96363037499728</v>
      </c>
      <c r="CM145" s="29">
        <f>H2_retrieval!$H$25*h2_demand_kt/1000+(co2_liq_e_demand+co2_st_e_demand*2)*Storage!$I$12*co2_density/FA_density/1000000</f>
        <v>94.204253879484654</v>
      </c>
      <c r="CN145" s="28">
        <f>IFERROR((((CB145+CD145+CG145)*(1+H2_retrieval!$H$34)+CL145)*1000000/H2_retrieval!$H$8)+h2_regen_fa,"")</f>
        <v>7229.5686887969478</v>
      </c>
      <c r="CO145" s="149">
        <f>(meoh_invest*(M145+1/meoh_lifetime)/meoh_prod+meoh_opex+meoh_e_demand*1000*$AU145/100+Carriers!$R$18/Carriers!$R$23*BD145+Carriers!$R$20/Carriers!$R$23*co2_liq_cost)*(CS145+meoh_st_ab_losses)/1000000</f>
        <v>44977.391758847836</v>
      </c>
      <c r="CP145" s="86">
        <f>(meoh_invest*(M145+1/meoh_lifetime)/meoh_prod+meoh_opex+meoh_e_demand*1000*$AU145/100+Carriers!$R$18/Carriers!$R$23*BD145+Carriers!$R$20/Carriers!$R$23*BP145)*(CS145+meoh_st_ab_losses)/1000000</f>
        <v>57131.726102406974</v>
      </c>
      <c r="CQ145" s="63">
        <f>meoh_st_nl_cost*meoh_st_nl_demand/1000000+(meoh_st_invest*(M145+1/meoh_st_lifetime+meoh_st_opex)/(Storage!$K$63/1000000)+meoh_st_e_demand*1000*$AU145/100)*(CS145+meoh_st_ab_losses)/1000000+co2_st_nl_cost*Storage!$K$12*co2_density/meoh_density/1000000+(co2_st_opex_lev+co2_st_invest_lev+co2_st_e_demand*1000*IFERROR(MIN(S145,AA145,AI145),S145)/100)*Storage!$K$12/1000000+co2_st_invest_lev*Storage!$K$12*co2_st_lifetime*M145/1000000+Carriers!$R$18/Carriers!$R$23*((CS145+meoh_st_ab_losses)/365.25*short_st_duration_hrs/24)*(h2_short_st_invest*(1/gh2_short_st_lifetime+$M145+h2_short_st_opex)+h2_short_st_e_demand*1000*$AU145/100)/1000000+Carriers!$R$20/Carriers!$R$23*((CF145+meoh_st_ab_losses)/365.25*short_st_duration_hrs/24)*(co2_short_st_invest*(1/co2_short_st_lifetime+$M145+co2_short_st_opex)+co2_short_st_e_demand*1000*$AU145/100)/1000000</f>
        <v>4224.2545591265416</v>
      </c>
      <c r="CR145" s="63">
        <f>meoh_st_nl_cost*meoh_st_nl_demand/1000000+(meoh_st_invest*(M145+1/meoh_st_lifetime+meoh_st_opex)/(Storage!$K$63/1000000)+meoh_st_e_demand*1000*$AU145/100)*(CS145+meoh_st_ab_losses)/1000000+Carriers!$R$18/Carriers!$R$23*((CS145+meoh_st_ab_losses)/365.25*short_st_duration_hrs/24)*(h2_short_st_invest*(1/gh2_short_st_lifetime+$M145+h2_short_st_opex)+h2_short_st_e_demand*1000*$AU145/100)/1000000+Carriers!$R$20/Carriers!$R$23*((CF145+meoh_st_ab_losses)/365.25*short_st_duration_hrs/24)*(co2_short_st_invest*(1/co2_short_st_lifetime+$M145+co2_short_st_opex)+co2_short_st_e_demand*1000*$AU145/100)/1000000</f>
        <v>1565.9506859394721</v>
      </c>
      <c r="CS145" s="63">
        <f>Storage!$K$57/((1-Shipping!$L$37)^($F145/24/Shipping!$L$44+0.5*Shipping!$L$59))</f>
        <v>108044444.44444443</v>
      </c>
      <c r="CT145" s="28">
        <f>IF($E145="","No Port",IF(AND(ship_choice="VLCC",G145="Panama"),"Ship cannot pass through Panama",IF(ship_choice="VLCC",((F145/24/Shipping!$AD$44+F145/24/Shipping!$AD$50+Shipping!$AD$59+Shipping!$AD$64)*(Shipping!$AD$22+wacc_nl*Shipping!$AD$19/365.25*1000000+Shipping!$AD$35)+(F145/24/Shipping!$AD$44*Shipping!$AD$45+Shipping!$AD$64*Shipping!$AD$65)*IF(bunker_choice="HFO",$H145,IF(bunker_choice="hydrogen",$BD145*hfo_e_density_lhv/h2_e_density_lhv,(CO145+CQ145)*1000000/CS145*hfo_e_density_lhv/meoh_e_density_lhv))+(F145/24/Shipping!$AD$50*Shipping!$AD$51+Shipping!$AD$59*Shipping!$AD$60)*IF(bunker_choice="HFO",bunker_price_ROT,IF(bunker_choice="hydrogen",$BD145*hfo_e_density_lhv/h2_e_density_lhv,(CO145+CQ145)*1000000/CS145*hfo_e_density_lhv/meoh_e_density_lhv))+Shipping!$AD$73+IF(G145="Panama",Shipping!$AD$55,0)+IF(G145="Suez",Shipping!$AD$56,0))/Shipping!$AD$31*CS145/1000000+IF(inland_transport_to_port="hv dc grid",$BM145/100*1000*CV145,IF(inland_transport_to_port="pipeline",$BN145,0)),((F145/24/Shipping!$L$44+F145/24/Shipping!$L$50+Shipping!$L$59+Shipping!$L$64)*(Shipping!$L$22+wacc_nl*Shipping!$L$19/365.25*1000000+Shipping!$L$35)+(F145/24/Shipping!$L$44*Shipping!$L$45+Shipping!$L$64*Shipping!$L$65)*IF(bunker_choice="HFO",$H145,IF(bunker_choice="hydrogen",$BD145*hfo_e_density_lhv/h2_e_density_lhv,(CO145+CQ145)*1000000/CS145*hfo_e_density_lhv/meoh_e_density_lhv))+(F145/24/Shipping!$L$50*Shipping!$L$51+Shipping!$L$59*Shipping!$L$60)*IF(bunker_choice="HFO",bunker_price_ROT,IF(bunker_choice="hydrogen",$BD145*hfo_e_density_lhv/h2_e_density_lhv,(CO145+CQ145)*1000000/CS145*hfo_e_density_lhv/meoh_e_density_lhv))+Shipping!$L$73+IF(G145="Panama",Shipping!$L$55,0)+IF(G145="Suez",Shipping!$L$56,0))/Shipping!$L$31*CS145/1000000+IF(inland_transport_to_port="hv dc grid",$BM145/100*1000*CV145,IF(inland_transport_to_port="pipeline",$BN145,0)))))</f>
        <v>1294.6987743708501</v>
      </c>
      <c r="CU145" s="28">
        <f t="shared" si="214"/>
        <v>59992.375562717301</v>
      </c>
      <c r="CV145" s="29">
        <f>((Carriers!$R$18/Carriers!$R$23*alk_el_e_demand)+meoh_e_demand)*(CS145+meoh_st_ab_losses)/1000000+meoh_st_e_demand*CS145/1000000</f>
        <v>1119.9789871111109</v>
      </c>
      <c r="CW145" s="29">
        <f t="shared" si="187"/>
        <v>0.16206666666666666</v>
      </c>
      <c r="CX145" s="28">
        <f>IFERROR(CU145*1000000/Storage!$K$12,"")</f>
        <v>555.25645831392001</v>
      </c>
      <c r="CY145" s="28">
        <f>IF($E145="","No Port",((F145/24/Shipping!$L$44+F145/24/Shipping!$L$50+Shipping!$L$59+Shipping!$L$64)*Carriers!$R$39*wacc_nl))</f>
        <v>18.532625109870878</v>
      </c>
      <c r="CZ145" s="29">
        <f>H2_retrieval!$J$25*h2_demand_kt/1000+(co2_liq_e_demand+co2_st_e_demand*2)*Storage!$K$12*co2_density/meoh_density/1000000</f>
        <v>251.05079059698966</v>
      </c>
      <c r="DA145" s="28">
        <f>IFERROR((((CO145+CQ145+CT145)*(1+H2_retrieval!$J$34)+CY145)*1000000/H2_retrieval!$J$8)+h2_regen_meoh,"")</f>
        <v>4884.4577871266383</v>
      </c>
      <c r="DB145" s="149">
        <f>(DBT_invest*(M145+1/DBT_lifetime)/DBT_prod+DBT_opex+DBT_e_demand*1000*$AU145/100+Carriers!$T$18/Carriers!$T$23*BD145)*(DD145+DBT_st_ab_losses)/1000000</f>
        <v>30029.644966585114</v>
      </c>
      <c r="DC145" s="28">
        <f>2*(DBT_st_nl_cost*DBT_st_nl_demand/1000000+(DBT_st_invest*(M145+1/DBT_st_lifetime+DBT_st_opex)/(Storage!$M$63/1000000)+DBT_st_e_demand*1000*$AU145/100)*(DD145+DBT_st_ab_losses)/1000000)+Carriers!$T$18/Carriers!$T$23*((DD145+DBT_st_ab_losses)/365.25*short_st_duration_hrs/24)*(h2_short_st_invest*(1/gh2_short_st_lifetime+$M145+h2_short_st_opex)+h2_short_st_e_demand*1000*$AU145/100)/1000000</f>
        <v>3365.6708911196042</v>
      </c>
      <c r="DD145" s="63">
        <f>Storage!$M$57/((1-Shipping!$N$37)^($F145/24/Shipping!$N$44+0.5*Shipping!$N$59))</f>
        <v>219354838.70967743</v>
      </c>
      <c r="DE145" s="28">
        <f>IF($E145="","No Port",IF(AND(ship_choice="VLCC",G145="Panama"),"Ship cannot pass through Panama",IF(ship_choice="VLCC",((F145/24/Shipping!$AD$44+F145/24/Shipping!$AD$50+Shipping!$AD$59+Shipping!$AD$64)*(Shipping!$AD$22+wacc_nl*Shipping!$AD$19/365.25*1000000+Shipping!$AD$35)+(F145/24/Shipping!$AD$44*Shipping!$AD$45+Shipping!$AD$64*Shipping!$AD$65)*IF(bunker_choice="HFO",$H145,IF(bunker_choice="hydrogen",$BD145*hfo_e_density_lhv/h2_e_density_lhv,(DB145+DC145)*1000000/DD145*hfo_e_density_lhv/DBT_e_density_lhv))+(F145/24/Shipping!$AD$50*Shipping!$AD$51+Shipping!$AD$59*Shipping!$AD$60)*IF(bunker_choice="HFO",bunker_price_ROT,IF(bunker_choice="hydrogen",$BD145*hfo_e_density_lhv/h2_e_density_lhv,(DB145+DC145)*1000000/DD145*hfo_e_density_lhv/DBT_e_density_lhv))+Shipping!$AD$73+IF(G145="Panama",Shipping!$AD$55,0)+IF(G145="Suez",Shipping!$AD$56,0))/Shipping!$AD$31*DD145/1000000+IF(inland_transport_to_port="hv dc grid",$BM145/100*1000*DG145,IF(inland_transport_to_port="pipeline",$BN145,0)),((F145/24/Shipping!$N$44+F145/24/Shipping!$N$50+Shipping!$N$59+Shipping!$N$64)*(Shipping!$N$22+wacc_nl*Shipping!$N$19/365.25*1000000+Shipping!$N$35)+(F145/24/Shipping!$N$44*Shipping!$N$45+Shipping!$N$64*Shipping!$N$65)*IF(bunker_choice="HFO",$H145,IF(bunker_choice="hydrogen",$BD145*hfo_e_density_lhv/h2_e_density_lhv,(DB145+DC145)*1000000/DD145*hfo_e_density_lhv/DBT_e_density_lhv))+(F145/24/Shipping!$N$50*Shipping!$N$51+Shipping!$N$59*Shipping!$N$60)*IF(bunker_choice="HFO",bunker_price_ROT,IF(bunker_choice="hydrogen",$BD145*hfo_e_density_lhv/h2_e_density_lhv,(DB145+DC145)*1000000/DD145*hfo_e_density_lhv/DBT_e_density_lhv))+Shipping!$N$73+IF(G145="Panama",Shipping!$N$55,0)+IF(G145="Suez",Shipping!$N$56,0))/Shipping!$N$31*Shipping!$N$86/1000000+IF(inland_transport_to_port="hv dc grid",$BM145/100*1000*DG145,IF(inland_transport_to_port="pipeline",$BN145,0)))))</f>
        <v>1863.4155383811562</v>
      </c>
      <c r="DF145" s="28">
        <f t="shared" si="159"/>
        <v>35258.731396085881</v>
      </c>
      <c r="DG145" s="29">
        <f>((Carriers!$T$18/Carriers!$T$23*alk_el_e_demand)+DBT_e_demand)*(DD145+DBT_st_ab_losses)/1000000+DBT_st_e_demand*DD145/1000000</f>
        <v>703.88335483870969</v>
      </c>
      <c r="DH145" s="29">
        <f t="shared" si="188"/>
        <v>0.21935483870967742</v>
      </c>
      <c r="DI145" s="28">
        <f>IFERROR(DF145*1000000/Storage!$M$12,"")</f>
        <v>160.73833430568564</v>
      </c>
      <c r="DJ145" s="28">
        <f>IF($E145="","No Port",((F145/24/Shipping!$N$44+F145/24/Shipping!$N$50+Shipping!$N$59+Shipping!$N$64)*Carriers!$T$39*wacc_nl))</f>
        <v>1349.7919779302031</v>
      </c>
      <c r="DK145" s="100">
        <f>H2_retrieval!$L$25*h2_demand_kt/1000+(co2_liq_e_demand+co2_st_e_demand*2)*Storage!$M$12*co2_density/DBT_density/1000000</f>
        <v>206.61934861671787</v>
      </c>
      <c r="DL145" s="28">
        <f>IFERROR(((DF145*(1+H2_retrieval!$L$34)+DJ145)*1000000/H2_retrieval!$L$8)+h2_regen_lohc,"")</f>
        <v>3162.452969904683</v>
      </c>
      <c r="DM145" s="149">
        <f t="shared" si="211"/>
        <v>49094.930222376744</v>
      </c>
      <c r="DN145" s="16">
        <f>2*(nabh4_st_nl_cost*nabh4_st_nl_demand/1000000+(nabh4_st_invest*(M145+1/nabh4_st_lifetime+nabh4_st_opex)/(Storage!$O$63/1000000)+nabh4_st_e_demand*1000*$AU145/100)*(DO145+nabh4_st_ab_losses)/1000000)+(h2_demand_kt*1000/365.25*short_st_duration_hrs/24)*(h2_short_st_invest*(1/gh2_short_st_lifetime+$M145+h2_short_st_opex)+h2_short_st_e_demand*1000*$AU145/100)/1000000</f>
        <v>1195.3764350865399</v>
      </c>
      <c r="DO145" s="63">
        <f>Storage!$O$57/((1-Shipping!$P$37)^($F145/24/Shipping!$P$44+0.5*Shipping!$P$59))</f>
        <v>63920000</v>
      </c>
      <c r="DP145" s="16">
        <f>IF($E145="","No Port",((F145/24/Shipping!$P$44+F145/24/Shipping!$P$50+Shipping!$P$59+Shipping!$P$64)*(Shipping!$P$22+wacc_nl*Shipping!$P$19/365.25*1000000+Shipping!$P$35)+(F145/24/Shipping!$P$44*Shipping!$P$45+Shipping!$P$64*Shipping!$P$65)*IF(bunker_choice="HFO",$H145,IF(bunker_choice="hydrogen",$BD145*hfo_e_density_lhv/h2_e_density_lhv,(DM145+DN145)*1000000/DO145*hfo_e_density_lhv/nabh4_e_density_lhv))+(F145/24/Shipping!$P$50*Shipping!$P$51+Shipping!$P$59*Shipping!$P$60)*IF(bunker_choice="HFO",bunker_price_ROT,IF(bunker_choice="hydrogen",$BD145*hfo_e_density_lhv/h2_e_density_lhv,(DM145+DN145)*1000000/DO145*hfo_e_density_lhv/nabh4_e_density_lhv))+Shipping!$P$73+IF(G145="Panama",Shipping!$P$55,0)+IF(G145="Suez",Shipping!$P$56,0))/Shipping!$P$31*(DO145+nabh4_st_ab_losses)/1000000+IF(inland_transport_to_port="hv dc grid",$BM145/100*1000*DR145,IF(inland_transport_to_port="pipeline",$BN145,0)))</f>
        <v>935.4267076675751</v>
      </c>
      <c r="DQ145" s="28">
        <f t="shared" si="146"/>
        <v>51225.733365130858</v>
      </c>
      <c r="DR145" s="29">
        <f>((Carriers!$V$18/Carriers!$V$23*alk_el_e_demand)+nabh4_e_demand)*(DO145+nabh4_st_ab_losses)/1000000+nabh4_st_e_demand*DO145/1000000</f>
        <v>980.02139682539689</v>
      </c>
      <c r="DS145" s="28">
        <f t="shared" si="189"/>
        <v>3.1960000000000002</v>
      </c>
      <c r="DT145" s="28">
        <f>IFERROR(DQ145*1000000/Storage!$O$12,"")</f>
        <v>801.40383862845522</v>
      </c>
      <c r="DU145" s="28">
        <f>IF($E145="","No Port",((F145/24/Shipping!$P$44+F145/24/Shipping!$P$50+Shipping!$P$59+Shipping!$P$64)*Carriers!$V$39*wacc_nl))</f>
        <v>143.24735336149166</v>
      </c>
      <c r="DV145" s="100">
        <f>H2_retrieval!$N$25*h2_demand_kt/1000+(co2_liq_e_demand+co2_st_e_demand*2)*Storage!$O$12*co2_density/nabh4_density/1000000</f>
        <v>18.783638728971958</v>
      </c>
      <c r="DW145" s="28">
        <f>IFERROR(((DQ145*(1+H2_retrieval!$N$34)+DU145)*1000000/H2_retrieval!$N$8)+h2_regen_nabh4,"")</f>
        <v>3859.337106464975</v>
      </c>
      <c r="DX145" s="149">
        <f>(Dme_invest*(M145+1/Dme_lifetime)/Dme_prod+Dme_opex+Dme_e_demand*1000*$AU145/100+Carriers!$X$21/Carriers!$X$23*(CO145*1000000/CS145))*(EB145+Dme_st_ab_losses)/1000000</f>
        <v>63631.400111407544</v>
      </c>
      <c r="DY145" s="86">
        <f>(Dme_invest*(M145+1/Dme_lifetime)/Dme_prod+Dme_opex+Dme_e_demand*1000*$AU145/100+Carriers!$X$21/Carriers!$X$23*(CP145*1000000/CS145))*(EB145+Dme_st_ab_losses)/1000000</f>
        <v>80120.748104677827</v>
      </c>
      <c r="DZ145" s="63">
        <f>Dme_st_nl_cost*Dme_st_nl_demand/1000000+(Dme_st_invest*(M145+1/Dme_st_lifetime+Dme_st_opex)/(Storage!$Q$63/1000000)+Dme_st_e_demand*1000*$AU145/100)*(EB145+Dme_st_ab_losses)/1000000+co2_st_nl_cost*Storage!$Q$12*co2_density/Dme_density/1000000+(co2_st_opex_lev+co2_st_invest_lev+co2_st_e_demand*1000*$AU145/100)*Storage!$Q$12/1000000+co2_st_invest_lev*Storage!$Q$12*co2_st_lifetime*M145/1000000+(h2_demand_kt*1000/365.25*short_st_duration_hrs/24)*(h2_short_st_invest*(1/gh2_short_st_lifetime+$M145+h2_short_st_opex)+h2_short_st_e_demand*1000*$AU145/100)/1000000</f>
        <v>5131.1808516581341</v>
      </c>
      <c r="EA145" s="63">
        <f>Dme_st_nl_cost*Dme_st_nl_demand/1000000+(Dme_st_invest*(M145+1/Dme_st_lifetime+Dme_st_opex)/(Storage!$Q$63/1000000)+Dme_st_e_demand*1000*$AU145/100)*(EB145+Dme_st_ab_losses)/1000000+(h2_demand_kt*1000/365.25*short_st_duration_hrs/24)*(h2_short_st_invest*(1/gh2_short_st_lifetime+$M145+h2_short_st_opex)+h2_short_st_e_demand*1000*$AU145/100)/1000000</f>
        <v>2443.5493800136555</v>
      </c>
      <c r="EB145" s="63">
        <f>Storage!$Q$57/((1-Shipping!$R$37)^($F145/24/Shipping!$R$44+0.5*Shipping!$R$59))</f>
        <v>103547089.94708996</v>
      </c>
      <c r="EC145" s="153">
        <f>IF($E145="","No Port",IF(AND(ship_choice="VLCC",G145="Panama"),"Ship cannot pass through Panama",IF(ship_choice="VLCC",((F145/24/Shipping!$AD$44+F145/24/Shipping!$AD$50+Shipping!$AD$59+Shipping!$AD$64)*(Shipping!$AD$22+wacc_nl*Shipping!$AD$19/365.25*1000000+Shipping!$AD$35)+(F145/24/Shipping!$AD$44*Shipping!$AD$45+Shipping!$AD$64*Shipping!$AD$65)*IF(bunker_choice="HFO",$H145,IF(bunker_choice="hydrogen",$BD145*hfo_e_density_lhv/h2_e_density_lhv,(DX145+DZ145)*1000000/EB145*hfo_e_density_lhv/Dme_e_density_lhv))+(F145/24/Shipping!$AD$50*Shipping!$AD$51+Shipping!$AD$59*Shipping!$AD$60)*IF(bunker_choice="HFO",bunker_price_ROT,IF(bunker_choice="hydrogen",$BD145*hfo_e_density_lhv/h2_e_density_lhv,(DX145+DZ145)*1000000/EB145*hfo_e_density_lhv/Dme_e_density_lhv))+Shipping!$AD$73+IF(G145="Panama",Shipping!$AD$55,0)+IF(G145="Suez",Shipping!$AD$56,0))/Shipping!$AD$31*(EB145+Dme_st_ab_losses)/1000000+IF(inland_transport_to_port="hv dc grid",$BM145/100*1000*EE145,IF(inland_transport_to_port="pipeline",$BN145,0)),((F145/24/Shipping!$R$44+F145/24/Shipping!$R$50+Shipping!$R$59+Shipping!$R$64)*(Shipping!$R$22+wacc_nl*Shipping!$R$19/365.25*1000000+Shipping!$R$35)+(F145/24/Shipping!$R$44*Shipping!$R$45+Shipping!$R$64*Shipping!$R$65)*IF(bunker_choice="HFO",$H145,IF(bunker_choice="hydrogen",$BD145*hfo_e_density_lhv/h2_e_density_lhv,(DX145+DZ145)*1000000/EB145*hfo_e_density_lhv/Dme_e_density_lhv))+(F145/24/Shipping!$R$50*Shipping!$R$51+Shipping!$R$59*Shipping!$R$60)*IF(bunker_choice="HFO",bunker_price_ROT,IF(bunker_choice="hydrogen",$BD145*hfo_e_density_lhv/h2_e_density_lhv,(DX145+DZ145)*1000000/EB145*hfo_e_density_lhv/Dme_e_density_lhv))+Shipping!$R$73+IF(G145="Panama",Shipping!$R$55,0)+IF(G145="Suez",Shipping!$R$56,0))/Shipping!$R$31*(EB145+Dme_st_ab_losses)/1000000+IF(inland_transport_to_port="hv dc grid",$BM145/100*1000*EE145,IF(inland_transport_to_port="pipeline",$BN145,0)))))</f>
        <v>1352.4793533926695</v>
      </c>
      <c r="ED145" s="28">
        <f t="shared" si="215"/>
        <v>83916.776838084159</v>
      </c>
      <c r="EE145" s="29">
        <f>(Dme_e_demand)*(EB145+Dme_st_ab_losses)/1000000+Dme_st_e_demand*DZ145/1000000+$CV145*(Carriers!$X$21/Carriers!$X$23*EB145)/$CS145</f>
        <v>1550.2168114788644</v>
      </c>
      <c r="EF145" s="29">
        <f t="shared" si="190"/>
        <v>1.0354708994708997</v>
      </c>
      <c r="EG145" s="28">
        <f>IFERROR(ED145*1000000/Storage!$Q$12,"")</f>
        <v>810.4213926336663</v>
      </c>
      <c r="EH145" s="28">
        <f>IF($E145="","No Port",((F145/24/Shipping!$R$44+F145/24/Shipping!$R$50+Shipping!$R$59+Shipping!$R$64)*Carriers!$X$39*wacc_nl))</f>
        <v>18.054582927955099</v>
      </c>
      <c r="EI145" s="100">
        <f>H2_retrieval!$P$25*h2_demand_kt/1000+(co2_liq_e_demand+co2_st_e_demand*2)*Storage!$Q$12*co2_density/Dme_density/1000000</f>
        <v>252.45335899349112</v>
      </c>
      <c r="EJ145" s="28">
        <f>IFERROR((((DX145+DZ145+EC145)*(1+H2_retrieval!$P$34)+EH145)*1000000/H2_retrieval!$P$8)+h2_regen_dme,"")</f>
        <v>6326.9752269745213</v>
      </c>
      <c r="EK145" s="149">
        <f>(ome_invest*(M145+1/ome_lifetime)/ome_prod+ome_opex+ome_e_demand*1000*$AU145/100+Carriers!$Z$21/Carriers!$Z$23*(CO145*1000000/CS145))*(EO145+ome_st_ab_losses)/1000000</f>
        <v>139481.1314878586</v>
      </c>
      <c r="EL145" s="86">
        <f>(ome_invest*(M145+1/ome_lifetime)/ome_prod+ome_opex+ome_e_demand*1000*$AU145/100+Carriers!$Z$21/Carriers!$Z$23*(CP145*1000000/CS145))*(EO145+ome_st_ab_losses)/1000000</f>
        <v>174095.48279223163</v>
      </c>
      <c r="EM145" s="63">
        <f>ome_st_nl_cost*ome_st_nl_demand/1000000+(ome_st_invest*(M145+1/ome_st_lifetime+ome_st_opex)/(Storage!$S$63/1000000)+ome_st_e_demand*1000*$AU145/100)*(EO145+ome_st_ab_losses)/1000000+co2_st_nl_cost*Storage!$S$12*co2_density/ome_density/1000000+(co2_st_opex_lev+co2_st_invest_lev+co2_st_e_demand*1000*$AU145/100)*Storage!$S$12/1000000+co2_st_invest_lev*Storage!$S$12*co2_st_lifetime*M145/1000000+(h2_demand_kt*1000/365.25*short_st_duration_hrs/24)*(h2_short_st_invest*(1/gh2_short_st_lifetime+$M145+h2_short_st_opex)+h2_short_st_e_demand*1000*$AU145/100)/1000000</f>
        <v>4426.6280179820005</v>
      </c>
      <c r="EN145" s="63">
        <f>ome_st_nl_cost*ome_st_nl_demand/1000000+(ome_st_invest*(M145+1/ome_st_lifetime+ome_st_opex)/(Storage!$S$63/1000000)+ome_st_e_demand*1000*$AU145/100)*(EO145+ome_st_ab_losses)/1000000+(h2_demand_kt*1000/365.25*short_st_duration_hrs/24)*(h2_short_st_invest*(1/gh2_short_st_lifetime+$M145+h2_short_st_opex)+h2_short_st_e_demand*1000*$AU145/100)/1000000</f>
        <v>1435.9398407496853</v>
      </c>
      <c r="EO145" s="63">
        <f>Storage!$S$57/((1-Shipping!$T$37)^($F145/24/Shipping!$T$44+0.5*Shipping!$T$59))</f>
        <v>128282539.68253967</v>
      </c>
      <c r="EP145" s="28">
        <f>IF($E145="","No Port",IF(AND(ship_choice="VLCC",G145="Panama"),"Ship cannot pass through Panama",IF(ship_choice="VLCC",((F145/24/Shipping!$AD$44+F145/24/Shipping!$AD$50+Shipping!$AD$59+Shipping!$AD$64)*(Shipping!$AD$22+wacc_nl*Shipping!$AD$19/365.25*1000000+Shipping!$AD$35)+(F145/24/Shipping!$AD$44*Shipping!$AD$45+Shipping!$AD$64*Shipping!$AD$65)*IF(bunker_choice="HFO",$H145,IF(bunker_choice="hydrogen",$BD145*hfo_e_density_lhv/h2_e_density_lhv,(EK145+EM145)*1000000/EO145*hfo_e_density_lhv/Dme_e_density_lhv))+(F145/24/Shipping!$AD$50*Shipping!$AD$51+Shipping!$AD$59*Shipping!$AD$60)*IF(bunker_choice="HFO",bunker_price_ROT,IF(bunker_choice="hydrogen",$BD145*hfo_e_density_lhv/h2_e_density_lhv,(EK145+EM145)*1000000/EO145*hfo_e_density_lhv/ome_e_density_lhv))+Shipping!$AD$73+IF(G145="Panama",Shipping!$AD$55,0)+IF(G145="Suez",Shipping!$AD$56,0))/Shipping!$AD$31*(EO145+ome_st_ab_losses)/1000000+IF(inland_transport_to_port="hv dc grid",$BM145/100*1000*ER145,IF(inland_transport_to_port="pipeline",$BN145,0)),((F145/24/Shipping!$T$44+F145/24/Shipping!$T$50+Shipping!$T$59+Shipping!$T$64)*(Shipping!$T$22+wacc_nl*Shipping!$T$19/365.25*1000000+Shipping!$T$35)+(F145/24/Shipping!$T$44*Shipping!$T$45+Shipping!$T$64*Shipping!$T$65)*IF(bunker_choice="HFO",$H145,IF(bunker_choice="hydrogen",$BD145*hfo_e_density_lhv/h2_e_density_lhv,(EK145+EM145)*1000000/EO145*hfo_e_density_lhv/Dme_e_density_lhv))+(F145/24/Shipping!$T$50*Shipping!$T$51+Shipping!$T$59*Shipping!$T$60)*IF(bunker_choice="HFO",bunker_price_ROT,IF(bunker_choice="hydrogen",$BD145*hfo_e_density_lhv/h2_e_density_lhv,(EK145+EM145)*1000000/EO145*hfo_e_density_lhv/ome_e_density_lhv))+Shipping!$T$73+IF(G145="Panama",Shipping!$T$55,0)+IF(G145="Suez",Shipping!$T$56,0))/Shipping!$T$31*(EO145+ome_st_ab_losses)/1000000+IF(inland_transport_to_port="hv dc grid",$BM145/100*1000*ER145,IF(inland_transport_to_port="pipeline",$BN145,0)))))</f>
        <v>1365.9793840999769</v>
      </c>
      <c r="EQ145" s="28">
        <f t="shared" si="216"/>
        <v>176897.4020170813</v>
      </c>
      <c r="ER145" s="29">
        <f>(ome_e_demand)*(EO145+ome_st_ab_losses)/1000000+ome_st_e_demand*EM145/1000000+$CV145*(Carriers!$Z$21/Carriers!$Z$23*EO145)/$CS145</f>
        <v>3352.0814567807256</v>
      </c>
      <c r="ES145" s="29">
        <f t="shared" si="191"/>
        <v>0.1924238095238095</v>
      </c>
      <c r="ET145" s="28">
        <f>IFERROR(EQ145*1000000/Storage!$S$12,"")</f>
        <v>1378.9671022638672</v>
      </c>
      <c r="EU145" s="28">
        <f>IF($E145="","No Port",((F145/24/Shipping!$T$44+F145/24/Shipping!$T$50+Shipping!$T$59+Shipping!$T$64)*Carriers!$Z$39*wacc_nl))</f>
        <v>22.004020922159381</v>
      </c>
      <c r="EV145" s="100">
        <f>H2_retrieval!$R$25*h2_demand_kt/1000+(co2_liq_e_demand+co2_st_e_demand*2)*Storage!$S$12*co2_density/ome_density/1000000</f>
        <v>254.51942895252085</v>
      </c>
      <c r="EW145" s="28">
        <f>IFERROR((((EK145+EM145+EP145)*(1+H2_retrieval!$R$34)+EU145)*1000000/H2_retrieval!$R$8)+h2_regen_ome,"")</f>
        <v>11853.639051347787</v>
      </c>
      <c r="EX145" s="149">
        <f>(sng_invest*(M145+1/sng_lifetime)/sng_prod+lng_invest*(M145+1/lng_lifetime)/lng_prod+sng_opex+lng_opex+(sng_e_demand+lng_e_demand)*1000*$AU145/100+Carriers!$AB$18/Carriers!$AB$23*BD145+Carriers!$AB$20/Carriers!$AB$23*co2_liq_cost)*(FB145+lng_st_ab_losses)/1000000</f>
        <v>48281.820070488182</v>
      </c>
      <c r="EY145" s="86">
        <f>(sng_invest*(M145+1/sng_lifetime)/sng_prod+lng_invest*(M145+1/lng_lifetime)/lng_prod+sng_opex+lng_opex+(sng_e_demand+lng_e_demand)*1000*$AU145/100+Carriers!$AB$18/Carriers!$AB$23*BD145+Carriers!$AB$20/Carriers!$AB$23*BP145)*(FB145+lng_st_ab_losses)/1000000</f>
        <v>57274.98570553663</v>
      </c>
      <c r="EZ145" s="63">
        <f>lng_st_nl_cost*lng_st_nl_demand/1000000+(lng_st_invest*(M145+1/lng_st_lifetime+lng_st_opex)/(Storage!$U$63/1000000)+lng_st_e_demand*1000*$AU145/100)*(FB145+lng_st_ab_losses)/1000000+co2_st_nl_cost*Storage!$U$12*co2_density/lng_density/1000000+(co2_st_opex_lev+co2_st_invest_lev+co2_st_e_demand*1000*$AU145/100)*Storage!$U$12/1000000+co2_st_invest_lev*Storage!$U$12*co2_st_lifetime*M145/1000000+Carriers!$AB$18/Carriers!$AB$23*((FB145+lng_st_ab_losses)/365.25*short_st_duration_hrs/24)*(h2_short_st_invest*(1/gh2_short_st_lifetime+$M145+h2_short_st_opex)+h2_short_st_e_demand*1000*$AU145/100)/1000000+Carriers!$AB$20/Carriers!$AB$23*((FB145+lng_st_ab_losses)/365.25*short_st_duration_hrs/24)*(co2_short_st_invest*(1/co2_short_st_lifetime+$M145+co2_short_st_opex)+co2_short_st_e_demand*1000*$AU145/100)/1000000</f>
        <v>5281.0824129422099</v>
      </c>
      <c r="FA145" s="63">
        <f>lng_st_nl_cost*lng_st_nl_demand/1000000+(lng_st_invest*(M145+1/lng_st_lifetime+lng_st_opex)/(Storage!$U$63/1000000)+lng_st_e_demand*1000*$AU145/100)*(FB145+lng_st_ab_losses)/1000000+Carriers!$AB$18/Carriers!$AB$23*((FB145+lng_st_ab_losses)/365.25*short_st_duration_hrs/24)*(h2_short_st_invest*(1/gh2_short_st_lifetime+$M145+h2_short_st_opex)+h2_short_st_e_demand*1000*$AU145/100)/1000000+Carriers!$AB$20/Carriers!$AB$23*((FB145+lng_st_ab_losses)/365.25*short_st_duration_hrs/24)*(co2_short_st_invest*(1/co2_short_st_lifetime+$M145+co2_short_st_opex)+co2_short_st_e_demand*1000*$AU145/100)/1000000</f>
        <v>3790.0068887586353</v>
      </c>
      <c r="FB145" s="63">
        <f>Storage!$U$57/((1-Shipping!$V$37)^($F145/24/Shipping!$V$44+0.5*Shipping!$V$59))</f>
        <v>40733169.144563772</v>
      </c>
      <c r="FC145" s="28">
        <f>IF($E145="","No Port",IF(G145="Panama","Ship cannot pass through Panama",((F145/24/Shipping!$V$44+F145/24/Shipping!$V$50+Shipping!$V$59+Shipping!$V$64)*(Shipping!$V$22+wacc_nl*Shipping!$V$19/365.25*1000000+Shipping!$V$35)+(F145/24/Shipping!$V$44*Shipping!$V$45+Shipping!$V$64*Shipping!$V$65)*IF(bunker_choice="HFO",$H145,IF(bunker_choice="hydrogen",$BD145*hfo_e_density_lhv/h2_e_density_lhv,(EX145+EZ145)*1000000/FB145*hfo_e_density_lhv/lng_e_density_lhv))+(F145/24/Shipping!$V$50*Shipping!$V$51+Shipping!$V$59*Shipping!$V$60)*IF(bunker_choice="HFO",bunker_price_ROT,IF(bunker_choice="hydrogen",$BD145*hfo_e_density_lhv/h2_e_density_lhv,(EX145+EZ145)*1000000/FB145*hfo_e_density_lhv/lng_e_density_lhv))+Shipping!$V$73+IF(G145="Panama",Shipping!$V$55,0)+IF(G145="Suez",Shipping!$V$56,0))/Shipping!$V$31*(FB145+lng_st_ab_losses)/1000000)+IF(inland_transport_to_port="hv dc grid",$BM145/100*1000*FE145,IF(inland_transport_to_port="pipeline",$BN145,0)))</f>
        <v>900.25196279611032</v>
      </c>
      <c r="FD145" s="28">
        <f t="shared" si="217"/>
        <v>61965.244557091377</v>
      </c>
      <c r="FE145" s="29">
        <f>((Carriers!$AB$18/Carriers!$AB$23*alk_el_e_demand)+sng_e_demand+lng_e_demand)*(FB145+lng_st_ab_losses)/1000000+lng_st_e_demand*EZ145/1000000</f>
        <v>1092.4467028917281</v>
      </c>
      <c r="FF145" s="29">
        <f t="shared" si="192"/>
        <v>0.8126185861001558</v>
      </c>
      <c r="FG145" s="28">
        <f>IFERROR(FD145*1000000/Storage!$U$12,"")</f>
        <v>1526.8344833763911</v>
      </c>
      <c r="FH145" s="28">
        <f>IF($E145="","No Port",((F145/24/Shipping!$V$44+F145/24/Shipping!$V$50+Shipping!$V$59+Shipping!$V$64)*Carriers!$AB$39*wacc_nl))</f>
        <v>6.9848316193588609</v>
      </c>
      <c r="FI145" s="100">
        <f>H2_retrieval!$T$25*h2_demand_kt/1000+(co2_liq_e_demand+co2_st_e_demand*2)*Storage!$U$12*co2_density/lng_density/1000000</f>
        <v>236.51371749646054</v>
      </c>
      <c r="FJ145" s="28">
        <f>IFERROR((((EX145+EZ145+FC145)*(1+H2_retrieval!$T$34)+FH145)*1000000/H2_retrieval!$T$8)+h2_regen_lng,"")</f>
        <v>5175.2858430377237</v>
      </c>
      <c r="FK145" s="149">
        <f>(lh2_invest*(M145+1/lh2_lifetime)/lh2_prod+lh2_opex+lh2_e_demand*1000*$AU145/100+Carriers!$AD$18/Carriers!$AD$23*BD145)*(FM145+lh2_st_ab_losses)/1000000</f>
        <v>37823.404838486065</v>
      </c>
      <c r="FL145" s="28">
        <f>lh2_st_nl_cost*lh2_st_nl_demand/1000000+(lh2_st_invest*(M145+1/lh2_st_lifetime+lh2_st_opex)/(Storage!$Y$63/1000000)+lh2_st_e_demand*1000*$AU145/100)*(FM145+lh2_st_ab_losses)/1000000+((FM145+lh2_st_ab_losses)/365.25*short_st_duration_hrs/24)*(h2_short_st_invest*(1/gh2_short_st_lifetime+$M145+h2_short_st_opex)+h2_short_st_e_demand*1000*$AU145/100)/1000000</f>
        <v>44828.343599616164</v>
      </c>
      <c r="FM145" s="63">
        <f>Storage!$Y$57/((1-Shipping!$Z$37)^($F145/24/Shipping!$Z$44+0.5*Shipping!$Z$59))</f>
        <v>13673918.0704087</v>
      </c>
      <c r="FN145" s="28">
        <f>IF($E145="","No Port",IF(G145="Panama","Ship cannot pass through Panama",((F145/24/Shipping!$Z$44+F145/24/Shipping!$Z$50+Shipping!$Z$59+Shipping!$Z$64)*(Shipping!$Z$22+wacc_nl*Shipping!$Z$19/365.25*1000000+Shipping!$Z$35)+(F145/24/Shipping!$Z$44*Shipping!$Z$45+Shipping!$Z$64*Shipping!$Z$65)*IF(bunker_choice="HFO",$H145,IF(bunker_choice="hydrogen",$BD145*hfo_e_density_lhv/h2_e_density_lhv,(FK145+FL145)*1000000/FM145*hfo_e_density_lhv/lh2_e_density_lhv))+(F145/24/Shipping!$Z$50*Shipping!$Z$51+Shipping!$Z$59*Shipping!$Z$60)*IF(bunker_choice="HFO",bunker_price_ROT,IF(bunker_choice="hydrogen",$BD145*hfo_e_density_lhv/h2_e_density_lhv,(FK145+FL145)*1000000/FM145*hfo_e_density_lhv/lh2_e_density_lhv))+Shipping!$Z$73+IF(G145="Panama",Shipping!$Z$55,0)+IF(G145="Suez",Shipping!$Z$56,0))/Shipping!$Z$31*(FM145+lh2_st_ab_losses)/1000000)+IF(inland_transport_to_port="hv dc grid",$BM145/100*1000*FP145,IF(inland_transport_to_port="pipeline",$BN145,0)))</f>
        <v>1182.0014960323447</v>
      </c>
      <c r="FO145" s="28">
        <f t="shared" si="200"/>
        <v>83833.749934134568</v>
      </c>
      <c r="FP145" s="29">
        <f>((Carriers!$AD$18/Carriers!$AD$23*alk_el_e_demand)+lh2_e_demand)*(FM145+lh2_st_ab_losses)/1000000+lh2_st_e_demand*FM145/1000000</f>
        <v>792.4086918845552</v>
      </c>
      <c r="FQ145" s="100">
        <f t="shared" si="193"/>
        <v>1.361902463475859</v>
      </c>
      <c r="FR145" s="28">
        <f>IFERROR(FO145*1000000/Storage!$Y$12,"")</f>
        <v>6164.2463186863652</v>
      </c>
      <c r="FS145" s="100">
        <f>H2_retrieval!$V$25*h2_demand_kt/1000</f>
        <v>8.16</v>
      </c>
      <c r="FT145" s="28">
        <f>IFERROR(FR145*(1+H2_retrieval!$V$34)/Carrier_properties!$U$7+H2_retrieval!$V$38,"")</f>
        <v>6196.2150445548323</v>
      </c>
      <c r="FU145" s="12"/>
      <c r="FV145" s="24">
        <f t="shared" si="201"/>
        <v>2.7628086208715721</v>
      </c>
      <c r="FW145" s="24">
        <f t="shared" si="143"/>
        <v>2.9288960203100816</v>
      </c>
      <c r="FX145" s="24">
        <f t="shared" si="144"/>
        <v>4.6914339957392626</v>
      </c>
      <c r="FY145" s="24">
        <f t="shared" si="202"/>
        <v>2.7628086208715721</v>
      </c>
      <c r="FZ145" s="28">
        <f t="shared" si="145"/>
        <v>2011.3708504546501</v>
      </c>
      <c r="GA145" s="28">
        <f t="shared" si="218"/>
        <v>469.91852778254321</v>
      </c>
      <c r="GB145" s="28">
        <f t="shared" si="219"/>
        <v>338.12287552837392</v>
      </c>
      <c r="GC145" s="28">
        <f t="shared" si="220"/>
        <v>528.7798590309161</v>
      </c>
      <c r="GD145" s="28">
        <f t="shared" si="221"/>
        <v>773.76146587622679</v>
      </c>
      <c r="GE145" s="28">
        <f t="shared" si="222"/>
        <v>1357.1253205858341</v>
      </c>
      <c r="GF145" s="28">
        <f t="shared" si="223"/>
        <v>1406.1018798283344</v>
      </c>
      <c r="GG145" s="12"/>
      <c r="GH145" s="12"/>
      <c r="GI145" s="12"/>
      <c r="GJ145" s="12"/>
      <c r="GK145" s="12"/>
      <c r="GL145" s="12"/>
      <c r="GM145" s="12"/>
      <c r="GN145" s="12"/>
      <c r="GO145" s="12"/>
      <c r="GP145" s="12"/>
      <c r="GQ145" s="12"/>
      <c r="GR145" s="12"/>
      <c r="GS145" s="12"/>
      <c r="GT145" s="12"/>
      <c r="GU145" s="12"/>
      <c r="GV145" s="12"/>
      <c r="GW145" s="12"/>
      <c r="GX145" s="12"/>
      <c r="GY145" s="12"/>
      <c r="GZ145" s="12"/>
      <c r="HA145" s="12"/>
      <c r="HB145" s="12"/>
      <c r="HC145" s="12"/>
      <c r="HD145" s="12"/>
      <c r="HE145" s="12"/>
      <c r="HF145" s="12"/>
    </row>
    <row r="146" spans="1:214" x14ac:dyDescent="0.2">
      <c r="A146" s="154" t="s">
        <v>93</v>
      </c>
      <c r="B146" s="12">
        <v>7506</v>
      </c>
      <c r="C146" s="12">
        <v>0.1</v>
      </c>
      <c r="D146" s="12">
        <f t="shared" si="194"/>
        <v>0.9</v>
      </c>
      <c r="E146" s="12" t="s">
        <v>793</v>
      </c>
      <c r="F146" s="12">
        <v>5052</v>
      </c>
      <c r="G146" s="12"/>
      <c r="H146" s="16">
        <f t="shared" si="203"/>
        <v>382.75862068965517</v>
      </c>
      <c r="I146" s="16">
        <v>9147420</v>
      </c>
      <c r="J146" s="16">
        <f t="shared" si="195"/>
        <v>1706.3745834591332</v>
      </c>
      <c r="K146" s="16">
        <f t="shared" si="196"/>
        <v>2047.6495001509597</v>
      </c>
      <c r="L146" s="103">
        <v>6.0999999999999999E-2</v>
      </c>
      <c r="M146" s="103">
        <f t="shared" si="204"/>
        <v>8.4567873524797527E-2</v>
      </c>
      <c r="N146" s="122">
        <f t="shared" si="197"/>
        <v>0.8</v>
      </c>
      <c r="O146" s="46">
        <f t="shared" si="205"/>
        <v>40</v>
      </c>
      <c r="P146" s="70">
        <f t="array" ref="P146">SUMPRODUCT(IF(Solar_data!A$4:A$777=A146,Solar_data!C$4:C$777),IF(Solar_data!A$4:A$777=A146,Solar_data!I$4:I$777))/SUMIF(Solar_data!A$4:A$777,A146,Solar_data!I$4:I$777)</f>
        <v>1809.9485055474261</v>
      </c>
      <c r="Q146" s="16">
        <f t="array" ref="Q146">MAX(IF(Solar_data!$A$777:'Solar_data'!$A$4=Country_details!$A146,Solar_data!$C$4:'Solar_data'!$C$777))</f>
        <v>2463.75</v>
      </c>
      <c r="R146" s="16">
        <f t="array" ref="R146">MIN(IF(Solar_data!$A$777:'Solar_data'!$A$4=Country_details!A146,Solar_data!$C$4:'Solar_data'!$C$777))</f>
        <v>821.25</v>
      </c>
      <c r="S146" s="24">
        <f t="shared" si="176"/>
        <v>2.1163376190799337</v>
      </c>
      <c r="T146" s="24">
        <f t="shared" si="177"/>
        <v>1.5547284062455704</v>
      </c>
      <c r="U146" s="24">
        <f t="shared" si="178"/>
        <v>4.6641852187367112</v>
      </c>
      <c r="V146" s="16">
        <f t="array" ref="V146">SUM(IF(Solar_data!$A$777:'Solar_data'!$A$4=Country_details!$A146,Solar_data!$I$4:'Solar_data'!$I$777))</f>
        <v>58936.995483999031</v>
      </c>
      <c r="W146" s="148"/>
      <c r="X146" s="16">
        <f>IFERROR(INDEX(Onshore_wind_data!$J$5:'Onshore_wind_data'!$J$221,MATCH(A146,Onshore_wind_data!$B$5:'Onshore_wind_data'!$B$221,0)),"")</f>
        <v>3141.9730154036233</v>
      </c>
      <c r="Y146" s="16">
        <f>IFERROR(INDEX(Onshore_wind_data!$K$5:'Onshore_wind_data'!$K$221,MATCH(A146,Onshore_wind_data!$B$5:'Onshore_wind_data'!$B$221,0)),"")</f>
        <v>3971</v>
      </c>
      <c r="Z146" s="16">
        <f>IFERROR(INDEX(Onshore_wind_data!$L$5:'Onshore_wind_data'!$L$221,MATCH(A146,Onshore_wind_data!$B$5:'Onshore_wind_data'!$B$221,0)),"")</f>
        <v>2847.5</v>
      </c>
      <c r="AA146" s="24">
        <f t="shared" si="206"/>
        <v>3.5843202001959313</v>
      </c>
      <c r="AB146" s="24">
        <f t="shared" si="207"/>
        <v>2.8360204854146884</v>
      </c>
      <c r="AC146" s="24">
        <f t="shared" si="208"/>
        <v>3.9549911668416953</v>
      </c>
      <c r="AD146" s="16">
        <f>IFERROR(INDEX(Onshore_wind_data!$I$5:'Onshore_wind_data'!$I$221,MATCH(A146,Onshore_wind_data!$B$5:'Onshore_wind_data'!$B$221,0)),"")</f>
        <v>35149.81632270175</v>
      </c>
      <c r="AE146" s="148"/>
      <c r="AF146" s="16">
        <f>INDEX(Offshore_wind_data!$AA$7:$AA$192,MATCH(Country_details!A146,Offshore_wind_data!$A$7:$A$192,0))</f>
        <v>3670.183869454946</v>
      </c>
      <c r="AG146" s="16">
        <f>INDEX(Offshore_wind_data!$Y$7:$Y$192,MATCH(Country_details!A146,Offshore_wind_data!$A$7:$A$192,0))</f>
        <v>4204.8</v>
      </c>
      <c r="AH146" s="16">
        <f>INDEX(Offshore_wind_data!$Z$7:$Z$192,MATCH(Country_details!A146,Offshore_wind_data!$A$7:$A$192,0))</f>
        <v>3153.6</v>
      </c>
      <c r="AI146" s="24">
        <f t="shared" si="179"/>
        <v>5.8960267559252575</v>
      </c>
      <c r="AJ146" s="24">
        <f t="shared" si="180"/>
        <v>5.1463808726863709</v>
      </c>
      <c r="AK146" s="24">
        <f t="shared" si="181"/>
        <v>6.8618411635818291</v>
      </c>
      <c r="AL146" s="16">
        <f>INDEX(Offshore_wind_data!$W$7:$W$191,MATCH(A146,Offshore_wind_data!$A$7:$A$191,0))</f>
        <v>7669.583232</v>
      </c>
      <c r="AM146" s="148"/>
      <c r="AN146" s="12">
        <v>324.5</v>
      </c>
      <c r="AO146" s="12">
        <v>389.6</v>
      </c>
      <c r="AP146" s="34">
        <f>6.915*11.63</f>
        <v>80.421450000000007</v>
      </c>
      <c r="AQ146" s="15">
        <f t="shared" si="182"/>
        <v>50</v>
      </c>
      <c r="AR146" s="12">
        <f t="shared" si="212"/>
        <v>19480</v>
      </c>
      <c r="AS146" s="16">
        <f t="shared" si="198"/>
        <v>82276.395038700779</v>
      </c>
      <c r="AT146" s="12"/>
      <c r="AU146" s="24">
        <f t="shared" si="183"/>
        <v>3.047766285191587</v>
      </c>
      <c r="AV146" s="16">
        <f t="shared" si="184"/>
        <v>4951.9215209510494</v>
      </c>
      <c r="AW146" s="149">
        <f>HV_DC_Grid!$E$3/(1-AX146)*AU146/100*1000</f>
        <v>3589.7805428360825</v>
      </c>
      <c r="AX146" s="31">
        <f>(1-(1-HV_DC_Grid!$E$25)^(B146*C146*HV_DC_Grid!$E$8/1000))+(1-(1-HV_DC_Grid!$E$26)^(B146*D146*HV_DC_Grid!$E$8/1000))+HV_DC_Grid!$E$35*HV_DC_Grid!$E$28</f>
        <v>0.15098813177484116</v>
      </c>
      <c r="AY146" s="28">
        <f>B146*nl_e_demand/IF(hv_dc_flh="electricity FLH",$AV146,hv_dc_custom)*1000*hv_dc_capacity_multiplier*hv_dc_length_multiplier*1000*(C146*hv_dc_overhead_invest*(hv_dc_overhead_opex+M146+1/hv_dc_lifetime)+D146*hv_dc_sea_invest*(hv_dc_sea_opex+M146+1/hv_dc_lifetime))/1000000+HV_DC_Grid!$E$10*1000*hv_dc_station_invest*hv_dc_station_number*(hv_dc_station_opex+M146+1/hv_dc_lifetime)/1000000</f>
        <v>13935.498501732734</v>
      </c>
      <c r="AZ146" s="24">
        <f>(AW146+AY146)/(HV_DC_Grid!$E$3*1000)*100</f>
        <v>17.525279044568816</v>
      </c>
      <c r="BA146" s="28">
        <f>MIN(((Carriers!$F$26+Carriers!$F$27)*(alk_el_opex+wacc_nl+1/alk_el_lifetime)+IF(hv_dc_flh="electricity FLH",$AV146,hv_dc_custom)*AZ146/100)/(IF(hv_dc_flh="electricity FLH",$AV146,hv_dc_custom)/alk_el_e_demand)*1000,((Carriers!$H$26+Carriers!$H$27)*(pem_el_opex+wacc_nl+1/pem_el_lifetime)+IF(hv_dc_flh="electricity FLH",$AV146,hv_dc_custom)*AZ146/100)/(IF(hv_dc_flh="electricity FLH",$AV146,hv_dc_custom)/pem_el_e_demand)*1000)</f>
        <v>9273.5619969547915</v>
      </c>
      <c r="BB146" s="12"/>
      <c r="BC146" s="12"/>
      <c r="BD146" s="149">
        <f>MIN(((Carriers!$F$26+Carriers!$F$27)*(alk_el_opex+M146+1/alk_el_lifetime)+$AV146*$AU146/100)/($AV146/alk_el_e_demand)*1000,((Carriers!$H$26+Carriers!$H$27)*(pem_el_opex+M146+1/pem_el_lifetime)+$AV146*$AU146/100)/($AV146/pem_el_e_demand)*1000)</f>
        <v>2102.6391344186136</v>
      </c>
      <c r="BE146" s="28">
        <f>Storage!$AC$50</f>
        <v>8.1664117557772418</v>
      </c>
      <c r="BF146" s="28">
        <f>((Pipeline!$D$22*Pipeline!$D$24*B146*(pipeline_opex+M146+1/pipeline_lifetime))*(Pipeline!$D$39/Pipeline!$D$3)+(Pipeline!$D$57*(pipeline_comp_opex+M146+1/pipeline_comp_lifetime)+Pipeline!$D$47*1000*Pipeline!$D$45*$AU146/100/1000000))*(Pipeline!$D$75/Pipeline!$D$45)</f>
        <v>13298.735622771896</v>
      </c>
      <c r="BG146" s="28">
        <f>BD146+(BE146+BF146)/Storage!$AC$12*1000000</f>
        <v>3081.0878134280015</v>
      </c>
      <c r="BH146" s="28"/>
      <c r="BI146" s="28"/>
      <c r="BJ146" s="28">
        <f>IF($E146="","No Port",BK146*HV_DC_Grid!$E$3*$AU146/100*1000)</f>
        <v>161.09785435084518</v>
      </c>
      <c r="BK146" s="31">
        <f>IFERROR((1-(1-HV_DC_Grid!$E$25)^(K146*HV_DC_Grid!$E$8/1000))+HV_DC_Grid!$E$35*HV_DC_Grid!$E$28,"")</f>
        <v>5.2857679781282293E-2</v>
      </c>
      <c r="BL146" s="28">
        <f>IFERROR(K146*nl_e_demand/IF(hv_dc_flh="electricity FLH",$AV146,hv_dc_custom)*1000*hv_dc_capacity_multiplier*hv_dc_length_multiplier*1000*(hv_dc_overhead_invest*(hv_dc_overhead_opex+M146+1/hv_dc_lifetime))/1000000+HV_DC_Grid!$E$10*1000*hv_dc_station_invest*hv_dc_station_number*(hv_dc_station_opex+M146+1/hv_dc_lifetime)/1000000,"")</f>
        <v>1608.3779353992959</v>
      </c>
      <c r="BM146" s="29">
        <f>IFERROR((BJ146+BL146)/(HV_DC_Grid!$E$3*1000)*100,"")</f>
        <v>1.7694757897501412</v>
      </c>
      <c r="BN146" s="28">
        <f>IFERROR(((Pipeline!$D$22*Pipeline!$D$24*K146*(pipeline_opex+M146+1/pipeline_lifetime))*(Pipeline!$D$39/Pipeline!$D$3)+(Pipeline!$D$57*(pipeline_comp_opex+M146+1/pipeline_comp_lifetime)+Pipeline!$D$47*1000*Pipeline!$D$45*S146/100/1000000))*(Pipeline!$D$75/Pipeline!$D$45),"")</f>
        <v>3671.3438517070927</v>
      </c>
      <c r="BO146" s="28"/>
      <c r="BP146" s="150">
        <f t="shared" si="209"/>
        <v>95.5466513309525</v>
      </c>
      <c r="BQ146" s="34">
        <f t="shared" si="210"/>
        <v>27.952819981610197</v>
      </c>
      <c r="BR146" s="151">
        <f>(nh3_invest*(M146+1/nh3_lifetime)/nh3_prod+nh3_opex+nh3_e_demand*1000*$AU146/100+Carriers!$N$18/Carriers!$N$23*BD146+Carriers!$N$19/Carriers!$N$23*BQ146)*(BT146+nh3_st_ab_losses)/1000000</f>
        <v>39354.281001500902</v>
      </c>
      <c r="BS146" s="63">
        <f>nh3_st_nl_cost*nh3_st_nl_demand/1000000+(nh3_st_invest*(M146+1/nh3_st_lifetime+nh3_st_opex)/(Storage!$G$63/1000000)+nh3_st_e_demand*1000*$AU146/100)*(BT146+nh3_st_ab_losses)/1000000+Carriers!$N$18/Carriers!$N$23*((BT146+nh3_st_ab_losses)/365.25*short_st_duration_hrs/24)*(h2_short_st_invest*(1/gh2_short_st_lifetime+$M146+h2_short_st_opex)+h2_short_st_e_demand*1000*$AU146/100)/1000000+Carriers!$N$19/Carriers!$N$23*((BT146+nh3_st_ab_losses)/365.25*short_st_duration_hrs/24)*(n2_short_st_invest*(1/n2_short_st_lifetime+$M146+n2_short_st_opex)+n2_short_st_e_demand*1000*$AU146/100)/1000000</f>
        <v>2963.1780052451049</v>
      </c>
      <c r="BT146" s="63">
        <f>Storage!$G$57/((1-Shipping!$H$37)^(F146/24/Shipping!$H$44+0.5*Shipping!$H$59))</f>
        <v>79350533.542089522</v>
      </c>
      <c r="BU146" s="63">
        <f>IF($E146="","No Port",((F146/24/Shipping!$H$44+F146/24/Shipping!$H$50+Shipping!$H$59+Shipping!$H$64)*(Shipping!$H$22+wacc_nl*Shipping!$H$19/365.25*1000000+Shipping!$H$35)+(F146/24/Shipping!$H$44*Shipping!$H$45+Shipping!$H$64*Shipping!$H$65)*IF(bunker_choice="HFO",H146,IF(bunker_choice="hydrogen",BD146*hfo_e_density_lhv/h2_e_density_lhv,(BR146+BS146)*1000000/BT146*hfo_e_density_lhv/nh3_e_density_lhv))+(F146/24/Shipping!$H$50*Shipping!$H$51+Shipping!$H$59*Shipping!$H$60)*IF(bunker_choice="HFO",bunker_price_ROT,IF(bunker_choice="hydrogen",BD146*hfo_e_density_lhv/h2_e_density_lhv,(BR146+BS146)*1000000/BT146*hfo_e_density_lhv/nh3_e_density_lhv))+Shipping!$H$73+IF(G146="Panama",Shipping!$H$55,0)+IF(G146="Suez",Shipping!$H$56,0))/Shipping!$H$31*BT146/1000000+IF(inland_transport_to_port="hv dc grid",$BM146/100*1000*BW146,IF(inland_transport_to_port="pipeline",$BN146,0)))</f>
        <v>6672.7034588000215</v>
      </c>
      <c r="BV146" s="63">
        <f t="shared" si="199"/>
        <v>48990.162465546033</v>
      </c>
      <c r="BW146" s="33">
        <f>((Carriers!$N$18/Carriers!$N$23*alk_el_e_demand)+(Carriers!$N$19/Carriers!$N$23*n2_e_demand)+nh3_e_demand)*(BT146+nh3_st_ab_losses)/1000000+nh3_st_e_demand*BT146/1000000</f>
        <v>783.60406700307658</v>
      </c>
      <c r="BX146" s="33">
        <f t="shared" si="185"/>
        <v>0.76626754477640768</v>
      </c>
      <c r="BY146" s="63">
        <f>IFERROR(BV146*1000000/Storage!$G$12,"")</f>
        <v>639.86764056198865</v>
      </c>
      <c r="BZ146" s="63">
        <f>H2_retrieval!$F$25*h2_demand_kt/1000</f>
        <v>80</v>
      </c>
      <c r="CA146" s="63">
        <f>IFERROR(BY146*(1+H2_retrieval!$F$34)/Carrier_properties!$E$7+H2_retrieval!$F$38,"")</f>
        <v>4011.443807992709</v>
      </c>
      <c r="CB146" s="149">
        <f>(FA_invest*(M146+1/FA_lifetime)/FA_prod+FA_opex+FA_e_demand*1000*$AU146/100+Carriers!$P$18/Carriers!$P$23*BD146+Carriers!$P$20/Carriers!$P$23*co2_liq_cost)*(CF146+FA_st_ab_losses)/1000000</f>
        <v>89099.221272815106</v>
      </c>
      <c r="CC146" s="86">
        <f>(FA_invest*(M146+1/FA_lifetime)/FA_prod+FA_opex+FA_e_demand*1000*$AU146/100+Carriers!$P$18/Carriers!$P$23*BD146+Carriers!$P$20/Carriers!$P$23*BP146)*(CF146+FA_st_ab_losses)/1000000</f>
        <v>111850.84656232486</v>
      </c>
      <c r="CD146" s="63">
        <f>FA_st_nl_cost*FA_st_nl_demand/1000000+(FA_st_invest*(M146+1/FA_st_lifetime+FA_st_opex)/(Storage!$I$63/1000000)+FA_st_e_demand*1000*$AU146/100)*(CF146+FA_st_ab_losses)/1000000+co2_st_nl_cost*Storage!$I$12*co2_density/FA_density/1000000+(co2_st_opex_lev+co2_st_invest_lev+co2_st_e_demand*1000*$AU146/100)*Storage!$I$12/1000000+co2_st_invest_lev*Storage!$I$12*co2_st_lifetime*M146/1000000+Carriers!$P$18/Carriers!$P$23*((CF146+FA_st_ab_losses)/365.25*short_st_duration_hrs/24)*(h2_short_st_invest*(1/gh2_short_st_lifetime+$M146+h2_short_st_opex)+h2_short_st_e_demand*1000*$AU146/100)/1000000+Carriers!$P$20/Carriers!$P$23*((CF146+FA_st_ab_losses)/365.25*short_st_duration_hrs/24)*(co2_short_st_invest*(1/co2_short_st_lifetime+$M146+co2_short_st_opex)+co2_short_st_e_demand*1000*$AU146/100)/1000000</f>
        <v>10592.380489125218</v>
      </c>
      <c r="CE146" s="63">
        <f>FA_st_nl_cost*FA_st_nl_demand/1000000+(FA_st_invest*(M146+1/FA_st_lifetime+FA_st_opex)/(Storage!$I$63/1000000)+FA_st_e_demand*1000*$AU146/100)*(CF146+FA_st_ab_losses)/1000000+Carriers!$P$18/Carriers!$P$23*((CF146+FA_st_ab_losses)/365.25*short_st_duration_hrs/24)*(h2_short_st_invest*(1/gh2_short_st_lifetime+$M146+h2_short_st_opex)+h2_short_st_e_demand*1000*$AU146/100)/1000000+Carriers!$P$20/Carriers!$P$23*((CF146+FA_st_ab_losses)/365.25*short_st_duration_hrs/24)*(co2_short_st_invest*(1/co2_short_st_lifetime+$M146+co2_short_st_opex)+co2_short_st_e_demand*1000*$AU146/100)/1000000</f>
        <v>4381.4054834807248</v>
      </c>
      <c r="CF146" s="63">
        <f>Storage!$I$57/((1-Shipping!$J$37)^($F146/24/Shipping!$J$44+0.5*Shipping!$J$59))</f>
        <v>310425396.82539684</v>
      </c>
      <c r="CG146" s="28">
        <f>IF($E146="","No Port",((F146/24/Shipping!$J$44+F146/24/Shipping!$J$50+Shipping!$J$59+Shipping!$J$64)*(Shipping!$J$22+wacc_nl*Shipping!$J$19/365.25*1000000+Shipping!$J$35)+(F146/24/Shipping!$J$44*Shipping!$J$45+Shipping!$J$64*Shipping!$J$65)*IF(bunker_choice="HFO",$H146,IF(bunker_choice="hydrogen",$BD146*hfo_e_density_lhv/h2_e_density_lhv,(CB146+CD146)*1000000/CF146*hfo_e_density_lhv/FA_e_density_lhv))+(F146/24/Shipping!$J$50*Shipping!$J$51+Shipping!$J$59*Shipping!$J$60)*IF(bunker_choice="HFO",bunker_price_ROT,IF(bunker_choice="hydrogen",$BD146*hfo_e_density_lhv/h2_e_density_lhv,(CB146+CD146)*1000000/CF146*hfo_e_density_lhv/FA_e_density_lhv))+Shipping!$J$73+IF(G146="Panama",Shipping!$J$55,0)+IF(G146="Suez",Shipping!$J$56,0))/Shipping!$J$31*CF146/1000000+IF(inland_transport_to_port="hv dc grid",$BM146/100*1000*CI146,IF(inland_transport_to_port="pipeline",$BN146,0)))</f>
        <v>16137.886730508562</v>
      </c>
      <c r="CH146" s="28">
        <f t="shared" si="213"/>
        <v>132370.13877631415</v>
      </c>
      <c r="CI146" s="29">
        <f>((Carriers!$P$18/Carriers!$P$23*alk_el_e_demand)+FA_e_demand)*(CF146+FA_st_ab_losses)/1000000+FA_st_e_demand*CF146/1000000</f>
        <v>1897.8881241622576</v>
      </c>
      <c r="CJ146" s="29">
        <f t="shared" si="186"/>
        <v>0.46563809523809524</v>
      </c>
      <c r="CK146" s="28">
        <f>IFERROR(CH146*1000000/Storage!$I$12,"")</f>
        <v>426.41530019777218</v>
      </c>
      <c r="CL146" s="28">
        <f>IF($E146="","No Port",((F146/24/Shipping!$J$44+F146/24/Shipping!$J$50+Shipping!$J$59+Shipping!$J$64)*Carriers!$P$39*wacc_nl))</f>
        <v>254.12596358332027</v>
      </c>
      <c r="CM146" s="29">
        <f>H2_retrieval!$H$25*h2_demand_kt/1000+(co2_liq_e_demand+co2_st_e_demand*2)*Storage!$I$12*co2_density/FA_density/1000000</f>
        <v>94.204253879484654</v>
      </c>
      <c r="CN146" s="28">
        <f>IFERROR((((CB146+CD146+CG146)*(1+H2_retrieval!$H$34)+CL146)*1000000/H2_retrieval!$H$8)+h2_regen_fa,"")</f>
        <v>8625.2472542399119</v>
      </c>
      <c r="CO146" s="149">
        <f>(meoh_invest*(M146+1/meoh_lifetime)/meoh_prod+meoh_opex+meoh_e_demand*1000*$AU146/100+Carriers!$R$18/Carriers!$R$23*BD146+Carriers!$R$20/Carriers!$R$23*co2_liq_cost)*(CS146+meoh_st_ab_losses)/1000000</f>
        <v>47011.458568370923</v>
      </c>
      <c r="CP146" s="86">
        <f>(meoh_invest*(M146+1/meoh_lifetime)/meoh_prod+meoh_opex+meoh_e_demand*1000*$AU146/100+Carriers!$R$18/Carriers!$R$23*BD146+Carriers!$R$20/Carriers!$R$23*BP146)*(CS146+meoh_st_ab_losses)/1000000</f>
        <v>60367.364997767625</v>
      </c>
      <c r="CQ146" s="63">
        <f>meoh_st_nl_cost*meoh_st_nl_demand/1000000+(meoh_st_invest*(M146+1/meoh_st_lifetime+meoh_st_opex)/(Storage!$K$63/1000000)+meoh_st_e_demand*1000*$AU146/100)*(CS146+meoh_st_ab_losses)/1000000+co2_st_nl_cost*Storage!$K$12*co2_density/meoh_density/1000000+(co2_st_opex_lev+co2_st_invest_lev+co2_st_e_demand*1000*IFERROR(MIN(S146,AA146,AI146),S146)/100)*Storage!$K$12/1000000+co2_st_invest_lev*Storage!$K$12*co2_st_lifetime*M146/1000000+Carriers!$R$18/Carriers!$R$23*((CS146+meoh_st_ab_losses)/365.25*short_st_duration_hrs/24)*(h2_short_st_invest*(1/gh2_short_st_lifetime+$M146+h2_short_st_opex)+h2_short_st_e_demand*1000*$AU146/100)/1000000+Carriers!$R$20/Carriers!$R$23*((CF146+meoh_st_ab_losses)/365.25*short_st_duration_hrs/24)*(co2_short_st_invest*(1/co2_short_st_lifetime+$M146+co2_short_st_opex)+co2_short_st_e_demand*1000*$AU146/100)/1000000</f>
        <v>4340.8074481739422</v>
      </c>
      <c r="CR146" s="63">
        <f>meoh_st_nl_cost*meoh_st_nl_demand/1000000+(meoh_st_invest*(M146+1/meoh_st_lifetime+meoh_st_opex)/(Storage!$K$63/1000000)+meoh_st_e_demand*1000*$AU146/100)*(CS146+meoh_st_ab_losses)/1000000+Carriers!$R$18/Carriers!$R$23*((CS146+meoh_st_ab_losses)/365.25*short_st_duration_hrs/24)*(h2_short_st_invest*(1/gh2_short_st_lifetime+$M146+h2_short_st_opex)+h2_short_st_e_demand*1000*$AU146/100)/1000000+Carriers!$R$20/Carriers!$R$23*((CF146+meoh_st_ab_losses)/365.25*short_st_duration_hrs/24)*(co2_short_st_invest*(1/co2_short_st_lifetime+$M146+co2_short_st_opex)+co2_short_st_e_demand*1000*$AU146/100)/1000000</f>
        <v>1680.6981435829764</v>
      </c>
      <c r="CS146" s="63">
        <f>Storage!$K$57/((1-Shipping!$L$37)^($F146/24/Shipping!$L$44+0.5*Shipping!$L$59))</f>
        <v>108044444.44444443</v>
      </c>
      <c r="CT146" s="28">
        <f>IF($E146="","No Port",IF(AND(ship_choice="VLCC",G146="Panama"),"Ship cannot pass through Panama",IF(ship_choice="VLCC",((F146/24/Shipping!$AD$44+F146/24/Shipping!$AD$50+Shipping!$AD$59+Shipping!$AD$64)*(Shipping!$AD$22+wacc_nl*Shipping!$AD$19/365.25*1000000+Shipping!$AD$35)+(F146/24/Shipping!$AD$44*Shipping!$AD$45+Shipping!$AD$64*Shipping!$AD$65)*IF(bunker_choice="HFO",$H146,IF(bunker_choice="hydrogen",$BD146*hfo_e_density_lhv/h2_e_density_lhv,(CO146+CQ146)*1000000/CS146*hfo_e_density_lhv/meoh_e_density_lhv))+(F146/24/Shipping!$AD$50*Shipping!$AD$51+Shipping!$AD$59*Shipping!$AD$60)*IF(bunker_choice="HFO",bunker_price_ROT,IF(bunker_choice="hydrogen",$BD146*hfo_e_density_lhv/h2_e_density_lhv,(CO146+CQ146)*1000000/CS146*hfo_e_density_lhv/meoh_e_density_lhv))+Shipping!$AD$73+IF(G146="Panama",Shipping!$AD$55,0)+IF(G146="Suez",Shipping!$AD$56,0))/Shipping!$AD$31*CS146/1000000+IF(inland_transport_to_port="hv dc grid",$BM146/100*1000*CV146,IF(inland_transport_to_port="pipeline",$BN146,0)),((F146/24/Shipping!$L$44+F146/24/Shipping!$L$50+Shipping!$L$59+Shipping!$L$64)*(Shipping!$L$22+wacc_nl*Shipping!$L$19/365.25*1000000+Shipping!$L$35)+(F146/24/Shipping!$L$44*Shipping!$L$45+Shipping!$L$64*Shipping!$L$65)*IF(bunker_choice="HFO",$H146,IF(bunker_choice="hydrogen",$BD146*hfo_e_density_lhv/h2_e_density_lhv,(CO146+CQ146)*1000000/CS146*hfo_e_density_lhv/meoh_e_density_lhv))+(F146/24/Shipping!$L$50*Shipping!$L$51+Shipping!$L$59*Shipping!$L$60)*IF(bunker_choice="HFO",bunker_price_ROT,IF(bunker_choice="hydrogen",$BD146*hfo_e_density_lhv/h2_e_density_lhv,(CO146+CQ146)*1000000/CS146*hfo_e_density_lhv/meoh_e_density_lhv))+Shipping!$L$73+IF(G146="Panama",Shipping!$L$55,0)+IF(G146="Suez",Shipping!$L$56,0))/Shipping!$L$31*CS146/1000000+IF(inland_transport_to_port="hv dc grid",$BM146/100*1000*CV146,IF(inland_transport_to_port="pipeline",$BN146,0)))))</f>
        <v>7739.8431574456172</v>
      </c>
      <c r="CU146" s="28">
        <f t="shared" si="214"/>
        <v>69787.90629879621</v>
      </c>
      <c r="CV146" s="29">
        <f>((Carriers!$R$18/Carriers!$R$23*alk_el_e_demand)+meoh_e_demand)*(CS146+meoh_st_ab_losses)/1000000+meoh_st_e_demand*CS146/1000000</f>
        <v>1119.9789871111109</v>
      </c>
      <c r="CW146" s="29">
        <f t="shared" si="187"/>
        <v>0.16206666666666666</v>
      </c>
      <c r="CX146" s="28">
        <f>IFERROR(CU146*1000000/Storage!$K$12,"")</f>
        <v>645.91850749605703</v>
      </c>
      <c r="CY146" s="28">
        <f>IF($E146="","No Port",((F146/24/Shipping!$L$44+F146/24/Shipping!$L$50+Shipping!$L$59+Shipping!$L$64)*Carriers!$R$39*wacc_nl))</f>
        <v>90.962063341201983</v>
      </c>
      <c r="CZ146" s="29">
        <f>H2_retrieval!$J$25*h2_demand_kt/1000+(co2_liq_e_demand+co2_st_e_demand*2)*Storage!$K$12*co2_density/meoh_density/1000000</f>
        <v>251.05079059698966</v>
      </c>
      <c r="DA146" s="28">
        <f>IFERROR((((CO146+CQ146+CT146)*(1+H2_retrieval!$J$34)+CY146)*1000000/H2_retrieval!$J$8)+h2_regen_meoh,"")</f>
        <v>5521.8249577057986</v>
      </c>
      <c r="DB146" s="149">
        <f>(DBT_invest*(M146+1/DBT_lifetime)/DBT_prod+DBT_opex+DBT_e_demand*1000*$AU146/100+Carriers!$T$18/Carriers!$T$23*BD146)*(DD146+DBT_st_ab_losses)/1000000</f>
        <v>31434.207036837732</v>
      </c>
      <c r="DC146" s="28">
        <f>2*(DBT_st_nl_cost*DBT_st_nl_demand/1000000+(DBT_st_invest*(M146+1/DBT_st_lifetime+DBT_st_opex)/(Storage!$M$63/1000000)+DBT_st_e_demand*1000*$AU146/100)*(DD146+DBT_st_ab_losses)/1000000)+Carriers!$T$18/Carriers!$T$23*((DD146+DBT_st_ab_losses)/365.25*short_st_duration_hrs/24)*(h2_short_st_invest*(1/gh2_short_st_lifetime+$M146+h2_short_st_opex)+h2_short_st_e_demand*1000*$AU146/100)/1000000</f>
        <v>3567.6129967876659</v>
      </c>
      <c r="DD146" s="63">
        <f>Storage!$M$57/((1-Shipping!$N$37)^($F146/24/Shipping!$N$44+0.5*Shipping!$N$59))</f>
        <v>219354838.70967743</v>
      </c>
      <c r="DE146" s="28">
        <f>IF($E146="","No Port",IF(AND(ship_choice="VLCC",G146="Panama"),"Ship cannot pass through Panama",IF(ship_choice="VLCC",((F146/24/Shipping!$AD$44+F146/24/Shipping!$AD$50+Shipping!$AD$59+Shipping!$AD$64)*(Shipping!$AD$22+wacc_nl*Shipping!$AD$19/365.25*1000000+Shipping!$AD$35)+(F146/24/Shipping!$AD$44*Shipping!$AD$45+Shipping!$AD$64*Shipping!$AD$65)*IF(bunker_choice="HFO",$H146,IF(bunker_choice="hydrogen",$BD146*hfo_e_density_lhv/h2_e_density_lhv,(DB146+DC146)*1000000/DD146*hfo_e_density_lhv/DBT_e_density_lhv))+(F146/24/Shipping!$AD$50*Shipping!$AD$51+Shipping!$AD$59*Shipping!$AD$60)*IF(bunker_choice="HFO",bunker_price_ROT,IF(bunker_choice="hydrogen",$BD146*hfo_e_density_lhv/h2_e_density_lhv,(DB146+DC146)*1000000/DD146*hfo_e_density_lhv/DBT_e_density_lhv))+Shipping!$AD$73+IF(G146="Panama",Shipping!$AD$55,0)+IF(G146="Suez",Shipping!$AD$56,0))/Shipping!$AD$31*DD146/1000000+IF(inland_transport_to_port="hv dc grid",$BM146/100*1000*DG146,IF(inland_transport_to_port="pipeline",$BN146,0)),((F146/24/Shipping!$N$44+F146/24/Shipping!$N$50+Shipping!$N$59+Shipping!$N$64)*(Shipping!$N$22+wacc_nl*Shipping!$N$19/365.25*1000000+Shipping!$N$35)+(F146/24/Shipping!$N$44*Shipping!$N$45+Shipping!$N$64*Shipping!$N$65)*IF(bunker_choice="HFO",$H146,IF(bunker_choice="hydrogen",$BD146*hfo_e_density_lhv/h2_e_density_lhv,(DB146+DC146)*1000000/DD146*hfo_e_density_lhv/DBT_e_density_lhv))+(F146/24/Shipping!$N$50*Shipping!$N$51+Shipping!$N$59*Shipping!$N$60)*IF(bunker_choice="HFO",bunker_price_ROT,IF(bunker_choice="hydrogen",$BD146*hfo_e_density_lhv/h2_e_density_lhv,(DB146+DC146)*1000000/DD146*hfo_e_density_lhv/DBT_e_density_lhv))+Shipping!$N$73+IF(G146="Panama",Shipping!$N$55,0)+IF(G146="Suez",Shipping!$N$56,0))/Shipping!$N$31*Shipping!$N$86/1000000+IF(inland_transport_to_port="hv dc grid",$BM146/100*1000*DG146,IF(inland_transport_to_port="pipeline",$BN146,0)))))</f>
        <v>11283.338862597686</v>
      </c>
      <c r="DF146" s="28">
        <f t="shared" si="159"/>
        <v>46285.158896223082</v>
      </c>
      <c r="DG146" s="29">
        <f>((Carriers!$T$18/Carriers!$T$23*alk_el_e_demand)+DBT_e_demand)*(DD146+DBT_st_ab_losses)/1000000+DBT_st_e_demand*DD146/1000000</f>
        <v>703.88335483870969</v>
      </c>
      <c r="DH146" s="29">
        <f t="shared" si="188"/>
        <v>0.21935483870967742</v>
      </c>
      <c r="DI146" s="28">
        <f>IFERROR(DF146*1000000/Storage!$M$12,"")</f>
        <v>211.00587143866406</v>
      </c>
      <c r="DJ146" s="28">
        <f>IF($E146="","No Port",((F146/24/Shipping!$N$44+F146/24/Shipping!$N$50+Shipping!$N$59+Shipping!$N$64)*Carriers!$T$39*wacc_nl))</f>
        <v>6625.0659399859242</v>
      </c>
      <c r="DK146" s="100">
        <f>H2_retrieval!$L$25*h2_demand_kt/1000+(co2_liq_e_demand+co2_st_e_demand*2)*Storage!$M$12*co2_density/DBT_density/1000000</f>
        <v>206.61934861671787</v>
      </c>
      <c r="DL146" s="28">
        <f>IFERROR(((DF146*(1+H2_retrieval!$L$34)+DJ146)*1000000/H2_retrieval!$L$8)+h2_regen_lohc,"")</f>
        <v>4361.1074891835742</v>
      </c>
      <c r="DM146" s="149">
        <f t="shared" si="211"/>
        <v>51819.807128049957</v>
      </c>
      <c r="DN146" s="16">
        <f>2*(nabh4_st_nl_cost*nabh4_st_nl_demand/1000000+(nabh4_st_invest*(M146+1/nabh4_st_lifetime+nabh4_st_opex)/(Storage!$O$63/1000000)+nabh4_st_e_demand*1000*$AU146/100)*(DO146+nabh4_st_ab_losses)/1000000)+(h2_demand_kt*1000/365.25*short_st_duration_hrs/24)*(h2_short_st_invest*(1/gh2_short_st_lifetime+$M146+h2_short_st_opex)+h2_short_st_e_demand*1000*$AU146/100)/1000000</f>
        <v>1264.9524753515689</v>
      </c>
      <c r="DO146" s="63">
        <f>Storage!$O$57/((1-Shipping!$P$37)^($F146/24/Shipping!$P$44+0.5*Shipping!$P$59))</f>
        <v>63920000</v>
      </c>
      <c r="DP146" s="16">
        <f>IF($E146="","No Port",((F146/24/Shipping!$P$44+F146/24/Shipping!$P$50+Shipping!$P$59+Shipping!$P$64)*(Shipping!$P$22+wacc_nl*Shipping!$P$19/365.25*1000000+Shipping!$P$35)+(F146/24/Shipping!$P$44*Shipping!$P$45+Shipping!$P$64*Shipping!$P$65)*IF(bunker_choice="HFO",$H146,IF(bunker_choice="hydrogen",$BD146*hfo_e_density_lhv/h2_e_density_lhv,(DM146+DN146)*1000000/DO146*hfo_e_density_lhv/nabh4_e_density_lhv))+(F146/24/Shipping!$P$50*Shipping!$P$51+Shipping!$P$59*Shipping!$P$60)*IF(bunker_choice="HFO",bunker_price_ROT,IF(bunker_choice="hydrogen",$BD146*hfo_e_density_lhv/h2_e_density_lhv,(DM146+DN146)*1000000/DO146*hfo_e_density_lhv/nabh4_e_density_lhv))+Shipping!$P$73+IF(G146="Panama",Shipping!$P$55,0)+IF(G146="Suez",Shipping!$P$56,0))/Shipping!$P$31*(DO146+nabh4_st_ab_losses)/1000000+IF(inland_transport_to_port="hv dc grid",$BM146/100*1000*DR146,IF(inland_transport_to_port="pipeline",$BN146,0)))</f>
        <v>5539.7648503008941</v>
      </c>
      <c r="DQ146" s="28">
        <f t="shared" si="146"/>
        <v>58624.524453702426</v>
      </c>
      <c r="DR146" s="29">
        <f>((Carriers!$V$18/Carriers!$V$23*alk_el_e_demand)+nabh4_e_demand)*(DO146+nabh4_st_ab_losses)/1000000+nabh4_st_e_demand*DO146/1000000</f>
        <v>980.02139682539689</v>
      </c>
      <c r="DS146" s="28">
        <f t="shared" si="189"/>
        <v>3.1960000000000002</v>
      </c>
      <c r="DT146" s="28">
        <f>IFERROR(DQ146*1000000/Storage!$O$12,"")</f>
        <v>917.15463788645843</v>
      </c>
      <c r="DU146" s="28">
        <f>IF($E146="","No Port",((F146/24/Shipping!$P$44+F146/24/Shipping!$P$50+Shipping!$P$59+Shipping!$P$64)*Carriers!$V$39*wacc_nl))</f>
        <v>615.48496081644998</v>
      </c>
      <c r="DV146" s="100">
        <f>H2_retrieval!$N$25*h2_demand_kt/1000+(co2_liq_e_demand+co2_st_e_demand*2)*Storage!$O$12*co2_density/nabh4_density/1000000</f>
        <v>18.783638728971958</v>
      </c>
      <c r="DW146" s="28">
        <f>IFERROR(((DQ146*(1+H2_retrieval!$N$34)+DU146)*1000000/H2_retrieval!$N$8)+h2_regen_nabh4,"")</f>
        <v>4448.9697915971774</v>
      </c>
      <c r="DX146" s="149">
        <f>(Dme_invest*(M146+1/Dme_lifetime)/Dme_prod+Dme_opex+Dme_e_demand*1000*$AU146/100+Carriers!$X$21/Carriers!$X$23*(CO146*1000000/CS146))*(EB146+Dme_st_ab_losses)/1000000</f>
        <v>66600.374079969231</v>
      </c>
      <c r="DY146" s="86">
        <f>(Dme_invest*(M146+1/Dme_lifetime)/Dme_prod+Dme_opex+Dme_e_demand*1000*$AU146/100+Carriers!$X$21/Carriers!$X$23*(CP146*1000000/CS146))*(EB146+Dme_st_ab_losses)/1000000</f>
        <v>84719.851679874439</v>
      </c>
      <c r="DZ146" s="63">
        <f>Dme_st_nl_cost*Dme_st_nl_demand/1000000+(Dme_st_invest*(M146+1/Dme_st_lifetime+Dme_st_opex)/(Storage!$Q$63/1000000)+Dme_st_e_demand*1000*$AU146/100)*(EB146+Dme_st_ab_losses)/1000000+co2_st_nl_cost*Storage!$Q$12*co2_density/Dme_density/1000000+(co2_st_opex_lev+co2_st_invest_lev+co2_st_e_demand*1000*$AU146/100)*Storage!$Q$12/1000000+co2_st_invest_lev*Storage!$Q$12*co2_st_lifetime*M146/1000000+(h2_demand_kt*1000/365.25*short_st_duration_hrs/24)*(h2_short_st_invest*(1/gh2_short_st_lifetime+$M146+h2_short_st_opex)+h2_short_st_e_demand*1000*$AU146/100)/1000000</f>
        <v>5366.3669927554838</v>
      </c>
      <c r="EA146" s="63">
        <f>Dme_st_nl_cost*Dme_st_nl_demand/1000000+(Dme_st_invest*(M146+1/Dme_st_lifetime+Dme_st_opex)/(Storage!$Q$63/1000000)+Dme_st_e_demand*1000*$AU146/100)*(EB146+Dme_st_ab_losses)/1000000+(h2_demand_kt*1000/365.25*short_st_duration_hrs/24)*(h2_short_st_invest*(1/gh2_short_st_lifetime+$M146+h2_short_st_opex)+h2_short_st_e_demand*1000*$AU146/100)/1000000</f>
        <v>2593.6374258525743</v>
      </c>
      <c r="EB146" s="63">
        <f>Storage!$Q$57/((1-Shipping!$R$37)^($F146/24/Shipping!$R$44+0.5*Shipping!$R$59))</f>
        <v>103547089.94708996</v>
      </c>
      <c r="EC146" s="153">
        <f>IF($E146="","No Port",IF(AND(ship_choice="VLCC",G146="Panama"),"Ship cannot pass through Panama",IF(ship_choice="VLCC",((F146/24/Shipping!$AD$44+F146/24/Shipping!$AD$50+Shipping!$AD$59+Shipping!$AD$64)*(Shipping!$AD$22+wacc_nl*Shipping!$AD$19/365.25*1000000+Shipping!$AD$35)+(F146/24/Shipping!$AD$44*Shipping!$AD$45+Shipping!$AD$64*Shipping!$AD$65)*IF(bunker_choice="HFO",$H146,IF(bunker_choice="hydrogen",$BD146*hfo_e_density_lhv/h2_e_density_lhv,(DX146+DZ146)*1000000/EB146*hfo_e_density_lhv/Dme_e_density_lhv))+(F146/24/Shipping!$AD$50*Shipping!$AD$51+Shipping!$AD$59*Shipping!$AD$60)*IF(bunker_choice="HFO",bunker_price_ROT,IF(bunker_choice="hydrogen",$BD146*hfo_e_density_lhv/h2_e_density_lhv,(DX146+DZ146)*1000000/EB146*hfo_e_density_lhv/Dme_e_density_lhv))+Shipping!$AD$73+IF(G146="Panama",Shipping!$AD$55,0)+IF(G146="Suez",Shipping!$AD$56,0))/Shipping!$AD$31*(EB146+Dme_st_ab_losses)/1000000+IF(inland_transport_to_port="hv dc grid",$BM146/100*1000*EE146,IF(inland_transport_to_port="pipeline",$BN146,0)),((F146/24/Shipping!$R$44+F146/24/Shipping!$R$50+Shipping!$R$59+Shipping!$R$64)*(Shipping!$R$22+wacc_nl*Shipping!$R$19/365.25*1000000+Shipping!$R$35)+(F146/24/Shipping!$R$44*Shipping!$R$45+Shipping!$R$64*Shipping!$R$65)*IF(bunker_choice="HFO",$H146,IF(bunker_choice="hydrogen",$BD146*hfo_e_density_lhv/h2_e_density_lhv,(DX146+DZ146)*1000000/EB146*hfo_e_density_lhv/Dme_e_density_lhv))+(F146/24/Shipping!$R$50*Shipping!$R$51+Shipping!$R$59*Shipping!$R$60)*IF(bunker_choice="HFO",bunker_price_ROT,IF(bunker_choice="hydrogen",$BD146*hfo_e_density_lhv/h2_e_density_lhv,(DX146+DZ146)*1000000/EB146*hfo_e_density_lhv/Dme_e_density_lhv))+Shipping!$R$73+IF(G146="Panama",Shipping!$R$55,0)+IF(G146="Suez",Shipping!$R$56,0))/Shipping!$R$31*(EB146+Dme_st_ab_losses)/1000000+IF(inland_transport_to_port="hv dc grid",$BM146/100*1000*EE146,IF(inland_transport_to_port="pipeline",$BN146,0)))))</f>
        <v>7908.4322869774633</v>
      </c>
      <c r="ED146" s="28">
        <f t="shared" si="215"/>
        <v>95221.921392704477</v>
      </c>
      <c r="EE146" s="29">
        <f>(Dme_e_demand)*(EB146+Dme_st_ab_losses)/1000000+Dme_st_e_demand*DZ146/1000000+$CV146*(Carriers!$X$21/Carriers!$X$23*EB146)/$CS146</f>
        <v>1550.2168138307256</v>
      </c>
      <c r="EF146" s="29">
        <f t="shared" si="190"/>
        <v>1.0354708994708997</v>
      </c>
      <c r="EG146" s="28">
        <f>IFERROR(ED146*1000000/Storage!$Q$12,"")</f>
        <v>919.60016878659337</v>
      </c>
      <c r="EH146" s="28">
        <f>IF($E146="","No Port",((F146/24/Shipping!$R$44+F146/24/Shipping!$R$50+Shipping!$R$59+Shipping!$R$64)*Carriers!$X$39*wacc_nl))</f>
        <v>94.366796035142528</v>
      </c>
      <c r="EI146" s="100">
        <f>H2_retrieval!$P$25*h2_demand_kt/1000+(co2_liq_e_demand+co2_st_e_demand*2)*Storage!$Q$12*co2_density/Dme_density/1000000</f>
        <v>252.45335899349112</v>
      </c>
      <c r="EJ146" s="28">
        <f>IFERROR((((DX146+DZ146+EC146)*(1+H2_retrieval!$P$34)+EH146)*1000000/H2_retrieval!$P$8)+h2_regen_dme,"")</f>
        <v>7050.2417899415068</v>
      </c>
      <c r="EK146" s="149">
        <f>(ome_invest*(M146+1/ome_lifetime)/ome_prod+ome_opex+ome_e_demand*1000*$AU146/100+Carriers!$Z$21/Carriers!$Z$23*(CO146*1000000/CS146))*(EO146+ome_st_ab_losses)/1000000</f>
        <v>146161.20369232382</v>
      </c>
      <c r="EL146" s="86">
        <f>(ome_invest*(M146+1/ome_lifetime)/ome_prod+ome_opex+ome_e_demand*1000*$AU146/100+Carriers!$Z$21/Carriers!$Z$23*(CP146*1000000/CS146))*(EO146+ome_st_ab_losses)/1000000</f>
        <v>184197.51436699749</v>
      </c>
      <c r="EM146" s="63">
        <f>ome_st_nl_cost*ome_st_nl_demand/1000000+(ome_st_invest*(M146+1/ome_st_lifetime+ome_st_opex)/(Storage!$S$63/1000000)+ome_st_e_demand*1000*$AU146/100)*(EO146+ome_st_ab_losses)/1000000+co2_st_nl_cost*Storage!$S$12*co2_density/ome_density/1000000+(co2_st_opex_lev+co2_st_invest_lev+co2_st_e_demand*1000*$AU146/100)*Storage!$S$12/1000000+co2_st_invest_lev*Storage!$S$12*co2_st_lifetime*M146/1000000+(h2_demand_kt*1000/365.25*short_st_duration_hrs/24)*(h2_short_st_invest*(1/gh2_short_st_lifetime+$M146+h2_short_st_opex)+h2_short_st_e_demand*1000*$AU146/100)/1000000</f>
        <v>4629.2333829365325</v>
      </c>
      <c r="EN146" s="63">
        <f>ome_st_nl_cost*ome_st_nl_demand/1000000+(ome_st_invest*(M146+1/ome_st_lifetime+ome_st_opex)/(Storage!$S$63/1000000)+ome_st_e_demand*1000*$AU146/100)*(EO146+ome_st_ab_losses)/1000000+(h2_demand_kt*1000/365.25*short_st_duration_hrs/24)*(h2_short_st_invest*(1/gh2_short_st_lifetime+$M146+h2_short_st_opex)+h2_short_st_e_demand*1000*$AU146/100)/1000000</f>
        <v>1533.1187781003478</v>
      </c>
      <c r="EO146" s="63">
        <f>Storage!$S$57/((1-Shipping!$T$37)^($F146/24/Shipping!$T$44+0.5*Shipping!$T$59))</f>
        <v>128282539.68253967</v>
      </c>
      <c r="EP146" s="28">
        <f>IF($E146="","No Port",IF(AND(ship_choice="VLCC",G146="Panama"),"Ship cannot pass through Panama",IF(ship_choice="VLCC",((F146/24/Shipping!$AD$44+F146/24/Shipping!$AD$50+Shipping!$AD$59+Shipping!$AD$64)*(Shipping!$AD$22+wacc_nl*Shipping!$AD$19/365.25*1000000+Shipping!$AD$35)+(F146/24/Shipping!$AD$44*Shipping!$AD$45+Shipping!$AD$64*Shipping!$AD$65)*IF(bunker_choice="HFO",$H146,IF(bunker_choice="hydrogen",$BD146*hfo_e_density_lhv/h2_e_density_lhv,(EK146+EM146)*1000000/EO146*hfo_e_density_lhv/Dme_e_density_lhv))+(F146/24/Shipping!$AD$50*Shipping!$AD$51+Shipping!$AD$59*Shipping!$AD$60)*IF(bunker_choice="HFO",bunker_price_ROT,IF(bunker_choice="hydrogen",$BD146*hfo_e_density_lhv/h2_e_density_lhv,(EK146+EM146)*1000000/EO146*hfo_e_density_lhv/ome_e_density_lhv))+Shipping!$AD$73+IF(G146="Panama",Shipping!$AD$55,0)+IF(G146="Suez",Shipping!$AD$56,0))/Shipping!$AD$31*(EO146+ome_st_ab_losses)/1000000+IF(inland_transport_to_port="hv dc grid",$BM146/100*1000*ER146,IF(inland_transport_to_port="pipeline",$BN146,0)),((F146/24/Shipping!$T$44+F146/24/Shipping!$T$50+Shipping!$T$59+Shipping!$T$64)*(Shipping!$T$22+wacc_nl*Shipping!$T$19/365.25*1000000+Shipping!$T$35)+(F146/24/Shipping!$T$44*Shipping!$T$45+Shipping!$T$64*Shipping!$T$65)*IF(bunker_choice="HFO",$H146,IF(bunker_choice="hydrogen",$BD146*hfo_e_density_lhv/h2_e_density_lhv,(EK146+EM146)*1000000/EO146*hfo_e_density_lhv/Dme_e_density_lhv))+(F146/24/Shipping!$T$50*Shipping!$T$51+Shipping!$T$59*Shipping!$T$60)*IF(bunker_choice="HFO",bunker_price_ROT,IF(bunker_choice="hydrogen",$BD146*hfo_e_density_lhv/h2_e_density_lhv,(EK146+EM146)*1000000/EO146*hfo_e_density_lhv/ome_e_density_lhv))+Shipping!$T$73+IF(G146="Panama",Shipping!$T$55,0)+IF(G146="Suez",Shipping!$T$56,0))/Shipping!$T$31*(EO146+ome_st_ab_losses)/1000000+IF(inland_transport_to_port="hv dc grid",$BM146/100*1000*ER146,IF(inland_transport_to_port="pipeline",$BN146,0)))))</f>
        <v>8222.0701699114325</v>
      </c>
      <c r="EQ146" s="28">
        <f t="shared" si="216"/>
        <v>193952.70331500928</v>
      </c>
      <c r="ER146" s="29">
        <f>(ome_e_demand)*(EO146+ome_st_ab_losses)/1000000+ome_st_e_demand*EM146/1000000+$CV146*(Carriers!$Z$21/Carriers!$Z$23*EO146)/$CS146</f>
        <v>3352.0814570846337</v>
      </c>
      <c r="ES146" s="29">
        <f t="shared" si="191"/>
        <v>0.1924238095238095</v>
      </c>
      <c r="ET146" s="28">
        <f>IFERROR(EQ146*1000000/Storage!$S$12,"")</f>
        <v>1511.9181752636275</v>
      </c>
      <c r="EU146" s="28">
        <f>IF($E146="","No Port",((F146/24/Shipping!$T$44+F146/24/Shipping!$T$50+Shipping!$T$59+Shipping!$T$64)*Carriers!$Z$39*wacc_nl))</f>
        <v>108.00041186914942</v>
      </c>
      <c r="EV146" s="100">
        <f>H2_retrieval!$R$25*h2_demand_kt/1000+(co2_liq_e_demand+co2_st_e_demand*2)*Storage!$S$12*co2_density/ome_density/1000000</f>
        <v>254.51942895252085</v>
      </c>
      <c r="EW146" s="28">
        <f>IFERROR((((EK146+EM146+EP146)*(1+H2_retrieval!$R$34)+EU146)*1000000/H2_retrieval!$R$8)+h2_regen_ome,"")</f>
        <v>12870.165870919713</v>
      </c>
      <c r="EX146" s="149">
        <f>(sng_invest*(M146+1/sng_lifetime)/sng_prod+lng_invest*(M146+1/lng_lifetime)/lng_prod+sng_opex+lng_opex+(sng_e_demand+lng_e_demand)*1000*$AU146/100+Carriers!$AB$18/Carriers!$AB$23*BD146+Carriers!$AB$20/Carriers!$AB$23*co2_liq_cost)*(FB146+lng_st_ab_losses)/1000000</f>
        <v>51463.390535469131</v>
      </c>
      <c r="EY146" s="86">
        <f>(sng_invest*(M146+1/sng_lifetime)/sng_prod+lng_invest*(M146+1/lng_lifetime)/lng_prod+sng_opex+lng_opex+(sng_e_demand+lng_e_demand)*1000*$AU146/100+Carriers!$AB$18/Carriers!$AB$23*BD146+Carriers!$AB$20/Carriers!$AB$23*BP146)*(FB146+lng_st_ab_losses)/1000000</f>
        <v>61500.964800073511</v>
      </c>
      <c r="EZ146" s="63">
        <f>lng_st_nl_cost*lng_st_nl_demand/1000000+(lng_st_invest*(M146+1/lng_st_lifetime+lng_st_opex)/(Storage!$U$63/1000000)+lng_st_e_demand*1000*$AU146/100)*(FB146+lng_st_ab_losses)/1000000+co2_st_nl_cost*Storage!$U$12*co2_density/lng_density/1000000+(co2_st_opex_lev+co2_st_invest_lev+co2_st_e_demand*1000*$AU146/100)*Storage!$U$12/1000000+co2_st_invest_lev*Storage!$U$12*co2_st_lifetime*M146/1000000+Carriers!$AB$18/Carriers!$AB$23*((FB146+lng_st_ab_losses)/365.25*short_st_duration_hrs/24)*(h2_short_st_invest*(1/gh2_short_st_lifetime+$M146+h2_short_st_opex)+h2_short_st_e_demand*1000*$AU146/100)/1000000+Carriers!$AB$20/Carriers!$AB$23*((FB146+lng_st_ab_losses)/365.25*short_st_duration_hrs/24)*(co2_short_st_invest*(1/co2_short_st_lifetime+$M146+co2_short_st_opex)+co2_short_st_e_demand*1000*$AU146/100)/1000000</f>
        <v>5584.6655872277161</v>
      </c>
      <c r="FA146" s="63">
        <f>lng_st_nl_cost*lng_st_nl_demand/1000000+(lng_st_invest*(M146+1/lng_st_lifetime+lng_st_opex)/(Storage!$U$63/1000000)+lng_st_e_demand*1000*$AU146/100)*(FB146+lng_st_ab_losses)/1000000+Carriers!$AB$18/Carriers!$AB$23*((FB146+lng_st_ab_losses)/365.25*short_st_duration_hrs/24)*(h2_short_st_invest*(1/gh2_short_st_lifetime+$M146+h2_short_st_opex)+h2_short_st_e_demand*1000*$AU146/100)/1000000+Carriers!$AB$20/Carriers!$AB$23*((FB146+lng_st_ab_losses)/365.25*short_st_duration_hrs/24)*(co2_short_st_invest*(1/co2_short_st_lifetime+$M146+co2_short_st_opex)+co2_short_st_e_demand*1000*$AU146/100)/1000000</f>
        <v>4060.2368137559179</v>
      </c>
      <c r="FB146" s="63">
        <f>Storage!$U$57/((1-Shipping!$V$37)^($F146/24/Shipping!$V$44+0.5*Shipping!$V$59))</f>
        <v>41374228.989189163</v>
      </c>
      <c r="FC146" s="28">
        <f>IF($E146="","No Port",IF(G146="Panama","Ship cannot pass through Panama",((F146/24/Shipping!$V$44+F146/24/Shipping!$V$50+Shipping!$V$59+Shipping!$V$64)*(Shipping!$V$22+wacc_nl*Shipping!$V$19/365.25*1000000+Shipping!$V$35)+(F146/24/Shipping!$V$44*Shipping!$V$45+Shipping!$V$64*Shipping!$V$65)*IF(bunker_choice="HFO",$H146,IF(bunker_choice="hydrogen",$BD146*hfo_e_density_lhv/h2_e_density_lhv,(EX146+EZ146)*1000000/FB146*hfo_e_density_lhv/lng_e_density_lhv))+(F146/24/Shipping!$V$50*Shipping!$V$51+Shipping!$V$59*Shipping!$V$60)*IF(bunker_choice="HFO",bunker_price_ROT,IF(bunker_choice="hydrogen",$BD146*hfo_e_density_lhv/h2_e_density_lhv,(EX146+EZ146)*1000000/FB146*hfo_e_density_lhv/lng_e_density_lhv))+Shipping!$V$73+IF(G146="Panama",Shipping!$V$55,0)+IF(G146="Suez",Shipping!$V$56,0))/Shipping!$V$31*(FB146+lng_st_ab_losses)/1000000)+IF(inland_transport_to_port="hv dc grid",$BM146/100*1000*FE146,IF(inland_transport_to_port="pipeline",$BN146,0)))</f>
        <v>5200.7241719049689</v>
      </c>
      <c r="FD146" s="28">
        <f t="shared" si="217"/>
        <v>70761.925785734391</v>
      </c>
      <c r="FE146" s="29">
        <f>((Carriers!$AB$18/Carriers!$AB$23*alk_el_e_demand)+sng_e_demand+lng_e_demand)*(FB146+lng_st_ab_losses)/1000000+lng_st_e_demand*EZ146/1000000</f>
        <v>1109.6199344645652</v>
      </c>
      <c r="FF146" s="29">
        <f t="shared" si="192"/>
        <v>0.8126185861001558</v>
      </c>
      <c r="FG146" s="28">
        <f>IFERROR(FD146*1000000/Storage!$U$12,"")</f>
        <v>1743.5862501960523</v>
      </c>
      <c r="FH146" s="28">
        <f>IF($E146="","No Port",((F146/24/Shipping!$V$44+F146/24/Shipping!$V$50+Shipping!$V$59+Shipping!$V$64)*Carriers!$AB$39*wacc_nl))</f>
        <v>31.834122648652258</v>
      </c>
      <c r="FI146" s="100">
        <f>H2_retrieval!$T$25*h2_demand_kt/1000+(co2_liq_e_demand+co2_st_e_demand*2)*Storage!$U$12*co2_density/lng_density/1000000</f>
        <v>236.51371749646054</v>
      </c>
      <c r="FJ146" s="28">
        <f>IFERROR((((EX146+EZ146+FC146)*(1+H2_retrieval!$T$34)+FH146)*1000000/H2_retrieval!$T$8)+h2_regen_lng,"")</f>
        <v>5749.5854856410033</v>
      </c>
      <c r="FK146" s="149">
        <f>(lh2_invest*(M146+1/lh2_lifetime)/lh2_prod+lh2_opex+lh2_e_demand*1000*$AU146/100+Carriers!$AD$18/Carriers!$AD$23*BD146)*(FM146+lh2_st_ab_losses)/1000000</f>
        <v>41043.312837696198</v>
      </c>
      <c r="FL146" s="28">
        <f>lh2_st_nl_cost*lh2_st_nl_demand/1000000+(lh2_st_invest*(M146+1/lh2_st_lifetime+lh2_st_opex)/(Storage!$Y$63/1000000)+lh2_st_e_demand*1000*$AU146/100)*(FM146+lh2_st_ab_losses)/1000000+((FM146+lh2_st_ab_losses)/365.25*short_st_duration_hrs/24)*(h2_short_st_invest*(1/gh2_short_st_lifetime+$M146+h2_short_st_opex)+h2_short_st_e_demand*1000*$AU146/100)/1000000</f>
        <v>47885.140568048962</v>
      </c>
      <c r="FM146" s="63">
        <f>Storage!$Y$57/((1-Shipping!$Z$37)^($F146/24/Shipping!$Z$44+0.5*Shipping!$Z$59))</f>
        <v>14019992.772895966</v>
      </c>
      <c r="FN146" s="28">
        <f>IF($E146="","No Port",IF(G146="Panama","Ship cannot pass through Panama",((F146/24/Shipping!$Z$44+F146/24/Shipping!$Z$50+Shipping!$Z$59+Shipping!$Z$64)*(Shipping!$Z$22+wacc_nl*Shipping!$Z$19/365.25*1000000+Shipping!$Z$35)+(F146/24/Shipping!$Z$44*Shipping!$Z$45+Shipping!$Z$64*Shipping!$Z$65)*IF(bunker_choice="HFO",$H146,IF(bunker_choice="hydrogen",$BD146*hfo_e_density_lhv/h2_e_density_lhv,(FK146+FL146)*1000000/FM146*hfo_e_density_lhv/lh2_e_density_lhv))+(F146/24/Shipping!$Z$50*Shipping!$Z$51+Shipping!$Z$59*Shipping!$Z$60)*IF(bunker_choice="HFO",bunker_price_ROT,IF(bunker_choice="hydrogen",$BD146*hfo_e_density_lhv/h2_e_density_lhv,(FK146+FL146)*1000000/FM146*hfo_e_density_lhv/lh2_e_density_lhv))+Shipping!$Z$73+IF(G146="Panama",Shipping!$Z$55,0)+IF(G146="Suez",Shipping!$Z$56,0))/Shipping!$Z$31*(FM146+lh2_st_ab_losses)/1000000)+IF(inland_transport_to_port="hv dc grid",$BM146/100*1000*FP146,IF(inland_transport_to_port="pipeline",$BN146,0)))</f>
        <v>6586.4387142708338</v>
      </c>
      <c r="FO146" s="28">
        <f t="shared" si="200"/>
        <v>95514.892120015982</v>
      </c>
      <c r="FP146" s="29">
        <f>((Carriers!$AD$18/Carriers!$AD$23*alk_el_e_demand)+lh2_e_demand)*(FM146+lh2_st_ab_losses)/1000000+lh2_st_e_demand*FM146/1000000</f>
        <v>812.4360349174932</v>
      </c>
      <c r="FQ146" s="100">
        <f t="shared" si="193"/>
        <v>1.361902463475859</v>
      </c>
      <c r="FR146" s="28">
        <f>IFERROR(FO146*1000000/Storage!$Y$12,"")</f>
        <v>7023.1538323541163</v>
      </c>
      <c r="FS146" s="100">
        <f>H2_retrieval!$V$25*h2_demand_kt/1000</f>
        <v>8.16</v>
      </c>
      <c r="FT146" s="28">
        <f>IFERROR(FR146*(1+H2_retrieval!$V$34)/Carrier_properties!$U$7+H2_retrieval!$V$38,"")</f>
        <v>7055.1225582225834</v>
      </c>
      <c r="FU146" s="12"/>
      <c r="FV146" s="24">
        <f t="shared" si="201"/>
        <v>2.1163376190799337</v>
      </c>
      <c r="FW146" s="24">
        <f t="shared" si="143"/>
        <v>3.5843202001959313</v>
      </c>
      <c r="FX146" s="24">
        <f t="shared" si="144"/>
        <v>5.8960267559252575</v>
      </c>
      <c r="FY146" s="24">
        <f t="shared" si="202"/>
        <v>2.1163376190799337</v>
      </c>
      <c r="FZ146" s="28">
        <f t="shared" si="145"/>
        <v>2102.6391344186136</v>
      </c>
      <c r="GA146" s="28">
        <f t="shared" si="218"/>
        <v>495.95483791708091</v>
      </c>
      <c r="GB146" s="28">
        <f t="shared" si="219"/>
        <v>360.31474133940452</v>
      </c>
      <c r="GC146" s="28">
        <f t="shared" si="220"/>
        <v>558.72715444252231</v>
      </c>
      <c r="GD146" s="28">
        <f t="shared" si="221"/>
        <v>818.17704122022371</v>
      </c>
      <c r="GE146" s="28">
        <f t="shared" si="222"/>
        <v>1435.8736178971076</v>
      </c>
      <c r="GF146" s="28">
        <f t="shared" si="223"/>
        <v>1486.4558519300344</v>
      </c>
      <c r="GG146" s="12"/>
      <c r="GH146" s="12"/>
      <c r="GI146" s="12"/>
      <c r="GJ146" s="12"/>
      <c r="GK146" s="12"/>
      <c r="GL146" s="12"/>
      <c r="GM146" s="12"/>
      <c r="GN146" s="12"/>
      <c r="GO146" s="12"/>
      <c r="GP146" s="12"/>
      <c r="GQ146" s="12"/>
      <c r="GR146" s="12"/>
      <c r="GS146" s="12"/>
      <c r="GT146" s="12"/>
      <c r="GU146" s="12"/>
      <c r="GV146" s="12"/>
      <c r="GW146" s="12"/>
      <c r="GX146" s="12"/>
      <c r="GY146" s="12"/>
      <c r="GZ146" s="12"/>
      <c r="HA146" s="12"/>
      <c r="HB146" s="12"/>
      <c r="HC146" s="12"/>
      <c r="HD146" s="12"/>
      <c r="HE146" s="12"/>
      <c r="HF146" s="12"/>
    </row>
    <row r="147" spans="1:214" x14ac:dyDescent="0.2">
      <c r="A147" s="154" t="s">
        <v>28</v>
      </c>
      <c r="B147" s="12">
        <v>11121</v>
      </c>
      <c r="C147" s="12">
        <v>0.2</v>
      </c>
      <c r="D147" s="12">
        <f t="shared" si="194"/>
        <v>0.8</v>
      </c>
      <c r="E147" s="12" t="s">
        <v>794</v>
      </c>
      <c r="F147" s="12">
        <v>6244</v>
      </c>
      <c r="G147" s="12"/>
      <c r="H147" s="16">
        <f t="shared" si="203"/>
        <v>382.75862068965517</v>
      </c>
      <c r="I147" s="16">
        <v>175020</v>
      </c>
      <c r="J147" s="16">
        <f t="shared" si="195"/>
        <v>236.03092229597172</v>
      </c>
      <c r="K147" s="16">
        <f t="shared" si="196"/>
        <v>283.23710675516605</v>
      </c>
      <c r="L147" s="103">
        <v>0.11899999999999999</v>
      </c>
      <c r="M147" s="103">
        <f t="shared" si="204"/>
        <v>0.12558006683361728</v>
      </c>
      <c r="N147" s="122">
        <f t="shared" si="197"/>
        <v>0.9</v>
      </c>
      <c r="O147" s="46">
        <f t="shared" si="205"/>
        <v>40</v>
      </c>
      <c r="P147" s="70">
        <f t="array" ref="P147">SUMPRODUCT(IF(Solar_data!A$4:A$777=A147,Solar_data!C$4:C$777),IF(Solar_data!A$4:A$777=A147,Solar_data!I$4:I$777))/SUMIF(Solar_data!A$4:A$777,A147,Solar_data!I$4:I$777)</f>
        <v>1776.818562058286</v>
      </c>
      <c r="Q147" s="16">
        <f t="array" ref="Q147">MAX(IF(Solar_data!$A$777:'Solar_data'!$A$4=Country_details!$A147,Solar_data!$C$4:'Solar_data'!$C$777))</f>
        <v>1916.25</v>
      </c>
      <c r="R147" s="16">
        <f t="array" ref="R147">MIN(IF(Solar_data!$A$777:'Solar_data'!$A$4=Country_details!A147,Solar_data!$C$4:'Solar_data'!$C$777))</f>
        <v>1733.75</v>
      </c>
      <c r="S147" s="24">
        <f t="shared" si="176"/>
        <v>2.5471678745161643</v>
      </c>
      <c r="T147" s="24">
        <f t="shared" si="177"/>
        <v>2.3618291768395938</v>
      </c>
      <c r="U147" s="24">
        <f t="shared" si="178"/>
        <v>2.6104427744016565</v>
      </c>
      <c r="V147" s="16">
        <f t="array" ref="V147">SUM(IF(Solar_data!$A$777:'Solar_data'!$A$4=Country_details!$A147,Solar_data!$I$4:'Solar_data'!$I$777))</f>
        <v>1296.6390995670258</v>
      </c>
      <c r="W147" s="148"/>
      <c r="X147" s="16">
        <f>IFERROR(INDEX(Onshore_wind_data!$J$5:'Onshore_wind_data'!$J$221,MATCH(A147,Onshore_wind_data!$B$5:'Onshore_wind_data'!$B$221,0)),"")</f>
        <v>2847.5</v>
      </c>
      <c r="Y147" s="16">
        <f>IFERROR(INDEX(Onshore_wind_data!$K$5:'Onshore_wind_data'!$K$221,MATCH(A147,Onshore_wind_data!$B$5:'Onshore_wind_data'!$B$221,0)),"")</f>
        <v>2847.5</v>
      </c>
      <c r="Z147" s="16">
        <f>IFERROR(INDEX(Onshore_wind_data!$L$5:'Onshore_wind_data'!$L$221,MATCH(A147,Onshore_wind_data!$B$5:'Onshore_wind_data'!$B$221,0)),"")</f>
        <v>2847.5</v>
      </c>
      <c r="AA147" s="24">
        <f t="shared" si="206"/>
        <v>5.0769753139029987</v>
      </c>
      <c r="AB147" s="24">
        <f t="shared" si="207"/>
        <v>5.0769753139029987</v>
      </c>
      <c r="AC147" s="24">
        <f t="shared" si="208"/>
        <v>5.0769753139029987</v>
      </c>
      <c r="AD147" s="16">
        <f>IFERROR(INDEX(Onshore_wind_data!$I$5:'Onshore_wind_data'!$I$221,MATCH(A147,Onshore_wind_data!$B$5:'Onshore_wind_data'!$B$221,0)),"")</f>
        <v>75.888153000000003</v>
      </c>
      <c r="AE147" s="148"/>
      <c r="AF147" s="16">
        <f>INDEX(Offshore_wind_data!$AA$7:$AA$192,MATCH(Country_details!A147,Offshore_wind_data!$A$7:$A$192,0))</f>
        <v>3597.763208604078</v>
      </c>
      <c r="AG147" s="16">
        <f>INDEX(Offshore_wind_data!$Y$7:$Y$192,MATCH(Country_details!A147,Offshore_wind_data!$A$7:$A$192,0))</f>
        <v>4204.8</v>
      </c>
      <c r="AH147" s="16">
        <f>INDEX(Offshore_wind_data!$Z$7:$Z$192,MATCH(Country_details!A147,Offshore_wind_data!$A$7:$A$192,0))</f>
        <v>3504</v>
      </c>
      <c r="AI147" s="24">
        <f t="shared" si="179"/>
        <v>7.6106202018031794</v>
      </c>
      <c r="AJ147" s="24">
        <f t="shared" si="180"/>
        <v>6.5118933972380182</v>
      </c>
      <c r="AK147" s="24">
        <f t="shared" si="181"/>
        <v>7.8142720766856231</v>
      </c>
      <c r="AL147" s="16">
        <f>INDEX(Offshore_wind_data!$W$7:$W$191,MATCH(A147,Offshore_wind_data!$A$7:$A$191,0))</f>
        <v>1284.545376</v>
      </c>
      <c r="AM147" s="148"/>
      <c r="AN147" s="12">
        <v>3.5</v>
      </c>
      <c r="AO147" s="12">
        <v>3.7</v>
      </c>
      <c r="AP147" s="34">
        <f>1.35*11.63</f>
        <v>15.700500000000002</v>
      </c>
      <c r="AQ147" s="15">
        <f t="shared" si="182"/>
        <v>50</v>
      </c>
      <c r="AR147" s="12">
        <f t="shared" si="212"/>
        <v>185</v>
      </c>
      <c r="AS147" s="16">
        <f t="shared" si="198"/>
        <v>2472.0726285670262</v>
      </c>
      <c r="AT147" s="12"/>
      <c r="AU147" s="24">
        <f t="shared" si="183"/>
        <v>4.1049382977647895</v>
      </c>
      <c r="AV147" s="16">
        <f t="shared" si="184"/>
        <v>4624.3185620582863</v>
      </c>
      <c r="AW147" s="149">
        <f>HV_DC_Grid!$E$3/(1-AX147)*AU147/100*1000</f>
        <v>5224.731892253345</v>
      </c>
      <c r="AX147" s="31">
        <f>(1-(1-HV_DC_Grid!$E$25)^(B147*C147*HV_DC_Grid!$E$8/1000))+(1-(1-HV_DC_Grid!$E$26)^(B147*D147*HV_DC_Grid!$E$8/1000))+HV_DC_Grid!$E$35*HV_DC_Grid!$E$28</f>
        <v>0.21432556111613343</v>
      </c>
      <c r="AY147" s="28">
        <f>B147*nl_e_demand/IF(hv_dc_flh="electricity FLH",$AV147,hv_dc_custom)*1000*hv_dc_capacity_multiplier*hv_dc_length_multiplier*1000*(C147*hv_dc_overhead_invest*(hv_dc_overhead_opex+M147+1/hv_dc_lifetime)+D147*hv_dc_sea_invest*(hv_dc_sea_opex+M147+1/hv_dc_lifetime))/1000000+HV_DC_Grid!$E$10*1000*hv_dc_station_invest*hv_dc_station_number*(hv_dc_station_opex+M147+1/hv_dc_lifetime)/1000000</f>
        <v>26044.712390853518</v>
      </c>
      <c r="AZ147" s="24">
        <f>(AW147+AY147)/(HV_DC_Grid!$E$3*1000)*100</f>
        <v>31.269444283106861</v>
      </c>
      <c r="BA147" s="28">
        <f>MIN(((Carriers!$F$26+Carriers!$F$27)*(alk_el_opex+wacc_nl+1/alk_el_lifetime)+IF(hv_dc_flh="electricity FLH",$AV147,hv_dc_custom)*AZ147/100)/(IF(hv_dc_flh="electricity FLH",$AV147,hv_dc_custom)/alk_el_e_demand)*1000,((Carriers!$H$26+Carriers!$H$27)*(pem_el_opex+wacc_nl+1/pem_el_lifetime)+IF(hv_dc_flh="electricity FLH",$AV147,hv_dc_custom)*AZ147/100)/(IF(hv_dc_flh="electricity FLH",$AV147,hv_dc_custom)/pem_el_e_demand)*1000)</f>
        <v>16123.65395184215</v>
      </c>
      <c r="BB147" s="12"/>
      <c r="BC147" s="12"/>
      <c r="BD147" s="149">
        <f>MIN(((Carriers!$F$26+Carriers!$F$27)*(alk_el_opex+M147+1/alk_el_lifetime)+$AV147*$AU147/100)/($AV147/alk_el_e_demand)*1000,((Carriers!$H$26+Carriers!$H$27)*(pem_el_opex+M147+1/pem_el_lifetime)+$AV147*$AU147/100)/($AV147/pem_el_e_demand)*1000)</f>
        <v>2843.2082079783986</v>
      </c>
      <c r="BE147" s="28">
        <f>Storage!$AC$50</f>
        <v>8.1664117557772418</v>
      </c>
      <c r="BF147" s="28">
        <f>((Pipeline!$D$22*Pipeline!$D$24*B147*(pipeline_opex+M147+1/pipeline_lifetime))*(Pipeline!$D$39/Pipeline!$D$3)+(Pipeline!$D$57*(pipeline_comp_opex+M147+1/pipeline_comp_lifetime)+Pipeline!$D$47*1000*Pipeline!$D$45*$AU147/100/1000000))*(Pipeline!$D$75/Pipeline!$D$45)</f>
        <v>25053.91136515484</v>
      </c>
      <c r="BG147" s="28">
        <f>BD147+(BE147+BF147)/Storage!$AC$12*1000000</f>
        <v>4686.0080445159438</v>
      </c>
      <c r="BH147" s="28"/>
      <c r="BI147" s="28"/>
      <c r="BJ147" s="28">
        <f>IF($E147="","No Port",BK147*HV_DC_Grid!$E$3*$AU147/100*1000)</f>
        <v>79.911358978241253</v>
      </c>
      <c r="BK147" s="31">
        <f>IFERROR((1-(1-HV_DC_Grid!$E$25)^(K147*HV_DC_Grid!$E$8/1000))+HV_DC_Grid!$E$35*HV_DC_Grid!$E$28,"")</f>
        <v>1.9467127927782588E-2</v>
      </c>
      <c r="BL147" s="28">
        <f>IFERROR(K147*nl_e_demand/IF(hv_dc_flh="electricity FLH",$AV147,hv_dc_custom)*1000*hv_dc_capacity_multiplier*hv_dc_length_multiplier*1000*(hv_dc_overhead_invest*(hv_dc_overhead_opex+M147+1/hv_dc_lifetime))/1000000+HV_DC_Grid!$E$10*1000*hv_dc_station_invest*hv_dc_station_number*(hv_dc_station_opex+M147+1/hv_dc_lifetime)/1000000,"")</f>
        <v>664.0775694923758</v>
      </c>
      <c r="BM147" s="29">
        <f>IFERROR((BJ147+BL147)/(HV_DC_Grid!$E$3*1000)*100,"")</f>
        <v>0.74398892847061704</v>
      </c>
      <c r="BN147" s="28">
        <f>IFERROR(((Pipeline!$D$22*Pipeline!$D$24*K147*(pipeline_opex+M147+1/pipeline_lifetime))*(Pipeline!$D$39/Pipeline!$D$3)+(Pipeline!$D$57*(pipeline_comp_opex+M147+1/pipeline_comp_lifetime)+Pipeline!$D$47*1000*Pipeline!$D$45*S147/100/1000000))*(Pipeline!$D$75/Pipeline!$D$45),"")</f>
        <v>718.84027264234635</v>
      </c>
      <c r="BO147" s="28"/>
      <c r="BP147" s="150">
        <f t="shared" si="209"/>
        <v>121.86719405451498</v>
      </c>
      <c r="BQ147" s="34">
        <f t="shared" si="210"/>
        <v>35.534362076363912</v>
      </c>
      <c r="BR147" s="151">
        <f>(nh3_invest*(M147+1/nh3_lifetime)/nh3_prod+nh3_opex+nh3_e_demand*1000*$AU147/100+Carriers!$N$18/Carriers!$N$23*BD147+Carriers!$N$19/Carriers!$N$23*BQ147)*(BT147+nh3_st_ab_losses)/1000000</f>
        <v>52805.225574344862</v>
      </c>
      <c r="BS147" s="63">
        <f>nh3_st_nl_cost*nh3_st_nl_demand/1000000+(nh3_st_invest*(M147+1/nh3_st_lifetime+nh3_st_opex)/(Storage!$G$63/1000000)+nh3_st_e_demand*1000*$AU147/100)*(BT147+nh3_st_ab_losses)/1000000+Carriers!$N$18/Carriers!$N$23*((BT147+nh3_st_ab_losses)/365.25*short_st_duration_hrs/24)*(h2_short_st_invest*(1/gh2_short_st_lifetime+$M147+h2_short_st_opex)+h2_short_st_e_demand*1000*$AU147/100)/1000000+Carriers!$N$19/Carriers!$N$23*((BT147+nh3_st_ab_losses)/365.25*short_st_duration_hrs/24)*(n2_short_st_invest*(1/n2_short_st_lifetime+$M147+n2_short_st_opex)+n2_short_st_e_demand*1000*$AU147/100)/1000000</f>
        <v>3479.6955816467621</v>
      </c>
      <c r="BT147" s="63">
        <f>Storage!$G$57/((1-Shipping!$H$37)^(F147/24/Shipping!$H$44+0.5*Shipping!$H$59))</f>
        <v>79950521.228068218</v>
      </c>
      <c r="BU147" s="63">
        <f>IF($E147="","No Port",((F147/24/Shipping!$H$44+F147/24/Shipping!$H$50+Shipping!$H$59+Shipping!$H$64)*(Shipping!$H$22+wacc_nl*Shipping!$H$19/365.25*1000000+Shipping!$H$35)+(F147/24/Shipping!$H$44*Shipping!$H$45+Shipping!$H$64*Shipping!$H$65)*IF(bunker_choice="HFO",H147,IF(bunker_choice="hydrogen",BD147*hfo_e_density_lhv/h2_e_density_lhv,(BR147+BS147)*1000000/BT147*hfo_e_density_lhv/nh3_e_density_lhv))+(F147/24/Shipping!$H$50*Shipping!$H$51+Shipping!$H$59*Shipping!$H$60)*IF(bunker_choice="HFO",bunker_price_ROT,IF(bunker_choice="hydrogen",BD147*hfo_e_density_lhv/h2_e_density_lhv,(BR147+BS147)*1000000/BT147*hfo_e_density_lhv/nh3_e_density_lhv))+Shipping!$H$73+IF(G147="Panama",Shipping!$H$55,0)+IF(G147="Suez",Shipping!$H$56,0))/Shipping!$H$31*BT147/1000000+IF(inland_transport_to_port="hv dc grid",$BM147/100*1000*BW147,IF(inland_transport_to_port="pipeline",$BN147,0)))</f>
        <v>4756.1601393933097</v>
      </c>
      <c r="BV147" s="63">
        <f t="shared" si="199"/>
        <v>61041.081295384931</v>
      </c>
      <c r="BW147" s="33">
        <f>((Carriers!$N$18/Carriers!$N$23*alk_el_e_demand)+(Carriers!$N$19/Carriers!$N$23*n2_e_demand)+nh3_e_demand)*(BT147+nh3_st_ab_losses)/1000000+nh3_st_e_demand*BT147/1000000</f>
        <v>789.52432349697506</v>
      </c>
      <c r="BX147" s="33">
        <f t="shared" si="185"/>
        <v>0.76626754477640768</v>
      </c>
      <c r="BY147" s="63">
        <f>IFERROR(BV147*1000000/Storage!$G$12,"")</f>
        <v>797.2664449377869</v>
      </c>
      <c r="BZ147" s="63">
        <f>H2_retrieval!$F$25*h2_demand_kt/1000</f>
        <v>80</v>
      </c>
      <c r="CA147" s="63">
        <f>IFERROR(BY147*(1+H2_retrieval!$F$34)/Carrier_properties!$E$7+H2_retrieval!$F$38,"")</f>
        <v>4897.5407807749807</v>
      </c>
      <c r="CB147" s="149">
        <f>(FA_invest*(M147+1/FA_lifetime)/FA_prod+FA_opex+FA_e_demand*1000*$AU147/100+Carriers!$P$18/Carriers!$P$23*BD147+Carriers!$P$20/Carriers!$P$23*co2_liq_cost)*(CF147+FA_st_ab_losses)/1000000</f>
        <v>117576.68994642755</v>
      </c>
      <c r="CC147" s="86">
        <f>(FA_invest*(M147+1/FA_lifetime)/FA_prod+FA_opex+FA_e_demand*1000*$AU147/100+Carriers!$P$18/Carriers!$P$23*BD147+Carriers!$P$20/Carriers!$P$23*BP147)*(CF147+FA_st_ab_losses)/1000000</f>
        <v>147110.41814307426</v>
      </c>
      <c r="CD147" s="63">
        <f>FA_st_nl_cost*FA_st_nl_demand/1000000+(FA_st_invest*(M147+1/FA_st_lifetime+FA_st_opex)/(Storage!$I$63/1000000)+FA_st_e_demand*1000*$AU147/100)*(CF147+FA_st_ab_losses)/1000000+co2_st_nl_cost*Storage!$I$12*co2_density/FA_density/1000000+(co2_st_opex_lev+co2_st_invest_lev+co2_st_e_demand*1000*$AU147/100)*Storage!$I$12/1000000+co2_st_invest_lev*Storage!$I$12*co2_st_lifetime*M147/1000000+Carriers!$P$18/Carriers!$P$23*((CF147+FA_st_ab_losses)/365.25*short_st_duration_hrs/24)*(h2_short_st_invest*(1/gh2_short_st_lifetime+$M147+h2_short_st_opex)+h2_short_st_e_demand*1000*$AU147/100)/1000000+Carriers!$P$20/Carriers!$P$23*((CF147+FA_st_ab_losses)/365.25*short_st_duration_hrs/24)*(co2_short_st_invest*(1/co2_short_st_lifetime+$M147+co2_short_st_opex)+co2_short_st_e_demand*1000*$AU147/100)/1000000</f>
        <v>12246.900512367949</v>
      </c>
      <c r="CE147" s="63">
        <f>FA_st_nl_cost*FA_st_nl_demand/1000000+(FA_st_invest*(M147+1/FA_st_lifetime+FA_st_opex)/(Storage!$I$63/1000000)+FA_st_e_demand*1000*$AU147/100)*(CF147+FA_st_ab_losses)/1000000+Carriers!$P$18/Carriers!$P$23*((CF147+FA_st_ab_losses)/365.25*short_st_duration_hrs/24)*(h2_short_st_invest*(1/gh2_short_st_lifetime+$M147+h2_short_st_opex)+h2_short_st_e_demand*1000*$AU147/100)/1000000+Carriers!$P$20/Carriers!$P$23*((CF147+FA_st_ab_losses)/365.25*short_st_duration_hrs/24)*(co2_short_st_invest*(1/co2_short_st_lifetime+$M147+co2_short_st_opex)+co2_short_st_e_demand*1000*$AU147/100)/1000000</f>
        <v>5110.7345380286479</v>
      </c>
      <c r="CF147" s="63">
        <f>Storage!$I$57/((1-Shipping!$J$37)^($F147/24/Shipping!$J$44+0.5*Shipping!$J$59))</f>
        <v>310425396.82539684</v>
      </c>
      <c r="CG147" s="28">
        <f>IF($E147="","No Port",((F147/24/Shipping!$J$44+F147/24/Shipping!$J$50+Shipping!$J$59+Shipping!$J$64)*(Shipping!$J$22+wacc_nl*Shipping!$J$19/365.25*1000000+Shipping!$J$35)+(F147/24/Shipping!$J$44*Shipping!$J$45+Shipping!$J$64*Shipping!$J$65)*IF(bunker_choice="HFO",$H147,IF(bunker_choice="hydrogen",$BD147*hfo_e_density_lhv/h2_e_density_lhv,(CB147+CD147)*1000000/CF147*hfo_e_density_lhv/FA_e_density_lhv))+(F147/24/Shipping!$J$50*Shipping!$J$51+Shipping!$J$59*Shipping!$J$60)*IF(bunker_choice="HFO",bunker_price_ROT,IF(bunker_choice="hydrogen",$BD147*hfo_e_density_lhv/h2_e_density_lhv,(CB147+CD147)*1000000/CF147*hfo_e_density_lhv/FA_e_density_lhv))+Shipping!$J$73+IF(G147="Panama",Shipping!$J$55,0)+IF(G147="Suez",Shipping!$J$56,0))/Shipping!$J$31*CF147/1000000+IF(inland_transport_to_port="hv dc grid",$BM147/100*1000*CI147,IF(inland_transport_to_port="pipeline",$BN147,0)))</f>
        <v>18134.807564678351</v>
      </c>
      <c r="CH147" s="28">
        <f t="shared" si="213"/>
        <v>170355.96024578126</v>
      </c>
      <c r="CI147" s="29">
        <f>((Carriers!$P$18/Carriers!$P$23*alk_el_e_demand)+FA_e_demand)*(CF147+FA_st_ab_losses)/1000000+FA_st_e_demand*CF147/1000000</f>
        <v>1897.8881241622576</v>
      </c>
      <c r="CJ147" s="29">
        <f t="shared" si="186"/>
        <v>0.46563809523809524</v>
      </c>
      <c r="CK147" s="28">
        <f>IFERROR(CH147*1000000/Storage!$I$12,"")</f>
        <v>548.78229032787669</v>
      </c>
      <c r="CL147" s="28">
        <f>IF($E147="","No Port",((F147/24/Shipping!$J$44+F147/24/Shipping!$J$50+Shipping!$J$59+Shipping!$J$64)*Carriers!$P$39*wacc_nl))</f>
        <v>303.52553119442888</v>
      </c>
      <c r="CM147" s="29">
        <f>H2_retrieval!$H$25*h2_demand_kt/1000+(co2_liq_e_demand+co2_st_e_demand*2)*Storage!$I$12*co2_density/FA_density/1000000</f>
        <v>94.204253879484654</v>
      </c>
      <c r="CN147" s="28">
        <f>IFERROR((((CB147+CD147+CG147)*(1+H2_retrieval!$H$34)+CL147)*1000000/H2_retrieval!$H$8)+h2_regen_fa,"")</f>
        <v>10991.299393845507</v>
      </c>
      <c r="CO147" s="149">
        <f>(meoh_invest*(M147+1/meoh_lifetime)/meoh_prod+meoh_opex+meoh_e_demand*1000*$AU147/100+Carriers!$R$18/Carriers!$R$23*BD147+Carriers!$R$20/Carriers!$R$23*co2_liq_cost)*(CS147+meoh_st_ab_losses)/1000000</f>
        <v>63124.112814954322</v>
      </c>
      <c r="CP147" s="86">
        <f>(meoh_invest*(M147+1/meoh_lifetime)/meoh_prod+meoh_opex+meoh_e_demand*1000*$AU147/100+Carriers!$R$18/Carriers!$R$23*BD147+Carriers!$R$20/Carriers!$R$23*BP147)*(CS147+meoh_st_ab_losses)/1000000</f>
        <v>80461.323026812024</v>
      </c>
      <c r="CQ147" s="63">
        <f>meoh_st_nl_cost*meoh_st_nl_demand/1000000+(meoh_st_invest*(M147+1/meoh_st_lifetime+meoh_st_opex)/(Storage!$K$63/1000000)+meoh_st_e_demand*1000*$AU147/100)*(CS147+meoh_st_ab_losses)/1000000+co2_st_nl_cost*Storage!$K$12*co2_density/meoh_density/1000000+(co2_st_opex_lev+co2_st_invest_lev+co2_st_e_demand*1000*IFERROR(MIN(S147,AA147,AI147),S147)/100)*Storage!$K$12/1000000+co2_st_invest_lev*Storage!$K$12*co2_st_lifetime*M147/1000000+Carriers!$R$18/Carriers!$R$23*((CS147+meoh_st_ab_losses)/365.25*short_st_duration_hrs/24)*(h2_short_st_invest*(1/gh2_short_st_lifetime+$M147+h2_short_st_opex)+h2_short_st_e_demand*1000*$AU147/100)/1000000+Carriers!$R$20/Carriers!$R$23*((CF147+meoh_st_ab_losses)/365.25*short_st_duration_hrs/24)*(co2_short_st_invest*(1/co2_short_st_lifetime+$M147+co2_short_st_opex)+co2_short_st_e_demand*1000*$AU147/100)/1000000</f>
        <v>4929.1335476873783</v>
      </c>
      <c r="CR147" s="63">
        <f>meoh_st_nl_cost*meoh_st_nl_demand/1000000+(meoh_st_invest*(M147+1/meoh_st_lifetime+meoh_st_opex)/(Storage!$K$63/1000000)+meoh_st_e_demand*1000*$AU147/100)*(CS147+meoh_st_ab_losses)/1000000+Carriers!$R$18/Carriers!$R$23*((CS147+meoh_st_ab_losses)/365.25*short_st_duration_hrs/24)*(h2_short_st_invest*(1/gh2_short_st_lifetime+$M147+h2_short_st_opex)+h2_short_st_e_demand*1000*$AU147/100)/1000000+Carriers!$R$20/Carriers!$R$23*((CF147+meoh_st_ab_losses)/365.25*short_st_duration_hrs/24)*(co2_short_st_invest*(1/co2_short_st_lifetime+$M147+co2_short_st_opex)+co2_short_st_e_demand*1000*$AU147/100)/1000000</f>
        <v>2014.6816357363862</v>
      </c>
      <c r="CS147" s="63">
        <f>Storage!$K$57/((1-Shipping!$L$37)^($F147/24/Shipping!$L$44+0.5*Shipping!$L$59))</f>
        <v>108044444.44444443</v>
      </c>
      <c r="CT147" s="28">
        <f>IF($E147="","No Port",IF(AND(ship_choice="VLCC",G147="Panama"),"Ship cannot pass through Panama",IF(ship_choice="VLCC",((F147/24/Shipping!$AD$44+F147/24/Shipping!$AD$50+Shipping!$AD$59+Shipping!$AD$64)*(Shipping!$AD$22+wacc_nl*Shipping!$AD$19/365.25*1000000+Shipping!$AD$35)+(F147/24/Shipping!$AD$44*Shipping!$AD$45+Shipping!$AD$64*Shipping!$AD$65)*IF(bunker_choice="HFO",$H147,IF(bunker_choice="hydrogen",$BD147*hfo_e_density_lhv/h2_e_density_lhv,(CO147+CQ147)*1000000/CS147*hfo_e_density_lhv/meoh_e_density_lhv))+(F147/24/Shipping!$AD$50*Shipping!$AD$51+Shipping!$AD$59*Shipping!$AD$60)*IF(bunker_choice="HFO",bunker_price_ROT,IF(bunker_choice="hydrogen",$BD147*hfo_e_density_lhv/h2_e_density_lhv,(CO147+CQ147)*1000000/CS147*hfo_e_density_lhv/meoh_e_density_lhv))+Shipping!$AD$73+IF(G147="Panama",Shipping!$AD$55,0)+IF(G147="Suez",Shipping!$AD$56,0))/Shipping!$AD$31*CS147/1000000+IF(inland_transport_to_port="hv dc grid",$BM147/100*1000*CV147,IF(inland_transport_to_port="pipeline",$BN147,0)),((F147/24/Shipping!$L$44+F147/24/Shipping!$L$50+Shipping!$L$59+Shipping!$L$64)*(Shipping!$L$22+wacc_nl*Shipping!$L$19/365.25*1000000+Shipping!$L$35)+(F147/24/Shipping!$L$44*Shipping!$L$45+Shipping!$L$64*Shipping!$L$65)*IF(bunker_choice="HFO",$H147,IF(bunker_choice="hydrogen",$BD147*hfo_e_density_lhv/h2_e_density_lhv,(CO147+CQ147)*1000000/CS147*hfo_e_density_lhv/meoh_e_density_lhv))+(F147/24/Shipping!$L$50*Shipping!$L$51+Shipping!$L$59*Shipping!$L$60)*IF(bunker_choice="HFO",bunker_price_ROT,IF(bunker_choice="hydrogen",$BD147*hfo_e_density_lhv/h2_e_density_lhv,(CO147+CQ147)*1000000/CS147*hfo_e_density_lhv/meoh_e_density_lhv))+Shipping!$L$73+IF(G147="Panama",Shipping!$L$55,0)+IF(G147="Suez",Shipping!$L$56,0))/Shipping!$L$31*CS147/1000000+IF(inland_transport_to_port="hv dc grid",$BM147/100*1000*CV147,IF(inland_transport_to_port="pipeline",$BN147,0)))))</f>
        <v>6423.4023595594717</v>
      </c>
      <c r="CU147" s="28">
        <f t="shared" si="214"/>
        <v>88899.407022107887</v>
      </c>
      <c r="CV147" s="29">
        <f>((Carriers!$R$18/Carriers!$R$23*alk_el_e_demand)+meoh_e_demand)*(CS147+meoh_st_ab_losses)/1000000+meoh_st_e_demand*CS147/1000000</f>
        <v>1119.9789871111109</v>
      </c>
      <c r="CW147" s="29">
        <f t="shared" si="187"/>
        <v>0.16206666666666666</v>
      </c>
      <c r="CX147" s="28">
        <f>IFERROR(CU147*1000000/Storage!$K$12,"")</f>
        <v>822.8040551202912</v>
      </c>
      <c r="CY147" s="28">
        <f>IF($E147="","No Port",((F147/24/Shipping!$L$44+F147/24/Shipping!$L$50+Shipping!$L$59+Shipping!$L$64)*Carriers!$R$39*wacc_nl))</f>
        <v>108.74860853521656</v>
      </c>
      <c r="CZ147" s="29">
        <f>H2_retrieval!$J$25*h2_demand_kt/1000+(co2_liq_e_demand+co2_st_e_demand*2)*Storage!$K$12*co2_density/meoh_density/1000000</f>
        <v>251.05079059698966</v>
      </c>
      <c r="DA147" s="28">
        <f>IFERROR((((CO147+CQ147+CT147)*(1+H2_retrieval!$J$34)+CY147)*1000000/H2_retrieval!$J$8)+h2_regen_meoh,"")</f>
        <v>6654.3489351620274</v>
      </c>
      <c r="DB147" s="149">
        <f>(DBT_invest*(M147+1/DBT_lifetime)/DBT_prod+DBT_opex+DBT_e_demand*1000*$AU147/100+Carriers!$T$18/Carriers!$T$23*BD147)*(DD147+DBT_st_ab_losses)/1000000</f>
        <v>42009.600911539332</v>
      </c>
      <c r="DC147" s="28">
        <f>2*(DBT_st_nl_cost*DBT_st_nl_demand/1000000+(DBT_st_invest*(M147+1/DBT_st_lifetime+DBT_st_opex)/(Storage!$M$63/1000000)+DBT_st_e_demand*1000*$AU147/100)*(DD147+DBT_st_ab_losses)/1000000)+Carriers!$T$18/Carriers!$T$23*((DD147+DBT_st_ab_losses)/365.25*short_st_duration_hrs/24)*(h2_short_st_invest*(1/gh2_short_st_lifetime+$M147+h2_short_st_opex)+h2_short_st_e_demand*1000*$AU147/100)/1000000</f>
        <v>4155.8720075361671</v>
      </c>
      <c r="DD147" s="63">
        <f>Storage!$M$57/((1-Shipping!$N$37)^($F147/24/Shipping!$N$44+0.5*Shipping!$N$59))</f>
        <v>219354838.70967743</v>
      </c>
      <c r="DE147" s="28">
        <f>IF($E147="","No Port",IF(AND(ship_choice="VLCC",G147="Panama"),"Ship cannot pass through Panama",IF(ship_choice="VLCC",((F147/24/Shipping!$AD$44+F147/24/Shipping!$AD$50+Shipping!$AD$59+Shipping!$AD$64)*(Shipping!$AD$22+wacc_nl*Shipping!$AD$19/365.25*1000000+Shipping!$AD$35)+(F147/24/Shipping!$AD$44*Shipping!$AD$45+Shipping!$AD$64*Shipping!$AD$65)*IF(bunker_choice="HFO",$H147,IF(bunker_choice="hydrogen",$BD147*hfo_e_density_lhv/h2_e_density_lhv,(DB147+DC147)*1000000/DD147*hfo_e_density_lhv/DBT_e_density_lhv))+(F147/24/Shipping!$AD$50*Shipping!$AD$51+Shipping!$AD$59*Shipping!$AD$60)*IF(bunker_choice="HFO",bunker_price_ROT,IF(bunker_choice="hydrogen",$BD147*hfo_e_density_lhv/h2_e_density_lhv,(DB147+DC147)*1000000/DD147*hfo_e_density_lhv/DBT_e_density_lhv))+Shipping!$AD$73+IF(G147="Panama",Shipping!$AD$55,0)+IF(G147="Suez",Shipping!$AD$56,0))/Shipping!$AD$31*DD147/1000000+IF(inland_transport_to_port="hv dc grid",$BM147/100*1000*DG147,IF(inland_transport_to_port="pipeline",$BN147,0)),((F147/24/Shipping!$N$44+F147/24/Shipping!$N$50+Shipping!$N$59+Shipping!$N$64)*(Shipping!$N$22+wacc_nl*Shipping!$N$19/365.25*1000000+Shipping!$N$35)+(F147/24/Shipping!$N$44*Shipping!$N$45+Shipping!$N$64*Shipping!$N$65)*IF(bunker_choice="HFO",$H147,IF(bunker_choice="hydrogen",$BD147*hfo_e_density_lhv/h2_e_density_lhv,(DB147+DC147)*1000000/DD147*hfo_e_density_lhv/DBT_e_density_lhv))+(F147/24/Shipping!$N$50*Shipping!$N$51+Shipping!$N$59*Shipping!$N$60)*IF(bunker_choice="HFO",bunker_price_ROT,IF(bunker_choice="hydrogen",$BD147*hfo_e_density_lhv/h2_e_density_lhv,(DB147+DC147)*1000000/DD147*hfo_e_density_lhv/DBT_e_density_lhv))+Shipping!$N$73+IF(G147="Panama",Shipping!$N$55,0)+IF(G147="Suez",Shipping!$N$56,0))/Shipping!$N$31*Shipping!$N$86/1000000+IF(inland_transport_to_port="hv dc grid",$BM147/100*1000*DG147,IF(inland_transport_to_port="pipeline",$BN147,0)))))</f>
        <v>11463.754633798379</v>
      </c>
      <c r="DF147" s="28">
        <f t="shared" si="159"/>
        <v>57629.227552873883</v>
      </c>
      <c r="DG147" s="29">
        <f>((Carriers!$T$18/Carriers!$T$23*alk_el_e_demand)+DBT_e_demand)*(DD147+DBT_st_ab_losses)/1000000+DBT_st_e_demand*DD147/1000000</f>
        <v>703.88335483870969</v>
      </c>
      <c r="DH147" s="29">
        <f t="shared" si="188"/>
        <v>0.21935483870967742</v>
      </c>
      <c r="DI147" s="28">
        <f>IFERROR(DF147*1000000/Storage!$M$12,"")</f>
        <v>262.72147854986622</v>
      </c>
      <c r="DJ147" s="28">
        <f>IF($E147="","No Port",((F147/24/Shipping!$N$44+F147/24/Shipping!$N$50+Shipping!$N$59+Shipping!$N$64)*Carriers!$T$39*wacc_nl))</f>
        <v>7920.5184663086311</v>
      </c>
      <c r="DK147" s="100">
        <f>H2_retrieval!$L$25*h2_demand_kt/1000+(co2_liq_e_demand+co2_st_e_demand*2)*Storage!$M$12*co2_density/DBT_density/1000000</f>
        <v>206.61934861671787</v>
      </c>
      <c r="DL147" s="28">
        <f>IFERROR(((DF147*(1+H2_retrieval!$L$34)+DJ147)*1000000/H2_retrieval!$L$8)+h2_regen_lohc,"")</f>
        <v>5290.4840467551567</v>
      </c>
      <c r="DM147" s="149">
        <f t="shared" si="211"/>
        <v>65554.481050184855</v>
      </c>
      <c r="DN147" s="16">
        <f>2*(nabh4_st_nl_cost*nabh4_st_nl_demand/1000000+(nabh4_st_invest*(M147+1/nabh4_st_lifetime+nabh4_st_opex)/(Storage!$O$63/1000000)+nabh4_st_e_demand*1000*$AU147/100)*(DO147+nabh4_st_ab_losses)/1000000)+(h2_demand_kt*1000/365.25*short_st_duration_hrs/24)*(h2_short_st_invest*(1/gh2_short_st_lifetime+$M147+h2_short_st_opex)+h2_short_st_e_demand*1000*$AU147/100)/1000000</f>
        <v>1504.8964228118007</v>
      </c>
      <c r="DO147" s="63">
        <f>Storage!$O$57/((1-Shipping!$P$37)^($F147/24/Shipping!$P$44+0.5*Shipping!$P$59))</f>
        <v>63920000</v>
      </c>
      <c r="DP147" s="16">
        <f>IF($E147="","No Port",((F147/24/Shipping!$P$44+F147/24/Shipping!$P$50+Shipping!$P$59+Shipping!$P$64)*(Shipping!$P$22+wacc_nl*Shipping!$P$19/365.25*1000000+Shipping!$P$35)+(F147/24/Shipping!$P$44*Shipping!$P$45+Shipping!$P$64*Shipping!$P$65)*IF(bunker_choice="HFO",$H147,IF(bunker_choice="hydrogen",$BD147*hfo_e_density_lhv/h2_e_density_lhv,(DM147+DN147)*1000000/DO147*hfo_e_density_lhv/nabh4_e_density_lhv))+(F147/24/Shipping!$P$50*Shipping!$P$51+Shipping!$P$59*Shipping!$P$60)*IF(bunker_choice="HFO",bunker_price_ROT,IF(bunker_choice="hydrogen",$BD147*hfo_e_density_lhv/h2_e_density_lhv,(DM147+DN147)*1000000/DO147*hfo_e_density_lhv/nabh4_e_density_lhv))+Shipping!$P$73+IF(G147="Panama",Shipping!$P$55,0)+IF(G147="Suez",Shipping!$P$56,0))/Shipping!$P$31*(DO147+nabh4_st_ab_losses)/1000000+IF(inland_transport_to_port="hv dc grid",$BM147/100*1000*DR147,IF(inland_transport_to_port="pipeline",$BN147,0)))</f>
        <v>3444.0622685154271</v>
      </c>
      <c r="DQ147" s="28">
        <f t="shared" si="146"/>
        <v>70503.439741512077</v>
      </c>
      <c r="DR147" s="29">
        <f>((Carriers!$V$18/Carriers!$V$23*alk_el_e_demand)+nabh4_e_demand)*(DO147+nabh4_st_ab_losses)/1000000+nabh4_st_e_demand*DO147/1000000</f>
        <v>980.02139682539689</v>
      </c>
      <c r="DS147" s="28">
        <f t="shared" si="189"/>
        <v>3.1960000000000002</v>
      </c>
      <c r="DT147" s="28">
        <f>IFERROR(DQ147*1000000/Storage!$O$12,"")</f>
        <v>1102.9949896982489</v>
      </c>
      <c r="DU147" s="28">
        <f>IF($E147="","No Port",((F147/24/Shipping!$P$44+F147/24/Shipping!$P$50+Shipping!$P$59+Shipping!$P$64)*Carriers!$V$39*wacc_nl))</f>
        <v>731.45266334762232</v>
      </c>
      <c r="DV147" s="100">
        <f>H2_retrieval!$N$25*h2_demand_kt/1000+(co2_liq_e_demand+co2_st_e_demand*2)*Storage!$O$12*co2_density/nabh4_density/1000000</f>
        <v>18.783638728971958</v>
      </c>
      <c r="DW147" s="28">
        <f>IFERROR(((DQ147*(1+H2_retrieval!$N$34)+DU147)*1000000/H2_retrieval!$N$8)+h2_regen_nabh4,"")</f>
        <v>5348.4154751337219</v>
      </c>
      <c r="DX147" s="149">
        <f>(Dme_invest*(M147+1/Dme_lifetime)/Dme_prod+Dme_opex+Dme_e_demand*1000*$AU147/100+Carriers!$X$21/Carriers!$X$23*(CO147*1000000/CS147))*(EB147+Dme_st_ab_losses)/1000000</f>
        <v>89258.265475547159</v>
      </c>
      <c r="DY147" s="86">
        <f>(Dme_invest*(M147+1/Dme_lifetime)/Dme_prod+Dme_opex+Dme_e_demand*1000*$AU147/100+Carriers!$X$21/Carriers!$X$23*(CP147*1000000/CS147))*(EB147+Dme_st_ab_losses)/1000000</f>
        <v>112779.0346378086</v>
      </c>
      <c r="DZ147" s="63">
        <f>Dme_st_nl_cost*Dme_st_nl_demand/1000000+(Dme_st_invest*(M147+1/Dme_st_lifetime+Dme_st_opex)/(Storage!$Q$63/1000000)+Dme_st_e_demand*1000*$AU147/100)*(EB147+Dme_st_ab_losses)/1000000+co2_st_nl_cost*Storage!$Q$12*co2_density/Dme_density/1000000+(co2_st_opex_lev+co2_st_invest_lev+co2_st_e_demand*1000*$AU147/100)*Storage!$Q$12/1000000+co2_st_invest_lev*Storage!$Q$12*co2_st_lifetime*M147/1000000+(h2_demand_kt*1000/365.25*short_st_duration_hrs/24)*(h2_short_st_invest*(1/gh2_short_st_lifetime+$M147+h2_short_st_opex)+h2_short_st_e_demand*1000*$AU147/100)/1000000</f>
        <v>6116.428862284255</v>
      </c>
      <c r="EA147" s="63">
        <f>Dme_st_nl_cost*Dme_st_nl_demand/1000000+(Dme_st_invest*(M147+1/Dme_st_lifetime+Dme_st_opex)/(Storage!$Q$63/1000000)+Dme_st_e_demand*1000*$AU147/100)*(EB147+Dme_st_ab_losses)/1000000+(h2_demand_kt*1000/365.25*short_st_duration_hrs/24)*(h2_short_st_invest*(1/gh2_short_st_lifetime+$M147+h2_short_st_opex)+h2_short_st_e_demand*1000*$AU147/100)/1000000</f>
        <v>3035.087843375823</v>
      </c>
      <c r="EB147" s="63">
        <f>Storage!$Q$57/((1-Shipping!$R$37)^($F147/24/Shipping!$R$44+0.5*Shipping!$R$59))</f>
        <v>103547089.94708996</v>
      </c>
      <c r="EC147" s="153">
        <f>IF($E147="","No Port",IF(AND(ship_choice="VLCC",G147="Panama"),"Ship cannot pass through Panama",IF(ship_choice="VLCC",((F147/24/Shipping!$AD$44+F147/24/Shipping!$AD$50+Shipping!$AD$59+Shipping!$AD$64)*(Shipping!$AD$22+wacc_nl*Shipping!$AD$19/365.25*1000000+Shipping!$AD$35)+(F147/24/Shipping!$AD$44*Shipping!$AD$45+Shipping!$AD$64*Shipping!$AD$65)*IF(bunker_choice="HFO",$H147,IF(bunker_choice="hydrogen",$BD147*hfo_e_density_lhv/h2_e_density_lhv,(DX147+DZ147)*1000000/EB147*hfo_e_density_lhv/Dme_e_density_lhv))+(F147/24/Shipping!$AD$50*Shipping!$AD$51+Shipping!$AD$59*Shipping!$AD$60)*IF(bunker_choice="HFO",bunker_price_ROT,IF(bunker_choice="hydrogen",$BD147*hfo_e_density_lhv/h2_e_density_lhv,(DX147+DZ147)*1000000/EB147*hfo_e_density_lhv/Dme_e_density_lhv))+Shipping!$AD$73+IF(G147="Panama",Shipping!$AD$55,0)+IF(G147="Suez",Shipping!$AD$56,0))/Shipping!$AD$31*(EB147+Dme_st_ab_losses)/1000000+IF(inland_transport_to_port="hv dc grid",$BM147/100*1000*EE147,IF(inland_transport_to_port="pipeline",$BN147,0)),((F147/24/Shipping!$R$44+F147/24/Shipping!$R$50+Shipping!$R$59+Shipping!$R$64)*(Shipping!$R$22+wacc_nl*Shipping!$R$19/365.25*1000000+Shipping!$R$35)+(F147/24/Shipping!$R$44*Shipping!$R$45+Shipping!$R$64*Shipping!$R$65)*IF(bunker_choice="HFO",$H147,IF(bunker_choice="hydrogen",$BD147*hfo_e_density_lhv/h2_e_density_lhv,(DX147+DZ147)*1000000/EB147*hfo_e_density_lhv/Dme_e_density_lhv))+(F147/24/Shipping!$R$50*Shipping!$R$51+Shipping!$R$59*Shipping!$R$60)*IF(bunker_choice="HFO",bunker_price_ROT,IF(bunker_choice="hydrogen",$BD147*hfo_e_density_lhv/h2_e_density_lhv,(DX147+DZ147)*1000000/EB147*hfo_e_density_lhv/Dme_e_density_lhv))+Shipping!$R$73+IF(G147="Panama",Shipping!$R$55,0)+IF(G147="Suez",Shipping!$R$56,0))/Shipping!$R$31*(EB147+Dme_st_ab_losses)/1000000+IF(inland_transport_to_port="hv dc grid",$BM147/100*1000*EE147,IF(inland_transport_to_port="pipeline",$BN147,0)))))</f>
        <v>6480.4700243703792</v>
      </c>
      <c r="ED147" s="28">
        <f t="shared" si="215"/>
        <v>122294.5925055548</v>
      </c>
      <c r="EE147" s="29">
        <f>(Dme_e_demand)*(EB147+Dme_st_ab_losses)/1000000+Dme_st_e_demand*DZ147/1000000+$CV147*(Carriers!$X$21/Carriers!$X$23*EB147)/$CS147</f>
        <v>1550.2168213313444</v>
      </c>
      <c r="EF147" s="29">
        <f t="shared" si="190"/>
        <v>1.0354708994708997</v>
      </c>
      <c r="EG147" s="28">
        <f>IFERROR(ED147*1000000/Storage!$Q$12,"")</f>
        <v>1181.0529158090715</v>
      </c>
      <c r="EH147" s="28">
        <f>IF($E147="","No Port",((F147/24/Shipping!$R$44+F147/24/Shipping!$R$50+Shipping!$R$59+Shipping!$R$64)*Carriers!$X$39*wacc_nl))</f>
        <v>113.10683683113912</v>
      </c>
      <c r="EI147" s="100">
        <f>H2_retrieval!$P$25*h2_demand_kt/1000+(co2_liq_e_demand+co2_st_e_demand*2)*Storage!$Q$12*co2_density/Dme_density/1000000</f>
        <v>252.45335899349112</v>
      </c>
      <c r="EJ147" s="28">
        <f>IFERROR((((DX147+DZ147+EC147)*(1+H2_retrieval!$P$34)+EH147)*1000000/H2_retrieval!$P$8)+h2_regen_dme,"")</f>
        <v>8667.7955431250084</v>
      </c>
      <c r="EK147" s="149">
        <f>(ome_invest*(M147+1/ome_lifetime)/ome_prod+ome_opex+ome_e_demand*1000*$AU147/100+Carriers!$Z$21/Carriers!$Z$23*(CO147*1000000/CS147))*(EO147+ome_st_ab_losses)/1000000</f>
        <v>195591.70482588807</v>
      </c>
      <c r="EL147" s="86">
        <f>(ome_invest*(M147+1/ome_lifetime)/ome_prod+ome_opex+ome_e_demand*1000*$AU147/100+Carriers!$Z$21/Carriers!$Z$23*(CP147*1000000/CS147))*(EO147+ome_st_ab_losses)/1000000</f>
        <v>244966.37792174719</v>
      </c>
      <c r="EM147" s="63">
        <f>ome_st_nl_cost*ome_st_nl_demand/1000000+(ome_st_invest*(M147+1/ome_st_lifetime+ome_st_opex)/(Storage!$S$63/1000000)+ome_st_e_demand*1000*$AU147/100)*(EO147+ome_st_ab_losses)/1000000+co2_st_nl_cost*Storage!$S$12*co2_density/ome_density/1000000+(co2_st_opex_lev+co2_st_invest_lev+co2_st_e_demand*1000*$AU147/100)*Storage!$S$12/1000000+co2_st_invest_lev*Storage!$S$12*co2_st_lifetime*M147/1000000+(h2_demand_kt*1000/365.25*short_st_duration_hrs/24)*(h2_short_st_invest*(1/gh2_short_st_lifetime+$M147+h2_short_st_opex)+h2_short_st_e_demand*1000*$AU147/100)/1000000</f>
        <v>5294.5415721912168</v>
      </c>
      <c r="EN147" s="63">
        <f>ome_st_nl_cost*ome_st_nl_demand/1000000+(ome_st_invest*(M147+1/ome_st_lifetime+ome_st_opex)/(Storage!$S$63/1000000)+ome_st_e_demand*1000*$AU147/100)*(EO147+ome_st_ab_losses)/1000000+(h2_demand_kt*1000/365.25*short_st_duration_hrs/24)*(h2_short_st_invest*(1/gh2_short_st_lifetime+$M147+h2_short_st_opex)+h2_short_st_e_demand*1000*$AU147/100)/1000000</f>
        <v>1816.0940513975293</v>
      </c>
      <c r="EO147" s="63">
        <f>Storage!$S$57/((1-Shipping!$T$37)^($F147/24/Shipping!$T$44+0.5*Shipping!$T$59))</f>
        <v>128282539.68253967</v>
      </c>
      <c r="EP147" s="28">
        <f>IF($E147="","No Port",IF(AND(ship_choice="VLCC",G147="Panama"),"Ship cannot pass through Panama",IF(ship_choice="VLCC",((F147/24/Shipping!$AD$44+F147/24/Shipping!$AD$50+Shipping!$AD$59+Shipping!$AD$64)*(Shipping!$AD$22+wacc_nl*Shipping!$AD$19/365.25*1000000+Shipping!$AD$35)+(F147/24/Shipping!$AD$44*Shipping!$AD$45+Shipping!$AD$64*Shipping!$AD$65)*IF(bunker_choice="HFO",$H147,IF(bunker_choice="hydrogen",$BD147*hfo_e_density_lhv/h2_e_density_lhv,(EK147+EM147)*1000000/EO147*hfo_e_density_lhv/Dme_e_density_lhv))+(F147/24/Shipping!$AD$50*Shipping!$AD$51+Shipping!$AD$59*Shipping!$AD$60)*IF(bunker_choice="HFO",bunker_price_ROT,IF(bunker_choice="hydrogen",$BD147*hfo_e_density_lhv/h2_e_density_lhv,(EK147+EM147)*1000000/EO147*hfo_e_density_lhv/ome_e_density_lhv))+Shipping!$AD$73+IF(G147="Panama",Shipping!$AD$55,0)+IF(G147="Suez",Shipping!$AD$56,0))/Shipping!$AD$31*(EO147+ome_st_ab_losses)/1000000+IF(inland_transport_to_port="hv dc grid",$BM147/100*1000*ER147,IF(inland_transport_to_port="pipeline",$BN147,0)),((F147/24/Shipping!$T$44+F147/24/Shipping!$T$50+Shipping!$T$59+Shipping!$T$64)*(Shipping!$T$22+wacc_nl*Shipping!$T$19/365.25*1000000+Shipping!$T$35)+(F147/24/Shipping!$T$44*Shipping!$T$45+Shipping!$T$64*Shipping!$T$65)*IF(bunker_choice="HFO",$H147,IF(bunker_choice="hydrogen",$BD147*hfo_e_density_lhv/h2_e_density_lhv,(EK147+EM147)*1000000/EO147*hfo_e_density_lhv/Dme_e_density_lhv))+(F147/24/Shipping!$T$50*Shipping!$T$51+Shipping!$T$59*Shipping!$T$60)*IF(bunker_choice="HFO",bunker_price_ROT,IF(bunker_choice="hydrogen",$BD147*hfo_e_density_lhv/h2_e_density_lhv,(EK147+EM147)*1000000/EO147*hfo_e_density_lhv/ome_e_density_lhv))+Shipping!$T$73+IF(G147="Panama",Shipping!$T$55,0)+IF(G147="Suez",Shipping!$T$56,0))/Shipping!$T$31*(EO147+ome_st_ab_losses)/1000000+IF(inland_transport_to_port="hv dc grid",$BM147/100*1000*ER147,IF(inland_transport_to_port="pipeline",$BN147,0)))))</f>
        <v>7121.1301014435358</v>
      </c>
      <c r="EQ147" s="28">
        <f t="shared" si="216"/>
        <v>253903.60207458824</v>
      </c>
      <c r="ER147" s="29">
        <f>(ome_e_demand)*(EO147+ome_st_ab_losses)/1000000+ome_st_e_demand*EM147/1000000+$CV147*(Carriers!$Z$21/Carriers!$Z$23*EO147)/$CS147</f>
        <v>3352.0814580825959</v>
      </c>
      <c r="ES147" s="29">
        <f t="shared" si="191"/>
        <v>0.1924238095238095</v>
      </c>
      <c r="ET147" s="28">
        <f>IFERROR(EQ147*1000000/Storage!$S$12,"")</f>
        <v>1979.2530043677225</v>
      </c>
      <c r="EU147" s="28">
        <f>IF($E147="","No Port",((F147/24/Shipping!$T$44+F147/24/Shipping!$T$50+Shipping!$T$59+Shipping!$T$64)*Carriers!$Z$39*wacc_nl))</f>
        <v>129.11860264146341</v>
      </c>
      <c r="EV147" s="100">
        <f>H2_retrieval!$R$25*h2_demand_kt/1000+(co2_liq_e_demand+co2_st_e_demand*2)*Storage!$S$12*co2_density/ome_density/1000000</f>
        <v>254.51942895252085</v>
      </c>
      <c r="EW147" s="28">
        <f>IFERROR((((EK147+EM147+EP147)*(1+H2_retrieval!$R$34)+EU147)*1000000/H2_retrieval!$R$8)+h2_regen_ome,"")</f>
        <v>16474.282594825843</v>
      </c>
      <c r="EX147" s="149">
        <f>(sng_invest*(M147+1/sng_lifetime)/sng_prod+lng_invest*(M147+1/lng_lifetime)/lng_prod+sng_opex+lng_opex+(sng_e_demand+lng_e_demand)*1000*$AU147/100+Carriers!$AB$18/Carriers!$AB$23*BD147+Carriers!$AB$20/Carriers!$AB$23*co2_liq_cost)*(FB147+lng_st_ab_losses)/1000000</f>
        <v>68902.216075975826</v>
      </c>
      <c r="EY147" s="86">
        <f>(sng_invest*(M147+1/sng_lifetime)/sng_prod+lng_invest*(M147+1/lng_lifetime)/lng_prod+sng_opex+lng_opex+(sng_e_demand+lng_e_demand)*1000*$AU147/100+Carriers!$AB$18/Carriers!$AB$23*BD147+Carriers!$AB$20/Carriers!$AB$23*BP147)*(FB147+lng_st_ab_losses)/1000000</f>
        <v>81981.926538223401</v>
      </c>
      <c r="EZ147" s="63">
        <f>lng_st_nl_cost*lng_st_nl_demand/1000000+(lng_st_invest*(M147+1/lng_st_lifetime+lng_st_opex)/(Storage!$U$63/1000000)+lng_st_e_demand*1000*$AU147/100)*(FB147+lng_st_ab_losses)/1000000+co2_st_nl_cost*Storage!$U$12*co2_density/lng_density/1000000+(co2_st_opex_lev+co2_st_invest_lev+co2_st_e_demand*1000*$AU147/100)*Storage!$U$12/1000000+co2_st_invest_lev*Storage!$U$12*co2_st_lifetime*M147/1000000+Carriers!$AB$18/Carriers!$AB$23*((FB147+lng_st_ab_losses)/365.25*short_st_duration_hrs/24)*(h2_short_st_invest*(1/gh2_short_st_lifetime+$M147+h2_short_st_opex)+h2_short_st_e_demand*1000*$AU147/100)/1000000+Carriers!$AB$20/Carriers!$AB$23*((FB147+lng_st_ab_losses)/365.25*short_st_duration_hrs/24)*(co2_short_st_invest*(1/co2_short_st_lifetime+$M147+co2_short_st_opex)+co2_short_st_e_demand*1000*$AU147/100)/1000000</f>
        <v>6407.8665295394048</v>
      </c>
      <c r="FA147" s="63">
        <f>lng_st_nl_cost*lng_st_nl_demand/1000000+(lng_st_invest*(M147+1/lng_st_lifetime+lng_st_opex)/(Storage!$U$63/1000000)+lng_st_e_demand*1000*$AU147/100)*(FB147+lng_st_ab_losses)/1000000+Carriers!$AB$18/Carriers!$AB$23*((FB147+lng_st_ab_losses)/365.25*short_st_duration_hrs/24)*(h2_short_st_invest*(1/gh2_short_st_lifetime+$M147+h2_short_st_opex)+h2_short_st_e_demand*1000*$AU147/100)/1000000+Carriers!$AB$20/Carriers!$AB$23*((FB147+lng_st_ab_losses)/365.25*short_st_duration_hrs/24)*(co2_short_st_invest*(1/co2_short_st_lifetime+$M147+co2_short_st_opex)+co2_short_st_e_demand*1000*$AU147/100)/1000000</f>
        <v>4762.4809395762122</v>
      </c>
      <c r="FB147" s="63">
        <f>Storage!$U$57/((1-Shipping!$V$37)^($F147/24/Shipping!$V$44+0.5*Shipping!$V$59))</f>
        <v>41533191.407984123</v>
      </c>
      <c r="FC147" s="28">
        <f>IF($E147="","No Port",IF(G147="Panama","Ship cannot pass through Panama",((F147/24/Shipping!$V$44+F147/24/Shipping!$V$50+Shipping!$V$59+Shipping!$V$64)*(Shipping!$V$22+wacc_nl*Shipping!$V$19/365.25*1000000+Shipping!$V$35)+(F147/24/Shipping!$V$44*Shipping!$V$45+Shipping!$V$64*Shipping!$V$65)*IF(bunker_choice="HFO",$H147,IF(bunker_choice="hydrogen",$BD147*hfo_e_density_lhv/h2_e_density_lhv,(EX147+EZ147)*1000000/FB147*hfo_e_density_lhv/lng_e_density_lhv))+(F147/24/Shipping!$V$50*Shipping!$V$51+Shipping!$V$59*Shipping!$V$60)*IF(bunker_choice="HFO",bunker_price_ROT,IF(bunker_choice="hydrogen",$BD147*hfo_e_density_lhv/h2_e_density_lhv,(EX147+EZ147)*1000000/FB147*hfo_e_density_lhv/lng_e_density_lhv))+Shipping!$V$73+IF(G147="Panama",Shipping!$V$55,0)+IF(G147="Suez",Shipping!$V$56,0))/Shipping!$V$31*(FB147+lng_st_ab_losses)/1000000)+IF(inland_transport_to_port="hv dc grid",$BM147/100*1000*FE147,IF(inland_transport_to_port="pipeline",$BN147,0)))</f>
        <v>2854.1834954431924</v>
      </c>
      <c r="FD147" s="28">
        <f t="shared" si="217"/>
        <v>89598.590973242812</v>
      </c>
      <c r="FE147" s="29">
        <f>((Carriers!$AB$18/Carriers!$AB$23*alk_el_e_demand)+sng_e_demand+lng_e_demand)*(FB147+lng_st_ab_losses)/1000000+lng_st_e_demand*EZ147/1000000</f>
        <v>1113.8783637539466</v>
      </c>
      <c r="FF147" s="29">
        <f t="shared" si="192"/>
        <v>0.8126185861001558</v>
      </c>
      <c r="FG147" s="28">
        <f>IFERROR(FD147*1000000/Storage!$U$12,"")</f>
        <v>2207.7249809583454</v>
      </c>
      <c r="FH147" s="28">
        <f>IF($E147="","No Port",((F147/24/Shipping!$V$44+F147/24/Shipping!$V$50+Shipping!$V$59+Shipping!$V$64)*Carriers!$AB$39*wacc_nl))</f>
        <v>37.93637953100037</v>
      </c>
      <c r="FI147" s="100">
        <f>H2_retrieval!$T$25*h2_demand_kt/1000+(co2_liq_e_demand+co2_st_e_demand*2)*Storage!$U$12*co2_density/lng_density/1000000</f>
        <v>236.51371749646054</v>
      </c>
      <c r="FJ147" s="28">
        <f>IFERROR((((EX147+EZ147+FC147)*(1+H2_retrieval!$T$34)+FH147)*1000000/H2_retrieval!$T$8)+h2_regen_lng,"")</f>
        <v>6920.2904902909268</v>
      </c>
      <c r="FK147" s="149">
        <f>(lh2_invest*(M147+1/lh2_lifetime)/lh2_prod+lh2_opex+lh2_e_demand*1000*$AU147/100+Carriers!$AD$18/Carriers!$AD$23*BD147)*(FM147+lh2_st_ab_losses)/1000000</f>
        <v>55163.419271364393</v>
      </c>
      <c r="FL147" s="28">
        <f>lh2_st_nl_cost*lh2_st_nl_demand/1000000+(lh2_st_invest*(M147+1/lh2_st_lifetime+lh2_st_opex)/(Storage!$Y$63/1000000)+lh2_st_e_demand*1000*$AU147/100)*(FM147+lh2_st_ab_losses)/1000000+((FM147+lh2_st_ab_losses)/365.25*short_st_duration_hrs/24)*(h2_short_st_invest*(1/gh2_short_st_lifetime+$M147+h2_short_st_opex)+h2_short_st_e_demand*1000*$AU147/100)/1000000</f>
        <v>55330.866027491924</v>
      </c>
      <c r="FM147" s="63">
        <f>Storage!$Y$57/((1-Shipping!$Z$37)^($F147/24/Shipping!$Z$44+0.5*Shipping!$Z$59))</f>
        <v>14106309.692912472</v>
      </c>
      <c r="FN147" s="28">
        <f>IF($E147="","No Port",IF(G147="Panama","Ship cannot pass through Panama",((F147/24/Shipping!$Z$44+F147/24/Shipping!$Z$50+Shipping!$Z$59+Shipping!$Z$64)*(Shipping!$Z$22+wacc_nl*Shipping!$Z$19/365.25*1000000+Shipping!$Z$35)+(F147/24/Shipping!$Z$44*Shipping!$Z$45+Shipping!$Z$64*Shipping!$Z$65)*IF(bunker_choice="HFO",$H147,IF(bunker_choice="hydrogen",$BD147*hfo_e_density_lhv/h2_e_density_lhv,(FK147+FL147)*1000000/FM147*hfo_e_density_lhv/lh2_e_density_lhv))+(F147/24/Shipping!$Z$50*Shipping!$Z$51+Shipping!$Z$59*Shipping!$Z$60)*IF(bunker_choice="HFO",bunker_price_ROT,IF(bunker_choice="hydrogen",$BD147*hfo_e_density_lhv/h2_e_density_lhv,(FK147+FL147)*1000000/FM147*hfo_e_density_lhv/lh2_e_density_lhv))+Shipping!$Z$73+IF(G147="Panama",Shipping!$Z$55,0)+IF(G147="Suez",Shipping!$Z$56,0))/Shipping!$Z$31*(FM147+lh2_st_ab_losses)/1000000)+IF(inland_transport_to_port="hv dc grid",$BM147/100*1000*FP147,IF(inland_transport_to_port="pipeline",$BN147,0)))</f>
        <v>4582.0670048051434</v>
      </c>
      <c r="FO147" s="28">
        <f t="shared" si="200"/>
        <v>115076.35230366146</v>
      </c>
      <c r="FP147" s="29">
        <f>((Carriers!$AD$18/Carriers!$AD$23*alk_el_e_demand)+lh2_e_demand)*(FM147+lh2_st_ab_losses)/1000000+lh2_st_e_demand*FM147/1000000</f>
        <v>817.43119507884842</v>
      </c>
      <c r="FQ147" s="100">
        <f t="shared" si="193"/>
        <v>1.361902463475859</v>
      </c>
      <c r="FR147" s="28">
        <f>IFERROR(FO147*1000000/Storage!$Y$12,"")</f>
        <v>8461.4964929162852</v>
      </c>
      <c r="FS147" s="100">
        <f>H2_retrieval!$V$25*h2_demand_kt/1000</f>
        <v>8.16</v>
      </c>
      <c r="FT147" s="28">
        <f>IFERROR(FR147*(1+H2_retrieval!$V$34)/Carrier_properties!$U$7+H2_retrieval!$V$38,"")</f>
        <v>8493.4652187847532</v>
      </c>
      <c r="FU147" s="12"/>
      <c r="FV147" s="24">
        <f t="shared" si="201"/>
        <v>2.5471678745161643</v>
      </c>
      <c r="FW147" s="24">
        <f t="shared" si="143"/>
        <v>5.0769753139029987</v>
      </c>
      <c r="FX147" s="24">
        <f t="shared" si="144"/>
        <v>7.6106202018031794</v>
      </c>
      <c r="FY147" s="24">
        <f t="shared" si="202"/>
        <v>2.5471678745161643</v>
      </c>
      <c r="FZ147" s="28">
        <f t="shared" si="145"/>
        <v>2843.2082079783986</v>
      </c>
      <c r="GA147" s="28">
        <f t="shared" si="218"/>
        <v>660.47381259356371</v>
      </c>
      <c r="GB147" s="28">
        <f t="shared" si="219"/>
        <v>473.89942848593211</v>
      </c>
      <c r="GC147" s="28">
        <f t="shared" si="220"/>
        <v>744.70578696144423</v>
      </c>
      <c r="GD147" s="28">
        <f t="shared" si="221"/>
        <v>1089.1569690218812</v>
      </c>
      <c r="GE147" s="28">
        <f t="shared" si="222"/>
        <v>1909.5847223477535</v>
      </c>
      <c r="GF147" s="28">
        <f t="shared" si="223"/>
        <v>1973.889406496791</v>
      </c>
      <c r="GG147" s="12"/>
      <c r="GH147" s="12"/>
      <c r="GI147" s="12"/>
      <c r="GJ147" s="12"/>
      <c r="GK147" s="12"/>
      <c r="GL147" s="12"/>
      <c r="GM147" s="12"/>
      <c r="GN147" s="12"/>
      <c r="GO147" s="12"/>
      <c r="GP147" s="12"/>
      <c r="GQ147" s="12"/>
      <c r="GR147" s="12"/>
      <c r="GS147" s="12"/>
      <c r="GT147" s="12"/>
      <c r="GU147" s="12"/>
      <c r="GV147" s="12"/>
      <c r="GW147" s="12"/>
      <c r="GX147" s="12"/>
      <c r="GY147" s="12"/>
      <c r="GZ147" s="12"/>
      <c r="HA147" s="12"/>
      <c r="HB147" s="12"/>
      <c r="HC147" s="12"/>
      <c r="HD147" s="12"/>
      <c r="HE147" s="12"/>
      <c r="HF147" s="12"/>
    </row>
    <row r="148" spans="1:214" x14ac:dyDescent="0.2">
      <c r="A148" s="154" t="s">
        <v>94</v>
      </c>
      <c r="B148" s="12">
        <v>4536</v>
      </c>
      <c r="C148" s="12">
        <v>1</v>
      </c>
      <c r="D148" s="12">
        <f t="shared" si="194"/>
        <v>0</v>
      </c>
      <c r="E148" s="12"/>
      <c r="F148" s="12"/>
      <c r="G148" s="12"/>
      <c r="H148" s="16">
        <f t="shared" si="203"/>
        <v>382.75862068965517</v>
      </c>
      <c r="I148" s="16">
        <v>425400</v>
      </c>
      <c r="J148" s="16">
        <f t="shared" si="195"/>
        <v>367.97965376170538</v>
      </c>
      <c r="K148" s="16" t="str">
        <f t="shared" si="196"/>
        <v/>
      </c>
      <c r="L148" s="103">
        <v>0.20200000000000001</v>
      </c>
      <c r="M148" s="103">
        <f t="shared" si="204"/>
        <v>0.18426992967210076</v>
      </c>
      <c r="N148" s="122">
        <f t="shared" si="197"/>
        <v>0.9</v>
      </c>
      <c r="O148" s="46">
        <f t="shared" si="205"/>
        <v>40</v>
      </c>
      <c r="P148" s="70">
        <f t="array" ref="P148">SUMPRODUCT(IF(Solar_data!A$4:A$777=A148,Solar_data!C$4:C$777),IF(Solar_data!A$4:A$777=A148,Solar_data!I$4:I$777))/SUMIF(Solar_data!A$4:A$777,A148,Solar_data!I$4:I$777)</f>
        <v>1765.5401785327419</v>
      </c>
      <c r="Q148" s="16">
        <f t="array" ref="Q148">MAX(IF(Solar_data!$A$777:'Solar_data'!$A$4=Country_details!$A148,Solar_data!$C$4:'Solar_data'!$C$777))</f>
        <v>1916.25</v>
      </c>
      <c r="R148" s="16">
        <f t="array" ref="R148">MIN(IF(Solar_data!$A$777:'Solar_data'!$A$4=Country_details!A148,Solar_data!$C$4:'Solar_data'!$C$777))</f>
        <v>1551.25</v>
      </c>
      <c r="S148" s="24">
        <f t="shared" si="176"/>
        <v>3.4720505479887454</v>
      </c>
      <c r="T148" s="24">
        <f t="shared" si="177"/>
        <v>3.1989796448118737</v>
      </c>
      <c r="U148" s="24">
        <f t="shared" si="178"/>
        <v>3.9516807377087857</v>
      </c>
      <c r="V148" s="16">
        <f t="array" ref="V148">SUM(IF(Solar_data!$A$777:'Solar_data'!$A$4=Country_details!$A148,Solar_data!$I$4:'Solar_data'!$I$777))</f>
        <v>3226.4739771184331</v>
      </c>
      <c r="W148" s="148"/>
      <c r="X148" s="16" t="str">
        <f>IFERROR(INDEX(Onshore_wind_data!$J$5:'Onshore_wind_data'!$J$221,MATCH(A148,Onshore_wind_data!$B$5:'Onshore_wind_data'!$B$221,0)),"")</f>
        <v/>
      </c>
      <c r="Y148" s="16" t="str">
        <f>IFERROR(INDEX(Onshore_wind_data!$K$5:'Onshore_wind_data'!$K$221,MATCH(A148,Onshore_wind_data!$B$5:'Onshore_wind_data'!$B$221,0)),"")</f>
        <v/>
      </c>
      <c r="Z148" s="16" t="str">
        <f>IFERROR(INDEX(Onshore_wind_data!$L$5:'Onshore_wind_data'!$L$221,MATCH(A148,Onshore_wind_data!$B$5:'Onshore_wind_data'!$B$221,0)),"")</f>
        <v/>
      </c>
      <c r="AA148" s="24" t="str">
        <f t="shared" si="206"/>
        <v/>
      </c>
      <c r="AB148" s="24" t="str">
        <f t="shared" si="207"/>
        <v/>
      </c>
      <c r="AC148" s="24" t="str">
        <f t="shared" si="208"/>
        <v/>
      </c>
      <c r="AD148" s="16">
        <f>IFERROR(INDEX(Onshore_wind_data!$I$5:'Onshore_wind_data'!$I$221,MATCH(A148,Onshore_wind_data!$B$5:'Onshore_wind_data'!$B$221,0)),"")</f>
        <v>0</v>
      </c>
      <c r="AE148" s="148"/>
      <c r="AF148" s="16" t="str">
        <f>INDEX(Offshore_wind_data!$AA$7:$AA$192,MATCH(Country_details!A148,Offshore_wind_data!$A$7:$A$192,0))</f>
        <v/>
      </c>
      <c r="AG148" s="16" t="str">
        <f>INDEX(Offshore_wind_data!$Y$7:$Y$192,MATCH(Country_details!A148,Offshore_wind_data!$A$7:$A$192,0))</f>
        <v/>
      </c>
      <c r="AH148" s="16" t="str">
        <f>INDEX(Offshore_wind_data!$Z$7:$Z$192,MATCH(Country_details!A148,Offshore_wind_data!$A$7:$A$192,0))</f>
        <v/>
      </c>
      <c r="AI148" s="24" t="str">
        <f t="shared" si="179"/>
        <v/>
      </c>
      <c r="AJ148" s="24" t="str">
        <f t="shared" si="180"/>
        <v/>
      </c>
      <c r="AK148" s="24" t="str">
        <f t="shared" si="181"/>
        <v/>
      </c>
      <c r="AL148" s="16">
        <f>INDEX(Offshore_wind_data!$W$7:$W$191,MATCH(A148,Offshore_wind_data!$A$7:$A$191,0))</f>
        <v>0</v>
      </c>
      <c r="AM148" s="148"/>
      <c r="AN148" s="12">
        <v>31.9</v>
      </c>
      <c r="AO148" s="12">
        <v>41</v>
      </c>
      <c r="AP148" s="34">
        <f>2.04*11.63</f>
        <v>23.725200000000001</v>
      </c>
      <c r="AQ148" s="15">
        <f t="shared" si="182"/>
        <v>50</v>
      </c>
      <c r="AR148" s="12">
        <f t="shared" si="212"/>
        <v>2050</v>
      </c>
      <c r="AS148" s="16">
        <f t="shared" si="198"/>
        <v>1176.4739771184331</v>
      </c>
      <c r="AT148" s="12"/>
      <c r="AU148" s="24">
        <f t="shared" si="183"/>
        <v>3.4720505479887454</v>
      </c>
      <c r="AV148" s="16">
        <f t="shared" si="184"/>
        <v>1765.5401785327419</v>
      </c>
      <c r="AW148" s="149">
        <f>HV_DC_Grid!$E$3/(1-AX148)*AU148/100*1000</f>
        <v>3849.5009992800451</v>
      </c>
      <c r="AX148" s="31">
        <f>(1-(1-HV_DC_Grid!$E$25)^(B148*C148*HV_DC_Grid!$E$8/1000))+(1-(1-HV_DC_Grid!$E$26)^(B148*D148*HV_DC_Grid!$E$8/1000))+HV_DC_Grid!$E$35*HV_DC_Grid!$E$28</f>
        <v>9.8051786806106253E-2</v>
      </c>
      <c r="AY148" s="28">
        <f>B148*nl_e_demand/IF(hv_dc_flh="electricity FLH",$AV148,hv_dc_custom)*1000*hv_dc_capacity_multiplier*hv_dc_length_multiplier*1000*(C148*hv_dc_overhead_invest*(hv_dc_overhead_opex+M148+1/hv_dc_lifetime)+D148*hv_dc_sea_invest*(hv_dc_sea_opex+M148+1/hv_dc_lifetime))/1000000+HV_DC_Grid!$E$10*1000*hv_dc_station_invest*hv_dc_station_number*(hv_dc_station_opex+M148+1/hv_dc_lifetime)/1000000</f>
        <v>5830.4049715755318</v>
      </c>
      <c r="AZ148" s="24">
        <f>(AW148+AY148)/(HV_DC_Grid!$E$3*1000)*100</f>
        <v>9.679905970855577</v>
      </c>
      <c r="BA148" s="28">
        <f>MIN(((Carriers!$F$26+Carriers!$F$27)*(alk_el_opex+wacc_nl+1/alk_el_lifetime)+IF(hv_dc_flh="electricity FLH",$AV148,hv_dc_custom)*AZ148/100)/(IF(hv_dc_flh="electricity FLH",$AV148,hv_dc_custom)/alk_el_e_demand)*1000,((Carriers!$H$26+Carriers!$H$27)*(pem_el_opex+wacc_nl+1/pem_el_lifetime)+IF(hv_dc_flh="electricity FLH",$AV148,hv_dc_custom)*AZ148/100)/(IF(hv_dc_flh="electricity FLH",$AV148,hv_dc_custom)/pem_el_e_demand)*1000)</f>
        <v>5296.6141070956528</v>
      </c>
      <c r="BB148" s="12"/>
      <c r="BC148" s="12"/>
      <c r="BD148" s="149">
        <f>MIN(((Carriers!$F$26+Carriers!$F$27)*(alk_el_opex+M148+1/alk_el_lifetime)+$AV148*$AU148/100)/($AV148/alk_el_e_demand)*1000,((Carriers!$H$26+Carriers!$H$27)*(pem_el_opex+M148+1/pem_el_lifetime)+$AV148*$AU148/100)/($AV148/pem_el_e_demand)*1000)</f>
        <v>4305.0772476365373</v>
      </c>
      <c r="BE148" s="28">
        <f>Storage!$AC$50</f>
        <v>8.1664117557772418</v>
      </c>
      <c r="BF148" s="28">
        <f>((Pipeline!$D$22*Pipeline!$D$24*B148*(pipeline_opex+M148+1/pipeline_lifetime))*(Pipeline!$D$39/Pipeline!$D$3)+(Pipeline!$D$57*(pipeline_comp_opex+M148+1/pipeline_comp_lifetime)+Pipeline!$D$47*1000*Pipeline!$D$45*$AU148/100/1000000))*(Pipeline!$D$75/Pipeline!$D$45)</f>
        <v>13411.536901349607</v>
      </c>
      <c r="BG148" s="28">
        <f>BD148+(BE148+BF148)/Storage!$AC$12*1000000</f>
        <v>5291.8201383060514</v>
      </c>
      <c r="BH148" s="28"/>
      <c r="BI148" s="28"/>
      <c r="BJ148" s="28" t="str">
        <f>IF($E148="","No Port",BK148*HV_DC_Grid!$E$3*$AU148/100*1000)</f>
        <v>No Port</v>
      </c>
      <c r="BK148" s="31" t="str">
        <f>IFERROR((1-(1-HV_DC_Grid!$E$25)^(K148*HV_DC_Grid!$E$8/1000))+HV_DC_Grid!$E$35*HV_DC_Grid!$E$28,"")</f>
        <v/>
      </c>
      <c r="BL148" s="28" t="str">
        <f>IFERROR(K148*nl_e_demand/IF(hv_dc_flh="electricity FLH",$AV148,hv_dc_custom)*1000*hv_dc_capacity_multiplier*hv_dc_length_multiplier*1000*(hv_dc_overhead_invest*(hv_dc_overhead_opex+M148+1/hv_dc_lifetime))/1000000+HV_DC_Grid!$E$10*1000*hv_dc_station_invest*hv_dc_station_number*(hv_dc_station_opex+M148+1/hv_dc_lifetime)/1000000,"")</f>
        <v/>
      </c>
      <c r="BM148" s="29" t="str">
        <f>IFERROR((BJ148+BL148)/(HV_DC_Grid!$E$3*1000)*100,"")</f>
        <v/>
      </c>
      <c r="BN148" s="28" t="str">
        <f>IFERROR(((Pipeline!$D$22*Pipeline!$D$24*K148*(pipeline_opex+M148+1/pipeline_lifetime))*(Pipeline!$D$39/Pipeline!$D$3)+(Pipeline!$D$57*(pipeline_comp_opex+M148+1/pipeline_comp_lifetime)+Pipeline!$D$47*1000*Pipeline!$D$45*S148/100/1000000))*(Pipeline!$D$75/Pipeline!$D$45),"")</f>
        <v/>
      </c>
      <c r="BO148" s="28"/>
      <c r="BP148" s="150">
        <f t="shared" si="209"/>
        <v>147.73124284998849</v>
      </c>
      <c r="BQ148" s="34">
        <f t="shared" si="210"/>
        <v>44.062552098777282</v>
      </c>
      <c r="BR148" s="151">
        <f>(nh3_invest*(M148+1/nh3_lifetime)/nh3_prod+nh3_opex+nh3_e_demand*1000*$AU148/100+Carriers!$N$18/Carriers!$N$23*BD148+Carriers!$N$19/Carriers!$N$23*BQ148)*(BT148+nh3_st_ab_losses)/1000000</f>
        <v>73148.649638224466</v>
      </c>
      <c r="BS148" s="63">
        <f>nh3_st_nl_cost*nh3_st_nl_demand/1000000+(nh3_st_invest*(M148+1/nh3_st_lifetime+nh3_st_opex)/(Storage!$G$63/1000000)+nh3_st_e_demand*1000*$AU148/100)*(BT148+nh3_st_ab_losses)/1000000+Carriers!$N$18/Carriers!$N$23*((BT148+nh3_st_ab_losses)/365.25*short_st_duration_hrs/24)*(h2_short_st_invest*(1/gh2_short_st_lifetime+$M148+h2_short_st_opex)+h2_short_st_e_demand*1000*$AU148/100)/1000000+Carriers!$N$19/Carriers!$N$23*((BT148+nh3_st_ab_losses)/365.25*short_st_duration_hrs/24)*(n2_short_st_invest*(1/n2_short_st_lifetime+$M148+n2_short_st_opex)+n2_short_st_e_demand*1000*$AU148/100)/1000000</f>
        <v>4067.559029338147</v>
      </c>
      <c r="BT148" s="63">
        <f>Storage!$G$57/((1-Shipping!$H$37)^(F148/24/Shipping!$H$44+0.5*Shipping!$H$59))</f>
        <v>76857210.785724297</v>
      </c>
      <c r="BU148" s="63" t="str">
        <f>IF($E148="","No Port",((F148/24/Shipping!$H$44+F148/24/Shipping!$H$50+Shipping!$H$59+Shipping!$H$64)*(Shipping!$H$22+wacc_nl*Shipping!$H$19/365.25*1000000+Shipping!$H$35)+(F148/24/Shipping!$H$44*Shipping!$H$45+Shipping!$H$64*Shipping!$H$65)*IF(bunker_choice="HFO",H148,IF(bunker_choice="hydrogen",BD148*hfo_e_density_lhv/h2_e_density_lhv,(BR148+BS148)*1000000/BT148*hfo_e_density_lhv/nh3_e_density_lhv))+(F148/24/Shipping!$H$50*Shipping!$H$51+Shipping!$H$59*Shipping!$H$60)*IF(bunker_choice="HFO",bunker_price_ROT,IF(bunker_choice="hydrogen",BD148*hfo_e_density_lhv/h2_e_density_lhv,(BR148+BS148)*1000000/BT148*hfo_e_density_lhv/nh3_e_density_lhv))+Shipping!$H$73+IF(G148="Panama",Shipping!$H$55,0)+IF(G148="Suez",Shipping!$H$56,0))/Shipping!$H$31*BT148/1000000+IF(inland_transport_to_port="hv dc grid",$BM148/100*1000*BW148,IF(inland_transport_to_port="pipeline",$BN148,0)))</f>
        <v>No Port</v>
      </c>
      <c r="BV148" s="63" t="str">
        <f t="shared" si="199"/>
        <v/>
      </c>
      <c r="BW148" s="33">
        <f>((Carriers!$N$18/Carriers!$N$23*alk_el_e_demand)+(Carriers!$N$19/Carriers!$N$23*n2_e_demand)+nh3_e_demand)*(BT148+nh3_st_ab_losses)/1000000+nh3_st_e_demand*BT148/1000000</f>
        <v>759.00171168026975</v>
      </c>
      <c r="BX148" s="33">
        <f t="shared" si="185"/>
        <v>0.76626754477640768</v>
      </c>
      <c r="BY148" s="63" t="str">
        <f>IFERROR(BV148*1000000/Storage!$G$12,"")</f>
        <v/>
      </c>
      <c r="BZ148" s="63">
        <f>H2_retrieval!$F$25*h2_demand_kt/1000</f>
        <v>80</v>
      </c>
      <c r="CA148" s="63" t="str">
        <f>IFERROR(BY148*(1+H2_retrieval!$F$34)/Carrier_properties!$E$7+H2_retrieval!$F$38,"")</f>
        <v/>
      </c>
      <c r="CB148" s="149">
        <f>(FA_invest*(M148+1/FA_lifetime)/FA_prod+FA_opex+FA_e_demand*1000*$AU148/100+Carriers!$P$18/Carriers!$P$23*BD148+Carriers!$P$20/Carriers!$P$23*co2_liq_cost)*(CF148+FA_st_ab_losses)/1000000</f>
        <v>145237.82720441907</v>
      </c>
      <c r="CC148" s="86">
        <f>(FA_invest*(M148+1/FA_lifetime)/FA_prod+FA_opex+FA_e_demand*1000*$AU148/100+Carriers!$P$18/Carriers!$P$23*BD148+Carriers!$P$20/Carriers!$P$23*BP148)*(CF148+FA_st_ab_losses)/1000000</f>
        <v>181436.03198000355</v>
      </c>
      <c r="CD148" s="63">
        <f>FA_st_nl_cost*FA_st_nl_demand/1000000+(FA_st_invest*(M148+1/FA_st_lifetime+FA_st_opex)/(Storage!$I$63/1000000)+FA_st_e_demand*1000*$AU148/100)*(CF148+FA_st_ab_losses)/1000000+co2_st_nl_cost*Storage!$I$12*co2_density/FA_density/1000000+(co2_st_opex_lev+co2_st_invest_lev+co2_st_e_demand*1000*$AU148/100)*Storage!$I$12/1000000+co2_st_invest_lev*Storage!$I$12*co2_st_lifetime*M148/1000000+Carriers!$P$18/Carriers!$P$23*((CF148+FA_st_ab_losses)/365.25*short_st_duration_hrs/24)*(h2_short_st_invest*(1/gh2_short_st_lifetime+$M148+h2_short_st_opex)+h2_short_st_e_demand*1000*$AU148/100)/1000000+Carriers!$P$20/Carriers!$P$23*((CF148+FA_st_ab_losses)/365.25*short_st_duration_hrs/24)*(co2_short_st_invest*(1/co2_short_st_lifetime+$M148+co2_short_st_opex)+co2_short_st_e_demand*1000*$AU148/100)/1000000</f>
        <v>13937.952435910047</v>
      </c>
      <c r="CE148" s="63">
        <f>FA_st_nl_cost*FA_st_nl_demand/1000000+(FA_st_invest*(M148+1/FA_st_lifetime+FA_st_opex)/(Storage!$I$63/1000000)+FA_st_e_demand*1000*$AU148/100)*(CF148+FA_st_ab_losses)/1000000+Carriers!$P$18/Carriers!$P$23*((CF148+FA_st_ab_losses)/365.25*short_st_duration_hrs/24)*(h2_short_st_invest*(1/gh2_short_st_lifetime+$M148+h2_short_st_opex)+h2_short_st_e_demand*1000*$AU148/100)/1000000+Carriers!$P$20/Carriers!$P$23*((CF148+FA_st_ab_losses)/365.25*short_st_duration_hrs/24)*(co2_short_st_invest*(1/co2_short_st_lifetime+$M148+co2_short_st_opex)+co2_short_st_e_demand*1000*$AU148/100)/1000000</f>
        <v>6143.8976518225836</v>
      </c>
      <c r="CF148" s="63">
        <f>Storage!$I$57/((1-Shipping!$J$37)^($F148/24/Shipping!$J$44+0.5*Shipping!$J$59))</f>
        <v>310425396.82539684</v>
      </c>
      <c r="CG148" s="28" t="str">
        <f>IF($E148="","No Port",((F148/24/Shipping!$J$44+F148/24/Shipping!$J$50+Shipping!$J$59+Shipping!$J$64)*(Shipping!$J$22+wacc_nl*Shipping!$J$19/365.25*1000000+Shipping!$J$35)+(F148/24/Shipping!$J$44*Shipping!$J$45+Shipping!$J$64*Shipping!$J$65)*IF(bunker_choice="HFO",$H148,IF(bunker_choice="hydrogen",$BD148*hfo_e_density_lhv/h2_e_density_lhv,(CB148+CD148)*1000000/CF148*hfo_e_density_lhv/FA_e_density_lhv))+(F148/24/Shipping!$J$50*Shipping!$J$51+Shipping!$J$59*Shipping!$J$60)*IF(bunker_choice="HFO",bunker_price_ROT,IF(bunker_choice="hydrogen",$BD148*hfo_e_density_lhv/h2_e_density_lhv,(CB148+CD148)*1000000/CF148*hfo_e_density_lhv/FA_e_density_lhv))+Shipping!$J$73+IF(G148="Panama",Shipping!$J$55,0)+IF(G148="Suez",Shipping!$J$56,0))/Shipping!$J$31*CF148/1000000+IF(inland_transport_to_port="hv dc grid",$BM148/100*1000*CI148,IF(inland_transport_to_port="pipeline",$BN148,0)))</f>
        <v>No Port</v>
      </c>
      <c r="CH148" s="28" t="str">
        <f t="shared" si="213"/>
        <v/>
      </c>
      <c r="CI148" s="29">
        <f>((Carriers!$P$18/Carriers!$P$23*alk_el_e_demand)+FA_e_demand)*(CF148+FA_st_ab_losses)/1000000+FA_st_e_demand*CF148/1000000</f>
        <v>1897.8881241622576</v>
      </c>
      <c r="CJ148" s="29">
        <f t="shared" si="186"/>
        <v>0.46563809523809524</v>
      </c>
      <c r="CK148" s="28" t="str">
        <f>IFERROR(CH148*1000000/Storage!$I$12,"")</f>
        <v/>
      </c>
      <c r="CL148" s="28" t="str">
        <f>IF($E148="","No Port",((F148/24/Shipping!$J$44+F148/24/Shipping!$J$50+Shipping!$J$59+Shipping!$J$64)*Carriers!$P$39*wacc_nl))</f>
        <v>No Port</v>
      </c>
      <c r="CM148" s="29">
        <f>H2_retrieval!$H$25*h2_demand_kt/1000+(co2_liq_e_demand+co2_st_e_demand*2)*Storage!$I$12*co2_density/FA_density/1000000</f>
        <v>94.204253879484654</v>
      </c>
      <c r="CN148" s="28" t="str">
        <f>IFERROR((((CB148+CD148+CG148)*(1+H2_retrieval!$H$34)+CL148)*1000000/H2_retrieval!$H$8)+h2_regen_fa,"")</f>
        <v/>
      </c>
      <c r="CO148" s="149">
        <f>(meoh_invest*(M148+1/meoh_lifetime)/meoh_prod+meoh_opex+meoh_e_demand*1000*$AU148/100+Carriers!$R$18/Carriers!$R$23*BD148+Carriers!$R$20/Carriers!$R$23*co2_liq_cost)*(CS148+meoh_st_ab_losses)/1000000</f>
        <v>93523.214600916544</v>
      </c>
      <c r="CP148" s="86">
        <f>(meoh_invest*(M148+1/meoh_lifetime)/meoh_prod+meoh_opex+meoh_e_demand*1000*$AU148/100+Carriers!$R$18/Carriers!$R$23*BD148+Carriers!$R$20/Carriers!$R$23*BP148)*(CS148+meoh_st_ab_losses)/1000000</f>
        <v>114772.67830924156</v>
      </c>
      <c r="CQ148" s="63">
        <f>meoh_st_nl_cost*meoh_st_nl_demand/1000000+(meoh_st_invest*(M148+1/meoh_st_lifetime+meoh_st_opex)/(Storage!$K$63/1000000)+meoh_st_e_demand*1000*$AU148/100)*(CS148+meoh_st_ab_losses)/1000000+co2_st_nl_cost*Storage!$K$12*co2_density/meoh_density/1000000+(co2_st_opex_lev+co2_st_invest_lev+co2_st_e_demand*1000*IFERROR(MIN(S148,AA148,AI148),S148)/100)*Storage!$K$12/1000000+co2_st_invest_lev*Storage!$K$12*co2_st_lifetime*M148/1000000+Carriers!$R$18/Carriers!$R$23*((CS148+meoh_st_ab_losses)/365.25*short_st_duration_hrs/24)*(h2_short_st_invest*(1/gh2_short_st_lifetime+$M148+h2_short_st_opex)+h2_short_st_e_demand*1000*$AU148/100)/1000000+Carriers!$R$20/Carriers!$R$23*((CF148+meoh_st_ab_losses)/365.25*short_st_duration_hrs/24)*(co2_short_st_invest*(1/co2_short_st_lifetime+$M148+co2_short_st_opex)+co2_short_st_e_demand*1000*$AU148/100)/1000000</f>
        <v>5799.9945575339989</v>
      </c>
      <c r="CR148" s="63">
        <f>meoh_st_nl_cost*meoh_st_nl_demand/1000000+(meoh_st_invest*(M148+1/meoh_st_lifetime+meoh_st_opex)/(Storage!$K$63/1000000)+meoh_st_e_demand*1000*$AU148/100)*(CS148+meoh_st_ab_losses)/1000000+Carriers!$R$18/Carriers!$R$23*((CS148+meoh_st_ab_losses)/365.25*short_st_duration_hrs/24)*(h2_short_st_invest*(1/gh2_short_st_lifetime+$M148+h2_short_st_opex)+h2_short_st_e_demand*1000*$AU148/100)/1000000+Carriers!$R$20/Carriers!$R$23*((CF148+meoh_st_ab_losses)/365.25*short_st_duration_hrs/24)*(co2_short_st_invest*(1/co2_short_st_lifetime+$M148+co2_short_st_opex)+co2_short_st_e_demand*1000*$AU148/100)/1000000</f>
        <v>2488.254129637412</v>
      </c>
      <c r="CS148" s="63">
        <f>Storage!$K$57/((1-Shipping!$L$37)^($F148/24/Shipping!$L$44+0.5*Shipping!$L$59))</f>
        <v>108044444.44444443</v>
      </c>
      <c r="CT148" s="28" t="str">
        <f>IF($E148="","No Port",IF(AND(ship_choice="VLCC",G148="Panama"),"Ship cannot pass through Panama",IF(ship_choice="VLCC",((F148/24/Shipping!$AD$44+F148/24/Shipping!$AD$50+Shipping!$AD$59+Shipping!$AD$64)*(Shipping!$AD$22+wacc_nl*Shipping!$AD$19/365.25*1000000+Shipping!$AD$35)+(F148/24/Shipping!$AD$44*Shipping!$AD$45+Shipping!$AD$64*Shipping!$AD$65)*IF(bunker_choice="HFO",$H148,IF(bunker_choice="hydrogen",$BD148*hfo_e_density_lhv/h2_e_density_lhv,(CO148+CQ148)*1000000/CS148*hfo_e_density_lhv/meoh_e_density_lhv))+(F148/24/Shipping!$AD$50*Shipping!$AD$51+Shipping!$AD$59*Shipping!$AD$60)*IF(bunker_choice="HFO",bunker_price_ROT,IF(bunker_choice="hydrogen",$BD148*hfo_e_density_lhv/h2_e_density_lhv,(CO148+CQ148)*1000000/CS148*hfo_e_density_lhv/meoh_e_density_lhv))+Shipping!$AD$73+IF(G148="Panama",Shipping!$AD$55,0)+IF(G148="Suez",Shipping!$AD$56,0))/Shipping!$AD$31*CS148/1000000+IF(inland_transport_to_port="hv dc grid",$BM148/100*1000*CV148,IF(inland_transport_to_port="pipeline",$BN148,0)),((F148/24/Shipping!$L$44+F148/24/Shipping!$L$50+Shipping!$L$59+Shipping!$L$64)*(Shipping!$L$22+wacc_nl*Shipping!$L$19/365.25*1000000+Shipping!$L$35)+(F148/24/Shipping!$L$44*Shipping!$L$45+Shipping!$L$64*Shipping!$L$65)*IF(bunker_choice="HFO",$H148,IF(bunker_choice="hydrogen",$BD148*hfo_e_density_lhv/h2_e_density_lhv,(CO148+CQ148)*1000000/CS148*hfo_e_density_lhv/meoh_e_density_lhv))+(F148/24/Shipping!$L$50*Shipping!$L$51+Shipping!$L$59*Shipping!$L$60)*IF(bunker_choice="HFO",bunker_price_ROT,IF(bunker_choice="hydrogen",$BD148*hfo_e_density_lhv/h2_e_density_lhv,(CO148+CQ148)*1000000/CS148*hfo_e_density_lhv/meoh_e_density_lhv))+Shipping!$L$73+IF(G148="Panama",Shipping!$L$55,0)+IF(G148="Suez",Shipping!$L$56,0))/Shipping!$L$31*CS148/1000000+IF(inland_transport_to_port="hv dc grid",$BM148/100*1000*CV148,IF(inland_transport_to_port="pipeline",$BN148,0)))))</f>
        <v>No Port</v>
      </c>
      <c r="CU148" s="28" t="str">
        <f t="shared" si="214"/>
        <v/>
      </c>
      <c r="CV148" s="29">
        <f>((Carriers!$R$18/Carriers!$R$23*alk_el_e_demand)+meoh_e_demand)*(CS148+meoh_st_ab_losses)/1000000+meoh_st_e_demand*CS148/1000000</f>
        <v>1119.9789871111109</v>
      </c>
      <c r="CW148" s="29">
        <f t="shared" si="187"/>
        <v>0.16206666666666666</v>
      </c>
      <c r="CX148" s="28" t="str">
        <f>IFERROR(CU148*1000000/Storage!$K$12,"")</f>
        <v/>
      </c>
      <c r="CY148" s="28" t="str">
        <f>IF($E148="","No Port",((F148/24/Shipping!$L$44+F148/24/Shipping!$L$50+Shipping!$L$59+Shipping!$L$64)*Carriers!$R$39*wacc_nl))</f>
        <v>No Port</v>
      </c>
      <c r="CZ148" s="29">
        <f>H2_retrieval!$J$25*h2_demand_kt/1000+(co2_liq_e_demand+co2_st_e_demand*2)*Storage!$K$12*co2_density/meoh_density/1000000</f>
        <v>251.05079059698966</v>
      </c>
      <c r="DA148" s="28" t="str">
        <f>IFERROR((((CO148+CQ148+CT148)*(1+H2_retrieval!$J$34)+CY148)*1000000/H2_retrieval!$J$8)+h2_regen_meoh,"")</f>
        <v/>
      </c>
      <c r="DB148" s="149">
        <f>(DBT_invest*(M148+1/DBT_lifetime)/DBT_prod+DBT_opex+DBT_e_demand*1000*$AU148/100+Carriers!$T$18/Carriers!$T$23*BD148)*(DD148+DBT_st_ab_losses)/1000000</f>
        <v>62503.793267340516</v>
      </c>
      <c r="DC148" s="28">
        <f>2*(DBT_st_nl_cost*DBT_st_nl_demand/1000000+(DBT_st_invest*(M148+1/DBT_st_lifetime+DBT_st_opex)/(Storage!$M$63/1000000)+DBT_st_e_demand*1000*$AU148/100)*(DD148+DBT_st_ab_losses)/1000000)+Carriers!$T$18/Carriers!$T$23*((DD148+DBT_st_ab_losses)/365.25*short_st_duration_hrs/24)*(h2_short_st_invest*(1/gh2_short_st_lifetime+$M148+h2_short_st_opex)+h2_short_st_e_demand*1000*$AU148/100)/1000000</f>
        <v>4988.2507472740645</v>
      </c>
      <c r="DD148" s="63">
        <f>Storage!$M$57/((1-Shipping!$N$37)^($F148/24/Shipping!$N$44+0.5*Shipping!$N$59))</f>
        <v>219354838.70967743</v>
      </c>
      <c r="DE148" s="28" t="str">
        <f>IF($E148="","No Port",IF(AND(ship_choice="VLCC",G148="Panama"),"Ship cannot pass through Panama",IF(ship_choice="VLCC",((F148/24/Shipping!$AD$44+F148/24/Shipping!$AD$50+Shipping!$AD$59+Shipping!$AD$64)*(Shipping!$AD$22+wacc_nl*Shipping!$AD$19/365.25*1000000+Shipping!$AD$35)+(F148/24/Shipping!$AD$44*Shipping!$AD$45+Shipping!$AD$64*Shipping!$AD$65)*IF(bunker_choice="HFO",$H148,IF(bunker_choice="hydrogen",$BD148*hfo_e_density_lhv/h2_e_density_lhv,(DB148+DC148)*1000000/DD148*hfo_e_density_lhv/DBT_e_density_lhv))+(F148/24/Shipping!$AD$50*Shipping!$AD$51+Shipping!$AD$59*Shipping!$AD$60)*IF(bunker_choice="HFO",bunker_price_ROT,IF(bunker_choice="hydrogen",$BD148*hfo_e_density_lhv/h2_e_density_lhv,(DB148+DC148)*1000000/DD148*hfo_e_density_lhv/DBT_e_density_lhv))+Shipping!$AD$73+IF(G148="Panama",Shipping!$AD$55,0)+IF(G148="Suez",Shipping!$AD$56,0))/Shipping!$AD$31*DD148/1000000+IF(inland_transport_to_port="hv dc grid",$BM148/100*1000*DG148,IF(inland_transport_to_port="pipeline",$BN148,0)),((F148/24/Shipping!$N$44+F148/24/Shipping!$N$50+Shipping!$N$59+Shipping!$N$64)*(Shipping!$N$22+wacc_nl*Shipping!$N$19/365.25*1000000+Shipping!$N$35)+(F148/24/Shipping!$N$44*Shipping!$N$45+Shipping!$N$64*Shipping!$N$65)*IF(bunker_choice="HFO",$H148,IF(bunker_choice="hydrogen",$BD148*hfo_e_density_lhv/h2_e_density_lhv,(DB148+DC148)*1000000/DD148*hfo_e_density_lhv/DBT_e_density_lhv))+(F148/24/Shipping!$N$50*Shipping!$N$51+Shipping!$N$59*Shipping!$N$60)*IF(bunker_choice="HFO",bunker_price_ROT,IF(bunker_choice="hydrogen",$BD148*hfo_e_density_lhv/h2_e_density_lhv,(DB148+DC148)*1000000/DD148*hfo_e_density_lhv/DBT_e_density_lhv))+Shipping!$N$73+IF(G148="Panama",Shipping!$N$55,0)+IF(G148="Suez",Shipping!$N$56,0))/Shipping!$N$31*Shipping!$N$86/1000000+IF(inland_transport_to_port="hv dc grid",$BM148/100*1000*DG148,IF(inland_transport_to_port="pipeline",$BN148,0)))))</f>
        <v>No Port</v>
      </c>
      <c r="DF148" s="28" t="str">
        <f t="shared" si="159"/>
        <v/>
      </c>
      <c r="DG148" s="29">
        <f>((Carriers!$T$18/Carriers!$T$23*alk_el_e_demand)+DBT_e_demand)*(DD148+DBT_st_ab_losses)/1000000+DBT_st_e_demand*DD148/1000000</f>
        <v>703.88335483870969</v>
      </c>
      <c r="DH148" s="29">
        <f t="shared" si="188"/>
        <v>0.21935483870967742</v>
      </c>
      <c r="DI148" s="28" t="str">
        <f>IFERROR(DF148*1000000/Storage!$M$12,"")</f>
        <v/>
      </c>
      <c r="DJ148" s="28" t="str">
        <f>IF($E148="","No Port",((F148/24/Shipping!$N$44+F148/24/Shipping!$N$50+Shipping!$N$59+Shipping!$N$64)*Carriers!$T$39*wacc_nl))</f>
        <v>No Port</v>
      </c>
      <c r="DK148" s="100">
        <f>H2_retrieval!$L$25*h2_demand_kt/1000+(co2_liq_e_demand+co2_st_e_demand*2)*Storage!$M$12*co2_density/DBT_density/1000000</f>
        <v>206.61934861671787</v>
      </c>
      <c r="DL148" s="28" t="str">
        <f>IFERROR(((DF148*(1+H2_retrieval!$L$34)+DJ148)*1000000/H2_retrieval!$L$8)+h2_regen_lohc,"")</f>
        <v/>
      </c>
      <c r="DM148" s="149">
        <f t="shared" si="211"/>
        <v>64249.165619402316</v>
      </c>
      <c r="DN148" s="16">
        <f>2*(nabh4_st_nl_cost*nabh4_st_nl_demand/1000000+(nabh4_st_invest*(M148+1/nabh4_st_lifetime+nabh4_st_opex)/(Storage!$O$63/1000000)+nabh4_st_e_demand*1000*$AU148/100)*(DO148+nabh4_st_ab_losses)/1000000)+(h2_demand_kt*1000/365.25*short_st_duration_hrs/24)*(h2_short_st_invest*(1/gh2_short_st_lifetime+$M148+h2_short_st_opex)+h2_short_st_e_demand*1000*$AU148/100)/1000000</f>
        <v>1711.0823218777032</v>
      </c>
      <c r="DO148" s="63">
        <f>Storage!$O$57/((1-Shipping!$P$37)^($F148/24/Shipping!$P$44+0.5*Shipping!$P$59))</f>
        <v>63920000</v>
      </c>
      <c r="DP148" s="16" t="str">
        <f>IF($E148="","No Port",((F148/24/Shipping!$P$44+F148/24/Shipping!$P$50+Shipping!$P$59+Shipping!$P$64)*(Shipping!$P$22+wacc_nl*Shipping!$P$19/365.25*1000000+Shipping!$P$35)+(F148/24/Shipping!$P$44*Shipping!$P$45+Shipping!$P$64*Shipping!$P$65)*IF(bunker_choice="HFO",$H148,IF(bunker_choice="hydrogen",$BD148*hfo_e_density_lhv/h2_e_density_lhv,(DM148+DN148)*1000000/DO148*hfo_e_density_lhv/nabh4_e_density_lhv))+(F148/24/Shipping!$P$50*Shipping!$P$51+Shipping!$P$59*Shipping!$P$60)*IF(bunker_choice="HFO",bunker_price_ROT,IF(bunker_choice="hydrogen",$BD148*hfo_e_density_lhv/h2_e_density_lhv,(DM148+DN148)*1000000/DO148*hfo_e_density_lhv/nabh4_e_density_lhv))+Shipping!$P$73+IF(G148="Panama",Shipping!$P$55,0)+IF(G148="Suez",Shipping!$P$56,0))/Shipping!$P$31*(DO148+nabh4_st_ab_losses)/1000000+IF(inland_transport_to_port="hv dc grid",$BM148/100*1000*DR148,IF(inland_transport_to_port="pipeline",$BN148,0)))</f>
        <v>No Port</v>
      </c>
      <c r="DQ148" s="28" t="str">
        <f t="shared" si="146"/>
        <v/>
      </c>
      <c r="DR148" s="29">
        <f>((Carriers!$V$18/Carriers!$V$23*alk_el_e_demand)+nabh4_e_demand)*(DO148+nabh4_st_ab_losses)/1000000+nabh4_st_e_demand*DO148/1000000</f>
        <v>980.02139682539689</v>
      </c>
      <c r="DS148" s="28">
        <f t="shared" si="189"/>
        <v>3.1960000000000002</v>
      </c>
      <c r="DT148" s="28" t="str">
        <f>IFERROR(DQ148*1000000/Storage!$O$12,"")</f>
        <v/>
      </c>
      <c r="DU148" s="28" t="str">
        <f>IF($E148="","No Port",((F148/24/Shipping!$P$44+F148/24/Shipping!$P$50+Shipping!$P$59+Shipping!$P$64)*Carriers!$V$39*wacc_nl))</f>
        <v>No Port</v>
      </c>
      <c r="DV148" s="100">
        <f>H2_retrieval!$N$25*h2_demand_kt/1000+(co2_liq_e_demand+co2_st_e_demand*2)*Storage!$O$12*co2_density/nabh4_density/1000000</f>
        <v>18.783638728971958</v>
      </c>
      <c r="DW148" s="28" t="str">
        <f>IFERROR(((DQ148*(1+H2_retrieval!$N$34)+DU148)*1000000/H2_retrieval!$N$8)+h2_regen_nabh4,"")</f>
        <v/>
      </c>
      <c r="DX148" s="149">
        <f>(Dme_invest*(M148+1/Dme_lifetime)/Dme_prod+Dme_opex+Dme_e_demand*1000*$AU148/100+Carriers!$X$21/Carriers!$X$23*(CO148*1000000/CS148))*(EB148+Dme_st_ab_losses)/1000000</f>
        <v>130955.50698496054</v>
      </c>
      <c r="DY148" s="86">
        <f>(Dme_invest*(M148+1/Dme_lifetime)/Dme_prod+Dme_opex+Dme_e_demand*1000*$AU148/100+Carriers!$X$21/Carriers!$X$23*(CP148*1000000/CS148))*(EB148+Dme_st_ab_losses)/1000000</f>
        <v>159783.88967155485</v>
      </c>
      <c r="DZ148" s="63">
        <f>Dme_st_nl_cost*Dme_st_nl_demand/1000000+(Dme_st_invest*(M148+1/Dme_st_lifetime+Dme_st_opex)/(Storage!$Q$63/1000000)+Dme_st_e_demand*1000*$AU148/100)*(EB148+Dme_st_ab_losses)/1000000+co2_st_nl_cost*Storage!$Q$12*co2_density/Dme_density/1000000+(co2_st_opex_lev+co2_st_invest_lev+co2_st_e_demand*1000*$AU148/100)*Storage!$Q$12/1000000+co2_st_invest_lev*Storage!$Q$12*co2_st_lifetime*M148/1000000+(h2_demand_kt*1000/365.25*short_st_duration_hrs/24)*(h2_short_st_invest*(1/gh2_short_st_lifetime+$M148+h2_short_st_opex)+h2_short_st_e_demand*1000*$AU148/100)/1000000</f>
        <v>6945.345402442641</v>
      </c>
      <c r="EA148" s="63">
        <f>Dme_st_nl_cost*Dme_st_nl_demand/1000000+(Dme_st_invest*(M148+1/Dme_st_lifetime+Dme_st_opex)/(Storage!$Q$63/1000000)+Dme_st_e_demand*1000*$AU148/100)*(EB148+Dme_st_ab_losses)/1000000+(h2_demand_kt*1000/365.25*short_st_duration_hrs/24)*(h2_short_st_invest*(1/gh2_short_st_lifetime+$M148+h2_short_st_opex)+h2_short_st_e_demand*1000*$AU148/100)/1000000</f>
        <v>3644.5556127350414</v>
      </c>
      <c r="EB148" s="63">
        <f>Storage!$Q$57/((1-Shipping!$R$37)^($F148/24/Shipping!$R$44+0.5*Shipping!$R$59))</f>
        <v>103547089.94708996</v>
      </c>
      <c r="EC148" s="153" t="str">
        <f>IF($E148="","No Port",IF(AND(ship_choice="VLCC",G148="Panama"),"Ship cannot pass through Panama",IF(ship_choice="VLCC",((F148/24/Shipping!$AD$44+F148/24/Shipping!$AD$50+Shipping!$AD$59+Shipping!$AD$64)*(Shipping!$AD$22+wacc_nl*Shipping!$AD$19/365.25*1000000+Shipping!$AD$35)+(F148/24/Shipping!$AD$44*Shipping!$AD$45+Shipping!$AD$64*Shipping!$AD$65)*IF(bunker_choice="HFO",$H148,IF(bunker_choice="hydrogen",$BD148*hfo_e_density_lhv/h2_e_density_lhv,(DX148+DZ148)*1000000/EB148*hfo_e_density_lhv/Dme_e_density_lhv))+(F148/24/Shipping!$AD$50*Shipping!$AD$51+Shipping!$AD$59*Shipping!$AD$60)*IF(bunker_choice="HFO",bunker_price_ROT,IF(bunker_choice="hydrogen",$BD148*hfo_e_density_lhv/h2_e_density_lhv,(DX148+DZ148)*1000000/EB148*hfo_e_density_lhv/Dme_e_density_lhv))+Shipping!$AD$73+IF(G148="Panama",Shipping!$AD$55,0)+IF(G148="Suez",Shipping!$AD$56,0))/Shipping!$AD$31*(EB148+Dme_st_ab_losses)/1000000+IF(inland_transport_to_port="hv dc grid",$BM148/100*1000*EE148,IF(inland_transport_to_port="pipeline",$BN148,0)),((F148/24/Shipping!$R$44+F148/24/Shipping!$R$50+Shipping!$R$59+Shipping!$R$64)*(Shipping!$R$22+wacc_nl*Shipping!$R$19/365.25*1000000+Shipping!$R$35)+(F148/24/Shipping!$R$44*Shipping!$R$45+Shipping!$R$64*Shipping!$R$65)*IF(bunker_choice="HFO",$H148,IF(bunker_choice="hydrogen",$BD148*hfo_e_density_lhv/h2_e_density_lhv,(DX148+DZ148)*1000000/EB148*hfo_e_density_lhv/Dme_e_density_lhv))+(F148/24/Shipping!$R$50*Shipping!$R$51+Shipping!$R$59*Shipping!$R$60)*IF(bunker_choice="HFO",bunker_price_ROT,IF(bunker_choice="hydrogen",$BD148*hfo_e_density_lhv/h2_e_density_lhv,(DX148+DZ148)*1000000/EB148*hfo_e_density_lhv/Dme_e_density_lhv))+Shipping!$R$73+IF(G148="Panama",Shipping!$R$55,0)+IF(G148="Suez",Shipping!$R$56,0))/Shipping!$R$31*(EB148+Dme_st_ab_losses)/1000000+IF(inland_transport_to_port="hv dc grid",$BM148/100*1000*EE148,IF(inland_transport_to_port="pipeline",$BN148,0)))))</f>
        <v>No Port</v>
      </c>
      <c r="ED148" s="28" t="str">
        <f t="shared" si="215"/>
        <v/>
      </c>
      <c r="EE148" s="29">
        <f>(Dme_e_demand)*(EB148+Dme_st_ab_losses)/1000000+Dme_st_e_demand*DZ148/1000000+$CV148*(Carriers!$X$21/Carriers!$X$23*EB148)/$CS148</f>
        <v>1550.2168296205098</v>
      </c>
      <c r="EF148" s="29">
        <f t="shared" si="190"/>
        <v>1.0354708994708997</v>
      </c>
      <c r="EG148" s="28" t="str">
        <f>IFERROR(ED148*1000000/Storage!$Q$12,"")</f>
        <v/>
      </c>
      <c r="EH148" s="28" t="str">
        <f>IF($E148="","No Port",((F148/24/Shipping!$R$44+F148/24/Shipping!$R$50+Shipping!$R$59+Shipping!$R$64)*Carriers!$X$39*wacc_nl))</f>
        <v>No Port</v>
      </c>
      <c r="EI148" s="100">
        <f>H2_retrieval!$P$25*h2_demand_kt/1000+(co2_liq_e_demand+co2_st_e_demand*2)*Storage!$Q$12*co2_density/Dme_density/1000000</f>
        <v>252.45335899349112</v>
      </c>
      <c r="EJ148" s="28" t="str">
        <f>IFERROR((((DX148+DZ148+EC148)*(1+H2_retrieval!$P$34)+EH148)*1000000/H2_retrieval!$P$8)+h2_regen_dme,"")</f>
        <v/>
      </c>
      <c r="EK148" s="149">
        <f>(ome_invest*(M148+1/ome_lifetime)/ome_prod+ome_opex+ome_e_demand*1000*$AU148/100+Carriers!$Z$21/Carriers!$Z$23*(CO148*1000000/CS148))*(EO148+ome_st_ab_losses)/1000000</f>
        <v>283749.23166493425</v>
      </c>
      <c r="EL148" s="86">
        <f>(ome_invest*(M148+1/ome_lifetime)/ome_prod+ome_opex+ome_e_demand*1000*$AU148/100+Carriers!$Z$21/Carriers!$Z$23*(CP148*1000000/CS148))*(EO148+ome_st_ab_losses)/1000000</f>
        <v>344265.61874451669</v>
      </c>
      <c r="EM148" s="63">
        <f>ome_st_nl_cost*ome_st_nl_demand/1000000+(ome_st_invest*(M148+1/ome_st_lifetime+ome_st_opex)/(Storage!$S$63/1000000)+ome_st_e_demand*1000*$AU148/100)*(EO148+ome_st_ab_losses)/1000000+co2_st_nl_cost*Storage!$S$12*co2_density/ome_density/1000000+(co2_st_opex_lev+co2_st_invest_lev+co2_st_e_demand*1000*$AU148/100)*Storage!$S$12/1000000+co2_st_invest_lev*Storage!$S$12*co2_st_lifetime*M148/1000000+(h2_demand_kt*1000/365.25*short_st_duration_hrs/24)*(h2_short_st_invest*(1/gh2_short_st_lifetime+$M148+h2_short_st_opex)+h2_short_st_e_demand*1000*$AU148/100)/1000000</f>
        <v>5967.2043538449998</v>
      </c>
      <c r="EN148" s="63">
        <f>ome_st_nl_cost*ome_st_nl_demand/1000000+(ome_st_invest*(M148+1/ome_st_lifetime+ome_st_opex)/(Storage!$S$63/1000000)+ome_st_e_demand*1000*$AU148/100)*(EO148+ome_st_ab_losses)/1000000+(h2_demand_kt*1000/365.25*short_st_duration_hrs/24)*(h2_short_st_invest*(1/gh2_short_st_lifetime+$M148+h2_short_st_opex)+h2_short_st_e_demand*1000*$AU148/100)/1000000</f>
        <v>2216.8858836821564</v>
      </c>
      <c r="EO148" s="63">
        <f>Storage!$S$57/((1-Shipping!$T$37)^($F148/24/Shipping!$T$44+0.5*Shipping!$T$59))</f>
        <v>128282539.68253967</v>
      </c>
      <c r="EP148" s="28" t="str">
        <f>IF($E148="","No Port",IF(AND(ship_choice="VLCC",G148="Panama"),"Ship cannot pass through Panama",IF(ship_choice="VLCC",((F148/24/Shipping!$AD$44+F148/24/Shipping!$AD$50+Shipping!$AD$59+Shipping!$AD$64)*(Shipping!$AD$22+wacc_nl*Shipping!$AD$19/365.25*1000000+Shipping!$AD$35)+(F148/24/Shipping!$AD$44*Shipping!$AD$45+Shipping!$AD$64*Shipping!$AD$65)*IF(bunker_choice="HFO",$H148,IF(bunker_choice="hydrogen",$BD148*hfo_e_density_lhv/h2_e_density_lhv,(EK148+EM148)*1000000/EO148*hfo_e_density_lhv/Dme_e_density_lhv))+(F148/24/Shipping!$AD$50*Shipping!$AD$51+Shipping!$AD$59*Shipping!$AD$60)*IF(bunker_choice="HFO",bunker_price_ROT,IF(bunker_choice="hydrogen",$BD148*hfo_e_density_lhv/h2_e_density_lhv,(EK148+EM148)*1000000/EO148*hfo_e_density_lhv/ome_e_density_lhv))+Shipping!$AD$73+IF(G148="Panama",Shipping!$AD$55,0)+IF(G148="Suez",Shipping!$AD$56,0))/Shipping!$AD$31*(EO148+ome_st_ab_losses)/1000000+IF(inland_transport_to_port="hv dc grid",$BM148/100*1000*ER148,IF(inland_transport_to_port="pipeline",$BN148,0)),((F148/24/Shipping!$T$44+F148/24/Shipping!$T$50+Shipping!$T$59+Shipping!$T$64)*(Shipping!$T$22+wacc_nl*Shipping!$T$19/365.25*1000000+Shipping!$T$35)+(F148/24/Shipping!$T$44*Shipping!$T$45+Shipping!$T$64*Shipping!$T$65)*IF(bunker_choice="HFO",$H148,IF(bunker_choice="hydrogen",$BD148*hfo_e_density_lhv/h2_e_density_lhv,(EK148+EM148)*1000000/EO148*hfo_e_density_lhv/Dme_e_density_lhv))+(F148/24/Shipping!$T$50*Shipping!$T$51+Shipping!$T$59*Shipping!$T$60)*IF(bunker_choice="HFO",bunker_price_ROT,IF(bunker_choice="hydrogen",$BD148*hfo_e_density_lhv/h2_e_density_lhv,(EK148+EM148)*1000000/EO148*hfo_e_density_lhv/ome_e_density_lhv))+Shipping!$T$73+IF(G148="Panama",Shipping!$T$55,0)+IF(G148="Suez",Shipping!$T$56,0))/Shipping!$T$31*(EO148+ome_st_ab_losses)/1000000+IF(inland_transport_to_port="hv dc grid",$BM148/100*1000*ER148,IF(inland_transport_to_port="pipeline",$BN148,0)))))</f>
        <v>No Port</v>
      </c>
      <c r="EQ148" s="28" t="str">
        <f t="shared" si="216"/>
        <v/>
      </c>
      <c r="ER148" s="29">
        <f>(ome_e_demand)*(EO148+ome_st_ab_losses)/1000000+ome_st_e_demand*EM148/1000000+$CV148*(Carriers!$Z$21/Carriers!$Z$23*EO148)/$CS148</f>
        <v>3352.0814590915897</v>
      </c>
      <c r="ES148" s="29">
        <f t="shared" si="191"/>
        <v>0.1924238095238095</v>
      </c>
      <c r="ET148" s="28" t="str">
        <f>IFERROR(EQ148*1000000/Storage!$S$12,"")</f>
        <v/>
      </c>
      <c r="EU148" s="28" t="str">
        <f>IF($E148="","No Port",((F148/24/Shipping!$T$44+F148/24/Shipping!$T$50+Shipping!$T$59+Shipping!$T$64)*Carriers!$Z$39*wacc_nl))</f>
        <v>No Port</v>
      </c>
      <c r="EV148" s="100">
        <f>H2_retrieval!$R$25*h2_demand_kt/1000+(co2_liq_e_demand+co2_st_e_demand*2)*Storage!$S$12*co2_density/ome_density/1000000</f>
        <v>254.51942895252085</v>
      </c>
      <c r="EW148" s="28" t="str">
        <f>IFERROR((((EK148+EM148+EP148)*(1+H2_retrieval!$R$34)+EU148)*1000000/H2_retrieval!$R$8)+h2_regen_ome,"")</f>
        <v/>
      </c>
      <c r="EX148" s="149">
        <f>(sng_invest*(M148+1/sng_lifetime)/sng_prod+lng_invest*(M148+1/lng_lifetime)/lng_prod+sng_opex+lng_opex+(sng_e_demand+lng_e_demand)*1000*$AU148/100+Carriers!$AB$18/Carriers!$AB$23*BD148+Carriers!$AB$20/Carriers!$AB$23*co2_liq_cost)*(FB148+lng_st_ab_losses)/1000000</f>
        <v>99128.023010971912</v>
      </c>
      <c r="EY148" s="86">
        <f>(sng_invest*(M148+1/sng_lifetime)/sng_prod+lng_invest*(M148+1/lng_lifetime)/lng_prod+sng_opex+lng_opex+(sng_e_demand+lng_e_demand)*1000*$AU148/100+Carriers!$AB$18/Carriers!$AB$23*BD148+Carriers!$AB$20/Carriers!$AB$23*BP148)*(FB148+lng_st_ab_losses)/1000000</f>
        <v>114840.80451241331</v>
      </c>
      <c r="EZ148" s="63">
        <f>lng_st_nl_cost*lng_st_nl_demand/1000000+(lng_st_invest*(M148+1/lng_st_lifetime+lng_st_opex)/(Storage!$U$63/1000000)+lng_st_e_demand*1000*$AU148/100)*(FB148+lng_st_ab_losses)/1000000+co2_st_nl_cost*Storage!$U$12*co2_density/lng_density/1000000+(co2_st_opex_lev+co2_st_invest_lev+co2_st_e_demand*1000*$AU148/100)*Storage!$U$12/1000000+co2_st_invest_lev*Storage!$U$12*co2_st_lifetime*M148/1000000+Carriers!$AB$18/Carriers!$AB$23*((FB148+lng_st_ab_losses)/365.25*short_st_duration_hrs/24)*(h2_short_st_invest*(1/gh2_short_st_lifetime+$M148+h2_short_st_opex)+h2_short_st_e_demand*1000*$AU148/100)/1000000+Carriers!$AB$20/Carriers!$AB$23*((FB148+lng_st_ab_losses)/365.25*short_st_duration_hrs/24)*(co2_short_st_invest*(1/co2_short_st_lifetime+$M148+co2_short_st_opex)+co2_short_st_e_demand*1000*$AU148/100)/1000000</f>
        <v>7385.826820533176</v>
      </c>
      <c r="FA148" s="63">
        <f>lng_st_nl_cost*lng_st_nl_demand/1000000+(lng_st_invest*(M148+1/lng_st_lifetime+lng_st_opex)/(Storage!$U$63/1000000)+lng_st_e_demand*1000*$AU148/100)*(FB148+lng_st_ab_losses)/1000000+Carriers!$AB$18/Carriers!$AB$23*((FB148+lng_st_ab_losses)/365.25*short_st_duration_hrs/24)*(h2_short_st_invest*(1/gh2_short_st_lifetime+$M148+h2_short_st_opex)+h2_short_st_e_demand*1000*$AU148/100)/1000000+Carriers!$AB$20/Carriers!$AB$23*((FB148+lng_st_ab_losses)/365.25*short_st_duration_hrs/24)*(co2_short_st_invest*(1/co2_short_st_lifetime+$M148+co2_short_st_opex)+co2_short_st_e_demand*1000*$AU148/100)/1000000</f>
        <v>5654.4307324944248</v>
      </c>
      <c r="FB148" s="63">
        <f>Storage!$U$57/((1-Shipping!$V$37)^($F148/24/Shipping!$V$44+0.5*Shipping!$V$59))</f>
        <v>40707231.50721889</v>
      </c>
      <c r="FC148" s="28" t="str">
        <f>IF($E148="","No Port",IF(G148="Panama","Ship cannot pass through Panama",((F148/24/Shipping!$V$44+F148/24/Shipping!$V$50+Shipping!$V$59+Shipping!$V$64)*(Shipping!$V$22+wacc_nl*Shipping!$V$19/365.25*1000000+Shipping!$V$35)+(F148/24/Shipping!$V$44*Shipping!$V$45+Shipping!$V$64*Shipping!$V$65)*IF(bunker_choice="HFO",$H148,IF(bunker_choice="hydrogen",$BD148*hfo_e_density_lhv/h2_e_density_lhv,(EX148+EZ148)*1000000/FB148*hfo_e_density_lhv/lng_e_density_lhv))+(F148/24/Shipping!$V$50*Shipping!$V$51+Shipping!$V$59*Shipping!$V$60)*IF(bunker_choice="HFO",bunker_price_ROT,IF(bunker_choice="hydrogen",$BD148*hfo_e_density_lhv/h2_e_density_lhv,(EX148+EZ148)*1000000/FB148*hfo_e_density_lhv/lng_e_density_lhv))+Shipping!$V$73+IF(G148="Panama",Shipping!$V$55,0)+IF(G148="Suez",Shipping!$V$56,0))/Shipping!$V$31*(FB148+lng_st_ab_losses)/1000000)+IF(inland_transport_to_port="hv dc grid",$BM148/100*1000*FE148,IF(inland_transport_to_port="pipeline",$BN148,0)))</f>
        <v>No Port</v>
      </c>
      <c r="FD148" s="28" t="str">
        <f t="shared" si="217"/>
        <v/>
      </c>
      <c r="FE148" s="29">
        <f>((Carriers!$AB$18/Carriers!$AB$23*alk_el_e_demand)+sng_e_demand+lng_e_demand)*(FB148+lng_st_ab_losses)/1000000+lng_st_e_demand*EZ148/1000000</f>
        <v>1091.7519067451858</v>
      </c>
      <c r="FF148" s="29">
        <f t="shared" si="192"/>
        <v>0.8126185861001558</v>
      </c>
      <c r="FG148" s="28" t="str">
        <f>IFERROR(FD148*1000000/Storage!$U$12,"")</f>
        <v/>
      </c>
      <c r="FH148" s="28" t="str">
        <f>IF($E148="","No Port",((F148/24/Shipping!$V$44+F148/24/Shipping!$V$50+Shipping!$V$59+Shipping!$V$64)*Carriers!$AB$39*wacc_nl))</f>
        <v>No Port</v>
      </c>
      <c r="FI148" s="100">
        <f>H2_retrieval!$T$25*h2_demand_kt/1000+(co2_liq_e_demand+co2_st_e_demand*2)*Storage!$U$12*co2_density/lng_density/1000000</f>
        <v>236.51371749646054</v>
      </c>
      <c r="FJ148" s="28" t="str">
        <f>IFERROR((((EX148+EZ148+FC148)*(1+H2_retrieval!$T$34)+FH148)*1000000/H2_retrieval!$T$8)+h2_regen_lng,"")</f>
        <v/>
      </c>
      <c r="FK148" s="149">
        <f>(lh2_invest*(M148+1/lh2_lifetime)/lh2_prod+lh2_opex+lh2_e_demand*1000*$AU148/100+Carriers!$AD$18/Carriers!$AD$23*BD148)*(FM148+lh2_st_ab_losses)/1000000</f>
        <v>76260.251643962969</v>
      </c>
      <c r="FL148" s="28">
        <f>lh2_st_nl_cost*lh2_st_nl_demand/1000000+(lh2_st_invest*(M148+1/lh2_st_lifetime+lh2_st_opex)/(Storage!$Y$63/1000000)+lh2_st_e_demand*1000*$AU148/100)*(FM148+lh2_st_ab_losses)/1000000+((FM148+lh2_st_ab_losses)/365.25*short_st_duration_hrs/24)*(h2_short_st_invest*(1/gh2_short_st_lifetime+$M148+h2_short_st_opex)+h2_short_st_e_demand*1000*$AU148/100)/1000000</f>
        <v>64371.337474269822</v>
      </c>
      <c r="FM148" s="63">
        <f>Storage!$Y$57/((1-Shipping!$Z$37)^($F148/24/Shipping!$Z$44+0.5*Shipping!$Z$59))</f>
        <v>13659984.090217989</v>
      </c>
      <c r="FN148" s="28" t="str">
        <f>IF($E148="","No Port",IF(G148="Panama","Ship cannot pass through Panama",((F148/24/Shipping!$Z$44+F148/24/Shipping!$Z$50+Shipping!$Z$59+Shipping!$Z$64)*(Shipping!$Z$22+wacc_nl*Shipping!$Z$19/365.25*1000000+Shipping!$Z$35)+(F148/24/Shipping!$Z$44*Shipping!$Z$45+Shipping!$Z$64*Shipping!$Z$65)*IF(bunker_choice="HFO",$H148,IF(bunker_choice="hydrogen",$BD148*hfo_e_density_lhv/h2_e_density_lhv,(FK148+FL148)*1000000/FM148*hfo_e_density_lhv/lh2_e_density_lhv))+(F148/24/Shipping!$Z$50*Shipping!$Z$51+Shipping!$Z$59*Shipping!$Z$60)*IF(bunker_choice="HFO",bunker_price_ROT,IF(bunker_choice="hydrogen",$BD148*hfo_e_density_lhv/h2_e_density_lhv,(FK148+FL148)*1000000/FM148*hfo_e_density_lhv/lh2_e_density_lhv))+Shipping!$Z$73+IF(G148="Panama",Shipping!$Z$55,0)+IF(G148="Suez",Shipping!$Z$56,0))/Shipping!$Z$31*(FM148+lh2_st_ab_losses)/1000000)+IF(inland_transport_to_port="hv dc grid",$BM148/100*1000*FP148,IF(inland_transport_to_port="pipeline",$BN148,0)))</f>
        <v>No Port</v>
      </c>
      <c r="FO148" s="28" t="str">
        <f t="shared" si="200"/>
        <v/>
      </c>
      <c r="FP148" s="29">
        <f>((Carriers!$AD$18/Carriers!$AD$23*alk_el_e_demand)+lh2_e_demand)*(FM148+lh2_st_ab_losses)/1000000+lh2_st_e_demand*FM148/1000000</f>
        <v>791.60233245091877</v>
      </c>
      <c r="FQ148" s="100">
        <f t="shared" si="193"/>
        <v>1.361902463475859</v>
      </c>
      <c r="FR148" s="28" t="str">
        <f>IFERROR(FO148*1000000/Storage!$Y$12,"")</f>
        <v/>
      </c>
      <c r="FS148" s="100">
        <f>H2_retrieval!$V$25*h2_demand_kt/1000</f>
        <v>8.16</v>
      </c>
      <c r="FT148" s="28" t="str">
        <f>IFERROR(FR148*(1+H2_retrieval!$V$34)/Carrier_properties!$U$7+H2_retrieval!$V$38,"")</f>
        <v/>
      </c>
      <c r="FU148" s="12"/>
      <c r="FV148" s="24">
        <f t="shared" si="201"/>
        <v>3.4720505479887454</v>
      </c>
      <c r="FW148" s="24" t="str">
        <f t="shared" si="143"/>
        <v/>
      </c>
      <c r="FX148" s="24" t="str">
        <f t="shared" si="144"/>
        <v/>
      </c>
      <c r="FY148" s="24">
        <f t="shared" si="202"/>
        <v>3.4720505479887454</v>
      </c>
      <c r="FZ148" s="28">
        <f t="shared" si="145"/>
        <v>4305.0772476365373</v>
      </c>
      <c r="GA148" s="28">
        <f t="shared" si="218"/>
        <v>951.74738831156401</v>
      </c>
      <c r="GB148" s="28">
        <f t="shared" si="219"/>
        <v>584.47547731429597</v>
      </c>
      <c r="GC148" s="28">
        <f t="shared" si="220"/>
        <v>1062.2728350300022</v>
      </c>
      <c r="GD148" s="28">
        <f t="shared" si="221"/>
        <v>1543.1036232230238</v>
      </c>
      <c r="GE148" s="28">
        <f t="shared" si="222"/>
        <v>2683.6514119261242</v>
      </c>
      <c r="GF148" s="28">
        <f t="shared" si="223"/>
        <v>2821.1401331001298</v>
      </c>
      <c r="GG148" s="12"/>
      <c r="GH148" s="12"/>
      <c r="GI148" s="12"/>
      <c r="GJ148" s="12"/>
      <c r="GK148" s="12"/>
      <c r="GL148" s="12"/>
      <c r="GM148" s="12"/>
      <c r="GN148" s="12"/>
      <c r="GO148" s="12"/>
      <c r="GP148" s="12"/>
      <c r="GQ148" s="12"/>
      <c r="GR148" s="12"/>
      <c r="GS148" s="12"/>
      <c r="GT148" s="12"/>
      <c r="GU148" s="12"/>
      <c r="GV148" s="12"/>
      <c r="GW148" s="12"/>
      <c r="GX148" s="12"/>
      <c r="GY148" s="12"/>
      <c r="GZ148" s="12"/>
      <c r="HA148" s="12"/>
      <c r="HB148" s="12"/>
      <c r="HC148" s="12"/>
      <c r="HD148" s="12"/>
      <c r="HE148" s="12"/>
      <c r="HF148" s="12"/>
    </row>
    <row r="149" spans="1:214" x14ac:dyDescent="0.2">
      <c r="A149" s="154" t="s">
        <v>290</v>
      </c>
      <c r="B149" s="12">
        <v>8213</v>
      </c>
      <c r="C149" s="12">
        <v>0</v>
      </c>
      <c r="D149" s="12">
        <f t="shared" si="194"/>
        <v>1</v>
      </c>
      <c r="E149" s="12" t="s">
        <v>795</v>
      </c>
      <c r="F149" s="12">
        <v>4279</v>
      </c>
      <c r="G149" s="12"/>
      <c r="H149" s="16">
        <f t="shared" si="203"/>
        <v>382.75862068965517</v>
      </c>
      <c r="I149" s="16">
        <v>882050</v>
      </c>
      <c r="J149" s="16">
        <f t="shared" si="195"/>
        <v>529.87284805735476</v>
      </c>
      <c r="K149" s="16">
        <f t="shared" si="196"/>
        <v>635.84741766882564</v>
      </c>
      <c r="L149" s="103">
        <v>0.161</v>
      </c>
      <c r="M149" s="103">
        <f t="shared" si="204"/>
        <v>0.15527855164345231</v>
      </c>
      <c r="N149" s="122">
        <f t="shared" si="197"/>
        <v>0.8</v>
      </c>
      <c r="O149" s="46">
        <f t="shared" si="205"/>
        <v>40</v>
      </c>
      <c r="P149" s="70">
        <f t="array" ref="P149">SUMPRODUCT(IF(Solar_data!A$4:A$777=A149,Solar_data!C$4:C$777),IF(Solar_data!A$4:A$777=A149,Solar_data!I$4:I$777))/SUMIF(Solar_data!A$4:A$777,A149,Solar_data!I$4:I$777)</f>
        <v>1895.9719369729087</v>
      </c>
      <c r="Q149" s="16">
        <f t="array" ref="Q149">MAX(IF(Solar_data!$A$777:'Solar_data'!$A$4=Country_details!$A149,Solar_data!$C$4:'Solar_data'!$C$777))</f>
        <v>2463.75</v>
      </c>
      <c r="R149" s="16">
        <f t="array" ref="R149">MIN(IF(Solar_data!$A$777:'Solar_data'!$A$4=Country_details!A149,Solar_data!$C$4:'Solar_data'!$C$777))</f>
        <v>1551.25</v>
      </c>
      <c r="S149" s="24">
        <f t="shared" si="176"/>
        <v>3.1671436406508158</v>
      </c>
      <c r="T149" s="24">
        <f t="shared" si="177"/>
        <v>2.4372665501922506</v>
      </c>
      <c r="U149" s="24">
        <f t="shared" si="178"/>
        <v>3.870952756187692</v>
      </c>
      <c r="V149" s="16">
        <f t="array" ref="V149">SUM(IF(Solar_data!$A$777:'Solar_data'!$A$4=Country_details!$A149,Solar_data!$I$4:'Solar_data'!$I$777))</f>
        <v>6208.4642897400254</v>
      </c>
      <c r="W149" s="148"/>
      <c r="X149" s="16">
        <f>IFERROR(INDEX(Onshore_wind_data!$J$5:'Onshore_wind_data'!$J$221,MATCH(A149,Onshore_wind_data!$B$5:'Onshore_wind_data'!$B$221,0)),"")</f>
        <v>2847.5</v>
      </c>
      <c r="Y149" s="16">
        <f>IFERROR(INDEX(Onshore_wind_data!$K$5:'Onshore_wind_data'!$K$221,MATCH(A149,Onshore_wind_data!$B$5:'Onshore_wind_data'!$B$221,0)),"")</f>
        <v>2847.5</v>
      </c>
      <c r="Z149" s="16">
        <f>IFERROR(INDEX(Onshore_wind_data!$L$5:'Onshore_wind_data'!$L$221,MATCH(A149,Onshore_wind_data!$B$5:'Onshore_wind_data'!$B$221,0)),"")</f>
        <v>2847.5</v>
      </c>
      <c r="AA149" s="24">
        <f t="shared" si="206"/>
        <v>5.8894465928094597</v>
      </c>
      <c r="AB149" s="24">
        <f t="shared" si="207"/>
        <v>5.8894465928094597</v>
      </c>
      <c r="AC149" s="24">
        <f t="shared" si="208"/>
        <v>5.8894465928094597</v>
      </c>
      <c r="AD149" s="16">
        <f>IFERROR(INDEX(Onshore_wind_data!$I$5:'Onshore_wind_data'!$I$221,MATCH(A149,Onshore_wind_data!$B$5:'Onshore_wind_data'!$B$221,0)),"")</f>
        <v>155.90389962499998</v>
      </c>
      <c r="AE149" s="148"/>
      <c r="AF149" s="16">
        <f>INDEX(Offshore_wind_data!$AA$7:$AA$192,MATCH(Country_details!A149,Offshore_wind_data!$A$7:$A$192,0))</f>
        <v>3729.1701190601621</v>
      </c>
      <c r="AG149" s="16">
        <f>INDEX(Offshore_wind_data!$Y$7:$Y$192,MATCH(Country_details!A149,Offshore_wind_data!$A$7:$A$192,0))</f>
        <v>4204.8</v>
      </c>
      <c r="AH149" s="16">
        <f>INDEX(Offshore_wind_data!$Z$7:$Z$192,MATCH(Country_details!A149,Offshore_wind_data!$A$7:$A$192,0))</f>
        <v>3153.6</v>
      </c>
      <c r="AI149" s="24">
        <f t="shared" si="179"/>
        <v>8.4573769024063417</v>
      </c>
      <c r="AJ149" s="24">
        <f t="shared" si="180"/>
        <v>7.5007128115685218</v>
      </c>
      <c r="AK149" s="24">
        <f t="shared" si="181"/>
        <v>10.000950415424697</v>
      </c>
      <c r="AL149" s="16">
        <f>INDEX(Offshore_wind_data!$W$7:$W$191,MATCH(A149,Offshore_wind_data!$A$7:$A$191,0))</f>
        <v>2123.6132160000002</v>
      </c>
      <c r="AM149" s="148"/>
      <c r="AN149" s="12">
        <v>32</v>
      </c>
      <c r="AO149" s="12">
        <v>41.6</v>
      </c>
      <c r="AP149" s="34">
        <f>2.271*11.63</f>
        <v>26.411730000000002</v>
      </c>
      <c r="AQ149" s="15">
        <f t="shared" si="182"/>
        <v>50</v>
      </c>
      <c r="AR149" s="12">
        <f t="shared" si="212"/>
        <v>2080</v>
      </c>
      <c r="AS149" s="16">
        <f t="shared" si="198"/>
        <v>6407.9814053650261</v>
      </c>
      <c r="AT149" s="12"/>
      <c r="AU149" s="24">
        <f t="shared" si="183"/>
        <v>4.8013385424590886</v>
      </c>
      <c r="AV149" s="16">
        <f t="shared" si="184"/>
        <v>4743.4719369729082</v>
      </c>
      <c r="AW149" s="149">
        <f>HV_DC_Grid!$E$3/(1-AX149)*AU149/100*1000</f>
        <v>5722.5116143360256</v>
      </c>
      <c r="AX149" s="31">
        <f>(1-(1-HV_DC_Grid!$E$25)^(B149*C149*HV_DC_Grid!$E$8/1000))+(1-(1-HV_DC_Grid!$E$26)^(B149*D149*HV_DC_Grid!$E$8/1000))+HV_DC_Grid!$E$35*HV_DC_Grid!$E$28</f>
        <v>0.16097356090448389</v>
      </c>
      <c r="AY149" s="28">
        <f>B149*nl_e_demand/IF(hv_dc_flh="electricity FLH",$AV149,hv_dc_custom)*1000*hv_dc_capacity_multiplier*hv_dc_length_multiplier*1000*(C149*hv_dc_overhead_invest*(hv_dc_overhead_opex+M149+1/hv_dc_lifetime)+D149*hv_dc_sea_invest*(hv_dc_sea_opex+M149+1/hv_dc_lifetime))/1000000+HV_DC_Grid!$E$10*1000*hv_dc_station_invest*hv_dc_station_number*(hv_dc_station_opex+M149+1/hv_dc_lifetime)/1000000</f>
        <v>26705.93248213777</v>
      </c>
      <c r="AZ149" s="24">
        <f>(AW149+AY149)/(HV_DC_Grid!$E$3*1000)*100</f>
        <v>32.428444096473797</v>
      </c>
      <c r="BA149" s="28">
        <f>MIN(((Carriers!$F$26+Carriers!$F$27)*(alk_el_opex+wacc_nl+1/alk_el_lifetime)+IF(hv_dc_flh="electricity FLH",$AV149,hv_dc_custom)*AZ149/100)/(IF(hv_dc_flh="electricity FLH",$AV149,hv_dc_custom)/alk_el_e_demand)*1000,((Carriers!$H$26+Carriers!$H$27)*(pem_el_opex+wacc_nl+1/pem_el_lifetime)+IF(hv_dc_flh="electricity FLH",$AV149,hv_dc_custom)*AZ149/100)/(IF(hv_dc_flh="electricity FLH",$AV149,hv_dc_custom)/pem_el_e_demand)*1000)</f>
        <v>16701.299458824233</v>
      </c>
      <c r="BB149" s="12"/>
      <c r="BC149" s="12"/>
      <c r="BD149" s="149">
        <f>MIN(((Carriers!$F$26+Carriers!$F$27)*(alk_el_opex+M149+1/alk_el_lifetime)+$AV149*$AU149/100)/($AV149/alk_el_e_demand)*1000,((Carriers!$H$26+Carriers!$H$27)*(pem_el_opex+M149+1/pem_el_lifetime)+$AV149*$AU149/100)/($AV149/pem_el_e_demand)*1000)</f>
        <v>3295.0669071437933</v>
      </c>
      <c r="BE149" s="28">
        <f>Storage!$AC$50</f>
        <v>8.1664117557772418</v>
      </c>
      <c r="BF149" s="28">
        <f>((Pipeline!$D$22*Pipeline!$D$24*B149*(pipeline_opex+M149+1/pipeline_lifetime))*(Pipeline!$D$39/Pipeline!$D$3)+(Pipeline!$D$57*(pipeline_comp_opex+M149+1/pipeline_comp_lifetime)+Pipeline!$D$47*1000*Pipeline!$D$45*$AU149/100/1000000))*(Pipeline!$D$75/Pipeline!$D$45)</f>
        <v>21425.729543158144</v>
      </c>
      <c r="BG149" s="28">
        <f>BD149+(BE149+BF149)/Storage!$AC$12*1000000</f>
        <v>4871.0886685345231</v>
      </c>
      <c r="BH149" s="28"/>
      <c r="BI149" s="28"/>
      <c r="BJ149" s="28">
        <f>IF($E149="","No Port",BK149*HV_DC_Grid!$E$3*$AU149/100*1000)</f>
        <v>125.94664674796563</v>
      </c>
      <c r="BK149" s="31">
        <f>IFERROR((1-(1-HV_DC_Grid!$E$25)^(K149*HV_DC_Grid!$E$8/1000))+HV_DC_Grid!$E$35*HV_DC_Grid!$E$28,"")</f>
        <v>2.6231569724608481E-2</v>
      </c>
      <c r="BL149" s="28">
        <f>IFERROR(K149*nl_e_demand/IF(hv_dc_flh="electricity FLH",$AV149,hv_dc_custom)*1000*hv_dc_capacity_multiplier*hv_dc_length_multiplier*1000*(hv_dc_overhead_invest*(hv_dc_overhead_opex+M149+1/hv_dc_lifetime))/1000000+HV_DC_Grid!$E$10*1000*hv_dc_station_invest*hv_dc_station_number*(hv_dc_station_opex+M149+1/hv_dc_lifetime)/1000000,"")</f>
        <v>1141.1526800360521</v>
      </c>
      <c r="BM149" s="29">
        <f>IFERROR((BJ149+BL149)/(HV_DC_Grid!$E$3*1000)*100,"")</f>
        <v>1.2670993267840178</v>
      </c>
      <c r="BN149" s="28">
        <f>IFERROR(((Pipeline!$D$22*Pipeline!$D$24*K149*(pipeline_opex+M149+1/pipeline_lifetime))*(Pipeline!$D$39/Pipeline!$D$3)+(Pipeline!$D$57*(pipeline_comp_opex+M149+1/pipeline_comp_lifetime)+Pipeline!$D$47*1000*Pipeline!$D$45*S149/100/1000000))*(Pipeline!$D$75/Pipeline!$D$45),"")</f>
        <v>1750.3743385146734</v>
      </c>
      <c r="BO149" s="28"/>
      <c r="BP149" s="150">
        <f t="shared" si="209"/>
        <v>140.54663780525115</v>
      </c>
      <c r="BQ149" s="34">
        <f t="shared" si="210"/>
        <v>40.949650693151135</v>
      </c>
      <c r="BR149" s="151">
        <f>(nh3_invest*(M149+1/nh3_lifetime)/nh3_prod+nh3_opex+nh3_e_demand*1000*$AU149/100+Carriers!$N$18/Carriers!$N$23*BD149+Carriers!$N$19/Carriers!$N$23*BQ149)*(BT149+nh3_st_ab_losses)/1000000</f>
        <v>60336.499136536389</v>
      </c>
      <c r="BS149" s="63">
        <f>nh3_st_nl_cost*nh3_st_nl_demand/1000000+(nh3_st_invest*(M149+1/nh3_st_lifetime+nh3_st_opex)/(Storage!$G$63/1000000)+nh3_st_e_demand*1000*$AU149/100)*(BT149+nh3_st_ab_losses)/1000000+Carriers!$N$18/Carriers!$N$23*((BT149+nh3_st_ab_losses)/365.25*short_st_duration_hrs/24)*(h2_short_st_invest*(1/gh2_short_st_lifetime+$M149+h2_short_st_opex)+h2_short_st_e_demand*1000*$AU149/100)/1000000+Carriers!$N$19/Carriers!$N$23*((BT149+nh3_st_ab_losses)/365.25*short_st_duration_hrs/24)*(n2_short_st_invest*(1/n2_short_st_lifetime+$M149+n2_short_st_opex)+n2_short_st_e_demand*1000*$AU149/100)/1000000</f>
        <v>3811.0673308931496</v>
      </c>
      <c r="BT149" s="63">
        <f>Storage!$G$57/((1-Shipping!$H$37)^(F149/24/Shipping!$H$44+0.5*Shipping!$H$59))</f>
        <v>78963856.39479433</v>
      </c>
      <c r="BU149" s="63">
        <f>IF($E149="","No Port",((F149/24/Shipping!$H$44+F149/24/Shipping!$H$50+Shipping!$H$59+Shipping!$H$64)*(Shipping!$H$22+wacc_nl*Shipping!$H$19/365.25*1000000+Shipping!$H$35)+(F149/24/Shipping!$H$44*Shipping!$H$45+Shipping!$H$64*Shipping!$H$65)*IF(bunker_choice="HFO",H149,IF(bunker_choice="hydrogen",BD149*hfo_e_density_lhv/h2_e_density_lhv,(BR149+BS149)*1000000/BT149*hfo_e_density_lhv/nh3_e_density_lhv))+(F149/24/Shipping!$H$50*Shipping!$H$51+Shipping!$H$59*Shipping!$H$60)*IF(bunker_choice="HFO",bunker_price_ROT,IF(bunker_choice="hydrogen",BD149*hfo_e_density_lhv/h2_e_density_lhv,(BR149+BS149)*1000000/BT149*hfo_e_density_lhv/nh3_e_density_lhv))+Shipping!$H$73+IF(G149="Panama",Shipping!$H$55,0)+IF(G149="Suez",Shipping!$H$56,0))/Shipping!$H$31*BT149/1000000+IF(inland_transport_to_port="hv dc grid",$BM149/100*1000*BW149,IF(inland_transport_to_port="pipeline",$BN149,0)))</f>
        <v>4796.0137868169895</v>
      </c>
      <c r="BV149" s="63">
        <f t="shared" si="199"/>
        <v>68943.580254246524</v>
      </c>
      <c r="BW149" s="33">
        <f>((Carriers!$N$18/Carriers!$N$23*alk_el_e_demand)+(Carriers!$N$19/Carriers!$N$23*n2_e_demand)+nh3_e_demand)*(BT149+nh3_st_ab_losses)/1000000+nh3_st_e_demand*BT149/1000000</f>
        <v>779.78860887649444</v>
      </c>
      <c r="BX149" s="33">
        <f t="shared" si="185"/>
        <v>0.76626754477640768</v>
      </c>
      <c r="BY149" s="63">
        <f>IFERROR(BV149*1000000/Storage!$G$12,"")</f>
        <v>900.48213373870738</v>
      </c>
      <c r="BZ149" s="63">
        <f>H2_retrieval!$F$25*h2_demand_kt/1000</f>
        <v>80</v>
      </c>
      <c r="CA149" s="63">
        <f>IFERROR(BY149*(1+H2_retrieval!$F$34)/Carrier_properties!$E$7+H2_retrieval!$F$38,"")</f>
        <v>5478.6068806912735</v>
      </c>
      <c r="CB149" s="149">
        <f>(FA_invest*(M149+1/FA_lifetime)/FA_prod+FA_opex+FA_e_demand*1000*$AU149/100+Carriers!$P$18/Carriers!$P$23*BD149+Carriers!$P$20/Carriers!$P$23*co2_liq_cost)*(CF149+FA_st_ab_losses)/1000000</f>
        <v>135988.58740879252</v>
      </c>
      <c r="CC149" s="86">
        <f>(FA_invest*(M149+1/FA_lifetime)/FA_prod+FA_opex+FA_e_demand*1000*$AU149/100+Carriers!$P$18/Carriers!$P$23*BD149+Carriers!$P$20/Carriers!$P$23*BP149)*(CF149+FA_st_ab_losses)/1000000</f>
        <v>170335.51080039082</v>
      </c>
      <c r="CD149" s="63">
        <f>FA_st_nl_cost*FA_st_nl_demand/1000000+(FA_st_invest*(M149+1/FA_st_lifetime+FA_st_opex)/(Storage!$I$63/1000000)+FA_st_e_demand*1000*$AU149/100)*(CF149+FA_st_ab_losses)/1000000+co2_st_nl_cost*Storage!$I$12*co2_density/FA_density/1000000+(co2_st_opex_lev+co2_st_invest_lev+co2_st_e_demand*1000*$AU149/100)*Storage!$I$12/1000000+co2_st_invest_lev*Storage!$I$12*co2_st_lifetime*M149/1000000+Carriers!$P$18/Carriers!$P$23*((CF149+FA_st_ab_losses)/365.25*short_st_duration_hrs/24)*(h2_short_st_invest*(1/gh2_short_st_lifetime+$M149+h2_short_st_opex)+h2_short_st_e_demand*1000*$AU149/100)/1000000+Carriers!$P$20/Carriers!$P$23*((CF149+FA_st_ab_losses)/365.25*short_st_duration_hrs/24)*(co2_short_st_invest*(1/co2_short_st_lifetime+$M149+co2_short_st_opex)+co2_short_st_e_demand*1000*$AU149/100)/1000000</f>
        <v>13423.199643602364</v>
      </c>
      <c r="CE149" s="63">
        <f>FA_st_nl_cost*FA_st_nl_demand/1000000+(FA_st_invest*(M149+1/FA_st_lifetime+FA_st_opex)/(Storage!$I$63/1000000)+FA_st_e_demand*1000*$AU149/100)*(CF149+FA_st_ab_losses)/1000000+Carriers!$P$18/Carriers!$P$23*((CF149+FA_st_ab_losses)/365.25*short_st_duration_hrs/24)*(h2_short_st_invest*(1/gh2_short_st_lifetime+$M149+h2_short_st_opex)+h2_short_st_e_demand*1000*$AU149/100)/1000000+Carriers!$P$20/Carriers!$P$23*((CF149+FA_st_ab_losses)/365.25*short_st_duration_hrs/24)*(co2_short_st_invest*(1/co2_short_st_lifetime+$M149+co2_short_st_opex)+co2_short_st_e_demand*1000*$AU149/100)/1000000</f>
        <v>5638.5300203765846</v>
      </c>
      <c r="CF149" s="63">
        <f>Storage!$I$57/((1-Shipping!$J$37)^($F149/24/Shipping!$J$44+0.5*Shipping!$J$59))</f>
        <v>310425396.82539684</v>
      </c>
      <c r="CG149" s="28">
        <f>IF($E149="","No Port",((F149/24/Shipping!$J$44+F149/24/Shipping!$J$50+Shipping!$J$59+Shipping!$J$64)*(Shipping!$J$22+wacc_nl*Shipping!$J$19/365.25*1000000+Shipping!$J$35)+(F149/24/Shipping!$J$44*Shipping!$J$45+Shipping!$J$64*Shipping!$J$65)*IF(bunker_choice="HFO",$H149,IF(bunker_choice="hydrogen",$BD149*hfo_e_density_lhv/h2_e_density_lhv,(CB149+CD149)*1000000/CF149*hfo_e_density_lhv/FA_e_density_lhv))+(F149/24/Shipping!$J$50*Shipping!$J$51+Shipping!$J$59*Shipping!$J$60)*IF(bunker_choice="HFO",bunker_price_ROT,IF(bunker_choice="hydrogen",$BD149*hfo_e_density_lhv/h2_e_density_lhv,(CB149+CD149)*1000000/CF149*hfo_e_density_lhv/FA_e_density_lhv))+Shipping!$J$73+IF(G149="Panama",Shipping!$J$55,0)+IF(G149="Suez",Shipping!$J$56,0))/Shipping!$J$31*CF149/1000000+IF(inland_transport_to_port="hv dc grid",$BM149/100*1000*CI149,IF(inland_transport_to_port="pipeline",$BN149,0)))</f>
        <v>15240.412138093958</v>
      </c>
      <c r="CH149" s="28">
        <f t="shared" si="213"/>
        <v>191214.45295886137</v>
      </c>
      <c r="CI149" s="29">
        <f>((Carriers!$P$18/Carriers!$P$23*alk_el_e_demand)+FA_e_demand)*(CF149+FA_st_ab_losses)/1000000+FA_st_e_demand*CF149/1000000</f>
        <v>1897.8881241622576</v>
      </c>
      <c r="CJ149" s="29">
        <f t="shared" si="186"/>
        <v>0.46563809523809524</v>
      </c>
      <c r="CK149" s="28">
        <f>IFERROR(CH149*1000000/Storage!$I$12,"")</f>
        <v>615.97554489529296</v>
      </c>
      <c r="CL149" s="28">
        <f>IF($E149="","No Port",((F149/24/Shipping!$J$44+F149/24/Shipping!$J$50+Shipping!$J$59+Shipping!$J$64)*Carriers!$P$39*wacc_nl))</f>
        <v>222.09084129859971</v>
      </c>
      <c r="CM149" s="29">
        <f>H2_retrieval!$H$25*h2_demand_kt/1000+(co2_liq_e_demand+co2_st_e_demand*2)*Storage!$I$12*co2_density/FA_density/1000000</f>
        <v>94.204253879484654</v>
      </c>
      <c r="CN149" s="28">
        <f>IFERROR((((CB149+CD149+CG149)*(1+H2_retrieval!$H$34)+CL149)*1000000/H2_retrieval!$H$8)+h2_regen_fa,"")</f>
        <v>12212.796928927797</v>
      </c>
      <c r="CO149" s="149">
        <f>(meoh_invest*(M149+1/meoh_lifetime)/meoh_prod+meoh_opex+meoh_e_demand*1000*$AU149/100+Carriers!$R$18/Carriers!$R$23*BD149+Carriers!$R$20/Carriers!$R$23*co2_liq_cost)*(CS149+meoh_st_ab_losses)/1000000</f>
        <v>72998.002081623097</v>
      </c>
      <c r="CP149" s="86">
        <f>(meoh_invest*(M149+1/meoh_lifetime)/meoh_prod+meoh_opex+meoh_e_demand*1000*$AU149/100+Carriers!$R$18/Carriers!$R$23*BD149+Carriers!$R$20/Carriers!$R$23*BP149)*(CS149+meoh_st_ab_losses)/1000000</f>
        <v>93160.706465092138</v>
      </c>
      <c r="CQ149" s="63">
        <f>meoh_st_nl_cost*meoh_st_nl_demand/1000000+(meoh_st_invest*(M149+1/meoh_st_lifetime+meoh_st_opex)/(Storage!$K$63/1000000)+meoh_st_e_demand*1000*$AU149/100)*(CS149+meoh_st_ab_losses)/1000000+co2_st_nl_cost*Storage!$K$12*co2_density/meoh_density/1000000+(co2_st_opex_lev+co2_st_invest_lev+co2_st_e_demand*1000*IFERROR(MIN(S149,AA149,AI149),S149)/100)*Storage!$K$12/1000000+co2_st_invest_lev*Storage!$K$12*co2_st_lifetime*M149/1000000+Carriers!$R$18/Carriers!$R$23*((CS149+meoh_st_ab_losses)/365.25*short_st_duration_hrs/24)*(h2_short_st_invest*(1/gh2_short_st_lifetime+$M149+h2_short_st_opex)+h2_short_st_e_demand*1000*$AU149/100)/1000000+Carriers!$R$20/Carriers!$R$23*((CF149+meoh_st_ab_losses)/365.25*short_st_duration_hrs/24)*(co2_short_st_invest*(1/co2_short_st_lifetime+$M149+co2_short_st_opex)+co2_short_st_e_demand*1000*$AU149/100)/1000000</f>
        <v>5388.2991793022875</v>
      </c>
      <c r="CR149" s="63">
        <f>meoh_st_nl_cost*meoh_st_nl_demand/1000000+(meoh_st_invest*(M149+1/meoh_st_lifetime+meoh_st_opex)/(Storage!$K$63/1000000)+meoh_st_e_demand*1000*$AU149/100)*(CS149+meoh_st_ab_losses)/1000000+Carriers!$R$18/Carriers!$R$23*((CS149+meoh_st_ab_losses)/365.25*short_st_duration_hrs/24)*(h2_short_st_invest*(1/gh2_short_st_lifetime+$M149+h2_short_st_opex)+h2_short_st_e_demand*1000*$AU149/100)/1000000+Carriers!$R$20/Carriers!$R$23*((CF149+meoh_st_ab_losses)/365.25*short_st_duration_hrs/24)*(co2_short_st_invest*(1/co2_short_st_lifetime+$M149+co2_short_st_opex)+co2_short_st_e_demand*1000*$AU149/100)/1000000</f>
        <v>2256.3909636822318</v>
      </c>
      <c r="CS149" s="63">
        <f>Storage!$K$57/((1-Shipping!$L$37)^($F149/24/Shipping!$L$44+0.5*Shipping!$L$59))</f>
        <v>108044444.44444443</v>
      </c>
      <c r="CT149" s="28">
        <f>IF($E149="","No Port",IF(AND(ship_choice="VLCC",G149="Panama"),"Ship cannot pass through Panama",IF(ship_choice="VLCC",((F149/24/Shipping!$AD$44+F149/24/Shipping!$AD$50+Shipping!$AD$59+Shipping!$AD$64)*(Shipping!$AD$22+wacc_nl*Shipping!$AD$19/365.25*1000000+Shipping!$AD$35)+(F149/24/Shipping!$AD$44*Shipping!$AD$45+Shipping!$AD$64*Shipping!$AD$65)*IF(bunker_choice="HFO",$H149,IF(bunker_choice="hydrogen",$BD149*hfo_e_density_lhv/h2_e_density_lhv,(CO149+CQ149)*1000000/CS149*hfo_e_density_lhv/meoh_e_density_lhv))+(F149/24/Shipping!$AD$50*Shipping!$AD$51+Shipping!$AD$59*Shipping!$AD$60)*IF(bunker_choice="HFO",bunker_price_ROT,IF(bunker_choice="hydrogen",$BD149*hfo_e_density_lhv/h2_e_density_lhv,(CO149+CQ149)*1000000/CS149*hfo_e_density_lhv/meoh_e_density_lhv))+Shipping!$AD$73+IF(G149="Panama",Shipping!$AD$55,0)+IF(G149="Suez",Shipping!$AD$56,0))/Shipping!$AD$31*CS149/1000000+IF(inland_transport_to_port="hv dc grid",$BM149/100*1000*CV149,IF(inland_transport_to_port="pipeline",$BN149,0)),((F149/24/Shipping!$L$44+F149/24/Shipping!$L$50+Shipping!$L$59+Shipping!$L$64)*(Shipping!$L$22+wacc_nl*Shipping!$L$19/365.25*1000000+Shipping!$L$35)+(F149/24/Shipping!$L$44*Shipping!$L$45+Shipping!$L$64*Shipping!$L$65)*IF(bunker_choice="HFO",$H149,IF(bunker_choice="hydrogen",$BD149*hfo_e_density_lhv/h2_e_density_lhv,(CO149+CQ149)*1000000/CS149*hfo_e_density_lhv/meoh_e_density_lhv))+(F149/24/Shipping!$L$50*Shipping!$L$51+Shipping!$L$59*Shipping!$L$60)*IF(bunker_choice="HFO",bunker_price_ROT,IF(bunker_choice="hydrogen",$BD149*hfo_e_density_lhv/h2_e_density_lhv,(CO149+CQ149)*1000000/CS149*hfo_e_density_lhv/meoh_e_density_lhv))+Shipping!$L$73+IF(G149="Panama",Shipping!$L$55,0)+IF(G149="Suez",Shipping!$L$56,0))/Shipping!$L$31*CS149/1000000+IF(inland_transport_to_port="hv dc grid",$BM149/100*1000*CV149,IF(inland_transport_to_port="pipeline",$BN149,0)))))</f>
        <v>6174.2446011389557</v>
      </c>
      <c r="CU149" s="28">
        <f t="shared" si="214"/>
        <v>101591.34202991333</v>
      </c>
      <c r="CV149" s="29">
        <f>((Carriers!$R$18/Carriers!$R$23*alk_el_e_demand)+meoh_e_demand)*(CS149+meoh_st_ab_losses)/1000000+meoh_st_e_demand*CS149/1000000</f>
        <v>1119.9789871111109</v>
      </c>
      <c r="CW149" s="29">
        <f t="shared" si="187"/>
        <v>0.16206666666666666</v>
      </c>
      <c r="CX149" s="28">
        <f>IFERROR(CU149*1000000/Storage!$K$12,"")</f>
        <v>940.27363047019753</v>
      </c>
      <c r="CY149" s="28">
        <f>IF($E149="","No Port",((F149/24/Shipping!$L$44+F149/24/Shipping!$L$50+Shipping!$L$59+Shipping!$L$64)*Carriers!$R$39*wacc_nl))</f>
        <v>79.427667842063357</v>
      </c>
      <c r="CZ149" s="29">
        <f>H2_retrieval!$J$25*h2_demand_kt/1000+(co2_liq_e_demand+co2_st_e_demand*2)*Storage!$K$12*co2_density/meoh_density/1000000</f>
        <v>251.05079059698966</v>
      </c>
      <c r="DA149" s="28">
        <f>IFERROR((((CO149+CQ149+CT149)*(1+H2_retrieval!$J$34)+CY149)*1000000/H2_retrieval!$J$8)+h2_regen_meoh,"")</f>
        <v>7393.6560086304089</v>
      </c>
      <c r="DB149" s="149">
        <f>(DBT_invest*(M149+1/DBT_lifetime)/DBT_prod+DBT_opex+DBT_e_demand*1000*$AU149/100+Carriers!$T$18/Carriers!$T$23*BD149)*(DD149+DBT_st_ab_losses)/1000000</f>
        <v>48516.115499499399</v>
      </c>
      <c r="DC149" s="28">
        <f>2*(DBT_st_nl_cost*DBT_st_nl_demand/1000000+(DBT_st_invest*(M149+1/DBT_st_lifetime+DBT_st_opex)/(Storage!$M$63/1000000)+DBT_st_e_demand*1000*$AU149/100)*(DD149+DBT_st_ab_losses)/1000000)+Carriers!$T$18/Carriers!$T$23*((DD149+DBT_st_ab_losses)/365.25*short_st_duration_hrs/24)*(h2_short_st_invest*(1/gh2_short_st_lifetime+$M149+h2_short_st_opex)+h2_short_st_e_demand*1000*$AU149/100)/1000000</f>
        <v>4581.5484968020846</v>
      </c>
      <c r="DD149" s="63">
        <f>Storage!$M$57/((1-Shipping!$N$37)^($F149/24/Shipping!$N$44+0.5*Shipping!$N$59))</f>
        <v>219354838.70967743</v>
      </c>
      <c r="DE149" s="28">
        <f>IF($E149="","No Port",IF(AND(ship_choice="VLCC",G149="Panama"),"Ship cannot pass through Panama",IF(ship_choice="VLCC",((F149/24/Shipping!$AD$44+F149/24/Shipping!$AD$50+Shipping!$AD$59+Shipping!$AD$64)*(Shipping!$AD$22+wacc_nl*Shipping!$AD$19/365.25*1000000+Shipping!$AD$35)+(F149/24/Shipping!$AD$44*Shipping!$AD$45+Shipping!$AD$64*Shipping!$AD$65)*IF(bunker_choice="HFO",$H149,IF(bunker_choice="hydrogen",$BD149*hfo_e_density_lhv/h2_e_density_lhv,(DB149+DC149)*1000000/DD149*hfo_e_density_lhv/DBT_e_density_lhv))+(F149/24/Shipping!$AD$50*Shipping!$AD$51+Shipping!$AD$59*Shipping!$AD$60)*IF(bunker_choice="HFO",bunker_price_ROT,IF(bunker_choice="hydrogen",$BD149*hfo_e_density_lhv/h2_e_density_lhv,(DB149+DC149)*1000000/DD149*hfo_e_density_lhv/DBT_e_density_lhv))+Shipping!$AD$73+IF(G149="Panama",Shipping!$AD$55,0)+IF(G149="Suez",Shipping!$AD$56,0))/Shipping!$AD$31*DD149/1000000+IF(inland_transport_to_port="hv dc grid",$BM149/100*1000*DG149,IF(inland_transport_to_port="pipeline",$BN149,0)),((F149/24/Shipping!$N$44+F149/24/Shipping!$N$50+Shipping!$N$59+Shipping!$N$64)*(Shipping!$N$22+wacc_nl*Shipping!$N$19/365.25*1000000+Shipping!$N$35)+(F149/24/Shipping!$N$44*Shipping!$N$45+Shipping!$N$64*Shipping!$N$65)*IF(bunker_choice="HFO",$H149,IF(bunker_choice="hydrogen",$BD149*hfo_e_density_lhv/h2_e_density_lhv,(DB149+DC149)*1000000/DD149*hfo_e_density_lhv/DBT_e_density_lhv))+(F149/24/Shipping!$N$50*Shipping!$N$51+Shipping!$N$59*Shipping!$N$60)*IF(bunker_choice="HFO",bunker_price_ROT,IF(bunker_choice="hydrogen",$BD149*hfo_e_density_lhv/h2_e_density_lhv,(DB149+DC149)*1000000/DD149*hfo_e_density_lhv/DBT_e_density_lhv))+Shipping!$N$73+IF(G149="Panama",Shipping!$N$55,0)+IF(G149="Suez",Shipping!$N$56,0))/Shipping!$N$31*Shipping!$N$86/1000000+IF(inland_transport_to_port="hv dc grid",$BM149/100*1000*DG149,IF(inland_transport_to_port="pipeline",$BN149,0)))))</f>
        <v>10097.942491203754</v>
      </c>
      <c r="DF149" s="28">
        <f t="shared" si="159"/>
        <v>63195.60648750524</v>
      </c>
      <c r="DG149" s="29">
        <f>((Carriers!$T$18/Carriers!$T$23*alk_el_e_demand)+DBT_e_demand)*(DD149+DBT_st_ab_losses)/1000000+DBT_st_e_demand*DD149/1000000</f>
        <v>703.88335483870969</v>
      </c>
      <c r="DH149" s="29">
        <f t="shared" si="188"/>
        <v>0.21935483870967742</v>
      </c>
      <c r="DI149" s="28">
        <f>IFERROR(DF149*1000000/Storage!$M$12,"")</f>
        <v>288.09761781068562</v>
      </c>
      <c r="DJ149" s="28">
        <f>IF($E149="","No Port",((F149/24/Shipping!$N$44+F149/24/Shipping!$N$50+Shipping!$N$59+Shipping!$N$64)*Carriers!$T$39*wacc_nl))</f>
        <v>5784.9780181340348</v>
      </c>
      <c r="DK149" s="100">
        <f>H2_retrieval!$L$25*h2_demand_kt/1000+(co2_liq_e_demand+co2_st_e_demand*2)*Storage!$M$12*co2_density/DBT_density/1000000</f>
        <v>206.61934861671787</v>
      </c>
      <c r="DL149" s="28">
        <f>IFERROR(((DF149*(1+H2_retrieval!$L$34)+DJ149)*1000000/H2_retrieval!$L$8)+h2_regen_lohc,"")</f>
        <v>5542.7515825240353</v>
      </c>
      <c r="DM149" s="149">
        <f t="shared" si="211"/>
        <v>74824.920797671031</v>
      </c>
      <c r="DN149" s="16">
        <f>2*(nabh4_st_nl_cost*nabh4_st_nl_demand/1000000+(nabh4_st_invest*(M149+1/nabh4_st_lifetime+nabh4_st_opex)/(Storage!$O$63/1000000)+nabh4_st_e_demand*1000*$AU149/100)*(DO149+nabh4_st_ab_losses)/1000000)+(h2_demand_kt*1000/365.25*short_st_duration_hrs/24)*(h2_short_st_invest*(1/gh2_short_st_lifetime+$M149+h2_short_st_opex)+h2_short_st_e_demand*1000*$AU149/100)/1000000</f>
        <v>1674.2287704335236</v>
      </c>
      <c r="DO149" s="63">
        <f>Storage!$O$57/((1-Shipping!$P$37)^($F149/24/Shipping!$P$44+0.5*Shipping!$P$59))</f>
        <v>63920000</v>
      </c>
      <c r="DP149" s="16">
        <f>IF($E149="","No Port",((F149/24/Shipping!$P$44+F149/24/Shipping!$P$50+Shipping!$P$59+Shipping!$P$64)*(Shipping!$P$22+wacc_nl*Shipping!$P$19/365.25*1000000+Shipping!$P$35)+(F149/24/Shipping!$P$44*Shipping!$P$45+Shipping!$P$64*Shipping!$P$65)*IF(bunker_choice="HFO",$H149,IF(bunker_choice="hydrogen",$BD149*hfo_e_density_lhv/h2_e_density_lhv,(DM149+DN149)*1000000/DO149*hfo_e_density_lhv/nabh4_e_density_lhv))+(F149/24/Shipping!$P$50*Shipping!$P$51+Shipping!$P$59*Shipping!$P$60)*IF(bunker_choice="HFO",bunker_price_ROT,IF(bunker_choice="hydrogen",$BD149*hfo_e_density_lhv/h2_e_density_lhv,(DM149+DN149)*1000000/DO149*hfo_e_density_lhv/nabh4_e_density_lhv))+Shipping!$P$73+IF(G149="Panama",Shipping!$P$55,0)+IF(G149="Suez",Shipping!$P$56,0))/Shipping!$P$31*(DO149+nabh4_st_ab_losses)/1000000+IF(inland_transport_to_port="hv dc grid",$BM149/100*1000*DR149,IF(inland_transport_to_port="pipeline",$BN149,0)))</f>
        <v>3903.6455125095854</v>
      </c>
      <c r="DQ149" s="28">
        <f t="shared" si="146"/>
        <v>80402.795080614131</v>
      </c>
      <c r="DR149" s="29">
        <f>((Carriers!$V$18/Carriers!$V$23*alk_el_e_demand)+nabh4_e_demand)*(DO149+nabh4_st_ab_losses)/1000000+nabh4_st_e_demand*DO149/1000000</f>
        <v>980.02139682539689</v>
      </c>
      <c r="DS149" s="28">
        <f t="shared" si="189"/>
        <v>3.1960000000000002</v>
      </c>
      <c r="DT149" s="28">
        <f>IFERROR(DQ149*1000000/Storage!$O$12,"")</f>
        <v>1257.8660056416479</v>
      </c>
      <c r="DU149" s="28">
        <f>IF($E149="","No Port",((F149/24/Shipping!$P$44+F149/24/Shipping!$P$50+Shipping!$P$59+Shipping!$P$64)*Carriers!$V$39*wacc_nl))</f>
        <v>540.28107318507739</v>
      </c>
      <c r="DV149" s="100">
        <f>H2_retrieval!$N$25*h2_demand_kt/1000+(co2_liq_e_demand+co2_st_e_demand*2)*Storage!$O$12*co2_density/nabh4_density/1000000</f>
        <v>18.783638728971958</v>
      </c>
      <c r="DW149" s="28">
        <f>IFERROR(((DQ149*(1+H2_retrieval!$N$34)+DU149)*1000000/H2_retrieval!$N$8)+h2_regen_nabh4,"")</f>
        <v>6076.8103909956026</v>
      </c>
      <c r="DX149" s="149">
        <f>(Dme_invest*(M149+1/Dme_lifetime)/Dme_prod+Dme_opex+Dme_e_demand*1000*$AU149/100+Carriers!$X$21/Carriers!$X$23*(CO149*1000000/CS149))*(EB149+Dme_st_ab_losses)/1000000</f>
        <v>103209.86487237338</v>
      </c>
      <c r="DY149" s="86">
        <f>(Dme_invest*(M149+1/Dme_lifetime)/Dme_prod+Dme_opex+Dme_e_demand*1000*$AU149/100+Carriers!$X$21/Carriers!$X$23*(CP149*1000000/CS149))*(EB149+Dme_st_ab_losses)/1000000</f>
        <v>130563.8802932706</v>
      </c>
      <c r="DZ149" s="63">
        <f>Dme_st_nl_cost*Dme_st_nl_demand/1000000+(Dme_st_invest*(M149+1/Dme_st_lifetime+Dme_st_opex)/(Storage!$Q$63/1000000)+Dme_st_e_demand*1000*$AU149/100)*(EB149+Dme_st_ab_losses)/1000000+co2_st_nl_cost*Storage!$Q$12*co2_density/Dme_density/1000000+(co2_st_opex_lev+co2_st_invest_lev+co2_st_e_demand*1000*$AU149/100)*Storage!$Q$12/1000000+co2_st_invest_lev*Storage!$Q$12*co2_st_lifetime*M149/1000000+(h2_demand_kt*1000/365.25*short_st_duration_hrs/24)*(h2_short_st_invest*(1/gh2_short_st_lifetime+$M149+h2_short_st_opex)+h2_short_st_e_demand*1000*$AU149/100)/1000000</f>
        <v>6651.7007233016557</v>
      </c>
      <c r="EA149" s="63">
        <f>Dme_st_nl_cost*Dme_st_nl_demand/1000000+(Dme_st_invest*(M149+1/Dme_st_lifetime+Dme_st_opex)/(Storage!$Q$63/1000000)+Dme_st_e_demand*1000*$AU149/100)*(EB149+Dme_st_ab_losses)/1000000+(h2_demand_kt*1000/365.25*short_st_duration_hrs/24)*(h2_short_st_invest*(1/gh2_short_st_lifetime+$M149+h2_short_st_opex)+h2_short_st_e_demand*1000*$AU149/100)/1000000</f>
        <v>3354.0414960604367</v>
      </c>
      <c r="EB149" s="63">
        <f>Storage!$Q$57/((1-Shipping!$R$37)^($F149/24/Shipping!$R$44+0.5*Shipping!$R$59))</f>
        <v>103547089.94708996</v>
      </c>
      <c r="EC149" s="153">
        <f>IF($E149="","No Port",IF(AND(ship_choice="VLCC",G149="Panama"),"Ship cannot pass through Panama",IF(ship_choice="VLCC",((F149/24/Shipping!$AD$44+F149/24/Shipping!$AD$50+Shipping!$AD$59+Shipping!$AD$64)*(Shipping!$AD$22+wacc_nl*Shipping!$AD$19/365.25*1000000+Shipping!$AD$35)+(F149/24/Shipping!$AD$44*Shipping!$AD$45+Shipping!$AD$64*Shipping!$AD$65)*IF(bunker_choice="HFO",$H149,IF(bunker_choice="hydrogen",$BD149*hfo_e_density_lhv/h2_e_density_lhv,(DX149+DZ149)*1000000/EB149*hfo_e_density_lhv/Dme_e_density_lhv))+(F149/24/Shipping!$AD$50*Shipping!$AD$51+Shipping!$AD$59*Shipping!$AD$60)*IF(bunker_choice="HFO",bunker_price_ROT,IF(bunker_choice="hydrogen",$BD149*hfo_e_density_lhv/h2_e_density_lhv,(DX149+DZ149)*1000000/EB149*hfo_e_density_lhv/Dme_e_density_lhv))+Shipping!$AD$73+IF(G149="Panama",Shipping!$AD$55,0)+IF(G149="Suez",Shipping!$AD$56,0))/Shipping!$AD$31*(EB149+Dme_st_ab_losses)/1000000+IF(inland_transport_to_port="hv dc grid",$BM149/100*1000*EE149,IF(inland_transport_to_port="pipeline",$BN149,0)),((F149/24/Shipping!$R$44+F149/24/Shipping!$R$50+Shipping!$R$59+Shipping!$R$64)*(Shipping!$R$22+wacc_nl*Shipping!$R$19/365.25*1000000+Shipping!$R$35)+(F149/24/Shipping!$R$44*Shipping!$R$45+Shipping!$R$64*Shipping!$R$65)*IF(bunker_choice="HFO",$H149,IF(bunker_choice="hydrogen",$BD149*hfo_e_density_lhv/h2_e_density_lhv,(DX149+DZ149)*1000000/EB149*hfo_e_density_lhv/Dme_e_density_lhv))+(F149/24/Shipping!$R$50*Shipping!$R$51+Shipping!$R$59*Shipping!$R$60)*IF(bunker_choice="HFO",bunker_price_ROT,IF(bunker_choice="hydrogen",$BD149*hfo_e_density_lhv/h2_e_density_lhv,(DX149+DZ149)*1000000/EB149*hfo_e_density_lhv/Dme_e_density_lhv))+Shipping!$R$73+IF(G149="Panama",Shipping!$R$55,0)+IF(G149="Suez",Shipping!$R$56,0))/Shipping!$R$31*(EB149+Dme_st_ab_losses)/1000000+IF(inland_transport_to_port="hv dc grid",$BM149/100*1000*EE149,IF(inland_transport_to_port="pipeline",$BN149,0)))))</f>
        <v>6170.0567198500248</v>
      </c>
      <c r="ED149" s="28">
        <f t="shared" si="215"/>
        <v>140087.97850918106</v>
      </c>
      <c r="EE149" s="29">
        <f>(Dme_e_demand)*(EB149+Dme_st_ab_losses)/1000000+Dme_st_e_demand*DZ149/1000000+$CV149*(Carriers!$X$21/Carriers!$X$23*EB149)/$CS149</f>
        <v>1550.2168266840631</v>
      </c>
      <c r="EF149" s="29">
        <f t="shared" si="190"/>
        <v>1.0354708994708997</v>
      </c>
      <c r="EG149" s="28">
        <f>IFERROR(ED149*1000000/Storage!$Q$12,"")</f>
        <v>1352.8915064707528</v>
      </c>
      <c r="EH149" s="28">
        <f>IF($E149="","No Port",((F149/24/Shipping!$R$44+F149/24/Shipping!$R$50+Shipping!$R$59+Shipping!$R$64)*Carriers!$X$39*wacc_nl))</f>
        <v>82.214068237067565</v>
      </c>
      <c r="EI149" s="100">
        <f>H2_retrieval!$P$25*h2_demand_kt/1000+(co2_liq_e_demand+co2_st_e_demand*2)*Storage!$Q$12*co2_density/Dme_density/1000000</f>
        <v>252.45335899349112</v>
      </c>
      <c r="EJ149" s="28">
        <f>IFERROR((((DX149+DZ149+EC149)*(1+H2_retrieval!$P$34)+EH149)*1000000/H2_retrieval!$P$8)+h2_regen_dme,"")</f>
        <v>9707.9106302374475</v>
      </c>
      <c r="EK149" s="149">
        <f>(ome_invest*(M149+1/ome_lifetime)/ome_prod+ome_opex+ome_e_demand*1000*$AU149/100+Carriers!$Z$21/Carriers!$Z$23*(CO149*1000000/CS149))*(EO149+ome_st_ab_losses)/1000000</f>
        <v>226165.02584363197</v>
      </c>
      <c r="EL149" s="86">
        <f>(ome_invest*(M149+1/ome_lifetime)/ome_prod+ome_opex+ome_e_demand*1000*$AU149/100+Carriers!$Z$21/Carriers!$Z$23*(CP149*1000000/CS149))*(EO149+ome_st_ab_losses)/1000000</f>
        <v>283586.42902771197</v>
      </c>
      <c r="EM149" s="63">
        <f>ome_st_nl_cost*ome_st_nl_demand/1000000+(ome_st_invest*(M149+1/ome_st_lifetime+ome_st_opex)/(Storage!$S$63/1000000)+ome_st_e_demand*1000*$AU149/100)*(EO149+ome_st_ab_losses)/1000000+co2_st_nl_cost*Storage!$S$12*co2_density/ome_density/1000000+(co2_st_opex_lev+co2_st_invest_lev+co2_st_e_demand*1000*$AU149/100)*Storage!$S$12/1000000+co2_st_invest_lev*Storage!$S$12*co2_st_lifetime*M149/1000000+(h2_demand_kt*1000/365.25*short_st_duration_hrs/24)*(h2_short_st_invest*(1/gh2_short_st_lifetime+$M149+h2_short_st_opex)+h2_short_st_e_demand*1000*$AU149/100)/1000000</f>
        <v>5767.3133593189914</v>
      </c>
      <c r="EN149" s="63">
        <f>ome_st_nl_cost*ome_st_nl_demand/1000000+(ome_st_invest*(M149+1/ome_st_lifetime+ome_st_opex)/(Storage!$S$63/1000000)+ome_st_e_demand*1000*$AU149/100)*(EO149+ome_st_ab_losses)/1000000+(h2_demand_kt*1000/365.25*short_st_duration_hrs/24)*(h2_short_st_invest*(1/gh2_short_st_lifetime+$M149+h2_short_st_opex)+h2_short_st_e_demand*1000*$AU149/100)/1000000</f>
        <v>2020.8732840393582</v>
      </c>
      <c r="EO149" s="63">
        <f>Storage!$S$57/((1-Shipping!$T$37)^($F149/24/Shipping!$T$44+0.5*Shipping!$T$59))</f>
        <v>128282539.68253967</v>
      </c>
      <c r="EP149" s="28">
        <f>IF($E149="","No Port",IF(AND(ship_choice="VLCC",G149="Panama"),"Ship cannot pass through Panama",IF(ship_choice="VLCC",((F149/24/Shipping!$AD$44+F149/24/Shipping!$AD$50+Shipping!$AD$59+Shipping!$AD$64)*(Shipping!$AD$22+wacc_nl*Shipping!$AD$19/365.25*1000000+Shipping!$AD$35)+(F149/24/Shipping!$AD$44*Shipping!$AD$45+Shipping!$AD$64*Shipping!$AD$65)*IF(bunker_choice="HFO",$H149,IF(bunker_choice="hydrogen",$BD149*hfo_e_density_lhv/h2_e_density_lhv,(EK149+EM149)*1000000/EO149*hfo_e_density_lhv/Dme_e_density_lhv))+(F149/24/Shipping!$AD$50*Shipping!$AD$51+Shipping!$AD$59*Shipping!$AD$60)*IF(bunker_choice="HFO",bunker_price_ROT,IF(bunker_choice="hydrogen",$BD149*hfo_e_density_lhv/h2_e_density_lhv,(EK149+EM149)*1000000/EO149*hfo_e_density_lhv/ome_e_density_lhv))+Shipping!$AD$73+IF(G149="Panama",Shipping!$AD$55,0)+IF(G149="Suez",Shipping!$AD$56,0))/Shipping!$AD$31*(EO149+ome_st_ab_losses)/1000000+IF(inland_transport_to_port="hv dc grid",$BM149/100*1000*ER149,IF(inland_transport_to_port="pipeline",$BN149,0)),((F149/24/Shipping!$T$44+F149/24/Shipping!$T$50+Shipping!$T$59+Shipping!$T$64)*(Shipping!$T$22+wacc_nl*Shipping!$T$19/365.25*1000000+Shipping!$T$35)+(F149/24/Shipping!$T$44*Shipping!$T$45+Shipping!$T$64*Shipping!$T$65)*IF(bunker_choice="HFO",$H149,IF(bunker_choice="hydrogen",$BD149*hfo_e_density_lhv/h2_e_density_lhv,(EK149+EM149)*1000000/EO149*hfo_e_density_lhv/Dme_e_density_lhv))+(F149/24/Shipping!$T$50*Shipping!$T$51+Shipping!$T$59*Shipping!$T$60)*IF(bunker_choice="HFO",bunker_price_ROT,IF(bunker_choice="hydrogen",$BD149*hfo_e_density_lhv/h2_e_density_lhv,(EK149+EM149)*1000000/EO149*hfo_e_density_lhv/ome_e_density_lhv))+Shipping!$T$73+IF(G149="Panama",Shipping!$T$55,0)+IF(G149="Suez",Shipping!$T$56,0))/Shipping!$T$31*(EO149+ome_st_ab_losses)/1000000+IF(inland_transport_to_port="hv dc grid",$BM149/100*1000*ER149,IF(inland_transport_to_port="pipeline",$BN149,0)))))</f>
        <v>6718.7105125018979</v>
      </c>
      <c r="EQ149" s="28">
        <f t="shared" si="216"/>
        <v>292326.01282425324</v>
      </c>
      <c r="ER149" s="29">
        <f>(ome_e_demand)*(EO149+ome_st_ab_losses)/1000000+ome_st_e_demand*EM149/1000000+$CV149*(Carriers!$Z$21/Carriers!$Z$23*EO149)/$CS149</f>
        <v>3352.0814587917534</v>
      </c>
      <c r="ES149" s="29">
        <f t="shared" si="191"/>
        <v>0.1924238095238095</v>
      </c>
      <c r="ET149" s="28">
        <f>IFERROR(EQ149*1000000/Storage!$S$12,"")</f>
        <v>2278.7669588368872</v>
      </c>
      <c r="EU149" s="28">
        <f>IF($E149="","No Port",((F149/24/Shipping!$T$44+F149/24/Shipping!$T$50+Shipping!$T$59+Shipping!$T$64)*Carriers!$Z$39*wacc_nl))</f>
        <v>94.305477752539744</v>
      </c>
      <c r="EV149" s="100">
        <f>H2_retrieval!$R$25*h2_demand_kt/1000+(co2_liq_e_demand+co2_st_e_demand*2)*Storage!$S$12*co2_density/ome_density/1000000</f>
        <v>254.51942895252085</v>
      </c>
      <c r="EW149" s="28">
        <f>IFERROR((((EK149+EM149+EP149)*(1+H2_retrieval!$R$34)+EU149)*1000000/H2_retrieval!$R$8)+h2_regen_ome,"")</f>
        <v>18724.934072108277</v>
      </c>
      <c r="EX149" s="149">
        <f>(sng_invest*(M149+1/sng_lifetime)/sng_prod+lng_invest*(M149+1/lng_lifetime)/lng_prod+sng_opex+lng_opex+(sng_e_demand+lng_e_demand)*1000*$AU149/100+Carriers!$AB$18/Carriers!$AB$23*BD149+Carriers!$AB$20/Carriers!$AB$23*co2_liq_cost)*(FB149+lng_st_ab_losses)/1000000</f>
        <v>79093.493540044263</v>
      </c>
      <c r="EY149" s="86">
        <f>(sng_invest*(M149+1/sng_lifetime)/sng_prod+lng_invest*(M149+1/lng_lifetime)/lng_prod+sng_opex+lng_opex+(sng_e_demand+lng_e_demand)*1000*$AU149/100+Carriers!$AB$18/Carriers!$AB$23*BD149+Carriers!$AB$20/Carriers!$AB$23*BP149)*(FB149+lng_st_ab_losses)/1000000</f>
        <v>94209.094549220346</v>
      </c>
      <c r="EZ149" s="63">
        <f>lng_st_nl_cost*lng_st_nl_demand/1000000+(lng_st_invest*(M149+1/lng_st_lifetime+lng_st_opex)/(Storage!$U$63/1000000)+lng_st_e_demand*1000*$AU149/100)*(FB149+lng_st_ab_losses)/1000000+co2_st_nl_cost*Storage!$U$12*co2_density/lng_density/1000000+(co2_st_opex_lev+co2_st_invest_lev+co2_st_e_demand*1000*$AU149/100)*Storage!$U$12/1000000+co2_st_invest_lev*Storage!$U$12*co2_st_lifetime*M149/1000000+Carriers!$AB$18/Carriers!$AB$23*((FB149+lng_st_ab_losses)/365.25*short_st_duration_hrs/24)*(h2_short_st_invest*(1/gh2_short_st_lifetime+$M149+h2_short_st_opex)+h2_short_st_e_demand*1000*$AU149/100)/1000000+Carriers!$AB$20/Carriers!$AB$23*((FB149+lng_st_ab_losses)/365.25*short_st_duration_hrs/24)*(co2_short_st_invest*(1/co2_short_st_lifetime+$M149+co2_short_st_opex)+co2_short_st_e_demand*1000*$AU149/100)/1000000</f>
        <v>6970.9738904748301</v>
      </c>
      <c r="FA149" s="63">
        <f>lng_st_nl_cost*lng_st_nl_demand/1000000+(lng_st_invest*(M149+1/lng_st_lifetime+lng_st_opex)/(Storage!$U$63/1000000)+lng_st_e_demand*1000*$AU149/100)*(FB149+lng_st_ab_losses)/1000000+Carriers!$AB$18/Carriers!$AB$23*((FB149+lng_st_ab_losses)/365.25*short_st_duration_hrs/24)*(h2_short_st_invest*(1/gh2_short_st_lifetime+$M149+h2_short_st_opex)+h2_short_st_e_demand*1000*$AU149/100)/1000000+Carriers!$AB$20/Carriers!$AB$23*((FB149+lng_st_ab_losses)/365.25*short_st_duration_hrs/24)*(co2_short_st_invest*(1/co2_short_st_lifetime+$M149+co2_short_st_opex)+co2_short_st_e_demand*1000*$AU149/100)/1000000</f>
        <v>5240.8047914778008</v>
      </c>
      <c r="FB149" s="63">
        <f>Storage!$U$57/((1-Shipping!$V$37)^($F149/24/Shipping!$V$44+0.5*Shipping!$V$59))</f>
        <v>41271468.808886521</v>
      </c>
      <c r="FC149" s="28">
        <f>IF($E149="","No Port",IF(G149="Panama","Ship cannot pass through Panama",((F149/24/Shipping!$V$44+F149/24/Shipping!$V$50+Shipping!$V$59+Shipping!$V$64)*(Shipping!$V$22+wacc_nl*Shipping!$V$19/365.25*1000000+Shipping!$V$35)+(F149/24/Shipping!$V$44*Shipping!$V$45+Shipping!$V$64*Shipping!$V$65)*IF(bunker_choice="HFO",$H149,IF(bunker_choice="hydrogen",$BD149*hfo_e_density_lhv/h2_e_density_lhv,(EX149+EZ149)*1000000/FB149*hfo_e_density_lhv/lng_e_density_lhv))+(F149/24/Shipping!$V$50*Shipping!$V$51+Shipping!$V$59*Shipping!$V$60)*IF(bunker_choice="HFO",bunker_price_ROT,IF(bunker_choice="hydrogen",$BD149*hfo_e_density_lhv/h2_e_density_lhv,(EX149+EZ149)*1000000/FB149*hfo_e_density_lhv/lng_e_density_lhv))+Shipping!$V$73+IF(G149="Panama",Shipping!$V$55,0)+IF(G149="Suez",Shipping!$V$56,0))/Shipping!$V$31*(FB149+lng_st_ab_losses)/1000000)+IF(inland_transport_to_port="hv dc grid",$BM149/100*1000*FE149,IF(inland_transport_to_port="pipeline",$BN149,0)))</f>
        <v>3404.7165513564214</v>
      </c>
      <c r="FD149" s="28">
        <f t="shared" si="217"/>
        <v>102854.61589205457</v>
      </c>
      <c r="FE149" s="29">
        <f>((Carriers!$AB$18/Carriers!$AB$23*alk_el_e_demand)+sng_e_demand+lng_e_demand)*(FB149+lng_st_ab_losses)/1000000+lng_st_e_demand*EZ149/1000000</f>
        <v>1106.8671400265075</v>
      </c>
      <c r="FF149" s="29">
        <f t="shared" si="192"/>
        <v>0.8126185861001558</v>
      </c>
      <c r="FG149" s="28">
        <f>IFERROR(FD149*1000000/Storage!$U$12,"")</f>
        <v>2534.3557576656121</v>
      </c>
      <c r="FH149" s="28">
        <f>IF($E149="","No Port",((F149/24/Shipping!$V$44+F149/24/Shipping!$V$50+Shipping!$V$59+Shipping!$V$64)*Carriers!$AB$39*wacc_nl))</f>
        <v>27.876870492565772</v>
      </c>
      <c r="FI149" s="100">
        <f>H2_retrieval!$T$25*h2_demand_kt/1000+(co2_liq_e_demand+co2_st_e_demand*2)*Storage!$U$12*co2_density/lng_density/1000000</f>
        <v>236.51371749646054</v>
      </c>
      <c r="FJ149" s="28">
        <f>IFERROR((((EX149+EZ149+FC149)*(1+H2_retrieval!$T$34)+FH149)*1000000/H2_retrieval!$T$8)+h2_regen_lng,"")</f>
        <v>7750.7947823408276</v>
      </c>
      <c r="FK149" s="149">
        <f>(lh2_invest*(M149+1/lh2_lifetime)/lh2_prod+lh2_opex+lh2_e_demand*1000*$AU149/100+Carriers!$AD$18/Carriers!$AD$23*BD149)*(FM149+lh2_st_ab_losses)/1000000</f>
        <v>63307.756733817121</v>
      </c>
      <c r="FL149" s="28">
        <f>lh2_st_nl_cost*lh2_st_nl_demand/1000000+(lh2_st_invest*(M149+1/lh2_st_lifetime+lh2_st_opex)/(Storage!$Y$63/1000000)+lh2_st_e_demand*1000*$AU149/100)*(FM149+lh2_st_ab_losses)/1000000+((FM149+lh2_st_ab_losses)/365.25*short_st_duration_hrs/24)*(h2_short_st_invest*(1/gh2_short_st_lifetime+$M149+h2_short_st_opex)+h2_short_st_e_demand*1000*$AU149/100)/1000000</f>
        <v>60227.311318689579</v>
      </c>
      <c r="FM149" s="63">
        <f>Storage!$Y$57/((1-Shipping!$Z$37)^($F149/24/Shipping!$Z$44+0.5*Shipping!$Z$59))</f>
        <v>13964299.639689</v>
      </c>
      <c r="FN149" s="28">
        <f>IF($E149="","No Port",IF(G149="Panama","Ship cannot pass through Panama",((F149/24/Shipping!$Z$44+F149/24/Shipping!$Z$50+Shipping!$Z$59+Shipping!$Z$64)*(Shipping!$Z$22+wacc_nl*Shipping!$Z$19/365.25*1000000+Shipping!$Z$35)+(F149/24/Shipping!$Z$44*Shipping!$Z$45+Shipping!$Z$64*Shipping!$Z$65)*IF(bunker_choice="HFO",$H149,IF(bunker_choice="hydrogen",$BD149*hfo_e_density_lhv/h2_e_density_lhv,(FK149+FL149)*1000000/FM149*hfo_e_density_lhv/lh2_e_density_lhv))+(F149/24/Shipping!$Z$50*Shipping!$Z$51+Shipping!$Z$59*Shipping!$Z$60)*IF(bunker_choice="HFO",bunker_price_ROT,IF(bunker_choice="hydrogen",$BD149*hfo_e_density_lhv/h2_e_density_lhv,(FK149+FL149)*1000000/FM149*hfo_e_density_lhv/lh2_e_density_lhv))+Shipping!$Z$73+IF(G149="Panama",Shipping!$Z$55,0)+IF(G149="Suez",Shipping!$Z$56,0))/Shipping!$Z$31*(FM149+lh2_st_ab_losses)/1000000)+IF(inland_transport_to_port="hv dc grid",$BM149/100*1000*FP149,IF(inland_transport_to_port="pipeline",$BN149,0)))</f>
        <v>4673.3958412085858</v>
      </c>
      <c r="FO149" s="28">
        <f t="shared" si="200"/>
        <v>128208.46389371529</v>
      </c>
      <c r="FP149" s="29">
        <f>((Carriers!$AD$18/Carriers!$AD$23*alk_el_e_demand)+lh2_e_demand)*(FM149+lh2_st_ab_losses)/1000000+lh2_st_e_demand*FM149/1000000</f>
        <v>809.21307329880608</v>
      </c>
      <c r="FQ149" s="100">
        <f t="shared" si="193"/>
        <v>1.361902463475859</v>
      </c>
      <c r="FR149" s="28">
        <f>IFERROR(FO149*1000000/Storage!$Y$12,"")</f>
        <v>9427.0929333614185</v>
      </c>
      <c r="FS149" s="100">
        <f>H2_retrieval!$V$25*h2_demand_kt/1000</f>
        <v>8.16</v>
      </c>
      <c r="FT149" s="28">
        <f>IFERROR(FR149*(1+H2_retrieval!$V$34)/Carrier_properties!$U$7+H2_retrieval!$V$38,"")</f>
        <v>9459.0616592298866</v>
      </c>
      <c r="FU149" s="12"/>
      <c r="FV149" s="24">
        <f t="shared" si="201"/>
        <v>3.1671436406508158</v>
      </c>
      <c r="FW149" s="24">
        <f t="shared" si="143"/>
        <v>5.8894465928094597</v>
      </c>
      <c r="FX149" s="24">
        <f t="shared" si="144"/>
        <v>8.4573769024063417</v>
      </c>
      <c r="FY149" s="24">
        <f t="shared" si="202"/>
        <v>3.1671436406508158</v>
      </c>
      <c r="FZ149" s="28">
        <f t="shared" si="145"/>
        <v>3295.0669071437933</v>
      </c>
      <c r="GA149" s="28">
        <f t="shared" si="218"/>
        <v>764.10274132095276</v>
      </c>
      <c r="GB149" s="28">
        <f t="shared" si="219"/>
        <v>548.71641477259175</v>
      </c>
      <c r="GC149" s="28">
        <f t="shared" si="220"/>
        <v>862.24430089040447</v>
      </c>
      <c r="GD149" s="28">
        <f t="shared" si="221"/>
        <v>1260.913081767779</v>
      </c>
      <c r="GE149" s="28">
        <f t="shared" si="222"/>
        <v>2210.6393413281517</v>
      </c>
      <c r="GF149" s="28">
        <f t="shared" si="223"/>
        <v>2282.6688089408481</v>
      </c>
      <c r="GG149" s="12"/>
      <c r="GH149" s="12"/>
      <c r="GI149" s="12"/>
      <c r="GJ149" s="12"/>
      <c r="GK149" s="12"/>
      <c r="GL149" s="12"/>
      <c r="GM149" s="12"/>
      <c r="GN149" s="12"/>
      <c r="GO149" s="12"/>
      <c r="GP149" s="12"/>
      <c r="GQ149" s="12"/>
      <c r="GR149" s="12"/>
      <c r="GS149" s="12"/>
      <c r="GT149" s="12"/>
      <c r="GU149" s="12"/>
      <c r="GV149" s="12"/>
      <c r="GW149" s="12"/>
      <c r="GX149" s="12"/>
      <c r="GY149" s="12"/>
      <c r="GZ149" s="12"/>
      <c r="HA149" s="12"/>
      <c r="HB149" s="12"/>
      <c r="HC149" s="12"/>
      <c r="HD149" s="12"/>
      <c r="HE149" s="12"/>
      <c r="HF149" s="12"/>
    </row>
    <row r="150" spans="1:214" x14ac:dyDescent="0.2">
      <c r="A150" s="154" t="s">
        <v>95</v>
      </c>
      <c r="B150" s="12">
        <v>9638</v>
      </c>
      <c r="C150" s="12">
        <v>1</v>
      </c>
      <c r="D150" s="12">
        <f t="shared" si="194"/>
        <v>0</v>
      </c>
      <c r="E150" s="12" t="s">
        <v>796</v>
      </c>
      <c r="F150" s="12">
        <v>8934</v>
      </c>
      <c r="G150" s="12" t="s">
        <v>692</v>
      </c>
      <c r="H150" s="16">
        <f t="shared" si="203"/>
        <v>382.75862068965517</v>
      </c>
      <c r="I150" s="16">
        <v>310070</v>
      </c>
      <c r="J150" s="16">
        <f t="shared" si="195"/>
        <v>314.16292971801744</v>
      </c>
      <c r="K150" s="16">
        <f t="shared" si="196"/>
        <v>376.99551566162091</v>
      </c>
      <c r="L150" s="103">
        <v>0.129</v>
      </c>
      <c r="M150" s="103">
        <f t="shared" si="204"/>
        <v>0.13265113464548278</v>
      </c>
      <c r="N150" s="122">
        <f t="shared" si="197"/>
        <v>0.9</v>
      </c>
      <c r="O150" s="46">
        <f t="shared" si="205"/>
        <v>40</v>
      </c>
      <c r="P150" s="70">
        <f t="array" ref="P150">SUMPRODUCT(IF(Solar_data!A$4:A$777=A150,Solar_data!C$4:C$777),IF(Solar_data!A$4:A$777=A150,Solar_data!I$4:I$777))/SUMIF(Solar_data!A$4:A$777,A150,Solar_data!I$4:I$777)</f>
        <v>1749.0301240023146</v>
      </c>
      <c r="Q150" s="16">
        <f t="array" ref="Q150">MAX(IF(Solar_data!$A$777:'Solar_data'!$A$4=Country_details!$A150,Solar_data!$C$4:'Solar_data'!$C$777))</f>
        <v>2098.75</v>
      </c>
      <c r="R150" s="16">
        <f t="array" ref="R150">MIN(IF(Solar_data!$A$777:'Solar_data'!$A$4=Country_details!A150,Solar_data!$C$4:'Solar_data'!$C$777))</f>
        <v>1368.75</v>
      </c>
      <c r="S150" s="24">
        <f t="shared" si="176"/>
        <v>2.6981416436924386</v>
      </c>
      <c r="T150" s="24">
        <f t="shared" si="177"/>
        <v>2.2485436634392832</v>
      </c>
      <c r="U150" s="24">
        <f t="shared" si="178"/>
        <v>3.4477669506069009</v>
      </c>
      <c r="V150" s="16">
        <f t="array" ref="V150">SUM(IF(Solar_data!$A$777:'Solar_data'!$A$4=Country_details!$A150,Solar_data!$I$4:'Solar_data'!$I$777))</f>
        <v>2274.4643551699037</v>
      </c>
      <c r="W150" s="148"/>
      <c r="X150" s="16" t="str">
        <f>IFERROR(INDEX(Onshore_wind_data!$J$5:'Onshore_wind_data'!$J$221,MATCH(A150,Onshore_wind_data!$B$5:'Onshore_wind_data'!$B$221,0)),"")</f>
        <v/>
      </c>
      <c r="Y150" s="16" t="str">
        <f>IFERROR(INDEX(Onshore_wind_data!$K$5:'Onshore_wind_data'!$K$221,MATCH(A150,Onshore_wind_data!$B$5:'Onshore_wind_data'!$B$221,0)),"")</f>
        <v/>
      </c>
      <c r="Z150" s="16" t="str">
        <f>IFERROR(INDEX(Onshore_wind_data!$L$5:'Onshore_wind_data'!$L$221,MATCH(A150,Onshore_wind_data!$B$5:'Onshore_wind_data'!$B$221,0)),"")</f>
        <v/>
      </c>
      <c r="AA150" s="24" t="str">
        <f t="shared" si="206"/>
        <v/>
      </c>
      <c r="AB150" s="24" t="str">
        <f t="shared" si="207"/>
        <v/>
      </c>
      <c r="AC150" s="24" t="str">
        <f t="shared" si="208"/>
        <v/>
      </c>
      <c r="AD150" s="16">
        <f>IFERROR(INDEX(Onshore_wind_data!$I$5:'Onshore_wind_data'!$I$221,MATCH(A150,Onshore_wind_data!$B$5:'Onshore_wind_data'!$B$221,0)),"")</f>
        <v>0</v>
      </c>
      <c r="AE150" s="148"/>
      <c r="AF150" s="16">
        <f>INDEX(Offshore_wind_data!$AA$7:$AA$192,MATCH(Country_details!A150,Offshore_wind_data!$A$7:$A$192,0))</f>
        <v>3702.3765315219698</v>
      </c>
      <c r="AG150" s="16">
        <f>INDEX(Offshore_wind_data!$Y$7:$Y$192,MATCH(Country_details!A150,Offshore_wind_data!$A$7:$A$192,0))</f>
        <v>4204.8</v>
      </c>
      <c r="AH150" s="16">
        <f>INDEX(Offshore_wind_data!$Z$7:$Z$192,MATCH(Country_details!A150,Offshore_wind_data!$A$7:$A$192,0))</f>
        <v>3153.6</v>
      </c>
      <c r="AI150" s="24">
        <f t="shared" si="179"/>
        <v>7.6629588073541504</v>
      </c>
      <c r="AJ150" s="24">
        <f t="shared" si="180"/>
        <v>6.7473265911262335</v>
      </c>
      <c r="AK150" s="24">
        <f t="shared" si="181"/>
        <v>8.9964354548349785</v>
      </c>
      <c r="AL150" s="16">
        <f>INDEX(Offshore_wind_data!$W$7:$W$191,MATCH(A150,Offshore_wind_data!$A$7:$A$191,0))</f>
        <v>3488.3791679999999</v>
      </c>
      <c r="AM150" s="148"/>
      <c r="AN150" s="12">
        <v>95.5</v>
      </c>
      <c r="AO150" s="12">
        <v>114.6</v>
      </c>
      <c r="AP150" s="34">
        <f>0.667*11.63</f>
        <v>7.7572100000000006</v>
      </c>
      <c r="AQ150" s="15">
        <f t="shared" si="182"/>
        <v>50</v>
      </c>
      <c r="AR150" s="12">
        <f t="shared" si="212"/>
        <v>5730</v>
      </c>
      <c r="AS150" s="16">
        <f t="shared" si="198"/>
        <v>32.843523169904074</v>
      </c>
      <c r="AT150" s="12"/>
      <c r="AU150" s="24">
        <f t="shared" si="183"/>
        <v>2.6981416436924386</v>
      </c>
      <c r="AV150" s="16">
        <f t="shared" si="184"/>
        <v>1749.0301240023146</v>
      </c>
      <c r="AW150" s="149">
        <f>HV_DC_Grid!$E$3/(1-AX150)*AU150/100*1000</f>
        <v>3307.2740312803635</v>
      </c>
      <c r="AX150" s="31">
        <f>(1-(1-HV_DC_Grid!$E$25)^(B150*C150*HV_DC_Grid!$E$8/1000))+(1-(1-HV_DC_Grid!$E$26)^(B150*D150*HV_DC_Grid!$E$8/1000))+HV_DC_Grid!$E$35*HV_DC_Grid!$E$28</f>
        <v>0.18417959377623994</v>
      </c>
      <c r="AY150" s="28">
        <f>B150*nl_e_demand/IF(hv_dc_flh="electricity FLH",$AV150,hv_dc_custom)*1000*hv_dc_capacity_multiplier*hv_dc_length_multiplier*1000*(C150*hv_dc_overhead_invest*(hv_dc_overhead_opex+M150+1/hv_dc_lifetime)+D150*hv_dc_sea_invest*(hv_dc_sea_opex+M150+1/hv_dc_lifetime))/1000000+HV_DC_Grid!$E$10*1000*hv_dc_station_invest*hv_dc_station_number*(hv_dc_station_opex+M150+1/hv_dc_lifetime)/1000000</f>
        <v>8974.1372320295777</v>
      </c>
      <c r="AZ150" s="24">
        <f>(AW150+AY150)/(HV_DC_Grid!$E$3*1000)*100</f>
        <v>12.281411263309941</v>
      </c>
      <c r="BA150" s="28">
        <f>MIN(((Carriers!$F$26+Carriers!$F$27)*(alk_el_opex+wacc_nl+1/alk_el_lifetime)+IF(hv_dc_flh="electricity FLH",$AV150,hv_dc_custom)*AZ150/100)/(IF(hv_dc_flh="electricity FLH",$AV150,hv_dc_custom)/alk_el_e_demand)*1000,((Carriers!$H$26+Carriers!$H$27)*(pem_el_opex+wacc_nl+1/pem_el_lifetime)+IF(hv_dc_flh="electricity FLH",$AV150,hv_dc_custom)*AZ150/100)/(IF(hv_dc_flh="electricity FLH",$AV150,hv_dc_custom)/pem_el_e_demand)*1000)</f>
        <v>6633.0073758294593</v>
      </c>
      <c r="BB150" s="12"/>
      <c r="BC150" s="12"/>
      <c r="BD150" s="149">
        <f>MIN(((Carriers!$F$26+Carriers!$F$27)*(alk_el_opex+M150+1/alk_el_lifetime)+$AV150*$AU150/100)/($AV150/alk_el_e_demand)*1000,((Carriers!$H$26+Carriers!$H$27)*(pem_el_opex+M150+1/pem_el_lifetime)+$AV150*$AU150/100)/($AV150/pem_el_e_demand)*1000)</f>
        <v>3400.6963414231982</v>
      </c>
      <c r="BE150" s="28">
        <f>Storage!$AC$50</f>
        <v>8.1664117557772418</v>
      </c>
      <c r="BF150" s="28">
        <f>((Pipeline!$D$22*Pipeline!$D$24*B150*(pipeline_opex+M150+1/pipeline_lifetime))*(Pipeline!$D$39/Pipeline!$D$3)+(Pipeline!$D$57*(pipeline_comp_opex+M150+1/pipeline_comp_lifetime)+Pipeline!$D$47*1000*Pipeline!$D$45*$AU150/100/1000000))*(Pipeline!$D$75/Pipeline!$D$45)</f>
        <v>22493.029283904423</v>
      </c>
      <c r="BG150" s="28">
        <f>BD150+(BE150+BF150)/Storage!$AC$12*1000000</f>
        <v>5055.1960249276244</v>
      </c>
      <c r="BH150" s="28"/>
      <c r="BI150" s="28"/>
      <c r="BJ150" s="28">
        <f>IF($E150="","No Port",BK150*HV_DC_Grid!$E$3*$AU150/100*1000)</f>
        <v>57.390250489812573</v>
      </c>
      <c r="BK150" s="31">
        <f>IFERROR((1-(1-HV_DC_Grid!$E$25)^(K150*HV_DC_Grid!$E$8/1000))+HV_DC_Grid!$E$35*HV_DC_Grid!$E$28,"")</f>
        <v>2.1270288245977084E-2</v>
      </c>
      <c r="BL150" s="28">
        <f>IFERROR(K150*nl_e_demand/IF(hv_dc_flh="electricity FLH",$AV150,hv_dc_custom)*1000*hv_dc_capacity_multiplier*hv_dc_length_multiplier*1000*(hv_dc_overhead_invest*(hv_dc_overhead_opex+M150+1/hv_dc_lifetime))/1000000+HV_DC_Grid!$E$10*1000*hv_dc_station_invest*hv_dc_station_number*(hv_dc_station_opex+M150+1/hv_dc_lifetime)/1000000,"")</f>
        <v>776.31466851666289</v>
      </c>
      <c r="BM150" s="29">
        <f>IFERROR((BJ150+BL150)/(HV_DC_Grid!$E$3*1000)*100,"")</f>
        <v>0.83370491900647548</v>
      </c>
      <c r="BN150" s="28">
        <f>IFERROR(((Pipeline!$D$22*Pipeline!$D$24*K150*(pipeline_opex+M150+1/pipeline_lifetime))*(Pipeline!$D$39/Pipeline!$D$3)+(Pipeline!$D$57*(pipeline_comp_opex+M150+1/pipeline_comp_lifetime)+Pipeline!$D$47*1000*Pipeline!$D$45*S150/100/1000000))*(Pipeline!$D$75/Pipeline!$D$45),"")</f>
        <v>964.98340404938938</v>
      </c>
      <c r="BO150" s="28"/>
      <c r="BP150" s="150">
        <f t="shared" si="209"/>
        <v>117.66534636304981</v>
      </c>
      <c r="BQ150" s="34">
        <f t="shared" si="210"/>
        <v>35.122471465147591</v>
      </c>
      <c r="BR150" s="151">
        <f>(nh3_invest*(M150+1/nh3_lifetime)/nh3_prod+nh3_opex+nh3_e_demand*1000*$AU150/100+Carriers!$N$18/Carriers!$N$23*BD150+Carriers!$N$19/Carriers!$N$23*BQ150)*(BT150+nh3_st_ab_losses)/1000000</f>
        <v>61286.448236213437</v>
      </c>
      <c r="BS150" s="63">
        <f>nh3_st_nl_cost*nh3_st_nl_demand/1000000+(nh3_st_invest*(M150+1/nh3_st_lifetime+nh3_st_opex)/(Storage!$G$63/1000000)+nh3_st_e_demand*1000*$AU150/100)*(BT150+nh3_st_ab_losses)/1000000+Carriers!$N$18/Carriers!$N$23*((BT150+nh3_st_ab_losses)/365.25*short_st_duration_hrs/24)*(h2_short_st_invest*(1/gh2_short_st_lifetime+$M150+h2_short_st_opex)+h2_short_st_e_demand*1000*$AU150/100)/1000000+Carriers!$N$19/Carriers!$N$23*((BT150+nh3_st_ab_losses)/365.25*short_st_duration_hrs/24)*(n2_short_st_invest*(1/n2_short_st_lifetime+$M150+n2_short_st_opex)+n2_short_st_e_demand*1000*$AU150/100)/1000000</f>
        <v>3593.8143610470474</v>
      </c>
      <c r="BT150" s="63">
        <f>Storage!$G$57/((1-Shipping!$H$37)^(F150/24/Shipping!$H$44+0.5*Shipping!$H$59))</f>
        <v>81321244.055621296</v>
      </c>
      <c r="BU150" s="63">
        <f>IF($E150="","No Port",((F150/24/Shipping!$H$44+F150/24/Shipping!$H$50+Shipping!$H$59+Shipping!$H$64)*(Shipping!$H$22+wacc_nl*Shipping!$H$19/365.25*1000000+Shipping!$H$35)+(F150/24/Shipping!$H$44*Shipping!$H$45+Shipping!$H$64*Shipping!$H$65)*IF(bunker_choice="HFO",H150,IF(bunker_choice="hydrogen",BD150*hfo_e_density_lhv/h2_e_density_lhv,(BR150+BS150)*1000000/BT150*hfo_e_density_lhv/nh3_e_density_lhv))+(F150/24/Shipping!$H$50*Shipping!$H$51+Shipping!$H$59*Shipping!$H$60)*IF(bunker_choice="HFO",bunker_price_ROT,IF(bunker_choice="hydrogen",BD150*hfo_e_density_lhv/h2_e_density_lhv,(BR150+BS150)*1000000/BT150*hfo_e_density_lhv/nh3_e_density_lhv))+Shipping!$H$73+IF(G150="Panama",Shipping!$H$55,0)+IF(G150="Suez",Shipping!$H$56,0))/Shipping!$H$31*BT150/1000000+IF(inland_transport_to_port="hv dc grid",$BM150/100*1000*BW150,IF(inland_transport_to_port="pipeline",$BN150,0)))</f>
        <v>7624.2391655200972</v>
      </c>
      <c r="BV150" s="63">
        <f t="shared" si="199"/>
        <v>72504.501762780579</v>
      </c>
      <c r="BW150" s="33">
        <f>((Carriers!$N$18/Carriers!$N$23*alk_el_e_demand)+(Carriers!$N$19/Carriers!$N$23*n2_e_demand)+nh3_e_demand)*(BT150+nh3_st_ab_losses)/1000000+nh3_st_e_demand*BT150/1000000</f>
        <v>803.04965228421349</v>
      </c>
      <c r="BX150" s="33">
        <f t="shared" si="185"/>
        <v>0.76626754477640768</v>
      </c>
      <c r="BY150" s="63">
        <f>IFERROR(BV150*1000000/Storage!$G$12,"")</f>
        <v>946.99184771433602</v>
      </c>
      <c r="BZ150" s="63">
        <f>H2_retrieval!$F$25*h2_demand_kt/1000</f>
        <v>80</v>
      </c>
      <c r="CA150" s="63">
        <f>IFERROR(BY150*(1+H2_retrieval!$F$34)/Carrier_properties!$E$7+H2_retrieval!$F$38,"")</f>
        <v>5740.4393445540718</v>
      </c>
      <c r="CB150" s="149">
        <f>(FA_invest*(M150+1/FA_lifetime)/FA_prod+FA_opex+FA_e_demand*1000*$AU150/100+Carriers!$P$18/Carriers!$P$23*BD150+Carriers!$P$20/Carriers!$P$23*co2_liq_cost)*(CF150+FA_st_ab_losses)/1000000</f>
        <v>115216.00911144156</v>
      </c>
      <c r="CC150" s="86">
        <f>(FA_invest*(M150+1/FA_lifetime)/FA_prod+FA_opex+FA_e_demand*1000*$AU150/100+Carriers!$P$18/Carriers!$P$23*BD150+Carriers!$P$20/Carriers!$P$23*BP150)*(CF150+FA_st_ab_losses)/1000000</f>
        <v>143667.03305905615</v>
      </c>
      <c r="CD150" s="63">
        <f>FA_st_nl_cost*FA_st_nl_demand/1000000+(FA_st_invest*(M150+1/FA_st_lifetime+FA_st_opex)/(Storage!$I$63/1000000)+FA_st_e_demand*1000*$AU150/100)*(CF150+FA_st_ab_losses)/1000000+co2_st_nl_cost*Storage!$I$12*co2_density/FA_density/1000000+(co2_st_opex_lev+co2_st_invest_lev+co2_st_e_demand*1000*$AU150/100)*Storage!$I$12/1000000+co2_st_invest_lev*Storage!$I$12*co2_st_lifetime*M150/1000000+Carriers!$P$18/Carriers!$P$23*((CF150+FA_st_ab_losses)/365.25*short_st_duration_hrs/24)*(h2_short_st_invest*(1/gh2_short_st_lifetime+$M150+h2_short_st_opex)+h2_short_st_e_demand*1000*$AU150/100)/1000000+Carriers!$P$20/Carriers!$P$23*((CF150+FA_st_ab_losses)/365.25*short_st_duration_hrs/24)*(co2_short_st_invest*(1/co2_short_st_lifetime+$M150+co2_short_st_opex)+co2_short_st_e_demand*1000*$AU150/100)/1000000</f>
        <v>12031.076003408492</v>
      </c>
      <c r="CE150" s="63">
        <f>FA_st_nl_cost*FA_st_nl_demand/1000000+(FA_st_invest*(M150+1/FA_st_lifetime+FA_st_opex)/(Storage!$I$63/1000000)+FA_st_e_demand*1000*$AU150/100)*(CF150+FA_st_ab_losses)/1000000+Carriers!$P$18/Carriers!$P$23*((CF150+FA_st_ab_losses)/365.25*short_st_duration_hrs/24)*(h2_short_st_invest*(1/gh2_short_st_lifetime+$M150+h2_short_st_opex)+h2_short_st_e_demand*1000*$AU150/100)/1000000+Carriers!$P$20/Carriers!$P$23*((CF150+FA_st_ab_losses)/365.25*short_st_duration_hrs/24)*(co2_short_st_invest*(1/co2_short_st_lifetime+$M150+co2_short_st_opex)+co2_short_st_e_demand*1000*$AU150/100)/1000000</f>
        <v>5228.68131328654</v>
      </c>
      <c r="CF150" s="63">
        <f>Storage!$I$57/((1-Shipping!$J$37)^($F150/24/Shipping!$J$44+0.5*Shipping!$J$59))</f>
        <v>310425396.82539684</v>
      </c>
      <c r="CG150" s="28">
        <f>IF($E150="","No Port",((F150/24/Shipping!$J$44+F150/24/Shipping!$J$50+Shipping!$J$59+Shipping!$J$64)*(Shipping!$J$22+wacc_nl*Shipping!$J$19/365.25*1000000+Shipping!$J$35)+(F150/24/Shipping!$J$44*Shipping!$J$45+Shipping!$J$64*Shipping!$J$65)*IF(bunker_choice="HFO",$H150,IF(bunker_choice="hydrogen",$BD150*hfo_e_density_lhv/h2_e_density_lhv,(CB150+CD150)*1000000/CF150*hfo_e_density_lhv/FA_e_density_lhv))+(F150/24/Shipping!$J$50*Shipping!$J$51+Shipping!$J$59*Shipping!$J$60)*IF(bunker_choice="HFO",bunker_price_ROT,IF(bunker_choice="hydrogen",$BD150*hfo_e_density_lhv/h2_e_density_lhv,(CB150+CD150)*1000000/CF150*hfo_e_density_lhv/FA_e_density_lhv))+Shipping!$J$73+IF(G150="Panama",Shipping!$J$55,0)+IF(G150="Suez",Shipping!$J$56,0))/Shipping!$J$31*CF150/1000000+IF(inland_transport_to_port="hv dc grid",$BM150/100*1000*CI150,IF(inland_transport_to_port="pipeline",$BN150,0)))</f>
        <v>30094.127013615645</v>
      </c>
      <c r="CH150" s="28">
        <f t="shared" si="213"/>
        <v>178989.84138595834</v>
      </c>
      <c r="CI150" s="29">
        <f>((Carriers!$P$18/Carriers!$P$23*alk_el_e_demand)+FA_e_demand)*(CF150+FA_st_ab_losses)/1000000+FA_st_e_demand*CF150/1000000</f>
        <v>1897.8881241622576</v>
      </c>
      <c r="CJ150" s="29">
        <f t="shared" si="186"/>
        <v>0.46563809523809524</v>
      </c>
      <c r="CK150" s="28">
        <f>IFERROR(CH150*1000000/Storage!$I$12,"")</f>
        <v>576.59535339704735</v>
      </c>
      <c r="CL150" s="28">
        <f>IF($E150="","No Port",((F150/24/Shipping!$J$44+F150/24/Shipping!$J$50+Shipping!$J$59+Shipping!$J$64)*Carriers!$P$39*wacc_nl))</f>
        <v>415.00609904164537</v>
      </c>
      <c r="CM150" s="29">
        <f>H2_retrieval!$H$25*h2_demand_kt/1000+(co2_liq_e_demand+co2_st_e_demand*2)*Storage!$I$12*co2_density/FA_density/1000000</f>
        <v>94.204253879484654</v>
      </c>
      <c r="CN150" s="28">
        <f>IFERROR((((CB150+CD150+CG150)*(1+H2_retrieval!$H$34)+CL150)*1000000/H2_retrieval!$H$8)+h2_regen_fa,"")</f>
        <v>11689.409296260143</v>
      </c>
      <c r="CO150" s="149">
        <f>(meoh_invest*(M150+1/meoh_lifetime)/meoh_prod+meoh_opex+meoh_e_demand*1000*$AU150/100+Carriers!$R$18/Carriers!$R$23*BD150+Carriers!$R$20/Carriers!$R$23*co2_liq_cost)*(CS150+meoh_st_ab_losses)/1000000</f>
        <v>74092.069325253644</v>
      </c>
      <c r="CP150" s="86">
        <f>(meoh_invest*(M150+1/meoh_lifetime)/meoh_prod+meoh_opex+meoh_e_demand*1000*$AU150/100+Carriers!$R$18/Carriers!$R$23*BD150+Carriers!$R$20/Carriers!$R$23*BP150)*(CS150+meoh_st_ab_losses)/1000000</f>
        <v>90793.698717861014</v>
      </c>
      <c r="CQ150" s="63">
        <f>meoh_st_nl_cost*meoh_st_nl_demand/1000000+(meoh_st_invest*(M150+1/meoh_st_lifetime+meoh_st_opex)/(Storage!$K$63/1000000)+meoh_st_e_demand*1000*$AU150/100)*(CS150+meoh_st_ab_losses)/1000000+co2_st_nl_cost*Storage!$K$12*co2_density/meoh_density/1000000+(co2_st_opex_lev+co2_st_invest_lev+co2_st_e_demand*1000*IFERROR(MIN(S150,AA150,AI150),S150)/100)*Storage!$K$12/1000000+co2_st_invest_lev*Storage!$K$12*co2_st_lifetime*M150/1000000+Carriers!$R$18/Carriers!$R$23*((CS150+meoh_st_ab_losses)/365.25*short_st_duration_hrs/24)*(h2_short_st_invest*(1/gh2_short_st_lifetime+$M150+h2_short_st_opex)+h2_short_st_e_demand*1000*$AU150/100)/1000000+Carriers!$R$20/Carriers!$R$23*((CF150+meoh_st_ab_losses)/365.25*short_st_duration_hrs/24)*(co2_short_st_invest*(1/co2_short_st_lifetime+$M150+co2_short_st_opex)+co2_short_st_e_demand*1000*$AU150/100)/1000000</f>
        <v>5035.6194567313114</v>
      </c>
      <c r="CR150" s="63">
        <f>meoh_st_nl_cost*meoh_st_nl_demand/1000000+(meoh_st_invest*(M150+1/meoh_st_lifetime+meoh_st_opex)/(Storage!$K$63/1000000)+meoh_st_e_demand*1000*$AU150/100)*(CS150+meoh_st_ab_losses)/1000000+Carriers!$R$18/Carriers!$R$23*((CS150+meoh_st_ab_losses)/365.25*short_st_duration_hrs/24)*(h2_short_st_invest*(1/gh2_short_st_lifetime+$M150+h2_short_st_opex)+h2_short_st_e_demand*1000*$AU150/100)/1000000+Carriers!$R$20/Carriers!$R$23*((CF150+meoh_st_ab_losses)/365.25*short_st_duration_hrs/24)*(co2_short_st_invest*(1/co2_short_st_lifetime+$M150+co2_short_st_opex)+co2_short_st_e_demand*1000*$AU150/100)/1000000</f>
        <v>2069.0291519430275</v>
      </c>
      <c r="CS150" s="63">
        <f>Storage!$K$57/((1-Shipping!$L$37)^($F150/24/Shipping!$L$44+0.5*Shipping!$L$59))</f>
        <v>108044444.44444443</v>
      </c>
      <c r="CT150" s="28">
        <f>IF($E150="","No Port",IF(AND(ship_choice="VLCC",G150="Panama"),"Ship cannot pass through Panama",IF(ship_choice="VLCC",((F150/24/Shipping!$AD$44+F150/24/Shipping!$AD$50+Shipping!$AD$59+Shipping!$AD$64)*(Shipping!$AD$22+wacc_nl*Shipping!$AD$19/365.25*1000000+Shipping!$AD$35)+(F150/24/Shipping!$AD$44*Shipping!$AD$45+Shipping!$AD$64*Shipping!$AD$65)*IF(bunker_choice="HFO",$H150,IF(bunker_choice="hydrogen",$BD150*hfo_e_density_lhv/h2_e_density_lhv,(CO150+CQ150)*1000000/CS150*hfo_e_density_lhv/meoh_e_density_lhv))+(F150/24/Shipping!$AD$50*Shipping!$AD$51+Shipping!$AD$59*Shipping!$AD$60)*IF(bunker_choice="HFO",bunker_price_ROT,IF(bunker_choice="hydrogen",$BD150*hfo_e_density_lhv/h2_e_density_lhv,(CO150+CQ150)*1000000/CS150*hfo_e_density_lhv/meoh_e_density_lhv))+Shipping!$AD$73+IF(G150="Panama",Shipping!$AD$55,0)+IF(G150="Suez",Shipping!$AD$56,0))/Shipping!$AD$31*CS150/1000000+IF(inland_transport_to_port="hv dc grid",$BM150/100*1000*CV150,IF(inland_transport_to_port="pipeline",$BN150,0)),((F150/24/Shipping!$L$44+F150/24/Shipping!$L$50+Shipping!$L$59+Shipping!$L$64)*(Shipping!$L$22+wacc_nl*Shipping!$L$19/365.25*1000000+Shipping!$L$35)+(F150/24/Shipping!$L$44*Shipping!$L$45+Shipping!$L$64*Shipping!$L$65)*IF(bunker_choice="HFO",$H150,IF(bunker_choice="hydrogen",$BD150*hfo_e_density_lhv/h2_e_density_lhv,(CO150+CQ150)*1000000/CS150*hfo_e_density_lhv/meoh_e_density_lhv))+(F150/24/Shipping!$L$50*Shipping!$L$51+Shipping!$L$59*Shipping!$L$60)*IF(bunker_choice="HFO",bunker_price_ROT,IF(bunker_choice="hydrogen",$BD150*hfo_e_density_lhv/h2_e_density_lhv,(CO150+CQ150)*1000000/CS150*hfo_e_density_lhv/meoh_e_density_lhv))+Shipping!$L$73+IF(G150="Panama",Shipping!$L$55,0)+IF(G150="Suez",Shipping!$L$56,0))/Shipping!$L$31*CS150/1000000+IF(inland_transport_to_port="hv dc grid",$BM150/100*1000*CV150,IF(inland_transport_to_port="pipeline",$BN150,0)))))</f>
        <v>10624.929126847275</v>
      </c>
      <c r="CU150" s="28">
        <f t="shared" si="214"/>
        <v>103487.65699665132</v>
      </c>
      <c r="CV150" s="29">
        <f>((Carriers!$R$18/Carriers!$R$23*alk_el_e_demand)+meoh_e_demand)*(CS150+meoh_st_ab_losses)/1000000+meoh_st_e_demand*CS150/1000000</f>
        <v>1119.9789871111109</v>
      </c>
      <c r="CW150" s="29">
        <f t="shared" si="187"/>
        <v>0.16206666666666666</v>
      </c>
      <c r="CX150" s="28">
        <f>IFERROR(CU150*1000000/Storage!$K$12,"")</f>
        <v>957.82487964815095</v>
      </c>
      <c r="CY150" s="28">
        <f>IF($E150="","No Port",((F150/24/Shipping!$L$44+F150/24/Shipping!$L$50+Shipping!$L$59+Shipping!$L$64)*Carriers!$R$39*wacc_nl))</f>
        <v>148.88770800828632</v>
      </c>
      <c r="CZ150" s="29">
        <f>H2_retrieval!$J$25*h2_demand_kt/1000+(co2_liq_e_demand+co2_st_e_demand*2)*Storage!$K$12*co2_density/meoh_density/1000000</f>
        <v>251.05079059698966</v>
      </c>
      <c r="DA150" s="28">
        <f>IFERROR((((CO150+CQ150+CT150)*(1+H2_retrieval!$J$34)+CY150)*1000000/H2_retrieval!$J$8)+h2_regen_meoh,"")</f>
        <v>7780.5333679638006</v>
      </c>
      <c r="DB150" s="149">
        <f>(DBT_invest*(M150+1/DBT_lifetime)/DBT_prod+DBT_opex+DBT_e_demand*1000*$AU150/100+Carriers!$T$18/Carriers!$T$23*BD150)*(DD150+DBT_st_ab_losses)/1000000</f>
        <v>49598.314618517041</v>
      </c>
      <c r="DC150" s="28">
        <f>2*(DBT_st_nl_cost*DBT_st_nl_demand/1000000+(DBT_st_invest*(M150+1/DBT_st_lifetime+DBT_st_opex)/(Storage!$M$63/1000000)+DBT_st_e_demand*1000*$AU150/100)*(DD150+DBT_st_ab_losses)/1000000)+Carriers!$T$18/Carriers!$T$23*((DD150+DBT_st_ab_losses)/365.25*short_st_duration_hrs/24)*(h2_short_st_invest*(1/gh2_short_st_lifetime+$M150+h2_short_st_opex)+h2_short_st_e_demand*1000*$AU150/100)/1000000</f>
        <v>4250.3048583096197</v>
      </c>
      <c r="DD150" s="63">
        <f>Storage!$M$57/((1-Shipping!$N$37)^($F150/24/Shipping!$N$44+0.5*Shipping!$N$59))</f>
        <v>219354838.70967743</v>
      </c>
      <c r="DE150" s="28">
        <f>IF($E150="","No Port",IF(AND(ship_choice="VLCC",G150="Panama"),"Ship cannot pass through Panama",IF(ship_choice="VLCC",((F150/24/Shipping!$AD$44+F150/24/Shipping!$AD$50+Shipping!$AD$59+Shipping!$AD$64)*(Shipping!$AD$22+wacc_nl*Shipping!$AD$19/365.25*1000000+Shipping!$AD$35)+(F150/24/Shipping!$AD$44*Shipping!$AD$45+Shipping!$AD$64*Shipping!$AD$65)*IF(bunker_choice="HFO",$H150,IF(bunker_choice="hydrogen",$BD150*hfo_e_density_lhv/h2_e_density_lhv,(DB150+DC150)*1000000/DD150*hfo_e_density_lhv/DBT_e_density_lhv))+(F150/24/Shipping!$AD$50*Shipping!$AD$51+Shipping!$AD$59*Shipping!$AD$60)*IF(bunker_choice="HFO",bunker_price_ROT,IF(bunker_choice="hydrogen",$BD150*hfo_e_density_lhv/h2_e_density_lhv,(DB150+DC150)*1000000/DD150*hfo_e_density_lhv/DBT_e_density_lhv))+Shipping!$AD$73+IF(G150="Panama",Shipping!$AD$55,0)+IF(G150="Suez",Shipping!$AD$56,0))/Shipping!$AD$31*DD150/1000000+IF(inland_transport_to_port="hv dc grid",$BM150/100*1000*DG150,IF(inland_transport_to_port="pipeline",$BN150,0)),((F150/24/Shipping!$N$44+F150/24/Shipping!$N$50+Shipping!$N$59+Shipping!$N$64)*(Shipping!$N$22+wacc_nl*Shipping!$N$19/365.25*1000000+Shipping!$N$35)+(F150/24/Shipping!$N$44*Shipping!$N$45+Shipping!$N$64*Shipping!$N$65)*IF(bunker_choice="HFO",$H150,IF(bunker_choice="hydrogen",$BD150*hfo_e_density_lhv/h2_e_density_lhv,(DB150+DC150)*1000000/DD150*hfo_e_density_lhv/DBT_e_density_lhv))+(F150/24/Shipping!$N$50*Shipping!$N$51+Shipping!$N$59*Shipping!$N$60)*IF(bunker_choice="HFO",bunker_price_ROT,IF(bunker_choice="hydrogen",$BD150*hfo_e_density_lhv/h2_e_density_lhv,(DB150+DC150)*1000000/DD150*hfo_e_density_lhv/DBT_e_density_lhv))+Shipping!$N$73+IF(G150="Panama",Shipping!$N$55,0)+IF(G150="Suez",Shipping!$N$56,0))/Shipping!$N$31*Shipping!$N$86/1000000+IF(inland_transport_to_port="hv dc grid",$BM150/100*1000*DG150,IF(inland_transport_to_port="pipeline",$BN150,0)))))</f>
        <v>19228.040024929371</v>
      </c>
      <c r="DF150" s="28">
        <f t="shared" si="159"/>
        <v>73076.659501756032</v>
      </c>
      <c r="DG150" s="29">
        <f>((Carriers!$T$18/Carriers!$T$23*alk_el_e_demand)+DBT_e_demand)*(DD150+DBT_st_ab_losses)/1000000+DBT_st_e_demand*DD150/1000000</f>
        <v>703.88335483870969</v>
      </c>
      <c r="DH150" s="29">
        <f t="shared" si="188"/>
        <v>0.21935483870967742</v>
      </c>
      <c r="DI150" s="28">
        <f>IFERROR(DF150*1000000/Storage!$M$12,"")</f>
        <v>333.14359478741716</v>
      </c>
      <c r="DJ150" s="28">
        <f>IF($E150="","No Port",((F150/24/Shipping!$N$44+F150/24/Shipping!$N$50+Shipping!$N$59+Shipping!$N$64)*Carriers!$T$39*wacc_nl))</f>
        <v>10843.98096279192</v>
      </c>
      <c r="DK150" s="100">
        <f>H2_retrieval!$L$25*h2_demand_kt/1000+(co2_liq_e_demand+co2_st_e_demand*2)*Storage!$M$12*co2_density/DBT_density/1000000</f>
        <v>206.61934861671787</v>
      </c>
      <c r="DL150" s="28">
        <f>IFERROR(((DF150*(1+H2_retrieval!$L$34)+DJ150)*1000000/H2_retrieval!$L$8)+h2_regen_lohc,"")</f>
        <v>6641.2851089143796</v>
      </c>
      <c r="DM150" s="149">
        <f t="shared" si="211"/>
        <v>52400.111502410989</v>
      </c>
      <c r="DN150" s="16">
        <f>2*(nabh4_st_nl_cost*nabh4_st_nl_demand/1000000+(nabh4_st_invest*(M150+1/nabh4_st_lifetime+nabh4_st_opex)/(Storage!$O$63/1000000)+nabh4_st_e_demand*1000*$AU150/100)*(DO150+nabh4_st_ab_losses)/1000000)+(h2_demand_kt*1000/365.25*short_st_duration_hrs/24)*(h2_short_st_invest*(1/gh2_short_st_lifetime+$M150+h2_short_st_opex)+h2_short_st_e_demand*1000*$AU150/100)/1000000</f>
        <v>1444.6731392775928</v>
      </c>
      <c r="DO150" s="63">
        <f>Storage!$O$57/((1-Shipping!$P$37)^($F150/24/Shipping!$P$44+0.5*Shipping!$P$59))</f>
        <v>63920000</v>
      </c>
      <c r="DP150" s="16">
        <f>IF($E150="","No Port",((F150/24/Shipping!$P$44+F150/24/Shipping!$P$50+Shipping!$P$59+Shipping!$P$64)*(Shipping!$P$22+wacc_nl*Shipping!$P$19/365.25*1000000+Shipping!$P$35)+(F150/24/Shipping!$P$44*Shipping!$P$45+Shipping!$P$64*Shipping!$P$65)*IF(bunker_choice="HFO",$H150,IF(bunker_choice="hydrogen",$BD150*hfo_e_density_lhv/h2_e_density_lhv,(DM150+DN150)*1000000/DO150*hfo_e_density_lhv/nabh4_e_density_lhv))+(F150/24/Shipping!$P$50*Shipping!$P$51+Shipping!$P$59*Shipping!$P$60)*IF(bunker_choice="HFO",bunker_price_ROT,IF(bunker_choice="hydrogen",$BD150*hfo_e_density_lhv/h2_e_density_lhv,(DM150+DN150)*1000000/DO150*hfo_e_density_lhv/nabh4_e_density_lhv))+Shipping!$P$73+IF(G150="Panama",Shipping!$P$55,0)+IF(G150="Suez",Shipping!$P$56,0))/Shipping!$P$31*(DO150+nabh4_st_ab_losses)/1000000+IF(inland_transport_to_port="hv dc grid",$BM150/100*1000*DR150,IF(inland_transport_to_port="pipeline",$BN150,0)))</f>
        <v>5540.6317789918885</v>
      </c>
      <c r="DQ150" s="28">
        <f t="shared" si="146"/>
        <v>59385.416420680471</v>
      </c>
      <c r="DR150" s="29">
        <f>((Carriers!$V$18/Carriers!$V$23*alk_el_e_demand)+nabh4_e_demand)*(DO150+nabh4_st_ab_losses)/1000000+nabh4_st_e_demand*DO150/1000000</f>
        <v>980.02139682539689</v>
      </c>
      <c r="DS150" s="28">
        <f t="shared" si="189"/>
        <v>3.1960000000000002</v>
      </c>
      <c r="DT150" s="28">
        <f>IFERROR(DQ150*1000000/Storage!$O$12,"")</f>
        <v>929.0584546414342</v>
      </c>
      <c r="DU150" s="28">
        <f>IF($E150="","No Port",((F150/24/Shipping!$P$44+F150/24/Shipping!$P$50+Shipping!$P$59+Shipping!$P$64)*Carriers!$V$39*wacc_nl))</f>
        <v>993.15830077115709</v>
      </c>
      <c r="DV150" s="100">
        <f>H2_retrieval!$N$25*h2_demand_kt/1000+(co2_liq_e_demand+co2_st_e_demand*2)*Storage!$O$12*co2_density/nabh4_density/1000000</f>
        <v>18.783638728971958</v>
      </c>
      <c r="DW150" s="28">
        <f>IFERROR(((DQ150*(1+H2_retrieval!$N$34)+DU150)*1000000/H2_retrieval!$N$8)+h2_regen_nabh4,"")</f>
        <v>4533.806787646613</v>
      </c>
      <c r="DX150" s="149">
        <f>(Dme_invest*(M150+1/Dme_lifetime)/Dme_prod+Dme_opex+Dme_e_demand*1000*$AU150/100+Carriers!$X$21/Carriers!$X$23*(CO150*1000000/CS150))*(EB150+Dme_st_ab_losses)/1000000</f>
        <v>103767.20074103631</v>
      </c>
      <c r="DY150" s="86">
        <f>(Dme_invest*(M150+1/Dme_lifetime)/Dme_prod+Dme_opex+Dme_e_demand*1000*$AU150/100+Carriers!$X$21/Carriers!$X$23*(CP150*1000000/CS150))*(EB150+Dme_st_ab_losses)/1000000</f>
        <v>126425.70027912698</v>
      </c>
      <c r="DZ150" s="63">
        <f>Dme_st_nl_cost*Dme_st_nl_demand/1000000+(Dme_st_invest*(M150+1/Dme_st_lifetime+Dme_st_opex)/(Storage!$Q$63/1000000)+Dme_st_e_demand*1000*$AU150/100)*(EB150+Dme_st_ab_losses)/1000000+co2_st_nl_cost*Storage!$Q$12*co2_density/Dme_density/1000000+(co2_st_opex_lev+co2_st_invest_lev+co2_st_e_demand*1000*$AU150/100)*Storage!$Q$12/1000000+co2_st_invest_lev*Storage!$Q$12*co2_st_lifetime*M150/1000000+(h2_demand_kt*1000/365.25*short_st_duration_hrs/24)*(h2_short_st_invest*(1/gh2_short_st_lifetime+$M150+h2_short_st_opex)+h2_short_st_e_demand*1000*$AU150/100)/1000000</f>
        <v>6064.719239453897</v>
      </c>
      <c r="EA150" s="63">
        <f>Dme_st_nl_cost*Dme_st_nl_demand/1000000+(Dme_st_invest*(M150+1/Dme_st_lifetime+Dme_st_opex)/(Storage!$Q$63/1000000)+Dme_st_e_demand*1000*$AU150/100)*(EB150+Dme_st_ab_losses)/1000000+(h2_demand_kt*1000/365.25*short_st_duration_hrs/24)*(h2_short_st_invest*(1/gh2_short_st_lifetime+$M150+h2_short_st_opex)+h2_short_st_e_demand*1000*$AU150/100)/1000000</f>
        <v>3094.7126846133278</v>
      </c>
      <c r="EB150" s="63">
        <f>Storage!$Q$57/((1-Shipping!$R$37)^($F150/24/Shipping!$R$44+0.5*Shipping!$R$59))</f>
        <v>103547089.94708996</v>
      </c>
      <c r="EC150" s="153">
        <f>IF($E150="","No Port",IF(AND(ship_choice="VLCC",G150="Panama"),"Ship cannot pass through Panama",IF(ship_choice="VLCC",((F150/24/Shipping!$AD$44+F150/24/Shipping!$AD$50+Shipping!$AD$59+Shipping!$AD$64)*(Shipping!$AD$22+wacc_nl*Shipping!$AD$19/365.25*1000000+Shipping!$AD$35)+(F150/24/Shipping!$AD$44*Shipping!$AD$45+Shipping!$AD$64*Shipping!$AD$65)*IF(bunker_choice="HFO",$H150,IF(bunker_choice="hydrogen",$BD150*hfo_e_density_lhv/h2_e_density_lhv,(DX150+DZ150)*1000000/EB150*hfo_e_density_lhv/Dme_e_density_lhv))+(F150/24/Shipping!$AD$50*Shipping!$AD$51+Shipping!$AD$59*Shipping!$AD$60)*IF(bunker_choice="HFO",bunker_price_ROT,IF(bunker_choice="hydrogen",$BD150*hfo_e_density_lhv/h2_e_density_lhv,(DX150+DZ150)*1000000/EB150*hfo_e_density_lhv/Dme_e_density_lhv))+Shipping!$AD$73+IF(G150="Panama",Shipping!$AD$55,0)+IF(G150="Suez",Shipping!$AD$56,0))/Shipping!$AD$31*(EB150+Dme_st_ab_losses)/1000000+IF(inland_transport_to_port="hv dc grid",$BM150/100*1000*EE150,IF(inland_transport_to_port="pipeline",$BN150,0)),((F150/24/Shipping!$R$44+F150/24/Shipping!$R$50+Shipping!$R$59+Shipping!$R$64)*(Shipping!$R$22+wacc_nl*Shipping!$R$19/365.25*1000000+Shipping!$R$35)+(F150/24/Shipping!$R$44*Shipping!$R$45+Shipping!$R$64*Shipping!$R$65)*IF(bunker_choice="HFO",$H150,IF(bunker_choice="hydrogen",$BD150*hfo_e_density_lhv/h2_e_density_lhv,(DX150+DZ150)*1000000/EB150*hfo_e_density_lhv/Dme_e_density_lhv))+(F150/24/Shipping!$R$50*Shipping!$R$51+Shipping!$R$59*Shipping!$R$60)*IF(bunker_choice="HFO",bunker_price_ROT,IF(bunker_choice="hydrogen",$BD150*hfo_e_density_lhv/h2_e_density_lhv,(DX150+DZ150)*1000000/EB150*hfo_e_density_lhv/Dme_e_density_lhv))+Shipping!$R$73+IF(G150="Panama",Shipping!$R$55,0)+IF(G150="Suez",Shipping!$R$56,0))/Shipping!$R$31*(EB150+Dme_st_ab_losses)/1000000+IF(inland_transport_to_port="hv dc grid",$BM150/100*1000*EE150,IF(inland_transport_to_port="pipeline",$BN150,0)))))</f>
        <v>10429.895163093659</v>
      </c>
      <c r="ED150" s="28">
        <f t="shared" si="215"/>
        <v>139950.30812683396</v>
      </c>
      <c r="EE150" s="29">
        <f>(Dme_e_demand)*(EB150+Dme_st_ab_losses)/1000000+Dme_st_e_demand*DZ150/1000000+$CV150*(Carriers!$X$21/Carriers!$X$23*EB150)/$CS150</f>
        <v>1550.2168208142482</v>
      </c>
      <c r="EF150" s="29">
        <f t="shared" si="190"/>
        <v>1.0354708994708997</v>
      </c>
      <c r="EG150" s="28">
        <f>IFERROR(ED150*1000000/Storage!$Q$12,"")</f>
        <v>1351.5619627586364</v>
      </c>
      <c r="EH150" s="28">
        <f>IF($E150="","No Port",((F150/24/Shipping!$R$44+F150/24/Shipping!$R$50+Shipping!$R$59+Shipping!$R$64)*Carriers!$X$39*wacc_nl))</f>
        <v>155.3977007080106</v>
      </c>
      <c r="EI150" s="100">
        <f>H2_retrieval!$P$25*h2_demand_kt/1000+(co2_liq_e_demand+co2_st_e_demand*2)*Storage!$Q$12*co2_density/Dme_density/1000000</f>
        <v>252.45335899349112</v>
      </c>
      <c r="EJ150" s="28">
        <f>IFERROR((((DX150+DZ150+EC150)*(1+H2_retrieval!$P$34)+EH150)*1000000/H2_retrieval!$P$8)+h2_regen_dme,"")</f>
        <v>10024.335369982284</v>
      </c>
      <c r="EK150" s="149">
        <f>(ome_invest*(M150+1/ome_lifetime)/ome_prod+ome_opex+ome_e_demand*1000*$AU150/100+Carriers!$Z$21/Carriers!$Z$23*(CO150*1000000/CS150))*(EO150+ome_st_ab_losses)/1000000</f>
        <v>224856.17707856547</v>
      </c>
      <c r="EL150" s="86">
        <f>(ome_invest*(M150+1/ome_lifetime)/ome_prod+ome_opex+ome_e_demand*1000*$AU150/100+Carriers!$Z$21/Carriers!$Z$23*(CP150*1000000/CS150))*(EO150+ome_st_ab_losses)/1000000</f>
        <v>272420.77838126948</v>
      </c>
      <c r="EM150" s="63">
        <f>ome_st_nl_cost*ome_st_nl_demand/1000000+(ome_st_invest*(M150+1/ome_st_lifetime+ome_st_opex)/(Storage!$S$63/1000000)+ome_st_e_demand*1000*$AU150/100)*(EO150+ome_st_ab_losses)/1000000+co2_st_nl_cost*Storage!$S$12*co2_density/ome_density/1000000+(co2_st_opex_lev+co2_st_invest_lev+co2_st_e_demand*1000*$AU150/100)*Storage!$S$12/1000000+co2_st_invest_lev*Storage!$S$12*co2_st_lifetime*M150/1000000+(h2_demand_kt*1000/365.25*short_st_duration_hrs/24)*(h2_short_st_invest*(1/gh2_short_st_lifetime+$M150+h2_short_st_opex)+h2_short_st_e_demand*1000*$AU150/100)/1000000</f>
        <v>5202.322774146568</v>
      </c>
      <c r="EN150" s="63">
        <f>ome_st_nl_cost*ome_st_nl_demand/1000000+(ome_st_invest*(M150+1/ome_st_lifetime+ome_st_opex)/(Storage!$S$63/1000000)+ome_st_e_demand*1000*$AU150/100)*(EO150+ome_st_ab_losses)/1000000+(h2_demand_kt*1000/365.25*short_st_duration_hrs/24)*(h2_short_st_invest*(1/gh2_short_st_lifetime+$M150+h2_short_st_opex)+h2_short_st_e_demand*1000*$AU150/100)/1000000</f>
        <v>1861.8054241777477</v>
      </c>
      <c r="EO150" s="63">
        <f>Storage!$S$57/((1-Shipping!$T$37)^($F150/24/Shipping!$T$44+0.5*Shipping!$T$59))</f>
        <v>128282539.68253967</v>
      </c>
      <c r="EP150" s="28">
        <f>IF($E150="","No Port",IF(AND(ship_choice="VLCC",G150="Panama"),"Ship cannot pass through Panama",IF(ship_choice="VLCC",((F150/24/Shipping!$AD$44+F150/24/Shipping!$AD$50+Shipping!$AD$59+Shipping!$AD$64)*(Shipping!$AD$22+wacc_nl*Shipping!$AD$19/365.25*1000000+Shipping!$AD$35)+(F150/24/Shipping!$AD$44*Shipping!$AD$45+Shipping!$AD$64*Shipping!$AD$65)*IF(bunker_choice="HFO",$H150,IF(bunker_choice="hydrogen",$BD150*hfo_e_density_lhv/h2_e_density_lhv,(EK150+EM150)*1000000/EO150*hfo_e_density_lhv/Dme_e_density_lhv))+(F150/24/Shipping!$AD$50*Shipping!$AD$51+Shipping!$AD$59*Shipping!$AD$60)*IF(bunker_choice="HFO",bunker_price_ROT,IF(bunker_choice="hydrogen",$BD150*hfo_e_density_lhv/h2_e_density_lhv,(EK150+EM150)*1000000/EO150*hfo_e_density_lhv/ome_e_density_lhv))+Shipping!$AD$73+IF(G150="Panama",Shipping!$AD$55,0)+IF(G150="Suez",Shipping!$AD$56,0))/Shipping!$AD$31*(EO150+ome_st_ab_losses)/1000000+IF(inland_transport_to_port="hv dc grid",$BM150/100*1000*ER150,IF(inland_transport_to_port="pipeline",$BN150,0)),((F150/24/Shipping!$T$44+F150/24/Shipping!$T$50+Shipping!$T$59+Shipping!$T$64)*(Shipping!$T$22+wacc_nl*Shipping!$T$19/365.25*1000000+Shipping!$T$35)+(F150/24/Shipping!$T$44*Shipping!$T$45+Shipping!$T$64*Shipping!$T$65)*IF(bunker_choice="HFO",$H150,IF(bunker_choice="hydrogen",$BD150*hfo_e_density_lhv/h2_e_density_lhv,(EK150+EM150)*1000000/EO150*hfo_e_density_lhv/Dme_e_density_lhv))+(F150/24/Shipping!$T$50*Shipping!$T$51+Shipping!$T$59*Shipping!$T$60)*IF(bunker_choice="HFO",bunker_price_ROT,IF(bunker_choice="hydrogen",$BD150*hfo_e_density_lhv/h2_e_density_lhv,(EK150+EM150)*1000000/EO150*hfo_e_density_lhv/ome_e_density_lhv))+Shipping!$T$73+IF(G150="Panama",Shipping!$T$55,0)+IF(G150="Suez",Shipping!$T$56,0))/Shipping!$T$31*(EO150+ome_st_ab_losses)/1000000+IF(inland_transport_to_port="hv dc grid",$BM150/100*1000*ER150,IF(inland_transport_to_port="pipeline",$BN150,0)))))</f>
        <v>11807.743685101012</v>
      </c>
      <c r="EQ150" s="28">
        <f t="shared" si="216"/>
        <v>286090.3274905482</v>
      </c>
      <c r="ER150" s="29">
        <f>(ome_e_demand)*(EO150+ome_st_ab_losses)/1000000+ome_st_e_demand*EM150/1000000+$CV150*(Carriers!$Z$21/Carriers!$Z$23*EO150)/$CS150</f>
        <v>3352.0814579442676</v>
      </c>
      <c r="ES150" s="29">
        <f t="shared" si="191"/>
        <v>0.1924238095238095</v>
      </c>
      <c r="ET150" s="28">
        <f>IFERROR(EQ150*1000000/Storage!$S$12,"")</f>
        <v>2230.1579638081294</v>
      </c>
      <c r="EU150" s="28">
        <f>IF($E150="","No Port",((F150/24/Shipping!$T$44+F150/24/Shipping!$T$50+Shipping!$T$59+Shipping!$T$64)*Carriers!$Z$39*wacc_nl))</f>
        <v>176.77626470314516</v>
      </c>
      <c r="EV150" s="100">
        <f>H2_retrieval!$R$25*h2_demand_kt/1000+(co2_liq_e_demand+co2_st_e_demand*2)*Storage!$S$12*co2_density/ome_density/1000000</f>
        <v>254.51942895252085</v>
      </c>
      <c r="EW150" s="28">
        <f>IFERROR((((EK150+EM150+EP150)*(1+H2_retrieval!$R$34)+EU150)*1000000/H2_retrieval!$R$8)+h2_regen_ome,"")</f>
        <v>18967.409411028188</v>
      </c>
      <c r="EX150" s="149">
        <f>(sng_invest*(M150+1/sng_lifetime)/sng_prod+lng_invest*(M150+1/lng_lifetime)/lng_prod+sng_opex+lng_opex+(sng_e_demand+lng_e_demand)*1000*$AU150/100+Carriers!$AB$18/Carriers!$AB$23*BD150+Carriers!$AB$20/Carriers!$AB$23*co2_liq_cost)*(FB150+lng_st_ab_losses)/1000000</f>
        <v>80932.865190367957</v>
      </c>
      <c r="EY150" s="86">
        <f>(sng_invest*(M150+1/sng_lifetime)/sng_prod+lng_invest*(M150+1/lng_lifetime)/lng_prod+sng_opex+lng_opex+(sng_e_demand+lng_e_demand)*1000*$AU150/100+Carriers!$AB$18/Carriers!$AB$23*BD150+Carriers!$AB$20/Carriers!$AB$23*BP150)*(FB150+lng_st_ab_losses)/1000000</f>
        <v>93642.46423636176</v>
      </c>
      <c r="EZ150" s="63">
        <f>lng_st_nl_cost*lng_st_nl_demand/1000000+(lng_st_invest*(M150+1/lng_st_lifetime+lng_st_opex)/(Storage!$U$63/1000000)+lng_st_e_demand*1000*$AU150/100)*(FB150+lng_st_ab_losses)/1000000+co2_st_nl_cost*Storage!$U$12*co2_density/lng_density/1000000+(co2_st_opex_lev+co2_st_invest_lev+co2_st_e_demand*1000*$AU150/100)*Storage!$U$12/1000000+co2_st_invest_lev*Storage!$U$12*co2_st_lifetime*M150/1000000+Carriers!$AB$18/Carriers!$AB$23*((FB150+lng_st_ab_losses)/365.25*short_st_duration_hrs/24)*(h2_short_st_invest*(1/gh2_short_st_lifetime+$M150+h2_short_st_opex)+h2_short_st_e_demand*1000*$AU150/100)/1000000+Carriers!$AB$20/Carriers!$AB$23*((FB150+lng_st_ab_losses)/365.25*short_st_duration_hrs/24)*(co2_short_st_invest*(1/co2_short_st_lifetime+$M150+co2_short_st_opex)+co2_short_st_e_demand*1000*$AU150/100)/1000000</f>
        <v>6498.3938996332272</v>
      </c>
      <c r="FA150" s="63">
        <f>lng_st_nl_cost*lng_st_nl_demand/1000000+(lng_st_invest*(M150+1/lng_st_lifetime+lng_st_opex)/(Storage!$U$63/1000000)+lng_st_e_demand*1000*$AU150/100)*(FB150+lng_st_ab_losses)/1000000+Carriers!$AB$18/Carriers!$AB$23*((FB150+lng_st_ab_losses)/365.25*short_st_duration_hrs/24)*(h2_short_st_invest*(1/gh2_short_st_lifetime+$M150+h2_short_st_opex)+h2_short_st_e_demand*1000*$AU150/100)/1000000+Carriers!$AB$20/Carriers!$AB$23*((FB150+lng_st_ab_losses)/365.25*short_st_duration_hrs/24)*(co2_short_st_invest*(1/co2_short_st_lifetime+$M150+co2_short_st_opex)+co2_short_st_e_demand*1000*$AU150/100)/1000000</f>
        <v>4896.6446110837087</v>
      </c>
      <c r="FB150" s="63">
        <f>Storage!$U$57/((1-Shipping!$V$37)^($F150/24/Shipping!$V$44+0.5*Shipping!$V$59))</f>
        <v>41894171.642764792</v>
      </c>
      <c r="FC150" s="28">
        <f>IF($E150="","No Port",IF(G150="Panama","Ship cannot pass through Panama",((F150/24/Shipping!$V$44+F150/24/Shipping!$V$50+Shipping!$V$59+Shipping!$V$64)*(Shipping!$V$22+wacc_nl*Shipping!$V$19/365.25*1000000+Shipping!$V$35)+(F150/24/Shipping!$V$44*Shipping!$V$45+Shipping!$V$64*Shipping!$V$65)*IF(bunker_choice="HFO",$H150,IF(bunker_choice="hydrogen",$BD150*hfo_e_density_lhv/h2_e_density_lhv,(EX150+EZ150)*1000000/FB150*hfo_e_density_lhv/lng_e_density_lhv))+(F150/24/Shipping!$V$50*Shipping!$V$51+Shipping!$V$59*Shipping!$V$60)*IF(bunker_choice="HFO",bunker_price_ROT,IF(bunker_choice="hydrogen",$BD150*hfo_e_density_lhv/h2_e_density_lhv,(EX150+EZ150)*1000000/FB150*hfo_e_density_lhv/lng_e_density_lhv))+Shipping!$V$73+IF(G150="Panama",Shipping!$V$55,0)+IF(G150="Suez",Shipping!$V$56,0))/Shipping!$V$31*(FB150+lng_st_ab_losses)/1000000)+IF(inland_transport_to_port="hv dc grid",$BM150/100*1000*FE150,IF(inland_transport_to_port="pipeline",$BN150,0)))</f>
        <v>4522.3906475350204</v>
      </c>
      <c r="FD150" s="28">
        <f t="shared" si="217"/>
        <v>103061.4994949805</v>
      </c>
      <c r="FE150" s="29">
        <f>((Carriers!$AB$18/Carriers!$AB$23*alk_el_e_demand)+sng_e_demand+lng_e_demand)*(FB150+lng_st_ab_losses)/1000000+lng_st_e_demand*EZ150/1000000</f>
        <v>1123.5485937426095</v>
      </c>
      <c r="FF150" s="29">
        <f t="shared" si="192"/>
        <v>0.8126185861001558</v>
      </c>
      <c r="FG150" s="28">
        <f>IFERROR(FD150*1000000/Storage!$U$12,"")</f>
        <v>2539.4534058916502</v>
      </c>
      <c r="FH150" s="28">
        <f>IF($E150="","No Port",((F150/24/Shipping!$V$44+F150/24/Shipping!$V$50+Shipping!$V$59+Shipping!$V$64)*Carriers!$AB$39*wacc_nl))</f>
        <v>51.707412260460444</v>
      </c>
      <c r="FI150" s="100">
        <f>H2_retrieval!$T$25*h2_demand_kt/1000+(co2_liq_e_demand+co2_st_e_demand*2)*Storage!$U$12*co2_density/lng_density/1000000</f>
        <v>236.51371749646054</v>
      </c>
      <c r="FJ150" s="28">
        <f>IFERROR((((EX150+EZ150+FC150)*(1+H2_retrieval!$T$34)+FH150)*1000000/H2_retrieval!$T$8)+h2_regen_lng,"")</f>
        <v>7935.2283336223409</v>
      </c>
      <c r="FK150" s="149">
        <f>(lh2_invest*(M150+1/lh2_lifetime)/lh2_prod+lh2_opex+lh2_e_demand*1000*$AU150/100+Carriers!$AD$18/Carriers!$AD$23*BD150)*(FM150+lh2_st_ab_losses)/1000000</f>
        <v>63055.206939005009</v>
      </c>
      <c r="FL150" s="28">
        <f>lh2_st_nl_cost*lh2_st_nl_demand/1000000+(lh2_st_invest*(M150+1/lh2_st_lifetime+lh2_st_opex)/(Storage!$Y$63/1000000)+lh2_st_e_demand*1000*$AU150/100)*(FM150+lh2_st_ab_losses)/1000000+((FM150+lh2_st_ab_losses)/365.25*short_st_duration_hrs/24)*(h2_short_st_invest*(1/gh2_short_st_lifetime+$M150+h2_short_st_opex)+h2_short_st_e_demand*1000*$AU150/100)/1000000</f>
        <v>57038.091475939844</v>
      </c>
      <c r="FM150" s="63">
        <f>Storage!$Y$57/((1-Shipping!$Z$37)^($F150/24/Shipping!$Z$44+0.5*Shipping!$Z$59))</f>
        <v>14303059.961906435</v>
      </c>
      <c r="FN150" s="28">
        <f>IF($E150="","No Port",IF(G150="Panama","Ship cannot pass through Panama",((F150/24/Shipping!$Z$44+F150/24/Shipping!$Z$50+Shipping!$Z$59+Shipping!$Z$64)*(Shipping!$Z$22+wacc_nl*Shipping!$Z$19/365.25*1000000+Shipping!$Z$35)+(F150/24/Shipping!$Z$44*Shipping!$Z$45+Shipping!$Z$64*Shipping!$Z$65)*IF(bunker_choice="HFO",$H150,IF(bunker_choice="hydrogen",$BD150*hfo_e_density_lhv/h2_e_density_lhv,(FK150+FL150)*1000000/FM150*hfo_e_density_lhv/lh2_e_density_lhv))+(F150/24/Shipping!$Z$50*Shipping!$Z$51+Shipping!$Z$59*Shipping!$Z$60)*IF(bunker_choice="HFO",bunker_price_ROT,IF(bunker_choice="hydrogen",$BD150*hfo_e_density_lhv/h2_e_density_lhv,(FK150+FL150)*1000000/FM150*hfo_e_density_lhv/lh2_e_density_lhv))+Shipping!$Z$73+IF(G150="Panama",Shipping!$Z$55,0)+IF(G150="Suez",Shipping!$Z$56,0))/Shipping!$Z$31*(FM150+lh2_st_ab_losses)/1000000)+IF(inland_transport_to_port="hv dc grid",$BM150/100*1000*FP150,IF(inland_transport_to_port="pipeline",$BN150,0)))</f>
        <v>7291.03668997144</v>
      </c>
      <c r="FO150" s="28">
        <f t="shared" si="200"/>
        <v>127384.33510491629</v>
      </c>
      <c r="FP150" s="29">
        <f>((Carriers!$AD$18/Carriers!$AD$23*alk_el_e_demand)+lh2_e_demand)*(FM150+lh2_st_ab_losses)/1000000+lh2_st_e_demand*FM150/1000000</f>
        <v>828.81713314552906</v>
      </c>
      <c r="FQ150" s="100">
        <f t="shared" si="193"/>
        <v>1.361902463475859</v>
      </c>
      <c r="FR150" s="28">
        <f>IFERROR(FO150*1000000/Storage!$Y$12,"")</f>
        <v>9366.4952283026687</v>
      </c>
      <c r="FS150" s="100">
        <f>H2_retrieval!$V$25*h2_demand_kt/1000</f>
        <v>8.16</v>
      </c>
      <c r="FT150" s="28">
        <f>IFERROR(FR150*(1+H2_retrieval!$V$34)/Carrier_properties!$U$7+H2_retrieval!$V$38,"")</f>
        <v>9398.4639541711367</v>
      </c>
      <c r="FU150" s="12"/>
      <c r="FV150" s="24">
        <f t="shared" si="201"/>
        <v>2.6981416436924386</v>
      </c>
      <c r="FW150" s="24" t="str">
        <f t="shared" si="143"/>
        <v/>
      </c>
      <c r="FX150" s="24">
        <f t="shared" si="144"/>
        <v>7.6629588073541504</v>
      </c>
      <c r="FY150" s="24">
        <f t="shared" si="202"/>
        <v>2.6981416436924386</v>
      </c>
      <c r="FZ150" s="28">
        <f t="shared" si="145"/>
        <v>3400.6963414231982</v>
      </c>
      <c r="GA150" s="28">
        <f t="shared" si="218"/>
        <v>753.63392368045118</v>
      </c>
      <c r="GB150" s="28">
        <f t="shared" si="219"/>
        <v>462.80695628735464</v>
      </c>
      <c r="GC150" s="28">
        <f t="shared" si="220"/>
        <v>840.33657801393372</v>
      </c>
      <c r="GD150" s="28">
        <f t="shared" si="221"/>
        <v>1220.948848912388</v>
      </c>
      <c r="GE150" s="28">
        <f t="shared" si="222"/>
        <v>2123.5998215768736</v>
      </c>
      <c r="GF150" s="28">
        <f t="shared" si="223"/>
        <v>2235.2146029967871</v>
      </c>
      <c r="GG150" s="12"/>
      <c r="GH150" s="12"/>
      <c r="GI150" s="12"/>
      <c r="GJ150" s="12"/>
      <c r="GK150" s="12"/>
      <c r="GL150" s="12"/>
      <c r="GM150" s="12"/>
      <c r="GN150" s="12"/>
      <c r="GO150" s="12"/>
      <c r="GP150" s="12"/>
      <c r="GQ150" s="12"/>
      <c r="GR150" s="12"/>
      <c r="GS150" s="12"/>
      <c r="GT150" s="12"/>
      <c r="GU150" s="12"/>
      <c r="GV150" s="12"/>
      <c r="GW150" s="12"/>
      <c r="GX150" s="12"/>
      <c r="GY150" s="12"/>
      <c r="GZ150" s="12"/>
      <c r="HA150" s="12"/>
      <c r="HB150" s="12"/>
      <c r="HC150" s="12"/>
      <c r="HD150" s="12"/>
      <c r="HE150" s="12"/>
      <c r="HF150" s="12"/>
    </row>
    <row r="151" spans="1:214" x14ac:dyDescent="0.2">
      <c r="A151" s="154" t="s">
        <v>294</v>
      </c>
      <c r="B151" s="12">
        <f>B71</f>
        <v>3354</v>
      </c>
      <c r="C151" s="12">
        <v>1</v>
      </c>
      <c r="D151" s="12">
        <f t="shared" si="194"/>
        <v>0</v>
      </c>
      <c r="E151" s="12"/>
      <c r="F151" s="12"/>
      <c r="G151" s="12"/>
      <c r="H151" s="16">
        <f t="shared" si="203"/>
        <v>382.75862068965517</v>
      </c>
      <c r="I151" s="16"/>
      <c r="J151" s="16">
        <f t="shared" si="195"/>
        <v>0</v>
      </c>
      <c r="K151" s="16" t="str">
        <f t="shared" si="196"/>
        <v/>
      </c>
      <c r="L151" s="103">
        <v>0.109</v>
      </c>
      <c r="M151" s="103">
        <f t="shared" si="204"/>
        <v>0.11850899902175183</v>
      </c>
      <c r="N151" s="122">
        <f t="shared" si="197"/>
        <v>0.85</v>
      </c>
      <c r="O151" s="46">
        <f t="shared" si="205"/>
        <v>40</v>
      </c>
      <c r="P151" s="70">
        <f t="array" ref="P151">SUMPRODUCT(IF(Solar_data!A$4:A$777=A151,Solar_data!C$4:C$777),IF(Solar_data!A$4:A$777=A151,Solar_data!I$4:I$777))/SUMIF(Solar_data!A$4:A$777,A151,Solar_data!I$4:I$777)</f>
        <v>2279.3863620286079</v>
      </c>
      <c r="Q151" s="16">
        <f t="array" ref="Q151">MAX(IF(Solar_data!$A$777:'Solar_data'!$A$4=Country_details!$A151,Solar_data!$C$4:'Solar_data'!$C$777))</f>
        <v>2281.25</v>
      </c>
      <c r="R151" s="16">
        <f t="array" ref="R151">MIN(IF(Solar_data!$A$777:'Solar_data'!$A$4=Country_details!A151,Solar_data!$C$4:'Solar_data'!$C$777))</f>
        <v>2098.75</v>
      </c>
      <c r="S151" s="24">
        <f t="shared" si="176"/>
        <v>2.0125753971705311</v>
      </c>
      <c r="T151" s="24">
        <f t="shared" si="177"/>
        <v>2.010931249474988</v>
      </c>
      <c r="U151" s="24">
        <f t="shared" si="178"/>
        <v>2.1857948363858566</v>
      </c>
      <c r="V151" s="16">
        <f t="array" ref="V151">SUM(IF(Solar_data!$A$777:'Solar_data'!$A$4=Country_details!$A151,Solar_data!$I$4:'Solar_data'!$I$777))</f>
        <v>41.210993615049809</v>
      </c>
      <c r="W151" s="148"/>
      <c r="X151" s="16" t="str">
        <f>IFERROR(INDEX(Onshore_wind_data!$J$5:'Onshore_wind_data'!$J$221,MATCH(A151,Onshore_wind_data!$B$5:'Onshore_wind_data'!$B$221,0)),"")</f>
        <v/>
      </c>
      <c r="Y151" s="16" t="str">
        <f>IFERROR(INDEX(Onshore_wind_data!$K$5:'Onshore_wind_data'!$K$221,MATCH(A151,Onshore_wind_data!$B$5:'Onshore_wind_data'!$B$221,0)),"")</f>
        <v/>
      </c>
      <c r="Z151" s="16" t="str">
        <f>IFERROR(INDEX(Onshore_wind_data!$L$5:'Onshore_wind_data'!$L$221,MATCH(A151,Onshore_wind_data!$B$5:'Onshore_wind_data'!$B$221,0)),"")</f>
        <v/>
      </c>
      <c r="AA151" s="24" t="str">
        <f t="shared" si="206"/>
        <v/>
      </c>
      <c r="AB151" s="24" t="str">
        <f t="shared" si="207"/>
        <v/>
      </c>
      <c r="AC151" s="24" t="str">
        <f t="shared" si="208"/>
        <v/>
      </c>
      <c r="AD151" s="16" t="str">
        <f>IFERROR(INDEX(Onshore_wind_data!$I$5:'Onshore_wind_data'!$I$221,MATCH(A151,Onshore_wind_data!$B$5:'Onshore_wind_data'!$B$221,0)),"")</f>
        <v/>
      </c>
      <c r="AE151" s="148"/>
      <c r="AF151" s="16" t="e">
        <f>INDEX(Offshore_wind_data!$AA$7:$AA$192,MATCH(Country_details!A151,Offshore_wind_data!$A$7:$A$192,0))</f>
        <v>#N/A</v>
      </c>
      <c r="AG151" s="16" t="e">
        <f>INDEX(Offshore_wind_data!$Y$7:$Y$192,MATCH(Country_details!A151,Offshore_wind_data!$A$7:$A$192,0))</f>
        <v>#N/A</v>
      </c>
      <c r="AH151" s="16" t="e">
        <f>INDEX(Offshore_wind_data!$Z$7:$Z$192,MATCH(Country_details!A151,Offshore_wind_data!$A$7:$A$192,0))</f>
        <v>#N/A</v>
      </c>
      <c r="AI151" s="24" t="e">
        <f t="shared" si="179"/>
        <v>#N/A</v>
      </c>
      <c r="AJ151" s="24" t="e">
        <f t="shared" si="180"/>
        <v>#N/A</v>
      </c>
      <c r="AK151" s="24" t="e">
        <f t="shared" si="181"/>
        <v>#N/A</v>
      </c>
      <c r="AL151" s="16" t="e">
        <f>INDEX(Offshore_wind_data!$W$7:$W$191,MATCH(A151,Offshore_wind_data!$A$7:$A$191,0))</f>
        <v>#N/A</v>
      </c>
      <c r="AM151" s="148"/>
      <c r="AN151" s="12"/>
      <c r="AO151" s="12"/>
      <c r="AP151" s="34"/>
      <c r="AQ151" s="15">
        <f t="shared" si="182"/>
        <v>50</v>
      </c>
      <c r="AR151" s="12">
        <f t="shared" si="212"/>
        <v>0</v>
      </c>
      <c r="AS151" s="16">
        <f t="shared" si="198"/>
        <v>41.210993615049809</v>
      </c>
      <c r="AT151" s="12"/>
      <c r="AU151" s="24">
        <f t="shared" si="183"/>
        <v>2.0125753971705311</v>
      </c>
      <c r="AV151" s="16">
        <f t="shared" si="184"/>
        <v>2279.3863620286079</v>
      </c>
      <c r="AW151" s="149">
        <f>HV_DC_Grid!$E$3/(1-AX151)*AU151/100*1000</f>
        <v>2180.1298418480378</v>
      </c>
      <c r="AX151" s="31">
        <f>(1-(1-HV_DC_Grid!$E$25)^(B151*C151*HV_DC_Grid!$E$8/1000))+(1-(1-HV_DC_Grid!$E$26)^(B151*D151*HV_DC_Grid!$E$8/1000))+HV_DC_Grid!$E$35*HV_DC_Grid!$E$28</f>
        <v>7.6855259471828238E-2</v>
      </c>
      <c r="AY151" s="28">
        <f>B151*nl_e_demand/IF(hv_dc_flh="electricity FLH",$AV151,hv_dc_custom)*1000*hv_dc_capacity_multiplier*hv_dc_length_multiplier*1000*(C151*hv_dc_overhead_invest*(hv_dc_overhead_opex+M151+1/hv_dc_lifetime)+D151*hv_dc_sea_invest*(hv_dc_sea_opex+M151+1/hv_dc_lifetime))/1000000+HV_DC_Grid!$E$10*1000*hv_dc_station_invest*hv_dc_station_number*(hv_dc_station_opex+M151+1/hv_dc_lifetime)/1000000</f>
        <v>3123.7730421735114</v>
      </c>
      <c r="AZ151" s="24">
        <f>(AW151+AY151)/(HV_DC_Grid!$E$3*1000)*100</f>
        <v>5.3039028840215492</v>
      </c>
      <c r="BA151" s="28">
        <f>MIN(((Carriers!$F$26+Carriers!$F$27)*(alk_el_opex+wacc_nl+1/alk_el_lifetime)+IF(hv_dc_flh="electricity FLH",$AV151,hv_dc_custom)*AZ151/100)/(IF(hv_dc_flh="electricity FLH",$AV151,hv_dc_custom)/alk_el_e_demand)*1000,((Carriers!$H$26+Carriers!$H$27)*(pem_el_opex+wacc_nl+1/pem_el_lifetime)+IF(hv_dc_flh="electricity FLH",$AV151,hv_dc_custom)*AZ151/100)/(IF(hv_dc_flh="electricity FLH",$AV151,hv_dc_custom)/pem_el_e_demand)*1000)</f>
        <v>3048.6613213890137</v>
      </c>
      <c r="BB151" s="12"/>
      <c r="BC151" s="12"/>
      <c r="BD151" s="149">
        <f>MIN(((Carriers!$F$26+Carriers!$F$27)*(alk_el_opex+M151+1/alk_el_lifetime)+$AV151*$AU151/100)/($AV151/alk_el_e_demand)*1000,((Carriers!$H$26+Carriers!$H$27)*(pem_el_opex+M151+1/pem_el_lifetime)+$AV151*$AU151/100)/($AV151/pem_el_e_demand)*1000)</f>
        <v>2468.2083961009066</v>
      </c>
      <c r="BE151" s="28">
        <f>Storage!$AC$50</f>
        <v>8.1664117557772418</v>
      </c>
      <c r="BF151" s="28">
        <f>((Pipeline!$D$22*Pipeline!$D$24*B151*(pipeline_opex+M151+1/pipeline_lifetime))*(Pipeline!$D$39/Pipeline!$D$3)+(Pipeline!$D$57*(pipeline_comp_opex+M151+1/pipeline_comp_lifetime)+Pipeline!$D$47*1000*Pipeline!$D$45*$AU151/100/1000000))*(Pipeline!$D$75/Pipeline!$D$45)</f>
        <v>7307.5718772581358</v>
      </c>
      <c r="BG151" s="28">
        <f>BD151+(BE151+BF151)/Storage!$AC$12*1000000</f>
        <v>3006.1303291166355</v>
      </c>
      <c r="BH151" s="28"/>
      <c r="BI151" s="28"/>
      <c r="BJ151" s="28" t="str">
        <f>IF($E151="","No Port",BK151*HV_DC_Grid!$E$3*$AU151/100*1000)</f>
        <v>No Port</v>
      </c>
      <c r="BK151" s="31" t="str">
        <f>IFERROR((1-(1-HV_DC_Grid!$E$25)^(K151*HV_DC_Grid!$E$8/1000))+HV_DC_Grid!$E$35*HV_DC_Grid!$E$28,"")</f>
        <v/>
      </c>
      <c r="BL151" s="28" t="str">
        <f>IFERROR(K151*nl_e_demand/IF(hv_dc_flh="electricity FLH",$AV151,hv_dc_custom)*1000*hv_dc_capacity_multiplier*hv_dc_length_multiplier*1000*(hv_dc_overhead_invest*(hv_dc_overhead_opex+M151+1/hv_dc_lifetime))/1000000+HV_DC_Grid!$E$10*1000*hv_dc_station_invest*hv_dc_station_number*(hv_dc_station_opex+M151+1/hv_dc_lifetime)/1000000,"")</f>
        <v/>
      </c>
      <c r="BM151" s="29" t="str">
        <f>IFERROR((BJ151+BL151)/(HV_DC_Grid!$E$3*1000)*100,"")</f>
        <v/>
      </c>
      <c r="BN151" s="28" t="str">
        <f>IFERROR(((Pipeline!$D$22*Pipeline!$D$24*K151*(pipeline_opex+M151+1/pipeline_lifetime))*(Pipeline!$D$39/Pipeline!$D$3)+(Pipeline!$D$57*(pipeline_comp_opex+M151+1/pipeline_comp_lifetime)+Pipeline!$D$47*1000*Pipeline!$D$45*S151/100/1000000))*(Pipeline!$D$75/Pipeline!$D$45),"")</f>
        <v/>
      </c>
      <c r="BO151" s="28"/>
      <c r="BP151" s="150">
        <f t="shared" si="209"/>
        <v>106.82366419531384</v>
      </c>
      <c r="BQ151" s="34">
        <f t="shared" si="210"/>
        <v>32.160862732373829</v>
      </c>
      <c r="BR151" s="151">
        <f>(nh3_invest*(M151+1/nh3_lifetime)/nh3_prod+nh3_opex+nh3_e_demand*1000*$AU151/100+Carriers!$N$18/Carriers!$N$23*BD151+Carriers!$N$19/Carriers!$N$23*BQ151)*(BT151+nh3_st_ab_losses)/1000000</f>
        <v>44130.342240539656</v>
      </c>
      <c r="BS151" s="63">
        <f>nh3_st_nl_cost*nh3_st_nl_demand/1000000+(nh3_st_invest*(M151+1/nh3_st_lifetime+nh3_st_opex)/(Storage!$G$63/1000000)+nh3_st_e_demand*1000*$AU151/100)*(BT151+nh3_st_ab_losses)/1000000+Carriers!$N$18/Carriers!$N$23*((BT151+nh3_st_ab_losses)/365.25*short_st_duration_hrs/24)*(h2_short_st_invest*(1/gh2_short_st_lifetime+$M151+h2_short_st_opex)+h2_short_st_e_demand*1000*$AU151/100)/1000000+Carriers!$N$19/Carriers!$N$23*((BT151+nh3_st_ab_losses)/365.25*short_st_duration_hrs/24)*(n2_short_st_invest*(1/n2_short_st_lifetime+$M151+n2_short_st_opex)+n2_short_st_e_demand*1000*$AU151/100)/1000000</f>
        <v>3293.6365306358725</v>
      </c>
      <c r="BT151" s="63">
        <f>Storage!$G$57/((1-Shipping!$H$37)^(F151/24/Shipping!$H$44+0.5*Shipping!$H$59))</f>
        <v>76857210.785724297</v>
      </c>
      <c r="BU151" s="63" t="str">
        <f>IF($E151="","No Port",((F151/24/Shipping!$H$44+F151/24/Shipping!$H$50+Shipping!$H$59+Shipping!$H$64)*(Shipping!$H$22+wacc_nl*Shipping!$H$19/365.25*1000000+Shipping!$H$35)+(F151/24/Shipping!$H$44*Shipping!$H$45+Shipping!$H$64*Shipping!$H$65)*IF(bunker_choice="HFO",H151,IF(bunker_choice="hydrogen",BD151*hfo_e_density_lhv/h2_e_density_lhv,(BR151+BS151)*1000000/BT151*hfo_e_density_lhv/nh3_e_density_lhv))+(F151/24/Shipping!$H$50*Shipping!$H$51+Shipping!$H$59*Shipping!$H$60)*IF(bunker_choice="HFO",bunker_price_ROT,IF(bunker_choice="hydrogen",BD151*hfo_e_density_lhv/h2_e_density_lhv,(BR151+BS151)*1000000/BT151*hfo_e_density_lhv/nh3_e_density_lhv))+Shipping!$H$73+IF(G151="Panama",Shipping!$H$55,0)+IF(G151="Suez",Shipping!$H$56,0))/Shipping!$H$31*BT151/1000000+IF(inland_transport_to_port="hv dc grid",$BM151/100*1000*BW151,IF(inland_transport_to_port="pipeline",$BN151,0)))</f>
        <v>No Port</v>
      </c>
      <c r="BV151" s="63" t="str">
        <f t="shared" si="199"/>
        <v/>
      </c>
      <c r="BW151" s="33">
        <f>((Carriers!$N$18/Carriers!$N$23*alk_el_e_demand)+(Carriers!$N$19/Carriers!$N$23*n2_e_demand)+nh3_e_demand)*(BT151+nh3_st_ab_losses)/1000000+nh3_st_e_demand*BT151/1000000</f>
        <v>759.00171168026975</v>
      </c>
      <c r="BX151" s="33">
        <f t="shared" si="185"/>
        <v>0.76626754477640768</v>
      </c>
      <c r="BY151" s="63" t="str">
        <f>IFERROR(BV151*1000000/Storage!$G$12,"")</f>
        <v/>
      </c>
      <c r="BZ151" s="63">
        <f>H2_retrieval!$F$25*h2_demand_kt/1000</f>
        <v>80</v>
      </c>
      <c r="CA151" s="63" t="str">
        <f>IFERROR(BY151*(1+H2_retrieval!$F$34)/Carrier_properties!$E$7+H2_retrieval!$F$38,"")</f>
        <v/>
      </c>
      <c r="CB151" s="149">
        <f>(FA_invest*(M151+1/FA_lifetime)/FA_prod+FA_opex+FA_e_demand*1000*$AU151/100+Carriers!$P$18/Carriers!$P$23*BD151+Carriers!$P$20/Carriers!$P$23*co2_liq_cost)*(CF151+FA_st_ab_losses)/1000000</f>
        <v>89899.943539831802</v>
      </c>
      <c r="CC151" s="86">
        <f>(FA_invest*(M151+1/FA_lifetime)/FA_prod+FA_opex+FA_e_demand*1000*$AU151/100+Carriers!$P$18/Carriers!$P$23*BD151+Carriers!$P$20/Carriers!$P$23*BP151)*(CF151+FA_st_ab_losses)/1000000</f>
        <v>115557.35472192266</v>
      </c>
      <c r="CD151" s="63">
        <f>FA_st_nl_cost*FA_st_nl_demand/1000000+(FA_st_invest*(M151+1/FA_st_lifetime+FA_st_opex)/(Storage!$I$63/1000000)+FA_st_e_demand*1000*$AU151/100)*(CF151+FA_st_ab_losses)/1000000+co2_st_nl_cost*Storage!$I$12*co2_density/FA_density/1000000+(co2_st_opex_lev+co2_st_invest_lev+co2_st_e_demand*1000*$AU151/100)*Storage!$I$12/1000000+co2_st_invest_lev*Storage!$I$12*co2_st_lifetime*M151/1000000+Carriers!$P$18/Carriers!$P$23*((CF151+FA_st_ab_losses)/365.25*short_st_duration_hrs/24)*(h2_short_st_invest*(1/gh2_short_st_lifetime+$M151+h2_short_st_opex)+h2_short_st_e_demand*1000*$AU151/100)/1000000+Carriers!$P$20/Carriers!$P$23*((CF151+FA_st_ab_losses)/365.25*short_st_duration_hrs/24)*(co2_short_st_invest*(1/co2_short_st_lifetime+$M151+co2_short_st_opex)+co2_short_st_e_demand*1000*$AU151/100)/1000000</f>
        <v>11359.322119663644</v>
      </c>
      <c r="CE151" s="63">
        <f>FA_st_nl_cost*FA_st_nl_demand/1000000+(FA_st_invest*(M151+1/FA_st_lifetime+FA_st_opex)/(Storage!$I$63/1000000)+FA_st_e_demand*1000*$AU151/100)*(CF151+FA_st_ab_losses)/1000000+Carriers!$P$18/Carriers!$P$23*((CF151+FA_st_ab_losses)/365.25*short_st_duration_hrs/24)*(h2_short_st_invest*(1/gh2_short_st_lifetime+$M151+h2_short_st_opex)+h2_short_st_e_demand*1000*$AU151/100)/1000000+Carriers!$P$20/Carriers!$P$23*((CF151+FA_st_ab_losses)/365.25*short_st_duration_hrs/24)*(co2_short_st_invest*(1/co2_short_st_lifetime+$M151+co2_short_st_opex)+co2_short_st_e_demand*1000*$AU151/100)/1000000</f>
        <v>4975.6128544197545</v>
      </c>
      <c r="CF151" s="63">
        <f>Storage!$I$57/((1-Shipping!$J$37)^($F151/24/Shipping!$J$44+0.5*Shipping!$J$59))</f>
        <v>310425396.82539684</v>
      </c>
      <c r="CG151" s="28" t="str">
        <f>IF($E151="","No Port",((F151/24/Shipping!$J$44+F151/24/Shipping!$J$50+Shipping!$J$59+Shipping!$J$64)*(Shipping!$J$22+wacc_nl*Shipping!$J$19/365.25*1000000+Shipping!$J$35)+(F151/24/Shipping!$J$44*Shipping!$J$45+Shipping!$J$64*Shipping!$J$65)*IF(bunker_choice="HFO",$H151,IF(bunker_choice="hydrogen",$BD151*hfo_e_density_lhv/h2_e_density_lhv,(CB151+CD151)*1000000/CF151*hfo_e_density_lhv/FA_e_density_lhv))+(F151/24/Shipping!$J$50*Shipping!$J$51+Shipping!$J$59*Shipping!$J$60)*IF(bunker_choice="HFO",bunker_price_ROT,IF(bunker_choice="hydrogen",$BD151*hfo_e_density_lhv/h2_e_density_lhv,(CB151+CD151)*1000000/CF151*hfo_e_density_lhv/FA_e_density_lhv))+Shipping!$J$73+IF(G151="Panama",Shipping!$J$55,0)+IF(G151="Suez",Shipping!$J$56,0))/Shipping!$J$31*CF151/1000000+IF(inland_transport_to_port="hv dc grid",$BM151/100*1000*CI151,IF(inland_transport_to_port="pipeline",$BN151,0)))</f>
        <v>No Port</v>
      </c>
      <c r="CH151" s="28" t="str">
        <f t="shared" si="213"/>
        <v/>
      </c>
      <c r="CI151" s="29">
        <f>((Carriers!$P$18/Carriers!$P$23*alk_el_e_demand)+FA_e_demand)*(CF151+FA_st_ab_losses)/1000000+FA_st_e_demand*CF151/1000000</f>
        <v>1897.8881241622576</v>
      </c>
      <c r="CJ151" s="29">
        <f t="shared" si="186"/>
        <v>0.46563809523809524</v>
      </c>
      <c r="CK151" s="28" t="str">
        <f>IFERROR(CH151*1000000/Storage!$I$12,"")</f>
        <v/>
      </c>
      <c r="CL151" s="28" t="str">
        <f>IF($E151="","No Port",((F151/24/Shipping!$J$44+F151/24/Shipping!$J$50+Shipping!$J$59+Shipping!$J$64)*Carriers!$P$39*wacc_nl))</f>
        <v>No Port</v>
      </c>
      <c r="CM151" s="29">
        <f>H2_retrieval!$H$25*h2_demand_kt/1000+(co2_liq_e_demand+co2_st_e_demand*2)*Storage!$I$12*co2_density/FA_density/1000000</f>
        <v>94.204253879484654</v>
      </c>
      <c r="CN151" s="28" t="str">
        <f>IFERROR((((CB151+CD151+CG151)*(1+H2_retrieval!$H$34)+CL151)*1000000/H2_retrieval!$H$8)+h2_regen_fa,"")</f>
        <v/>
      </c>
      <c r="CO151" s="149">
        <f>(meoh_invest*(M151+1/meoh_lifetime)/meoh_prod+meoh_opex+meoh_e_demand*1000*$AU151/100+Carriers!$R$18/Carriers!$R$23*BD151+Carriers!$R$20/Carriers!$R$23*co2_liq_cost)*(CS151+meoh_st_ab_losses)/1000000</f>
        <v>54260.21684819449</v>
      </c>
      <c r="CP151" s="86">
        <f>(meoh_invest*(M151+1/meoh_lifetime)/meoh_prod+meoh_opex+meoh_e_demand*1000*$AU151/100+Carriers!$R$18/Carriers!$R$23*BD151+Carriers!$R$20/Carriers!$R$23*BP151)*(CS151+meoh_st_ab_losses)/1000000</f>
        <v>69321.909303483058</v>
      </c>
      <c r="CQ151" s="63">
        <f>meoh_st_nl_cost*meoh_st_nl_demand/1000000+(meoh_st_invest*(M151+1/meoh_st_lifetime+meoh_st_opex)/(Storage!$K$63/1000000)+meoh_st_e_demand*1000*$AU151/100)*(CS151+meoh_st_ab_losses)/1000000+co2_st_nl_cost*Storage!$K$12*co2_density/meoh_density/1000000+(co2_st_opex_lev+co2_st_invest_lev+co2_st_e_demand*1000*IFERROR(MIN(S151,AA151,AI151),S151)/100)*Storage!$K$12/1000000+co2_st_invest_lev*Storage!$K$12*co2_st_lifetime*M151/1000000+Carriers!$R$18/Carriers!$R$23*((CS151+meoh_st_ab_losses)/365.25*short_st_duration_hrs/24)*(h2_short_st_invest*(1/gh2_short_st_lifetime+$M151+h2_short_st_opex)+h2_short_st_e_demand*1000*$AU151/100)/1000000+Carriers!$R$20/Carriers!$R$23*((CF151+meoh_st_ab_losses)/365.25*short_st_duration_hrs/24)*(co2_short_st_invest*(1/co2_short_st_lifetime+$M151+co2_short_st_opex)+co2_short_st_e_demand*1000*$AU151/100)/1000000</f>
        <v>4774.0743726512901</v>
      </c>
      <c r="CR151" s="63">
        <f>meoh_st_nl_cost*meoh_st_nl_demand/1000000+(meoh_st_invest*(M151+1/meoh_st_lifetime+meoh_st_opex)/(Storage!$K$63/1000000)+meoh_st_e_demand*1000*$AU151/100)*(CS151+meoh_st_ab_losses)/1000000+Carriers!$R$18/Carriers!$R$23*((CS151+meoh_st_ab_losses)/365.25*short_st_duration_hrs/24)*(h2_short_st_invest*(1/gh2_short_st_lifetime+$M151+h2_short_st_opex)+h2_short_st_e_demand*1000*$AU151/100)/1000000+Carriers!$R$20/Carriers!$R$23*((CF151+meoh_st_ab_losses)/365.25*short_st_duration_hrs/24)*(co2_short_st_invest*(1/co2_short_st_lifetime+$M151+co2_short_st_opex)+co2_short_st_e_demand*1000*$AU151/100)/1000000</f>
        <v>1953.2087237402454</v>
      </c>
      <c r="CS151" s="63">
        <f>Storage!$K$57/((1-Shipping!$L$37)^($F151/24/Shipping!$L$44+0.5*Shipping!$L$59))</f>
        <v>108044444.44444443</v>
      </c>
      <c r="CT151" s="28" t="str">
        <f>IF($E151="","No Port",IF(AND(ship_choice="VLCC",G151="Panama"),"Ship cannot pass through Panama",IF(ship_choice="VLCC",((F151/24/Shipping!$AD$44+F151/24/Shipping!$AD$50+Shipping!$AD$59+Shipping!$AD$64)*(Shipping!$AD$22+wacc_nl*Shipping!$AD$19/365.25*1000000+Shipping!$AD$35)+(F151/24/Shipping!$AD$44*Shipping!$AD$45+Shipping!$AD$64*Shipping!$AD$65)*IF(bunker_choice="HFO",$H151,IF(bunker_choice="hydrogen",$BD151*hfo_e_density_lhv/h2_e_density_lhv,(CO151+CQ151)*1000000/CS151*hfo_e_density_lhv/meoh_e_density_lhv))+(F151/24/Shipping!$AD$50*Shipping!$AD$51+Shipping!$AD$59*Shipping!$AD$60)*IF(bunker_choice="HFO",bunker_price_ROT,IF(bunker_choice="hydrogen",$BD151*hfo_e_density_lhv/h2_e_density_lhv,(CO151+CQ151)*1000000/CS151*hfo_e_density_lhv/meoh_e_density_lhv))+Shipping!$AD$73+IF(G151="Panama",Shipping!$AD$55,0)+IF(G151="Suez",Shipping!$AD$56,0))/Shipping!$AD$31*CS151/1000000+IF(inland_transport_to_port="hv dc grid",$BM151/100*1000*CV151,IF(inland_transport_to_port="pipeline",$BN151,0)),((F151/24/Shipping!$L$44+F151/24/Shipping!$L$50+Shipping!$L$59+Shipping!$L$64)*(Shipping!$L$22+wacc_nl*Shipping!$L$19/365.25*1000000+Shipping!$L$35)+(F151/24/Shipping!$L$44*Shipping!$L$45+Shipping!$L$64*Shipping!$L$65)*IF(bunker_choice="HFO",$H151,IF(bunker_choice="hydrogen",$BD151*hfo_e_density_lhv/h2_e_density_lhv,(CO151+CQ151)*1000000/CS151*hfo_e_density_lhv/meoh_e_density_lhv))+(F151/24/Shipping!$L$50*Shipping!$L$51+Shipping!$L$59*Shipping!$L$60)*IF(bunker_choice="HFO",bunker_price_ROT,IF(bunker_choice="hydrogen",$BD151*hfo_e_density_lhv/h2_e_density_lhv,(CO151+CQ151)*1000000/CS151*hfo_e_density_lhv/meoh_e_density_lhv))+Shipping!$L$73+IF(G151="Panama",Shipping!$L$55,0)+IF(G151="Suez",Shipping!$L$56,0))/Shipping!$L$31*CS151/1000000+IF(inland_transport_to_port="hv dc grid",$BM151/100*1000*CV151,IF(inland_transport_to_port="pipeline",$BN151,0)))))</f>
        <v>No Port</v>
      </c>
      <c r="CU151" s="28" t="str">
        <f t="shared" si="214"/>
        <v/>
      </c>
      <c r="CV151" s="29">
        <f>((Carriers!$R$18/Carriers!$R$23*alk_el_e_demand)+meoh_e_demand)*(CS151+meoh_st_ab_losses)/1000000+meoh_st_e_demand*CS151/1000000</f>
        <v>1119.9789871111109</v>
      </c>
      <c r="CW151" s="29">
        <f t="shared" si="187"/>
        <v>0.16206666666666666</v>
      </c>
      <c r="CX151" s="28" t="str">
        <f>IFERROR(CU151*1000000/Storage!$K$12,"")</f>
        <v/>
      </c>
      <c r="CY151" s="28" t="str">
        <f>IF($E151="","No Port",((F151/24/Shipping!$L$44+F151/24/Shipping!$L$50+Shipping!$L$59+Shipping!$L$64)*Carriers!$R$39*wacc_nl))</f>
        <v>No Port</v>
      </c>
      <c r="CZ151" s="29">
        <f>H2_retrieval!$J$25*h2_demand_kt/1000+(co2_liq_e_demand+co2_st_e_demand*2)*Storage!$K$12*co2_density/meoh_density/1000000</f>
        <v>251.05079059698966</v>
      </c>
      <c r="DA151" s="28" t="str">
        <f>IFERROR((((CO151+CQ151+CT151)*(1+H2_retrieval!$J$34)+CY151)*1000000/H2_retrieval!$J$8)+h2_regen_meoh,"")</f>
        <v/>
      </c>
      <c r="DB151" s="149">
        <f>(DBT_invest*(M151+1/DBT_lifetime)/DBT_prod+DBT_opex+DBT_e_demand*1000*$AU151/100+Carriers!$T$18/Carriers!$T$23*BD151)*(DD151+DBT_st_ab_losses)/1000000</f>
        <v>36726.650669086179</v>
      </c>
      <c r="DC151" s="28">
        <f>2*(DBT_st_nl_cost*DBT_st_nl_demand/1000000+(DBT_st_invest*(M151+1/DBT_st_lifetime+DBT_st_opex)/(Storage!$M$63/1000000)+DBT_st_e_demand*1000*$AU151/100)*(DD151+DBT_st_ab_losses)/1000000)+Carriers!$T$18/Carriers!$T$23*((DD151+DBT_st_ab_losses)/365.25*short_st_duration_hrs/24)*(h2_short_st_invest*(1/gh2_short_st_lifetime+$M151+h2_short_st_opex)+h2_short_st_e_demand*1000*$AU151/100)/1000000</f>
        <v>4046.0445750334889</v>
      </c>
      <c r="DD151" s="63">
        <f>Storage!$M$57/((1-Shipping!$N$37)^($F151/24/Shipping!$N$44+0.5*Shipping!$N$59))</f>
        <v>219354838.70967743</v>
      </c>
      <c r="DE151" s="28" t="str">
        <f>IF($E151="","No Port",IF(AND(ship_choice="VLCC",G151="Panama"),"Ship cannot pass through Panama",IF(ship_choice="VLCC",((F151/24/Shipping!$AD$44+F151/24/Shipping!$AD$50+Shipping!$AD$59+Shipping!$AD$64)*(Shipping!$AD$22+wacc_nl*Shipping!$AD$19/365.25*1000000+Shipping!$AD$35)+(F151/24/Shipping!$AD$44*Shipping!$AD$45+Shipping!$AD$64*Shipping!$AD$65)*IF(bunker_choice="HFO",$H151,IF(bunker_choice="hydrogen",$BD151*hfo_e_density_lhv/h2_e_density_lhv,(DB151+DC151)*1000000/DD151*hfo_e_density_lhv/DBT_e_density_lhv))+(F151/24/Shipping!$AD$50*Shipping!$AD$51+Shipping!$AD$59*Shipping!$AD$60)*IF(bunker_choice="HFO",bunker_price_ROT,IF(bunker_choice="hydrogen",$BD151*hfo_e_density_lhv/h2_e_density_lhv,(DB151+DC151)*1000000/DD151*hfo_e_density_lhv/DBT_e_density_lhv))+Shipping!$AD$73+IF(G151="Panama",Shipping!$AD$55,0)+IF(G151="Suez",Shipping!$AD$56,0))/Shipping!$AD$31*DD151/1000000+IF(inland_transport_to_port="hv dc grid",$BM151/100*1000*DG151,IF(inland_transport_to_port="pipeline",$BN151,0)),((F151/24/Shipping!$N$44+F151/24/Shipping!$N$50+Shipping!$N$59+Shipping!$N$64)*(Shipping!$N$22+wacc_nl*Shipping!$N$19/365.25*1000000+Shipping!$N$35)+(F151/24/Shipping!$N$44*Shipping!$N$45+Shipping!$N$64*Shipping!$N$65)*IF(bunker_choice="HFO",$H151,IF(bunker_choice="hydrogen",$BD151*hfo_e_density_lhv/h2_e_density_lhv,(DB151+DC151)*1000000/DD151*hfo_e_density_lhv/DBT_e_density_lhv))+(F151/24/Shipping!$N$50*Shipping!$N$51+Shipping!$N$59*Shipping!$N$60)*IF(bunker_choice="HFO",bunker_price_ROT,IF(bunker_choice="hydrogen",$BD151*hfo_e_density_lhv/h2_e_density_lhv,(DB151+DC151)*1000000/DD151*hfo_e_density_lhv/DBT_e_density_lhv))+Shipping!$N$73+IF(G151="Panama",Shipping!$N$55,0)+IF(G151="Suez",Shipping!$N$56,0))/Shipping!$N$31*Shipping!$N$86/1000000+IF(inland_transport_to_port="hv dc grid",$BM151/100*1000*DG151,IF(inland_transport_to_port="pipeline",$BN151,0)))))</f>
        <v>No Port</v>
      </c>
      <c r="DF151" s="28" t="str">
        <f t="shared" si="159"/>
        <v/>
      </c>
      <c r="DG151" s="29">
        <f>((Carriers!$T$18/Carriers!$T$23*alk_el_e_demand)+DBT_e_demand)*(DD151+DBT_st_ab_losses)/1000000+DBT_st_e_demand*DD151/1000000</f>
        <v>703.88335483870969</v>
      </c>
      <c r="DH151" s="29">
        <f t="shared" si="188"/>
        <v>0.21935483870967742</v>
      </c>
      <c r="DI151" s="28" t="str">
        <f>IFERROR(DF151*1000000/Storage!$M$12,"")</f>
        <v/>
      </c>
      <c r="DJ151" s="28" t="str">
        <f>IF($E151="","No Port",((F151/24/Shipping!$N$44+F151/24/Shipping!$N$50+Shipping!$N$59+Shipping!$N$64)*Carriers!$T$39*wacc_nl))</f>
        <v>No Port</v>
      </c>
      <c r="DK151" s="100">
        <f>H2_retrieval!$L$25*h2_demand_kt/1000+(co2_liq_e_demand+co2_st_e_demand*2)*Storage!$M$12*co2_density/DBT_density/1000000</f>
        <v>206.61934861671787</v>
      </c>
      <c r="DL151" s="28" t="str">
        <f>IFERROR(((DF151*(1+H2_retrieval!$L$34)+DJ151)*1000000/H2_retrieval!$L$8)+h2_regen_lohc,"")</f>
        <v/>
      </c>
      <c r="DM151" s="149">
        <f t="shared" si="211"/>
        <v>44528.171392532837</v>
      </c>
      <c r="DN151" s="16">
        <f>2*(nabh4_st_nl_cost*nabh4_st_nl_demand/1000000+(nabh4_st_invest*(M151+1/nabh4_st_lifetime+nabh4_st_opex)/(Storage!$O$63/1000000)+nabh4_st_e_demand*1000*$AU151/100)*(DO151+nabh4_st_ab_losses)/1000000)+(h2_demand_kt*1000/365.25*short_st_duration_hrs/24)*(h2_short_st_invest*(1/gh2_short_st_lifetime+$M151+h2_short_st_opex)+h2_short_st_e_demand*1000*$AU151/100)/1000000</f>
        <v>1341.4099974771593</v>
      </c>
      <c r="DO151" s="63">
        <f>Storage!$O$57/((1-Shipping!$P$37)^($F151/24/Shipping!$P$44+0.5*Shipping!$P$59))</f>
        <v>63920000</v>
      </c>
      <c r="DP151" s="16" t="str">
        <f>IF($E151="","No Port",((F151/24/Shipping!$P$44+F151/24/Shipping!$P$50+Shipping!$P$59+Shipping!$P$64)*(Shipping!$P$22+wacc_nl*Shipping!$P$19/365.25*1000000+Shipping!$P$35)+(F151/24/Shipping!$P$44*Shipping!$P$45+Shipping!$P$64*Shipping!$P$65)*IF(bunker_choice="HFO",$H151,IF(bunker_choice="hydrogen",$BD151*hfo_e_density_lhv/h2_e_density_lhv,(DM151+DN151)*1000000/DO151*hfo_e_density_lhv/nabh4_e_density_lhv))+(F151/24/Shipping!$P$50*Shipping!$P$51+Shipping!$P$59*Shipping!$P$60)*IF(bunker_choice="HFO",bunker_price_ROT,IF(bunker_choice="hydrogen",$BD151*hfo_e_density_lhv/h2_e_density_lhv,(DM151+DN151)*1000000/DO151*hfo_e_density_lhv/nabh4_e_density_lhv))+Shipping!$P$73+IF(G151="Panama",Shipping!$P$55,0)+IF(G151="Suez",Shipping!$P$56,0))/Shipping!$P$31*(DO151+nabh4_st_ab_losses)/1000000+IF(inland_transport_to_port="hv dc grid",$BM151/100*1000*DR151,IF(inland_transport_to_port="pipeline",$BN151,0)))</f>
        <v>No Port</v>
      </c>
      <c r="DQ151" s="28" t="str">
        <f t="shared" si="146"/>
        <v/>
      </c>
      <c r="DR151" s="29">
        <f>((Carriers!$V$18/Carriers!$V$23*alk_el_e_demand)+nabh4_e_demand)*(DO151+nabh4_st_ab_losses)/1000000+nabh4_st_e_demand*DO151/1000000</f>
        <v>980.02139682539689</v>
      </c>
      <c r="DS151" s="28">
        <f t="shared" si="189"/>
        <v>3.1960000000000002</v>
      </c>
      <c r="DT151" s="28" t="str">
        <f>IFERROR(DQ151*1000000/Storage!$O$12,"")</f>
        <v/>
      </c>
      <c r="DU151" s="28" t="str">
        <f>IF($E151="","No Port",((F151/24/Shipping!$P$44+F151/24/Shipping!$P$50+Shipping!$P$59+Shipping!$P$64)*Carriers!$V$39*wacc_nl))</f>
        <v>No Port</v>
      </c>
      <c r="DV151" s="100">
        <f>H2_retrieval!$N$25*h2_demand_kt/1000+(co2_liq_e_demand+co2_st_e_demand*2)*Storage!$O$12*co2_density/nabh4_density/1000000</f>
        <v>18.783638728971958</v>
      </c>
      <c r="DW151" s="28" t="str">
        <f>IFERROR(((DQ151*(1+H2_retrieval!$N$34)+DU151)*1000000/H2_retrieval!$N$8)+h2_regen_nabh4,"")</f>
        <v/>
      </c>
      <c r="DX151" s="149">
        <f>(Dme_invest*(M151+1/Dme_lifetime)/Dme_prod+Dme_opex+Dme_e_demand*1000*$AU151/100+Carriers!$X$21/Carriers!$X$23*(CO151*1000000/CS151))*(EB151+Dme_st_ab_losses)/1000000</f>
        <v>76483.979367047839</v>
      </c>
      <c r="DY151" s="86">
        <f>(Dme_invest*(M151+1/Dme_lifetime)/Dme_prod+Dme_opex+Dme_e_demand*1000*$AU151/100+Carriers!$X$21/Carriers!$X$23*(CP151*1000000/CS151))*(EB151+Dme_st_ab_losses)/1000000</f>
        <v>96917.635480389567</v>
      </c>
      <c r="DZ151" s="63">
        <f>Dme_st_nl_cost*Dme_st_nl_demand/1000000+(Dme_st_invest*(M151+1/Dme_st_lifetime+Dme_st_opex)/(Storage!$Q$63/1000000)+Dme_st_e_demand*1000*$AU151/100)*(EB151+Dme_st_ab_losses)/1000000+co2_st_nl_cost*Storage!$Q$12*co2_density/Dme_density/1000000+(co2_st_opex_lev+co2_st_invest_lev+co2_st_e_demand*1000*$AU151/100)*Storage!$Q$12/1000000+co2_st_invest_lev*Storage!$Q$12*co2_st_lifetime*M151/1000000+(h2_demand_kt*1000/365.25*short_st_duration_hrs/24)*(h2_short_st_invest*(1/gh2_short_st_lifetime+$M151+h2_short_st_opex)+h2_short_st_e_demand*1000*$AU151/100)/1000000</f>
        <v>5769.5053247972792</v>
      </c>
      <c r="EA151" s="63">
        <f>Dme_st_nl_cost*Dme_st_nl_demand/1000000+(Dme_st_invest*(M151+1/Dme_st_lifetime+Dme_st_opex)/(Storage!$Q$63/1000000)+Dme_st_e_demand*1000*$AU151/100)*(EB151+Dme_st_ab_losses)/1000000+(h2_demand_kt*1000/365.25*short_st_duration_hrs/24)*(h2_short_st_invest*(1/gh2_short_st_lifetime+$M151+h2_short_st_opex)+h2_short_st_e_demand*1000*$AU151/100)/1000000</f>
        <v>2939.157630967266</v>
      </c>
      <c r="EB151" s="63">
        <f>Storage!$Q$57/((1-Shipping!$R$37)^($F151/24/Shipping!$R$44+0.5*Shipping!$R$59))</f>
        <v>103547089.94708996</v>
      </c>
      <c r="EC151" s="153" t="str">
        <f>IF($E151="","No Port",IF(AND(ship_choice="VLCC",G151="Panama"),"Ship cannot pass through Panama",IF(ship_choice="VLCC",((F151/24/Shipping!$AD$44+F151/24/Shipping!$AD$50+Shipping!$AD$59+Shipping!$AD$64)*(Shipping!$AD$22+wacc_nl*Shipping!$AD$19/365.25*1000000+Shipping!$AD$35)+(F151/24/Shipping!$AD$44*Shipping!$AD$45+Shipping!$AD$64*Shipping!$AD$65)*IF(bunker_choice="HFO",$H151,IF(bunker_choice="hydrogen",$BD151*hfo_e_density_lhv/h2_e_density_lhv,(DX151+DZ151)*1000000/EB151*hfo_e_density_lhv/Dme_e_density_lhv))+(F151/24/Shipping!$AD$50*Shipping!$AD$51+Shipping!$AD$59*Shipping!$AD$60)*IF(bunker_choice="HFO",bunker_price_ROT,IF(bunker_choice="hydrogen",$BD151*hfo_e_density_lhv/h2_e_density_lhv,(DX151+DZ151)*1000000/EB151*hfo_e_density_lhv/Dme_e_density_lhv))+Shipping!$AD$73+IF(G151="Panama",Shipping!$AD$55,0)+IF(G151="Suez",Shipping!$AD$56,0))/Shipping!$AD$31*(EB151+Dme_st_ab_losses)/1000000+IF(inland_transport_to_port="hv dc grid",$BM151/100*1000*EE151,IF(inland_transport_to_port="pipeline",$BN151,0)),((F151/24/Shipping!$R$44+F151/24/Shipping!$R$50+Shipping!$R$59+Shipping!$R$64)*(Shipping!$R$22+wacc_nl*Shipping!$R$19/365.25*1000000+Shipping!$R$35)+(F151/24/Shipping!$R$44*Shipping!$R$45+Shipping!$R$64*Shipping!$R$65)*IF(bunker_choice="HFO",$H151,IF(bunker_choice="hydrogen",$BD151*hfo_e_density_lhv/h2_e_density_lhv,(DX151+DZ151)*1000000/EB151*hfo_e_density_lhv/Dme_e_density_lhv))+(F151/24/Shipping!$R$50*Shipping!$R$51+Shipping!$R$59*Shipping!$R$60)*IF(bunker_choice="HFO",bunker_price_ROT,IF(bunker_choice="hydrogen",$BD151*hfo_e_density_lhv/h2_e_density_lhv,(DX151+DZ151)*1000000/EB151*hfo_e_density_lhv/Dme_e_density_lhv))+Shipping!$R$73+IF(G151="Panama",Shipping!$R$55,0)+IF(G151="Suez",Shipping!$R$56,0))/Shipping!$R$31*(EB151+Dme_st_ab_losses)/1000000+IF(inland_transport_to_port="hv dc grid",$BM151/100*1000*EE151,IF(inland_transport_to_port="pipeline",$BN151,0)))))</f>
        <v>No Port</v>
      </c>
      <c r="ED151" s="28" t="str">
        <f t="shared" si="215"/>
        <v/>
      </c>
      <c r="EE151" s="29">
        <f>(Dme_e_demand)*(EB151+Dme_st_ab_losses)/1000000+Dme_st_e_demand*DZ151/1000000+$CV151*(Carriers!$X$21/Carriers!$X$23*EB151)/$CS151</f>
        <v>1550.2168178621091</v>
      </c>
      <c r="EF151" s="29">
        <f t="shared" si="190"/>
        <v>1.0354708994708997</v>
      </c>
      <c r="EG151" s="28" t="str">
        <f>IFERROR(ED151*1000000/Storage!$Q$12,"")</f>
        <v/>
      </c>
      <c r="EH151" s="28" t="str">
        <f>IF($E151="","No Port",((F151/24/Shipping!$R$44+F151/24/Shipping!$R$50+Shipping!$R$59+Shipping!$R$64)*Carriers!$X$39*wacc_nl))</f>
        <v>No Port</v>
      </c>
      <c r="EI151" s="100">
        <f>H2_retrieval!$P$25*h2_demand_kt/1000+(co2_liq_e_demand+co2_st_e_demand*2)*Storage!$Q$12*co2_density/Dme_density/1000000</f>
        <v>252.45335899349112</v>
      </c>
      <c r="EJ151" s="28" t="str">
        <f>IFERROR((((DX151+DZ151+EC151)*(1+H2_retrieval!$P$34)+EH151)*1000000/H2_retrieval!$P$8)+h2_regen_dme,"")</f>
        <v/>
      </c>
      <c r="EK151" s="149">
        <f>(ome_invest*(M151+1/ome_lifetime)/ome_prod+ome_opex+ome_e_demand*1000*$AU151/100+Carriers!$Z$21/Carriers!$Z$23*(CO151*1000000/CS151))*(EO151+ome_st_ab_losses)/1000000</f>
        <v>166633.56355216785</v>
      </c>
      <c r="EL151" s="86">
        <f>(ome_invest*(M151+1/ome_lifetime)/ome_prod+ome_opex+ome_e_demand*1000*$AU151/100+Carriers!$Z$21/Carriers!$Z$23*(CP151*1000000/CS151))*(EO151+ome_st_ab_losses)/1000000</f>
        <v>209527.78541155404</v>
      </c>
      <c r="EM151" s="63">
        <f>ome_st_nl_cost*ome_st_nl_demand/1000000+(ome_st_invest*(M151+1/ome_st_lifetime+ome_st_opex)/(Storage!$S$63/1000000)+ome_st_e_demand*1000*$AU151/100)*(EO151+ome_st_ab_losses)/1000000+co2_st_nl_cost*Storage!$S$12*co2_density/ome_density/1000000+(co2_st_opex_lev+co2_st_invest_lev+co2_st_e_demand*1000*$AU151/100)*Storage!$S$12/1000000+co2_st_invest_lev*Storage!$S$12*co2_st_lifetime*M151/1000000+(h2_demand_kt*1000/365.25*short_st_duration_hrs/24)*(h2_short_st_invest*(1/gh2_short_st_lifetime+$M151+h2_short_st_opex)+h2_short_st_e_demand*1000*$AU151/100)/1000000</f>
        <v>4931.1026495578435</v>
      </c>
      <c r="EN151" s="63">
        <f>ome_st_nl_cost*ome_st_nl_demand/1000000+(ome_st_invest*(M151+1/ome_st_lifetime+ome_st_opex)/(Storage!$S$63/1000000)+ome_st_e_demand*1000*$AU151/100)*(EO151+ome_st_ab_losses)/1000000+(h2_demand_kt*1000/365.25*short_st_duration_hrs/24)*(h2_short_st_invest*(1/gh2_short_st_lifetime+$M151+h2_short_st_opex)+h2_short_st_e_demand*1000*$AU151/100)/1000000</f>
        <v>1763.6060323663464</v>
      </c>
      <c r="EO151" s="63">
        <f>Storage!$S$57/((1-Shipping!$T$37)^($F151/24/Shipping!$T$44+0.5*Shipping!$T$59))</f>
        <v>128282539.68253967</v>
      </c>
      <c r="EP151" s="28" t="str">
        <f>IF($E151="","No Port",IF(AND(ship_choice="VLCC",G151="Panama"),"Ship cannot pass through Panama",IF(ship_choice="VLCC",((F151/24/Shipping!$AD$44+F151/24/Shipping!$AD$50+Shipping!$AD$59+Shipping!$AD$64)*(Shipping!$AD$22+wacc_nl*Shipping!$AD$19/365.25*1000000+Shipping!$AD$35)+(F151/24/Shipping!$AD$44*Shipping!$AD$45+Shipping!$AD$64*Shipping!$AD$65)*IF(bunker_choice="HFO",$H151,IF(bunker_choice="hydrogen",$BD151*hfo_e_density_lhv/h2_e_density_lhv,(EK151+EM151)*1000000/EO151*hfo_e_density_lhv/Dme_e_density_lhv))+(F151/24/Shipping!$AD$50*Shipping!$AD$51+Shipping!$AD$59*Shipping!$AD$60)*IF(bunker_choice="HFO",bunker_price_ROT,IF(bunker_choice="hydrogen",$BD151*hfo_e_density_lhv/h2_e_density_lhv,(EK151+EM151)*1000000/EO151*hfo_e_density_lhv/ome_e_density_lhv))+Shipping!$AD$73+IF(G151="Panama",Shipping!$AD$55,0)+IF(G151="Suez",Shipping!$AD$56,0))/Shipping!$AD$31*(EO151+ome_st_ab_losses)/1000000+IF(inland_transport_to_port="hv dc grid",$BM151/100*1000*ER151,IF(inland_transport_to_port="pipeline",$BN151,0)),((F151/24/Shipping!$T$44+F151/24/Shipping!$T$50+Shipping!$T$59+Shipping!$T$64)*(Shipping!$T$22+wacc_nl*Shipping!$T$19/365.25*1000000+Shipping!$T$35)+(F151/24/Shipping!$T$44*Shipping!$T$45+Shipping!$T$64*Shipping!$T$65)*IF(bunker_choice="HFO",$H151,IF(bunker_choice="hydrogen",$BD151*hfo_e_density_lhv/h2_e_density_lhv,(EK151+EM151)*1000000/EO151*hfo_e_density_lhv/Dme_e_density_lhv))+(F151/24/Shipping!$T$50*Shipping!$T$51+Shipping!$T$59*Shipping!$T$60)*IF(bunker_choice="HFO",bunker_price_ROT,IF(bunker_choice="hydrogen",$BD151*hfo_e_density_lhv/h2_e_density_lhv,(EK151+EM151)*1000000/EO151*hfo_e_density_lhv/ome_e_density_lhv))+Shipping!$T$73+IF(G151="Panama",Shipping!$T$55,0)+IF(G151="Suez",Shipping!$T$56,0))/Shipping!$T$31*(EO151+ome_st_ab_losses)/1000000+IF(inland_transport_to_port="hv dc grid",$BM151/100*1000*ER151,IF(inland_transport_to_port="pipeline",$BN151,0)))))</f>
        <v>No Port</v>
      </c>
      <c r="EQ151" s="28" t="str">
        <f t="shared" si="216"/>
        <v/>
      </c>
      <c r="ER151" s="29">
        <f>(ome_e_demand)*(EO151+ome_st_ab_losses)/1000000+ome_st_e_demand*EM151/1000000+$CV151*(Carriers!$Z$21/Carriers!$Z$23*EO151)/$CS151</f>
        <v>3352.0814575374375</v>
      </c>
      <c r="ES151" s="29">
        <f t="shared" si="191"/>
        <v>0.1924238095238095</v>
      </c>
      <c r="ET151" s="28" t="str">
        <f>IFERROR(EQ151*1000000/Storage!$S$12,"")</f>
        <v/>
      </c>
      <c r="EU151" s="28" t="str">
        <f>IF($E151="","No Port",((F151/24/Shipping!$T$44+F151/24/Shipping!$T$50+Shipping!$T$59+Shipping!$T$64)*Carriers!$Z$39*wacc_nl))</f>
        <v>No Port</v>
      </c>
      <c r="EV151" s="100">
        <f>H2_retrieval!$R$25*h2_demand_kt/1000+(co2_liq_e_demand+co2_st_e_demand*2)*Storage!$S$12*co2_density/ome_density/1000000</f>
        <v>254.51942895252085</v>
      </c>
      <c r="EW151" s="28" t="str">
        <f>IFERROR((((EK151+EM151+EP151)*(1+H2_retrieval!$R$34)+EU151)*1000000/H2_retrieval!$R$8)+h2_regen_ome,"")</f>
        <v/>
      </c>
      <c r="EX151" s="149">
        <f>(sng_invest*(M151+1/sng_lifetime)/sng_prod+lng_invest*(M151+1/lng_lifetime)/lng_prod+sng_opex+lng_opex+(sng_e_demand+lng_e_demand)*1000*$AU151/100+Carriers!$AB$18/Carriers!$AB$23*BD151+Carriers!$AB$20/Carriers!$AB$23*co2_liq_cost)*(FB151+lng_st_ab_losses)/1000000</f>
        <v>58810.679060252594</v>
      </c>
      <c r="EY151" s="86">
        <f>(sng_invest*(M151+1/sng_lifetime)/sng_prod+lng_invest*(M151+1/lng_lifetime)/lng_prod+sng_opex+lng_opex+(sng_e_demand+lng_e_demand)*1000*$AU151/100+Carriers!$AB$18/Carriers!$AB$23*BD151+Carriers!$AB$20/Carriers!$AB$23*BP151)*(FB151+lng_st_ab_losses)/1000000</f>
        <v>69947.952256429286</v>
      </c>
      <c r="EZ151" s="63">
        <f>lng_st_nl_cost*lng_st_nl_demand/1000000+(lng_st_invest*(M151+1/lng_st_lifetime+lng_st_opex)/(Storage!$U$63/1000000)+lng_st_e_demand*1000*$AU151/100)*(FB151+lng_st_ab_losses)/1000000+co2_st_nl_cost*Storage!$U$12*co2_density/lng_density/1000000+(co2_st_opex_lev+co2_st_invest_lev+co2_st_e_demand*1000*$AU151/100)*Storage!$U$12/1000000+co2_st_invest_lev*Storage!$U$12*co2_st_lifetime*M151/1000000+Carriers!$AB$18/Carriers!$AB$23*((FB151+lng_st_ab_losses)/365.25*short_st_duration_hrs/24)*(h2_short_st_invest*(1/gh2_short_st_lifetime+$M151+h2_short_st_opex)+h2_short_st_e_demand*1000*$AU151/100)/1000000+Carriers!$AB$20/Carriers!$AB$23*((FB151+lng_st_ab_losses)/365.25*short_st_duration_hrs/24)*(co2_short_st_invest*(1/co2_short_st_lifetime+$M151+co2_short_st_opex)+co2_short_st_e_demand*1000*$AU151/100)/1000000</f>
        <v>6114.3969052598013</v>
      </c>
      <c r="FA151" s="63">
        <f>lng_st_nl_cost*lng_st_nl_demand/1000000+(lng_st_invest*(M151+1/lng_st_lifetime+lng_st_opex)/(Storage!$U$63/1000000)+lng_st_e_demand*1000*$AU151/100)*(FB151+lng_st_ab_losses)/1000000+Carriers!$AB$18/Carriers!$AB$23*((FB151+lng_st_ab_losses)/365.25*short_st_duration_hrs/24)*(h2_short_st_invest*(1/gh2_short_st_lifetime+$M151+h2_short_st_opex)+h2_short_st_e_demand*1000*$AU151/100)/1000000+Carriers!$AB$20/Carriers!$AB$23*((FB151+lng_st_ab_losses)/365.25*short_st_duration_hrs/24)*(co2_short_st_invest*(1/co2_short_st_lifetime+$M151+co2_short_st_opex)+co2_short_st_e_demand*1000*$AU151/100)/1000000</f>
        <v>4567.3853495872472</v>
      </c>
      <c r="FB151" s="63">
        <f>Storage!$U$57/((1-Shipping!$V$37)^($F151/24/Shipping!$V$44+0.5*Shipping!$V$59))</f>
        <v>40707231.50721889</v>
      </c>
      <c r="FC151" s="28" t="str">
        <f>IF($E151="","No Port",IF(G151="Panama","Ship cannot pass through Panama",((F151/24/Shipping!$V$44+F151/24/Shipping!$V$50+Shipping!$V$59+Shipping!$V$64)*(Shipping!$V$22+wacc_nl*Shipping!$V$19/365.25*1000000+Shipping!$V$35)+(F151/24/Shipping!$V$44*Shipping!$V$45+Shipping!$V$64*Shipping!$V$65)*IF(bunker_choice="HFO",$H151,IF(bunker_choice="hydrogen",$BD151*hfo_e_density_lhv/h2_e_density_lhv,(EX151+EZ151)*1000000/FB151*hfo_e_density_lhv/lng_e_density_lhv))+(F151/24/Shipping!$V$50*Shipping!$V$51+Shipping!$V$59*Shipping!$V$60)*IF(bunker_choice="HFO",bunker_price_ROT,IF(bunker_choice="hydrogen",$BD151*hfo_e_density_lhv/h2_e_density_lhv,(EX151+EZ151)*1000000/FB151*hfo_e_density_lhv/lng_e_density_lhv))+Shipping!$V$73+IF(G151="Panama",Shipping!$V$55,0)+IF(G151="Suez",Shipping!$V$56,0))/Shipping!$V$31*(FB151+lng_st_ab_losses)/1000000)+IF(inland_transport_to_port="hv dc grid",$BM151/100*1000*FE151,IF(inland_transport_to_port="pipeline",$BN151,0)))</f>
        <v>No Port</v>
      </c>
      <c r="FD151" s="28" t="str">
        <f t="shared" si="217"/>
        <v/>
      </c>
      <c r="FE151" s="29">
        <f>((Carriers!$AB$18/Carriers!$AB$23*alk_el_e_demand)+sng_e_demand+lng_e_demand)*(FB151+lng_st_ab_losses)/1000000+lng_st_e_demand*EZ151/1000000</f>
        <v>1091.7518813165875</v>
      </c>
      <c r="FF151" s="29">
        <f t="shared" si="192"/>
        <v>0.8126185861001558</v>
      </c>
      <c r="FG151" s="28" t="str">
        <f>IFERROR(FD151*1000000/Storage!$U$12,"")</f>
        <v/>
      </c>
      <c r="FH151" s="28" t="str">
        <f>IF($E151="","No Port",((F151/24/Shipping!$V$44+F151/24/Shipping!$V$50+Shipping!$V$59+Shipping!$V$64)*Carriers!$AB$39*wacc_nl))</f>
        <v>No Port</v>
      </c>
      <c r="FI151" s="100">
        <f>H2_retrieval!$T$25*h2_demand_kt/1000+(co2_liq_e_demand+co2_st_e_demand*2)*Storage!$U$12*co2_density/lng_density/1000000</f>
        <v>236.51371749646054</v>
      </c>
      <c r="FJ151" s="28" t="str">
        <f>IFERROR((((EX151+EZ151+FC151)*(1+H2_retrieval!$T$34)+FH151)*1000000/H2_retrieval!$T$8)+h2_regen_lng,"")</f>
        <v/>
      </c>
      <c r="FK151" s="149">
        <f>(lh2_invest*(M151+1/lh2_lifetime)/lh2_prod+lh2_opex+lh2_e_demand*1000*$AU151/100+Carriers!$AD$18/Carriers!$AD$23*BD151)*(FM151+lh2_st_ab_losses)/1000000</f>
        <v>46049.715373095132</v>
      </c>
      <c r="FL151" s="28">
        <f>lh2_st_nl_cost*lh2_st_nl_demand/1000000+(lh2_st_invest*(M151+1/lh2_st_lifetime+lh2_st_opex)/(Storage!$Y$63/1000000)+lh2_st_e_demand*1000*$AU151/100)*(FM151+lh2_st_ab_losses)/1000000+((FM151+lh2_st_ab_losses)/365.25*short_st_duration_hrs/24)*(h2_short_st_invest*(1/gh2_short_st_lifetime+$M151+h2_short_st_opex)+h2_short_st_e_demand*1000*$AU151/100)/1000000</f>
        <v>53054.10521256004</v>
      </c>
      <c r="FM151" s="63">
        <f>Storage!$Y$57/((1-Shipping!$Z$37)^($F151/24/Shipping!$Z$44+0.5*Shipping!$Z$59))</f>
        <v>13659984.090217989</v>
      </c>
      <c r="FN151" s="28" t="str">
        <f>IF($E151="","No Port",IF(G151="Panama","Ship cannot pass through Panama",((F151/24/Shipping!$Z$44+F151/24/Shipping!$Z$50+Shipping!$Z$59+Shipping!$Z$64)*(Shipping!$Z$22+wacc_nl*Shipping!$Z$19/365.25*1000000+Shipping!$Z$35)+(F151/24/Shipping!$Z$44*Shipping!$Z$45+Shipping!$Z$64*Shipping!$Z$65)*IF(bunker_choice="HFO",$H151,IF(bunker_choice="hydrogen",$BD151*hfo_e_density_lhv/h2_e_density_lhv,(FK151+FL151)*1000000/FM151*hfo_e_density_lhv/lh2_e_density_lhv))+(F151/24/Shipping!$Z$50*Shipping!$Z$51+Shipping!$Z$59*Shipping!$Z$60)*IF(bunker_choice="HFO",bunker_price_ROT,IF(bunker_choice="hydrogen",$BD151*hfo_e_density_lhv/h2_e_density_lhv,(FK151+FL151)*1000000/FM151*hfo_e_density_lhv/lh2_e_density_lhv))+Shipping!$Z$73+IF(G151="Panama",Shipping!$Z$55,0)+IF(G151="Suez",Shipping!$Z$56,0))/Shipping!$Z$31*(FM151+lh2_st_ab_losses)/1000000)+IF(inland_transport_to_port="hv dc grid",$BM151/100*1000*FP151,IF(inland_transport_to_port="pipeline",$BN151,0)))</f>
        <v>No Port</v>
      </c>
      <c r="FO151" s="28" t="str">
        <f t="shared" si="200"/>
        <v/>
      </c>
      <c r="FP151" s="29">
        <f>((Carriers!$AD$18/Carriers!$AD$23*alk_el_e_demand)+lh2_e_demand)*(FM151+lh2_st_ab_losses)/1000000+lh2_st_e_demand*FM151/1000000</f>
        <v>791.60233245091877</v>
      </c>
      <c r="FQ151" s="100">
        <f t="shared" si="193"/>
        <v>1.361902463475859</v>
      </c>
      <c r="FR151" s="28" t="str">
        <f>IFERROR(FO151*1000000/Storage!$Y$12,"")</f>
        <v/>
      </c>
      <c r="FS151" s="100">
        <f>H2_retrieval!$V$25*h2_demand_kt/1000</f>
        <v>8.16</v>
      </c>
      <c r="FT151" s="28" t="str">
        <f>IFERROR(FR151*(1+H2_retrieval!$V$34)/Carrier_properties!$U$7+H2_retrieval!$V$38,"")</f>
        <v/>
      </c>
      <c r="FU151" s="12"/>
      <c r="FV151" s="24">
        <f t="shared" si="201"/>
        <v>2.0125753971705311</v>
      </c>
      <c r="FW151" s="24" t="str">
        <f t="shared" si="143"/>
        <v/>
      </c>
      <c r="FX151" s="24" t="e">
        <f t="shared" si="144"/>
        <v>#N/A</v>
      </c>
      <c r="FY151" s="24" t="e">
        <f t="shared" si="202"/>
        <v>#N/A</v>
      </c>
      <c r="FZ151" s="28">
        <f t="shared" si="145"/>
        <v>2468.2083961009066</v>
      </c>
      <c r="GA151" s="28">
        <f t="shared" si="218"/>
        <v>574.18610159525292</v>
      </c>
      <c r="GB151" s="28">
        <f t="shared" si="219"/>
        <v>372.25483450672539</v>
      </c>
      <c r="GC151" s="28">
        <f t="shared" si="220"/>
        <v>641.60549540451211</v>
      </c>
      <c r="GD151" s="28">
        <f t="shared" si="221"/>
        <v>935.97642898426341</v>
      </c>
      <c r="GE151" s="28">
        <f t="shared" si="222"/>
        <v>1633.3305056952543</v>
      </c>
      <c r="GF151" s="28">
        <f t="shared" si="223"/>
        <v>1718.3175977964738</v>
      </c>
      <c r="GG151" s="12"/>
      <c r="GH151" s="12"/>
      <c r="GI151" s="12"/>
      <c r="GJ151" s="12"/>
      <c r="GK151" s="12"/>
      <c r="GL151" s="12"/>
      <c r="GM151" s="12"/>
      <c r="GN151" s="12"/>
      <c r="GO151" s="12"/>
      <c r="GP151" s="12"/>
      <c r="GQ151" s="12"/>
      <c r="GR151" s="12"/>
      <c r="GS151" s="12"/>
      <c r="GT151" s="12"/>
      <c r="GU151" s="12"/>
      <c r="GV151" s="12"/>
      <c r="GW151" s="12"/>
      <c r="GX151" s="12"/>
      <c r="GY151" s="12"/>
      <c r="GZ151" s="12"/>
      <c r="HA151" s="12"/>
      <c r="HB151" s="12"/>
      <c r="HC151" s="12"/>
      <c r="HD151" s="12"/>
      <c r="HE151" s="12"/>
      <c r="HF151" s="12"/>
    </row>
    <row r="152" spans="1:214" x14ac:dyDescent="0.2">
      <c r="A152" s="154" t="s">
        <v>296</v>
      </c>
      <c r="B152" s="12">
        <v>5562</v>
      </c>
      <c r="C152" s="12">
        <v>1</v>
      </c>
      <c r="D152" s="12">
        <f t="shared" si="194"/>
        <v>0</v>
      </c>
      <c r="E152" s="12" t="s">
        <v>797</v>
      </c>
      <c r="F152" s="12">
        <v>4436</v>
      </c>
      <c r="G152" s="12" t="s">
        <v>692</v>
      </c>
      <c r="H152" s="16">
        <f t="shared" si="203"/>
        <v>382.75862068965517</v>
      </c>
      <c r="I152" s="16">
        <v>527970</v>
      </c>
      <c r="J152" s="16">
        <f t="shared" si="195"/>
        <v>409.9488634067132</v>
      </c>
      <c r="K152" s="16">
        <f t="shared" si="196"/>
        <v>491.93863608805583</v>
      </c>
      <c r="L152" s="103">
        <v>0.16700000000000001</v>
      </c>
      <c r="M152" s="103">
        <f t="shared" si="204"/>
        <v>0.15952119233057158</v>
      </c>
      <c r="N152" s="122">
        <f t="shared" si="197"/>
        <v>0.8</v>
      </c>
      <c r="O152" s="46">
        <f t="shared" si="205"/>
        <v>40</v>
      </c>
      <c r="P152" s="70">
        <f t="array" ref="P152">SUMPRODUCT(IF(Solar_data!A$4:A$777=A152,Solar_data!C$4:C$777),IF(Solar_data!A$4:A$777=A152,Solar_data!I$4:I$777))/SUMIF(Solar_data!A$4:A$777,A152,Solar_data!I$4:I$777)</f>
        <v>2430.6795820773109</v>
      </c>
      <c r="Q152" s="16">
        <f t="array" ref="Q152">MAX(IF(Solar_data!$A$777:'Solar_data'!$A$4=Country_details!$A152,Solar_data!$C$4:'Solar_data'!$C$777))</f>
        <v>2463.75</v>
      </c>
      <c r="R152" s="16">
        <f t="array" ref="R152">MIN(IF(Solar_data!$A$777:'Solar_data'!$A$4=Country_details!A152,Solar_data!$C$4:'Solar_data'!$C$777))</f>
        <v>2098.75</v>
      </c>
      <c r="S152" s="24">
        <f t="shared" si="176"/>
        <v>2.5240993133787448</v>
      </c>
      <c r="T152" s="24">
        <f t="shared" si="177"/>
        <v>2.4902188388290512</v>
      </c>
      <c r="U152" s="24">
        <f t="shared" si="178"/>
        <v>2.9233003760167122</v>
      </c>
      <c r="V152" s="16">
        <f t="array" ref="V152">SUM(IF(Solar_data!$A$777:'Solar_data'!$A$4=Country_details!$A152,Solar_data!$I$4:'Solar_data'!$I$777))</f>
        <v>3972.0855876882761</v>
      </c>
      <c r="W152" s="148"/>
      <c r="X152" s="16" t="str">
        <f>IFERROR(INDEX(Onshore_wind_data!$J$5:'Onshore_wind_data'!$J$221,MATCH(A152,Onshore_wind_data!$B$5:'Onshore_wind_data'!$B$221,0)),"")</f>
        <v/>
      </c>
      <c r="Y152" s="16" t="str">
        <f>IFERROR(INDEX(Onshore_wind_data!$K$5:'Onshore_wind_data'!$K$221,MATCH(A152,Onshore_wind_data!$B$5:'Onshore_wind_data'!$B$221,0)),"")</f>
        <v/>
      </c>
      <c r="Z152" s="16" t="str">
        <f>IFERROR(INDEX(Onshore_wind_data!$L$5:'Onshore_wind_data'!$L$221,MATCH(A152,Onshore_wind_data!$B$5:'Onshore_wind_data'!$B$221,0)),"")</f>
        <v/>
      </c>
      <c r="AA152" s="24" t="str">
        <f t="shared" si="206"/>
        <v/>
      </c>
      <c r="AB152" s="24" t="str">
        <f t="shared" si="207"/>
        <v/>
      </c>
      <c r="AC152" s="24" t="str">
        <f t="shared" si="208"/>
        <v/>
      </c>
      <c r="AD152" s="16">
        <f>IFERROR(INDEX(Onshore_wind_data!$I$5:'Onshore_wind_data'!$I$221,MATCH(A152,Onshore_wind_data!$B$5:'Onshore_wind_data'!$B$221,0)),"")</f>
        <v>0</v>
      </c>
      <c r="AE152" s="148"/>
      <c r="AF152" s="16">
        <f>INDEX(Offshore_wind_data!$AA$7:$AA$192,MATCH(Country_details!A152,Offshore_wind_data!$A$7:$A$192,0))</f>
        <v>3712.1115261958998</v>
      </c>
      <c r="AG152" s="16">
        <f>INDEX(Offshore_wind_data!$Y$7:$Y$192,MATCH(Country_details!A152,Offshore_wind_data!$A$7:$A$192,0))</f>
        <v>3854.4</v>
      </c>
      <c r="AH152" s="16">
        <f>INDEX(Offshore_wind_data!$Z$7:$Z$192,MATCH(Country_details!A152,Offshore_wind_data!$A$7:$A$192,0))</f>
        <v>3153.6</v>
      </c>
      <c r="AI152" s="24">
        <f t="shared" si="179"/>
        <v>8.6562504115304062</v>
      </c>
      <c r="AJ152" s="24">
        <f t="shared" si="180"/>
        <v>8.3366975213470376</v>
      </c>
      <c r="AK152" s="24">
        <f t="shared" si="181"/>
        <v>10.189296970535269</v>
      </c>
      <c r="AL152" s="16">
        <f>INDEX(Offshore_wind_data!$W$7:$W$191,MATCH(A152,Offshore_wind_data!$A$7:$A$191,0))</f>
        <v>488.885088</v>
      </c>
      <c r="AM152" s="148"/>
      <c r="AN152" s="12">
        <v>28.3</v>
      </c>
      <c r="AO152" s="12">
        <v>48.3</v>
      </c>
      <c r="AP152" s="34">
        <f>0.323*11.63</f>
        <v>3.7564900000000003</v>
      </c>
      <c r="AQ152" s="15">
        <f t="shared" si="182"/>
        <v>50</v>
      </c>
      <c r="AR152" s="12">
        <f t="shared" si="212"/>
        <v>2415</v>
      </c>
      <c r="AS152" s="16">
        <f t="shared" si="198"/>
        <v>2045.9706756882761</v>
      </c>
      <c r="AT152" s="12"/>
      <c r="AU152" s="24">
        <f t="shared" si="183"/>
        <v>2.5240993133787448</v>
      </c>
      <c r="AV152" s="16">
        <f t="shared" si="184"/>
        <v>2430.6795820773109</v>
      </c>
      <c r="AW152" s="149">
        <f>HV_DC_Grid!$E$3/(1-AX152)*AU152/100*1000</f>
        <v>2855.5153438768884</v>
      </c>
      <c r="AX152" s="31">
        <f>(1-(1-HV_DC_Grid!$E$25)^(B152*C152*HV_DC_Grid!$E$8/1000))+(1-(1-HV_DC_Grid!$E$26)^(B152*D152*HV_DC_Grid!$E$8/1000))+HV_DC_Grid!$E$35*HV_DC_Grid!$E$28</f>
        <v>0.11606172287212611</v>
      </c>
      <c r="AY152" s="28">
        <f>B152*nl_e_demand/IF(hv_dc_flh="electricity FLH",$AV152,hv_dc_custom)*1000*hv_dc_capacity_multiplier*hv_dc_length_multiplier*1000*(C152*hv_dc_overhead_invest*(hv_dc_overhead_opex+M152+1/hv_dc_lifetime)+D152*hv_dc_sea_invest*(hv_dc_sea_opex+M152+1/hv_dc_lifetime))/1000000+HV_DC_Grid!$E$10*1000*hv_dc_station_invest*hv_dc_station_number*(hv_dc_station_opex+M152+1/hv_dc_lifetime)/1000000</f>
        <v>6226.1098305538444</v>
      </c>
      <c r="AZ152" s="24">
        <f>(AW152+AY152)/(HV_DC_Grid!$E$3*1000)*100</f>
        <v>9.0816251744307337</v>
      </c>
      <c r="BA152" s="28">
        <f>MIN(((Carriers!$F$26+Carriers!$F$27)*(alk_el_opex+wacc_nl+1/alk_el_lifetime)+IF(hv_dc_flh="electricity FLH",$AV152,hv_dc_custom)*AZ152/100)/(IF(hv_dc_flh="electricity FLH",$AV152,hv_dc_custom)/alk_el_e_demand)*1000,((Carriers!$H$26+Carriers!$H$27)*(pem_el_opex+wacc_nl+1/pem_el_lifetime)+IF(hv_dc_flh="electricity FLH",$AV152,hv_dc_custom)*AZ152/100)/(IF(hv_dc_flh="electricity FLH",$AV152,hv_dc_custom)/pem_el_e_demand)*1000)</f>
        <v>4989.2772619722118</v>
      </c>
      <c r="BB152" s="12"/>
      <c r="BC152" s="12"/>
      <c r="BD152" s="149">
        <f>MIN(((Carriers!$F$26+Carriers!$F$27)*(alk_el_opex+M152+1/alk_el_lifetime)+$AV152*$AU152/100)/($AV152/alk_el_e_demand)*1000,((Carriers!$H$26+Carriers!$H$27)*(pem_el_opex+M152+1/pem_el_lifetime)+$AV152*$AU152/100)/($AV152/pem_el_e_demand)*1000)</f>
        <v>2945.0630265458371</v>
      </c>
      <c r="BE152" s="28">
        <f>Storage!$AC$50</f>
        <v>8.1664117557772418</v>
      </c>
      <c r="BF152" s="28">
        <f>((Pipeline!$D$22*Pipeline!$D$24*B152*(pipeline_opex+M152+1/pipeline_lifetime))*(Pipeline!$D$39/Pipeline!$D$3)+(Pipeline!$D$57*(pipeline_comp_opex+M152+1/pipeline_comp_lifetime)+Pipeline!$D$47*1000*Pipeline!$D$45*$AU152/100/1000000))*(Pipeline!$D$75/Pipeline!$D$45)</f>
        <v>14772.684453429614</v>
      </c>
      <c r="BG152" s="28">
        <f>BD152+(BE152+BF152)/Storage!$AC$12*1000000</f>
        <v>4031.8902960447631</v>
      </c>
      <c r="BH152" s="28"/>
      <c r="BI152" s="28"/>
      <c r="BJ152" s="28">
        <f>IF($E152="","No Port",BK152*HV_DC_Grid!$E$3*$AU152/100*1000)</f>
        <v>59.256796622846828</v>
      </c>
      <c r="BK152" s="31">
        <f>IFERROR((1-(1-HV_DC_Grid!$E$25)^(K152*HV_DC_Grid!$E$8/1000))+HV_DC_Grid!$E$35*HV_DC_Grid!$E$28,"")</f>
        <v>2.3476412480587391E-2</v>
      </c>
      <c r="BL152" s="28">
        <f>IFERROR(K152*nl_e_demand/IF(hv_dc_flh="electricity FLH",$AV152,hv_dc_custom)*1000*hv_dc_capacity_multiplier*hv_dc_length_multiplier*1000*(hv_dc_overhead_invest*(hv_dc_overhead_opex+M152+1/hv_dc_lifetime))/1000000+HV_DC_Grid!$E$10*1000*hv_dc_station_invest*hv_dc_station_number*(hv_dc_station_opex+M152+1/hv_dc_lifetime)/1000000,"")</f>
        <v>1018.7922951920185</v>
      </c>
      <c r="BM152" s="29">
        <f>IFERROR((BJ152+BL152)/(HV_DC_Grid!$E$3*1000)*100,"")</f>
        <v>1.0780490918148653</v>
      </c>
      <c r="BN152" s="28">
        <f>IFERROR(((Pipeline!$D$22*Pipeline!$D$24*K152*(pipeline_opex+M152+1/pipeline_lifetime))*(Pipeline!$D$39/Pipeline!$D$3)+(Pipeline!$D$57*(pipeline_comp_opex+M152+1/pipeline_comp_lifetime)+Pipeline!$D$47*1000*Pipeline!$D$45*S152/100/1000000))*(Pipeline!$D$75/Pipeline!$D$45),"")</f>
        <v>1384.6210753709995</v>
      </c>
      <c r="BO152" s="28"/>
      <c r="BP152" s="150">
        <f t="shared" si="209"/>
        <v>130.14314238886888</v>
      </c>
      <c r="BQ152" s="34">
        <f t="shared" si="210"/>
        <v>39.15212284918718</v>
      </c>
      <c r="BR152" s="151">
        <f>(nh3_invest*(M152+1/nh3_lifetime)/nh3_prod+nh3_opex+nh3_e_demand*1000*$AU152/100+Carriers!$N$18/Carriers!$N$23*BD152+Carriers!$N$19/Carriers!$N$23*BQ152)*(BT152+nh3_st_ab_losses)/1000000</f>
        <v>54366.503359621725</v>
      </c>
      <c r="BS152" s="63">
        <f>nh3_st_nl_cost*nh3_st_nl_demand/1000000+(nh3_st_invest*(M152+1/nh3_st_lifetime+nh3_st_opex)/(Storage!$G$63/1000000)+nh3_st_e_demand*1000*$AU152/100)*(BT152+nh3_st_ab_losses)/1000000+Carriers!$N$18/Carriers!$N$23*((BT152+nh3_st_ab_losses)/365.25*short_st_duration_hrs/24)*(h2_short_st_invest*(1/gh2_short_st_lifetime+$M152+h2_short_st_opex)+h2_short_st_e_demand*1000*$AU152/100)/1000000+Carriers!$N$19/Carriers!$N$23*((BT152+nh3_st_ab_losses)/365.25*short_st_duration_hrs/24)*(n2_short_st_invest*(1/n2_short_st_lifetime+$M152+n2_short_st_opex)+n2_short_st_e_demand*1000*$AU152/100)/1000000</f>
        <v>3846.0674801230348</v>
      </c>
      <c r="BT152" s="63">
        <f>Storage!$G$57/((1-Shipping!$H$37)^(F152/24/Shipping!$H$44+0.5*Shipping!$H$59))</f>
        <v>79042239.586444557</v>
      </c>
      <c r="BU152" s="63">
        <f>IF($E152="","No Port",((F152/24/Shipping!$H$44+F152/24/Shipping!$H$50+Shipping!$H$59+Shipping!$H$64)*(Shipping!$H$22+wacc_nl*Shipping!$H$19/365.25*1000000+Shipping!$H$35)+(F152/24/Shipping!$H$44*Shipping!$H$45+Shipping!$H$64*Shipping!$H$65)*IF(bunker_choice="HFO",H152,IF(bunker_choice="hydrogen",BD152*hfo_e_density_lhv/h2_e_density_lhv,(BR152+BS152)*1000000/BT152*hfo_e_density_lhv/nh3_e_density_lhv))+(F152/24/Shipping!$H$50*Shipping!$H$51+Shipping!$H$59*Shipping!$H$60)*IF(bunker_choice="HFO",bunker_price_ROT,IF(bunker_choice="hydrogen",BD152*hfo_e_density_lhv/h2_e_density_lhv,(BR152+BS152)*1000000/BT152*hfo_e_density_lhv/nh3_e_density_lhv))+Shipping!$H$73+IF(G152="Panama",Shipping!$H$55,0)+IF(G152="Suez",Shipping!$H$56,0))/Shipping!$H$31*BT152/1000000+IF(inland_transport_to_port="hv dc grid",$BM152/100*1000*BW152,IF(inland_transport_to_port="pipeline",$BN152,0)))</f>
        <v>4918.821930440743</v>
      </c>
      <c r="BV152" s="63">
        <f t="shared" si="199"/>
        <v>63131.392770185499</v>
      </c>
      <c r="BW152" s="33">
        <f>((Carriers!$N$18/Carriers!$N$23*alk_el_e_demand)+(Carriers!$N$19/Carriers!$N$23*n2_e_demand)+nh3_e_demand)*(BT152+nh3_st_ab_losses)/1000000+nh3_st_e_demand*BT152/1000000</f>
        <v>780.56203908218743</v>
      </c>
      <c r="BX152" s="33">
        <f t="shared" si="185"/>
        <v>0.76626754477640768</v>
      </c>
      <c r="BY152" s="63">
        <f>IFERROR(BV152*1000000/Storage!$G$12,"")</f>
        <v>824.56830727312706</v>
      </c>
      <c r="BZ152" s="63">
        <f>H2_retrieval!$F$25*h2_demand_kt/1000</f>
        <v>80</v>
      </c>
      <c r="CA152" s="63">
        <f>IFERROR(BY152*(1+H2_retrieval!$F$34)/Carrier_properties!$E$7+H2_retrieval!$F$38,"")</f>
        <v>5051.2401539220809</v>
      </c>
      <c r="CB152" s="149">
        <f>(FA_invest*(M152+1/FA_lifetime)/FA_prod+FA_opex+FA_e_demand*1000*$AU152/100+Carriers!$P$18/Carriers!$P$23*BD152+Carriers!$P$20/Carriers!$P$23*co2_liq_cost)*(CF152+FA_st_ab_losses)/1000000</f>
        <v>108328.6920946477</v>
      </c>
      <c r="CC152" s="86">
        <f>(FA_invest*(M152+1/FA_lifetime)/FA_prod+FA_opex+FA_e_demand*1000*$AU152/100+Carriers!$P$18/Carriers!$P$23*BD152+Carriers!$P$20/Carriers!$P$23*BP152)*(CF152+FA_st_ab_losses)/1000000</f>
        <v>139994.91177702241</v>
      </c>
      <c r="CD152" s="63">
        <f>FA_st_nl_cost*FA_st_nl_demand/1000000+(FA_st_invest*(M152+1/FA_st_lifetime+FA_st_opex)/(Storage!$I$63/1000000)+FA_st_e_demand*1000*$AU152/100)*(CF152+FA_st_ab_losses)/1000000+co2_st_nl_cost*Storage!$I$12*co2_density/FA_density/1000000+(co2_st_opex_lev+co2_st_invest_lev+co2_st_e_demand*1000*$AU152/100)*Storage!$I$12/1000000+co2_st_invest_lev*Storage!$I$12*co2_st_lifetime*M152/1000000+Carriers!$P$18/Carriers!$P$23*((CF152+FA_st_ab_losses)/365.25*short_st_duration_hrs/24)*(h2_short_st_invest*(1/gh2_short_st_lifetime+$M152+h2_short_st_opex)+h2_short_st_e_demand*1000*$AU152/100)/1000000+Carriers!$P$20/Carriers!$P$23*((CF152+FA_st_ab_losses)/365.25*short_st_duration_hrs/24)*(co2_short_st_invest*(1/co2_short_st_lifetime+$M152+co2_short_st_opex)+co2_short_st_e_demand*1000*$AU152/100)/1000000</f>
        <v>12841.780914085446</v>
      </c>
      <c r="CE152" s="63">
        <f>FA_st_nl_cost*FA_st_nl_demand/1000000+(FA_st_invest*(M152+1/FA_st_lifetime+FA_st_opex)/(Storage!$I$63/1000000)+FA_st_e_demand*1000*$AU152/100)*(CF152+FA_st_ab_losses)/1000000+Carriers!$P$18/Carriers!$P$23*((CF152+FA_st_ab_losses)/365.25*short_st_duration_hrs/24)*(h2_short_st_invest*(1/gh2_short_st_lifetime+$M152+h2_short_st_opex)+h2_short_st_e_demand*1000*$AU152/100)/1000000+Carriers!$P$20/Carriers!$P$23*((CF152+FA_st_ab_losses)/365.25*short_st_duration_hrs/24)*(co2_short_st_invest*(1/co2_short_st_lifetime+$M152+co2_short_st_opex)+co2_short_st_e_demand*1000*$AU152/100)/1000000</f>
        <v>5702.263706987871</v>
      </c>
      <c r="CF152" s="63">
        <f>Storage!$I$57/((1-Shipping!$J$37)^($F152/24/Shipping!$J$44+0.5*Shipping!$J$59))</f>
        <v>310425396.82539684</v>
      </c>
      <c r="CG152" s="28">
        <f>IF($E152="","No Port",((F152/24/Shipping!$J$44+F152/24/Shipping!$J$50+Shipping!$J$59+Shipping!$J$64)*(Shipping!$J$22+wacc_nl*Shipping!$J$19/365.25*1000000+Shipping!$J$35)+(F152/24/Shipping!$J$44*Shipping!$J$45+Shipping!$J$64*Shipping!$J$65)*IF(bunker_choice="HFO",$H152,IF(bunker_choice="hydrogen",$BD152*hfo_e_density_lhv/h2_e_density_lhv,(CB152+CD152)*1000000/CF152*hfo_e_density_lhv/FA_e_density_lhv))+(F152/24/Shipping!$J$50*Shipping!$J$51+Shipping!$J$59*Shipping!$J$60)*IF(bunker_choice="HFO",bunker_price_ROT,IF(bunker_choice="hydrogen",$BD152*hfo_e_density_lhv/h2_e_density_lhv,(CB152+CD152)*1000000/CF152*hfo_e_density_lhv/FA_e_density_lhv))+Shipping!$J$73+IF(G152="Panama",Shipping!$J$55,0)+IF(G152="Suez",Shipping!$J$56,0))/Shipping!$J$31*CF152/1000000+IF(inland_transport_to_port="hv dc grid",$BM152/100*1000*CI152,IF(inland_transport_to_port="pipeline",$BN152,0)))</f>
        <v>16867.719086606747</v>
      </c>
      <c r="CH152" s="28">
        <f t="shared" si="213"/>
        <v>162564.89457061703</v>
      </c>
      <c r="CI152" s="29">
        <f>((Carriers!$P$18/Carriers!$P$23*alk_el_e_demand)+FA_e_demand)*(CF152+FA_st_ab_losses)/1000000+FA_st_e_demand*CF152/1000000</f>
        <v>1897.8881241622576</v>
      </c>
      <c r="CJ152" s="29">
        <f t="shared" si="186"/>
        <v>0.46563809523809524</v>
      </c>
      <c r="CK152" s="28">
        <f>IFERROR(CH152*1000000/Storage!$I$12,"")</f>
        <v>523.68426112395036</v>
      </c>
      <c r="CL152" s="28">
        <f>IF($E152="","No Port",((F152/24/Shipping!$J$44+F152/24/Shipping!$J$50+Shipping!$J$59+Shipping!$J$64)*Carriers!$P$39*wacc_nl))</f>
        <v>228.59732797221051</v>
      </c>
      <c r="CM152" s="29">
        <f>H2_retrieval!$H$25*h2_demand_kt/1000+(co2_liq_e_demand+co2_st_e_demand*2)*Storage!$I$12*co2_density/FA_density/1000000</f>
        <v>94.204253879484654</v>
      </c>
      <c r="CN152" s="28">
        <f>IFERROR((((CB152+CD152+CG152)*(1+H2_retrieval!$H$34)+CL152)*1000000/H2_retrieval!$H$8)+h2_regen_fa,"")</f>
        <v>10256.363060657553</v>
      </c>
      <c r="CO152" s="149">
        <f>(meoh_invest*(M152+1/meoh_lifetime)/meoh_prod+meoh_opex+meoh_e_demand*1000*$AU152/100+Carriers!$R$18/Carriers!$R$23*BD152+Carriers!$R$20/Carriers!$R$23*co2_liq_cost)*(CS152+meoh_st_ab_losses)/1000000</f>
        <v>64608.451054149373</v>
      </c>
      <c r="CP152" s="86">
        <f>(meoh_invest*(M152+1/meoh_lifetime)/meoh_prod+meoh_opex+meoh_e_demand*1000*$AU152/100+Carriers!$R$18/Carriers!$R$23*BD152+Carriers!$R$20/Carriers!$R$23*BP152)*(CS152+meoh_st_ab_losses)/1000000</f>
        <v>83197.499602057738</v>
      </c>
      <c r="CQ152" s="63">
        <f>meoh_st_nl_cost*meoh_st_nl_demand/1000000+(meoh_st_invest*(M152+1/meoh_st_lifetime+meoh_st_opex)/(Storage!$K$63/1000000)+meoh_st_e_demand*1000*$AU152/100)*(CS152+meoh_st_ab_losses)/1000000+co2_st_nl_cost*Storage!$K$12*co2_density/meoh_density/1000000+(co2_st_opex_lev+co2_st_invest_lev+co2_st_e_demand*1000*IFERROR(MIN(S152,AA152,AI152),S152)/100)*Storage!$K$12/1000000+co2_st_invest_lev*Storage!$K$12*co2_st_lifetime*M152/1000000+Carriers!$R$18/Carriers!$R$23*((CS152+meoh_st_ab_losses)/365.25*short_st_duration_hrs/24)*(h2_short_st_invest*(1/gh2_short_st_lifetime+$M152+h2_short_st_opex)+h2_short_st_e_demand*1000*$AU152/100)/1000000+Carriers!$R$20/Carriers!$R$23*((CF152+meoh_st_ab_losses)/365.25*short_st_duration_hrs/24)*(co2_short_st_invest*(1/co2_short_st_lifetime+$M152+co2_short_st_opex)+co2_short_st_e_demand*1000*$AU152/100)/1000000</f>
        <v>5370.0078617766248</v>
      </c>
      <c r="CR152" s="63">
        <f>meoh_st_nl_cost*meoh_st_nl_demand/1000000+(meoh_st_invest*(M152+1/meoh_st_lifetime+meoh_st_opex)/(Storage!$K$63/1000000)+meoh_st_e_demand*1000*$AU152/100)*(CS152+meoh_st_ab_losses)/1000000+Carriers!$R$18/Carriers!$R$23*((CS152+meoh_st_ab_losses)/365.25*short_st_duration_hrs/24)*(h2_short_st_invest*(1/gh2_short_st_lifetime+$M152+h2_short_st_opex)+h2_short_st_e_demand*1000*$AU152/100)/1000000+Carriers!$R$20/Carriers!$R$23*((CF152+meoh_st_ab_losses)/365.25*short_st_duration_hrs/24)*(co2_short_st_invest*(1/co2_short_st_lifetime+$M152+co2_short_st_opex)+co2_short_st_e_demand*1000*$AU152/100)/1000000</f>
        <v>2286.0811037572562</v>
      </c>
      <c r="CS152" s="63">
        <f>Storage!$K$57/((1-Shipping!$L$37)^($F152/24/Shipping!$L$44+0.5*Shipping!$L$59))</f>
        <v>108044444.44444443</v>
      </c>
      <c r="CT152" s="28">
        <f>IF($E152="","No Port",IF(AND(ship_choice="VLCC",G152="Panama"),"Ship cannot pass through Panama",IF(ship_choice="VLCC",((F152/24/Shipping!$AD$44+F152/24/Shipping!$AD$50+Shipping!$AD$59+Shipping!$AD$64)*(Shipping!$AD$22+wacc_nl*Shipping!$AD$19/365.25*1000000+Shipping!$AD$35)+(F152/24/Shipping!$AD$44*Shipping!$AD$45+Shipping!$AD$64*Shipping!$AD$65)*IF(bunker_choice="HFO",$H152,IF(bunker_choice="hydrogen",$BD152*hfo_e_density_lhv/h2_e_density_lhv,(CO152+CQ152)*1000000/CS152*hfo_e_density_lhv/meoh_e_density_lhv))+(F152/24/Shipping!$AD$50*Shipping!$AD$51+Shipping!$AD$59*Shipping!$AD$60)*IF(bunker_choice="HFO",bunker_price_ROT,IF(bunker_choice="hydrogen",$BD152*hfo_e_density_lhv/h2_e_density_lhv,(CO152+CQ152)*1000000/CS152*hfo_e_density_lhv/meoh_e_density_lhv))+Shipping!$AD$73+IF(G152="Panama",Shipping!$AD$55,0)+IF(G152="Suez",Shipping!$AD$56,0))/Shipping!$AD$31*CS152/1000000+IF(inland_transport_to_port="hv dc grid",$BM152/100*1000*CV152,IF(inland_transport_to_port="pipeline",$BN152,0)),((F152/24/Shipping!$L$44+F152/24/Shipping!$L$50+Shipping!$L$59+Shipping!$L$64)*(Shipping!$L$22+wacc_nl*Shipping!$L$19/365.25*1000000+Shipping!$L$35)+(F152/24/Shipping!$L$44*Shipping!$L$45+Shipping!$L$64*Shipping!$L$65)*IF(bunker_choice="HFO",$H152,IF(bunker_choice="hydrogen",$BD152*hfo_e_density_lhv/h2_e_density_lhv,(CO152+CQ152)*1000000/CS152*hfo_e_density_lhv/meoh_e_density_lhv))+(F152/24/Shipping!$L$50*Shipping!$L$51+Shipping!$L$59*Shipping!$L$60)*IF(bunker_choice="HFO",bunker_price_ROT,IF(bunker_choice="hydrogen",$BD152*hfo_e_density_lhv/h2_e_density_lhv,(CO152+CQ152)*1000000/CS152*hfo_e_density_lhv/meoh_e_density_lhv))+Shipping!$L$73+IF(G152="Panama",Shipping!$L$55,0)+IF(G152="Suez",Shipping!$L$56,0))/Shipping!$L$31*CS152/1000000+IF(inland_transport_to_port="hv dc grid",$BM152/100*1000*CV152,IF(inland_transport_to_port="pipeline",$BN152,0)))))</f>
        <v>6553.8257357148368</v>
      </c>
      <c r="CU152" s="28">
        <f t="shared" si="214"/>
        <v>92037.406441529834</v>
      </c>
      <c r="CV152" s="29">
        <f>((Carriers!$R$18/Carriers!$R$23*alk_el_e_demand)+meoh_e_demand)*(CS152+meoh_st_ab_losses)/1000000+meoh_st_e_demand*CS152/1000000</f>
        <v>1119.9789871111109</v>
      </c>
      <c r="CW152" s="29">
        <f t="shared" si="187"/>
        <v>0.16206666666666666</v>
      </c>
      <c r="CX152" s="28">
        <f>IFERROR(CU152*1000000/Storage!$K$12,"")</f>
        <v>851.84765320214785</v>
      </c>
      <c r="CY152" s="28">
        <f>IF($E152="","No Port",((F152/24/Shipping!$L$44+F152/24/Shipping!$L$50+Shipping!$L$59+Shipping!$L$64)*Carriers!$R$39*wacc_nl))</f>
        <v>81.770358777852195</v>
      </c>
      <c r="CZ152" s="29">
        <f>H2_retrieval!$J$25*h2_demand_kt/1000+(co2_liq_e_demand+co2_st_e_demand*2)*Storage!$K$12*co2_density/meoh_density/1000000</f>
        <v>251.05079059698966</v>
      </c>
      <c r="DA152" s="28">
        <f>IFERROR((((CO152+CQ152+CT152)*(1+H2_retrieval!$J$34)+CY152)*1000000/H2_retrieval!$J$8)+h2_regen_meoh,"")</f>
        <v>6803.5149410210197</v>
      </c>
      <c r="DB152" s="149">
        <f>(DBT_invest*(M152+1/DBT_lifetime)/DBT_prod+DBT_opex+DBT_e_demand*1000*$AU152/100+Carriers!$T$18/Carriers!$T$23*BD152)*(DD152+DBT_st_ab_losses)/1000000</f>
        <v>43688.071105216688</v>
      </c>
      <c r="DC152" s="28">
        <f>2*(DBT_st_nl_cost*DBT_st_nl_demand/1000000+(DBT_st_invest*(M152+1/DBT_st_lifetime+DBT_st_opex)/(Storage!$M$63/1000000)+DBT_st_e_demand*1000*$AU152/100)*(DD152+DBT_st_ab_losses)/1000000)+Carriers!$T$18/Carriers!$T$23*((DD152+DBT_st_ab_losses)/365.25*short_st_duration_hrs/24)*(h2_short_st_invest*(1/gh2_short_st_lifetime+$M152+h2_short_st_opex)+h2_short_st_e_demand*1000*$AU152/100)/1000000</f>
        <v>4631.9030024179974</v>
      </c>
      <c r="DD152" s="63">
        <f>Storage!$M$57/((1-Shipping!$N$37)^($F152/24/Shipping!$N$44+0.5*Shipping!$N$59))</f>
        <v>219354838.70967743</v>
      </c>
      <c r="DE152" s="28">
        <f>IF($E152="","No Port",IF(AND(ship_choice="VLCC",G152="Panama"),"Ship cannot pass through Panama",IF(ship_choice="VLCC",((F152/24/Shipping!$AD$44+F152/24/Shipping!$AD$50+Shipping!$AD$59+Shipping!$AD$64)*(Shipping!$AD$22+wacc_nl*Shipping!$AD$19/365.25*1000000+Shipping!$AD$35)+(F152/24/Shipping!$AD$44*Shipping!$AD$45+Shipping!$AD$64*Shipping!$AD$65)*IF(bunker_choice="HFO",$H152,IF(bunker_choice="hydrogen",$BD152*hfo_e_density_lhv/h2_e_density_lhv,(DB152+DC152)*1000000/DD152*hfo_e_density_lhv/DBT_e_density_lhv))+(F152/24/Shipping!$AD$50*Shipping!$AD$51+Shipping!$AD$59*Shipping!$AD$60)*IF(bunker_choice="HFO",bunker_price_ROT,IF(bunker_choice="hydrogen",$BD152*hfo_e_density_lhv/h2_e_density_lhv,(DB152+DC152)*1000000/DD152*hfo_e_density_lhv/DBT_e_density_lhv))+Shipping!$AD$73+IF(G152="Panama",Shipping!$AD$55,0)+IF(G152="Suez",Shipping!$AD$56,0))/Shipping!$AD$31*DD152/1000000+IF(inland_transport_to_port="hv dc grid",$BM152/100*1000*DG152,IF(inland_transport_to_port="pipeline",$BN152,0)),((F152/24/Shipping!$N$44+F152/24/Shipping!$N$50+Shipping!$N$59+Shipping!$N$64)*(Shipping!$N$22+wacc_nl*Shipping!$N$19/365.25*1000000+Shipping!$N$35)+(F152/24/Shipping!$N$44*Shipping!$N$45+Shipping!$N$64*Shipping!$N$65)*IF(bunker_choice="HFO",$H152,IF(bunker_choice="hydrogen",$BD152*hfo_e_density_lhv/h2_e_density_lhv,(DB152+DC152)*1000000/DD152*hfo_e_density_lhv/DBT_e_density_lhv))+(F152/24/Shipping!$N$50*Shipping!$N$51+Shipping!$N$59*Shipping!$N$60)*IF(bunker_choice="HFO",bunker_price_ROT,IF(bunker_choice="hydrogen",$BD152*hfo_e_density_lhv/h2_e_density_lhv,(DB152+DC152)*1000000/DD152*hfo_e_density_lhv/DBT_e_density_lhv))+Shipping!$N$73+IF(G152="Panama",Shipping!$N$55,0)+IF(G152="Suez",Shipping!$N$56,0))/Shipping!$N$31*Shipping!$N$86/1000000+IF(inland_transport_to_port="hv dc grid",$BM152/100*1000*DG152,IF(inland_transport_to_port="pipeline",$BN152,0)))))</f>
        <v>11113.72858622981</v>
      </c>
      <c r="DF152" s="28">
        <f t="shared" si="159"/>
        <v>59433.702693864492</v>
      </c>
      <c r="DG152" s="29">
        <f>((Carriers!$T$18/Carriers!$T$23*alk_el_e_demand)+DBT_e_demand)*(DD152+DBT_st_ab_losses)/1000000+DBT_st_e_demand*DD152/1000000</f>
        <v>703.88335483870969</v>
      </c>
      <c r="DH152" s="29">
        <f t="shared" si="188"/>
        <v>0.21935483870967742</v>
      </c>
      <c r="DI152" s="28">
        <f>IFERROR(DF152*1000000/Storage!$M$12,"")</f>
        <v>270.94776228085283</v>
      </c>
      <c r="DJ152" s="28">
        <f>IF($E152="","No Port",((F152/24/Shipping!$N$44+F152/24/Shipping!$N$50+Shipping!$N$59+Shipping!$N$64)*Carriers!$T$39*wacc_nl))</f>
        <v>5955.6038961815721</v>
      </c>
      <c r="DK152" s="100">
        <f>H2_retrieval!$L$25*h2_demand_kt/1000+(co2_liq_e_demand+co2_st_e_demand*2)*Storage!$M$12*co2_density/DBT_density/1000000</f>
        <v>206.61934861671787</v>
      </c>
      <c r="DL152" s="28">
        <f>IFERROR(((DF152*(1+H2_retrieval!$L$34)+DJ152)*1000000/H2_retrieval!$L$8)+h2_regen_lohc,"")</f>
        <v>5278.6870299068887</v>
      </c>
      <c r="DM152" s="149">
        <f t="shared" si="211"/>
        <v>52932.816132080225</v>
      </c>
      <c r="DN152" s="16">
        <f>2*(nabh4_st_nl_cost*nabh4_st_nl_demand/1000000+(nabh4_st_invest*(M152+1/nabh4_st_lifetime+nabh4_st_opex)/(Storage!$O$63/1000000)+nabh4_st_e_demand*1000*$AU152/100)*(DO152+nabh4_st_ab_losses)/1000000)+(h2_demand_kt*1000/365.25*short_st_duration_hrs/24)*(h2_short_st_invest*(1/gh2_short_st_lifetime+$M152+h2_short_st_opex)+h2_short_st_e_demand*1000*$AU152/100)/1000000</f>
        <v>1546.4693462571563</v>
      </c>
      <c r="DO152" s="63">
        <f>Storage!$O$57/((1-Shipping!$P$37)^($F152/24/Shipping!$P$44+0.5*Shipping!$P$59))</f>
        <v>63920000</v>
      </c>
      <c r="DP152" s="16">
        <f>IF($E152="","No Port",((F152/24/Shipping!$P$44+F152/24/Shipping!$P$50+Shipping!$P$59+Shipping!$P$64)*(Shipping!$P$22+wacc_nl*Shipping!$P$19/365.25*1000000+Shipping!$P$35)+(F152/24/Shipping!$P$44*Shipping!$P$45+Shipping!$P$64*Shipping!$P$65)*IF(bunker_choice="HFO",$H152,IF(bunker_choice="hydrogen",$BD152*hfo_e_density_lhv/h2_e_density_lhv,(DM152+DN152)*1000000/DO152*hfo_e_density_lhv/nabh4_e_density_lhv))+(F152/24/Shipping!$P$50*Shipping!$P$51+Shipping!$P$59*Shipping!$P$60)*IF(bunker_choice="HFO",bunker_price_ROT,IF(bunker_choice="hydrogen",$BD152*hfo_e_density_lhv/h2_e_density_lhv,(DM152+DN152)*1000000/DO152*hfo_e_density_lhv/nabh4_e_density_lhv))+Shipping!$P$73+IF(G152="Panama",Shipping!$P$55,0)+IF(G152="Suez",Shipping!$P$56,0))/Shipping!$P$31*(DO152+nabh4_st_ab_losses)/1000000+IF(inland_transport_to_port="hv dc grid",$BM152/100*1000*DR152,IF(inland_transport_to_port="pipeline",$BN152,0)))</f>
        <v>3726.6297502671614</v>
      </c>
      <c r="DQ152" s="28">
        <f t="shared" si="146"/>
        <v>58205.915228604543</v>
      </c>
      <c r="DR152" s="29">
        <f>((Carriers!$V$18/Carriers!$V$23*alk_el_e_demand)+nabh4_e_demand)*(DO152+nabh4_st_ab_losses)/1000000+nabh4_st_e_demand*DO152/1000000</f>
        <v>980.02139682539689</v>
      </c>
      <c r="DS152" s="28">
        <f t="shared" si="189"/>
        <v>3.1960000000000002</v>
      </c>
      <c r="DT152" s="28">
        <f>IFERROR(DQ152*1000000/Storage!$O$12,"")</f>
        <v>910.60568255013368</v>
      </c>
      <c r="DU152" s="28">
        <f>IF($E152="","No Port",((F152/24/Shipping!$P$44+F152/24/Shipping!$P$50+Shipping!$P$59+Shipping!$P$64)*Carriers!$V$39*wacc_nl))</f>
        <v>555.55534272987109</v>
      </c>
      <c r="DV152" s="100">
        <f>H2_retrieval!$N$25*h2_demand_kt/1000+(co2_liq_e_demand+co2_st_e_demand*2)*Storage!$O$12*co2_density/nabh4_density/1000000</f>
        <v>18.783638728971958</v>
      </c>
      <c r="DW152" s="28">
        <f>IFERROR(((DQ152*(1+H2_retrieval!$N$34)+DU152)*1000000/H2_retrieval!$N$8)+h2_regen_nabh4,"")</f>
        <v>4413.1675101496467</v>
      </c>
      <c r="DX152" s="149">
        <f>(Dme_invest*(M152+1/Dme_lifetime)/Dme_prod+Dme_opex+Dme_e_demand*1000*$AU152/100+Carriers!$X$21/Carriers!$X$23*(CO152*1000000/CS152))*(EB152+Dme_st_ab_losses)/1000000</f>
        <v>91146.862971979775</v>
      </c>
      <c r="DY152" s="86">
        <f>(Dme_invest*(M152+1/Dme_lifetime)/Dme_prod+Dme_opex+Dme_e_demand*1000*$AU152/100+Carriers!$X$21/Carriers!$X$23*(CP152*1000000/CS152))*(EB152+Dme_st_ab_losses)/1000000</f>
        <v>116365.95615355656</v>
      </c>
      <c r="DZ152" s="63">
        <f>Dme_st_nl_cost*Dme_st_nl_demand/1000000+(Dme_st_invest*(M152+1/Dme_st_lifetime+Dme_st_opex)/(Storage!$Q$63/1000000)+Dme_st_e_demand*1000*$AU152/100)*(EB152+Dme_st_ab_losses)/1000000+co2_st_nl_cost*Storage!$Q$12*co2_density/Dme_density/1000000+(co2_st_opex_lev+co2_st_invest_lev+co2_st_e_demand*1000*$AU152/100)*Storage!$Q$12/1000000+co2_st_invest_lev*Storage!$Q$12*co2_st_lifetime*M152/1000000+(h2_demand_kt*1000/365.25*short_st_duration_hrs/24)*(h2_short_st_invest*(1/gh2_short_st_lifetime+$M152+h2_short_st_opex)+h2_short_st_e_demand*1000*$AU152/100)/1000000</f>
        <v>6457.4055747494231</v>
      </c>
      <c r="EA152" s="63">
        <f>Dme_st_nl_cost*Dme_st_nl_demand/1000000+(Dme_st_invest*(M152+1/Dme_st_lifetime+Dme_st_opex)/(Storage!$Q$63/1000000)+Dme_st_e_demand*1000*$AU152/100)*(EB152+Dme_st_ab_losses)/1000000+(h2_demand_kt*1000/365.25*short_st_duration_hrs/24)*(h2_short_st_invest*(1/gh2_short_st_lifetime+$M152+h2_short_st_opex)+h2_short_st_e_demand*1000*$AU152/100)/1000000</f>
        <v>3374.9467014276493</v>
      </c>
      <c r="EB152" s="63">
        <f>Storage!$Q$57/((1-Shipping!$R$37)^($F152/24/Shipping!$R$44+0.5*Shipping!$R$59))</f>
        <v>103547089.94708996</v>
      </c>
      <c r="EC152" s="153">
        <f>IF($E152="","No Port",IF(AND(ship_choice="VLCC",G152="Panama"),"Ship cannot pass through Panama",IF(ship_choice="VLCC",((F152/24/Shipping!$AD$44+F152/24/Shipping!$AD$50+Shipping!$AD$59+Shipping!$AD$64)*(Shipping!$AD$22+wacc_nl*Shipping!$AD$19/365.25*1000000+Shipping!$AD$35)+(F152/24/Shipping!$AD$44*Shipping!$AD$45+Shipping!$AD$64*Shipping!$AD$65)*IF(bunker_choice="HFO",$H152,IF(bunker_choice="hydrogen",$BD152*hfo_e_density_lhv/h2_e_density_lhv,(DX152+DZ152)*1000000/EB152*hfo_e_density_lhv/Dme_e_density_lhv))+(F152/24/Shipping!$AD$50*Shipping!$AD$51+Shipping!$AD$59*Shipping!$AD$60)*IF(bunker_choice="HFO",bunker_price_ROT,IF(bunker_choice="hydrogen",$BD152*hfo_e_density_lhv/h2_e_density_lhv,(DX152+DZ152)*1000000/EB152*hfo_e_density_lhv/Dme_e_density_lhv))+Shipping!$AD$73+IF(G152="Panama",Shipping!$AD$55,0)+IF(G152="Suez",Shipping!$AD$56,0))/Shipping!$AD$31*(EB152+Dme_st_ab_losses)/1000000+IF(inland_transport_to_port="hv dc grid",$BM152/100*1000*EE152,IF(inland_transport_to_port="pipeline",$BN152,0)),((F152/24/Shipping!$R$44+F152/24/Shipping!$R$50+Shipping!$R$59+Shipping!$R$64)*(Shipping!$R$22+wacc_nl*Shipping!$R$19/365.25*1000000+Shipping!$R$35)+(F152/24/Shipping!$R$44*Shipping!$R$45+Shipping!$R$64*Shipping!$R$65)*IF(bunker_choice="HFO",$H152,IF(bunker_choice="hydrogen",$BD152*hfo_e_density_lhv/h2_e_density_lhv,(DX152+DZ152)*1000000/EB152*hfo_e_density_lhv/Dme_e_density_lhv))+(F152/24/Shipping!$R$50*Shipping!$R$51+Shipping!$R$59*Shipping!$R$60)*IF(bunker_choice="HFO",bunker_price_ROT,IF(bunker_choice="hydrogen",$BD152*hfo_e_density_lhv/h2_e_density_lhv,(DX152+DZ152)*1000000/EB152*hfo_e_density_lhv/Dme_e_density_lhv))+Shipping!$R$73+IF(G152="Panama",Shipping!$R$55,0)+IF(G152="Suez",Shipping!$R$56,0))/Shipping!$R$31*(EB152+Dme_st_ab_losses)/1000000+IF(inland_transport_to_port="hv dc grid",$BM152/100*1000*EE152,IF(inland_transport_to_port="pipeline",$BN152,0)))))</f>
        <v>6487.9206394430121</v>
      </c>
      <c r="ED152" s="28">
        <f t="shared" si="215"/>
        <v>126228.82349442721</v>
      </c>
      <c r="EE152" s="29">
        <f>(Dme_e_demand)*(EB152+Dme_st_ab_losses)/1000000+Dme_st_e_demand*DZ152/1000000+$CV152*(Carriers!$X$21/Carriers!$X$23*EB152)/$CS152</f>
        <v>1550.2168247411116</v>
      </c>
      <c r="EF152" s="29">
        <f t="shared" si="190"/>
        <v>1.0354708994708997</v>
      </c>
      <c r="EG152" s="28">
        <f>IFERROR(ED152*1000000/Storage!$Q$12,"")</f>
        <v>1219.0475228123462</v>
      </c>
      <c r="EH152" s="28">
        <f>IF($E152="","No Port",((F152/24/Shipping!$R$44+F152/24/Shipping!$R$50+Shipping!$R$59+Shipping!$R$64)*Carriers!$X$39*wacc_nl))</f>
        <v>84.682345422446318</v>
      </c>
      <c r="EI152" s="100">
        <f>H2_retrieval!$P$25*h2_demand_kt/1000+(co2_liq_e_demand+co2_st_e_demand*2)*Storage!$Q$12*co2_density/Dme_density/1000000</f>
        <v>252.45335899349112</v>
      </c>
      <c r="EJ152" s="28">
        <f>IFERROR((((DX152+DZ152+EC152)*(1+H2_retrieval!$P$34)+EH152)*1000000/H2_retrieval!$P$8)+h2_regen_dme,"")</f>
        <v>8830.1926264016056</v>
      </c>
      <c r="EK152" s="149">
        <f>(ome_invest*(M152+1/ome_lifetime)/ome_prod+ome_opex+ome_e_demand*1000*$AU152/100+Carriers!$Z$21/Carriers!$Z$23*(CO152*1000000/CS152))*(EO152+ome_st_ab_losses)/1000000</f>
        <v>198760.93193606377</v>
      </c>
      <c r="EL152" s="86">
        <f>(ome_invest*(M152+1/ome_lifetime)/ome_prod+ome_opex+ome_e_demand*1000*$AU152/100+Carriers!$Z$21/Carriers!$Z$23*(CP152*1000000/CS152))*(EO152+ome_st_ab_losses)/1000000</f>
        <v>251700.71774937099</v>
      </c>
      <c r="EM152" s="63">
        <f>ome_st_nl_cost*ome_st_nl_demand/1000000+(ome_st_invest*(M152+1/ome_st_lifetime+ome_st_opex)/(Storage!$S$63/1000000)+ome_st_e_demand*1000*$AU152/100)*(EO152+ome_st_ab_losses)/1000000+co2_st_nl_cost*Storage!$S$12*co2_density/ome_density/1000000+(co2_st_opex_lev+co2_st_invest_lev+co2_st_e_demand*1000*$AU152/100)*Storage!$S$12/1000000+co2_st_invest_lev*Storage!$S$12*co2_st_lifetime*M152/1000000+(h2_demand_kt*1000/365.25*short_st_duration_hrs/24)*(h2_short_st_invest*(1/gh2_short_st_lifetime+$M152+h2_short_st_opex)+h2_short_st_e_demand*1000*$AU152/100)/1000000</f>
        <v>5525.3569860236821</v>
      </c>
      <c r="EN152" s="63">
        <f>ome_st_nl_cost*ome_st_nl_demand/1000000+(ome_st_invest*(M152+1/ome_st_lifetime+ome_st_opex)/(Storage!$S$63/1000000)+ome_st_e_demand*1000*$AU152/100)*(EO152+ome_st_ab_losses)/1000000+(h2_demand_kt*1000/365.25*short_st_duration_hrs/24)*(h2_short_st_invest*(1/gh2_short_st_lifetime+$M152+h2_short_st_opex)+h2_short_st_e_demand*1000*$AU152/100)/1000000</f>
        <v>2045.5245764493238</v>
      </c>
      <c r="EO152" s="63">
        <f>Storage!$S$57/((1-Shipping!$T$37)^($F152/24/Shipping!$T$44+0.5*Shipping!$T$59))</f>
        <v>128282539.68253967</v>
      </c>
      <c r="EP152" s="28">
        <f>IF($E152="","No Port",IF(AND(ship_choice="VLCC",G152="Panama"),"Ship cannot pass through Panama",IF(ship_choice="VLCC",((F152/24/Shipping!$AD$44+F152/24/Shipping!$AD$50+Shipping!$AD$59+Shipping!$AD$64)*(Shipping!$AD$22+wacc_nl*Shipping!$AD$19/365.25*1000000+Shipping!$AD$35)+(F152/24/Shipping!$AD$44*Shipping!$AD$45+Shipping!$AD$64*Shipping!$AD$65)*IF(bunker_choice="HFO",$H152,IF(bunker_choice="hydrogen",$BD152*hfo_e_density_lhv/h2_e_density_lhv,(EK152+EM152)*1000000/EO152*hfo_e_density_lhv/Dme_e_density_lhv))+(F152/24/Shipping!$AD$50*Shipping!$AD$51+Shipping!$AD$59*Shipping!$AD$60)*IF(bunker_choice="HFO",bunker_price_ROT,IF(bunker_choice="hydrogen",$BD152*hfo_e_density_lhv/h2_e_density_lhv,(EK152+EM152)*1000000/EO152*hfo_e_density_lhv/ome_e_density_lhv))+Shipping!$AD$73+IF(G152="Panama",Shipping!$AD$55,0)+IF(G152="Suez",Shipping!$AD$56,0))/Shipping!$AD$31*(EO152+ome_st_ab_losses)/1000000+IF(inland_transport_to_port="hv dc grid",$BM152/100*1000*ER152,IF(inland_transport_to_port="pipeline",$BN152,0)),((F152/24/Shipping!$T$44+F152/24/Shipping!$T$50+Shipping!$T$59+Shipping!$T$64)*(Shipping!$T$22+wacc_nl*Shipping!$T$19/365.25*1000000+Shipping!$T$35)+(F152/24/Shipping!$T$44*Shipping!$T$45+Shipping!$T$64*Shipping!$T$65)*IF(bunker_choice="HFO",$H152,IF(bunker_choice="hydrogen",$BD152*hfo_e_density_lhv/h2_e_density_lhv,(EK152+EM152)*1000000/EO152*hfo_e_density_lhv/Dme_e_density_lhv))+(F152/24/Shipping!$T$50*Shipping!$T$51+Shipping!$T$59*Shipping!$T$60)*IF(bunker_choice="HFO",bunker_price_ROT,IF(bunker_choice="hydrogen",$BD152*hfo_e_density_lhv/h2_e_density_lhv,(EK152+EM152)*1000000/EO152*hfo_e_density_lhv/ome_e_density_lhv))+Shipping!$T$73+IF(G152="Panama",Shipping!$T$55,0)+IF(G152="Suez",Shipping!$T$56,0))/Shipping!$T$31*(EO152+ome_st_ab_losses)/1000000+IF(inland_transport_to_port="hv dc grid",$BM152/100*1000*ER152,IF(inland_transport_to_port="pipeline",$BN152,0)))))</f>
        <v>7163.4578355551866</v>
      </c>
      <c r="EQ152" s="28">
        <f t="shared" si="216"/>
        <v>260909.70016137551</v>
      </c>
      <c r="ER152" s="29">
        <f>(ome_e_demand)*(EO152+ome_st_ab_losses)/1000000+ome_st_e_demand*EM152/1000000+$CV152*(Carriers!$Z$21/Carriers!$Z$23*EO152)/$CS152</f>
        <v>3352.0814584288191</v>
      </c>
      <c r="ES152" s="29">
        <f t="shared" si="191"/>
        <v>0.1924238095238095</v>
      </c>
      <c r="ET152" s="28">
        <f>IFERROR(EQ152*1000000/Storage!$S$12,"")</f>
        <v>2033.8675926361279</v>
      </c>
      <c r="EU152" s="28">
        <f>IF($E152="","No Port",((F152/24/Shipping!$T$44+F152/24/Shipping!$T$50+Shipping!$T$59+Shipping!$T$64)*Carriers!$Z$39*wacc_nl))</f>
        <v>97.086984423054275</v>
      </c>
      <c r="EV152" s="100">
        <f>H2_retrieval!$R$25*h2_demand_kt/1000+(co2_liq_e_demand+co2_st_e_demand*2)*Storage!$S$12*co2_density/ome_density/1000000</f>
        <v>254.51942895252085</v>
      </c>
      <c r="EW152" s="28">
        <f>IFERROR((((EK152+EM152+EP152)*(1+H2_retrieval!$R$34)+EU152)*1000000/H2_retrieval!$R$8)+h2_regen_ome,"")</f>
        <v>16725.04278893624</v>
      </c>
      <c r="EX152" s="149">
        <f>(sng_invest*(M152+1/sng_lifetime)/sng_prod+lng_invest*(M152+1/lng_lifetime)/lng_prod+sng_opex+lng_opex+(sng_e_demand+lng_e_demand)*1000*$AU152/100+Carriers!$AB$18/Carriers!$AB$23*BD152+Carriers!$AB$20/Carriers!$AB$23*co2_liq_cost)*(FB152+lng_st_ab_losses)/1000000</f>
        <v>71098.65329648953</v>
      </c>
      <c r="EY152" s="86">
        <f>(sng_invest*(M152+1/sng_lifetime)/sng_prod+lng_invest*(M152+1/lng_lifetime)/lng_prod+sng_opex+lng_opex+(sng_e_demand+lng_e_demand)*1000*$AU152/100+Carriers!$AB$18/Carriers!$AB$23*BD152+Carriers!$AB$20/Carriers!$AB$23*BP152)*(FB152+lng_st_ab_losses)/1000000</f>
        <v>85041.546507724954</v>
      </c>
      <c r="EZ152" s="63">
        <f>lng_st_nl_cost*lng_st_nl_demand/1000000+(lng_st_invest*(M152+1/lng_st_lifetime+lng_st_opex)/(Storage!$U$63/1000000)+lng_st_e_demand*1000*$AU152/100)*(FB152+lng_st_ab_losses)/1000000+co2_st_nl_cost*Storage!$U$12*co2_density/lng_density/1000000+(co2_st_opex_lev+co2_st_invest_lev+co2_st_e_demand*1000*$AU152/100)*Storage!$U$12/1000000+co2_st_invest_lev*Storage!$U$12*co2_st_lifetime*M152/1000000+Carriers!$AB$18/Carriers!$AB$23*((FB152+lng_st_ab_losses)/365.25*short_st_duration_hrs/24)*(h2_short_st_invest*(1/gh2_short_st_lifetime+$M152+h2_short_st_opex)+h2_short_st_e_demand*1000*$AU152/100)/1000000+Carriers!$AB$20/Carriers!$AB$23*((FB152+lng_st_ab_losses)/365.25*short_st_duration_hrs/24)*(co2_short_st_invest*(1/co2_short_st_lifetime+$M152+co2_short_st_opex)+co2_short_st_e_demand*1000*$AU152/100)/1000000</f>
        <v>6939.6919647192244</v>
      </c>
      <c r="FA152" s="63">
        <f>lng_st_nl_cost*lng_st_nl_demand/1000000+(lng_st_invest*(M152+1/lng_st_lifetime+lng_st_opex)/(Storage!$U$63/1000000)+lng_st_e_demand*1000*$AU152/100)*(FB152+lng_st_ab_losses)/1000000+Carriers!$AB$18/Carriers!$AB$23*((FB152+lng_st_ab_losses)/365.25*short_st_duration_hrs/24)*(h2_short_st_invest*(1/gh2_short_st_lifetime+$M152+h2_short_st_opex)+h2_short_st_e_demand*1000*$AU152/100)/1000000+Carriers!$AB$20/Carriers!$AB$23*((FB152+lng_st_ab_losses)/365.25*short_st_duration_hrs/24)*(co2_short_st_invest*(1/co2_short_st_lifetime+$M152+co2_short_st_opex)+co2_short_st_e_demand*1000*$AU152/100)/1000000</f>
        <v>5293.8682441868004</v>
      </c>
      <c r="FB152" s="63">
        <f>Storage!$U$57/((1-Shipping!$V$37)^($F152/24/Shipping!$V$44+0.5*Shipping!$V$59))</f>
        <v>41292319.218438193</v>
      </c>
      <c r="FC152" s="28">
        <f>IF($E152="","No Port",IF(G152="Panama","Ship cannot pass through Panama",((F152/24/Shipping!$V$44+F152/24/Shipping!$V$50+Shipping!$V$59+Shipping!$V$64)*(Shipping!$V$22+wacc_nl*Shipping!$V$19/365.25*1000000+Shipping!$V$35)+(F152/24/Shipping!$V$44*Shipping!$V$45+Shipping!$V$64*Shipping!$V$65)*IF(bunker_choice="HFO",$H152,IF(bunker_choice="hydrogen",$BD152*hfo_e_density_lhv/h2_e_density_lhv,(EX152+EZ152)*1000000/FB152*hfo_e_density_lhv/lng_e_density_lhv))+(F152/24/Shipping!$V$50*Shipping!$V$51+Shipping!$V$59*Shipping!$V$60)*IF(bunker_choice="HFO",bunker_price_ROT,IF(bunker_choice="hydrogen",$BD152*hfo_e_density_lhv/h2_e_density_lhv,(EX152+EZ152)*1000000/FB152*hfo_e_density_lhv/lng_e_density_lhv))+Shipping!$V$73+IF(G152="Panama",Shipping!$V$55,0)+IF(G152="Suez",Shipping!$V$56,0))/Shipping!$V$31*(FB152+lng_st_ab_losses)/1000000)+IF(inland_transport_to_port="hv dc grid",$BM152/100*1000*FE152,IF(inland_transport_to_port="pipeline",$BN152,0)))</f>
        <v>3252.7083646479596</v>
      </c>
      <c r="FD152" s="28">
        <f t="shared" si="217"/>
        <v>93588.123116559713</v>
      </c>
      <c r="FE152" s="29">
        <f>((Carriers!$AB$18/Carriers!$AB$23*alk_el_e_demand)+sng_e_demand+lng_e_demand)*(FB152+lng_st_ab_losses)/1000000+lng_st_e_demand*EZ152/1000000</f>
        <v>1107.4256969022081</v>
      </c>
      <c r="FF152" s="29">
        <f t="shared" si="192"/>
        <v>0.8126185861001558</v>
      </c>
      <c r="FG152" s="28">
        <f>IFERROR(FD152*1000000/Storage!$U$12,"")</f>
        <v>2306.027752011601</v>
      </c>
      <c r="FH152" s="28">
        <f>IF($E152="","No Port",((F152/24/Shipping!$V$44+F152/24/Shipping!$V$50+Shipping!$V$59+Shipping!$V$64)*Carriers!$AB$39*wacc_nl))</f>
        <v>28.680607347036123</v>
      </c>
      <c r="FI152" s="100">
        <f>H2_retrieval!$T$25*h2_demand_kt/1000+(co2_liq_e_demand+co2_st_e_demand*2)*Storage!$U$12*co2_density/lng_density/1000000</f>
        <v>236.51371749646054</v>
      </c>
      <c r="FJ152" s="28">
        <f>IFERROR((((EX152+EZ152+FC152)*(1+H2_retrieval!$T$34)+FH152)*1000000/H2_retrieval!$T$8)+h2_regen_lng,"")</f>
        <v>7149.5207662258035</v>
      </c>
      <c r="FK152" s="149">
        <f>(lh2_invest*(M152+1/lh2_lifetime)/lh2_prod+lh2_opex+lh2_e_demand*1000*$AU152/100+Carriers!$AD$18/Carriers!$AD$23*BD152)*(FM152+lh2_st_ab_losses)/1000000</f>
        <v>56672.327193951678</v>
      </c>
      <c r="FL152" s="28">
        <f>lh2_st_nl_cost*lh2_st_nl_demand/1000000+(lh2_st_invest*(M152+1/lh2_st_lifetime+lh2_st_opex)/(Storage!$Y$63/1000000)+lh2_st_e_demand*1000*$AU152/100)*(FM152+lh2_st_ab_losses)/1000000+((FM152+lh2_st_ab_losses)/365.25*short_st_duration_hrs/24)*(h2_short_st_invest*(1/gh2_short_st_lifetime+$M152+h2_short_st_opex)+h2_short_st_e_demand*1000*$AU152/100)/1000000</f>
        <v>60971.452164392293</v>
      </c>
      <c r="FM152" s="63">
        <f>Storage!$Y$57/((1-Shipping!$Z$37)^($F152/24/Shipping!$Z$44+0.5*Shipping!$Z$59))</f>
        <v>13975593.249167217</v>
      </c>
      <c r="FN152" s="28">
        <f>IF($E152="","No Port",IF(G152="Panama","Ship cannot pass through Panama",((F152/24/Shipping!$Z$44+F152/24/Shipping!$Z$50+Shipping!$Z$59+Shipping!$Z$64)*(Shipping!$Z$22+wacc_nl*Shipping!$Z$19/365.25*1000000+Shipping!$Z$35)+(F152/24/Shipping!$Z$44*Shipping!$Z$45+Shipping!$Z$64*Shipping!$Z$65)*IF(bunker_choice="HFO",$H152,IF(bunker_choice="hydrogen",$BD152*hfo_e_density_lhv/h2_e_density_lhv,(FK152+FL152)*1000000/FM152*hfo_e_density_lhv/lh2_e_density_lhv))+(F152/24/Shipping!$Z$50*Shipping!$Z$51+Shipping!$Z$59*Shipping!$Z$60)*IF(bunker_choice="HFO",bunker_price_ROT,IF(bunker_choice="hydrogen",$BD152*hfo_e_density_lhv/h2_e_density_lhv,(FK152+FL152)*1000000/FM152*hfo_e_density_lhv/lh2_e_density_lhv))+Shipping!$Z$73+IF(G152="Panama",Shipping!$Z$55,0)+IF(G152="Suez",Shipping!$Z$56,0))/Shipping!$Z$31*(FM152+lh2_st_ab_losses)/1000000)+IF(inland_transport_to_port="hv dc grid",$BM152/100*1000*FP152,IF(inland_transport_to_port="pipeline",$BN152,0)))</f>
        <v>4822.0183707858596</v>
      </c>
      <c r="FO152" s="28">
        <f t="shared" si="200"/>
        <v>122465.79772912984</v>
      </c>
      <c r="FP152" s="29">
        <f>((Carriers!$AD$18/Carriers!$AD$23*alk_el_e_demand)+lh2_e_demand)*(FM152+lh2_st_ab_losses)/1000000+lh2_st_e_demand*FM152/1000000</f>
        <v>809.86663447931051</v>
      </c>
      <c r="FQ152" s="100">
        <f t="shared" si="193"/>
        <v>1.361902463475859</v>
      </c>
      <c r="FR152" s="28">
        <f>IFERROR(FO152*1000000/Storage!$Y$12,"")</f>
        <v>9004.8380683183714</v>
      </c>
      <c r="FS152" s="100">
        <f>H2_retrieval!$V$25*h2_demand_kt/1000</f>
        <v>8.16</v>
      </c>
      <c r="FT152" s="28">
        <f>IFERROR(FR152*(1+H2_retrieval!$V$34)/Carrier_properties!$U$7+H2_retrieval!$V$38,"")</f>
        <v>9036.8067941868394</v>
      </c>
      <c r="FU152" s="12"/>
      <c r="FV152" s="24">
        <f t="shared" si="201"/>
        <v>2.5240993133787448</v>
      </c>
      <c r="FW152" s="24" t="str">
        <f t="shared" si="143"/>
        <v/>
      </c>
      <c r="FX152" s="24">
        <f t="shared" si="144"/>
        <v>8.6562504115304062</v>
      </c>
      <c r="FY152" s="24">
        <f t="shared" si="202"/>
        <v>2.5240993133787448</v>
      </c>
      <c r="FZ152" s="28">
        <f t="shared" si="145"/>
        <v>2945.0630265458371</v>
      </c>
      <c r="GA152" s="28">
        <f t="shared" si="218"/>
        <v>687.81582662727806</v>
      </c>
      <c r="GB152" s="28">
        <f t="shared" si="219"/>
        <v>450.97763652296953</v>
      </c>
      <c r="GC152" s="28">
        <f t="shared" si="220"/>
        <v>770.03033362661427</v>
      </c>
      <c r="GD152" s="28">
        <f t="shared" si="221"/>
        <v>1123.7974549841695</v>
      </c>
      <c r="GE152" s="28">
        <f t="shared" si="222"/>
        <v>1962.0808753260876</v>
      </c>
      <c r="GF152" s="28">
        <f t="shared" si="223"/>
        <v>2059.5003651369502</v>
      </c>
      <c r="GG152" s="12"/>
      <c r="GH152" s="12"/>
      <c r="GI152" s="12"/>
      <c r="GJ152" s="12"/>
      <c r="GK152" s="12"/>
      <c r="GL152" s="12"/>
      <c r="GM152" s="12"/>
      <c r="GN152" s="12"/>
      <c r="GO152" s="12"/>
      <c r="GP152" s="12"/>
      <c r="GQ152" s="12"/>
      <c r="GR152" s="12"/>
      <c r="GS152" s="12"/>
      <c r="GT152" s="12"/>
      <c r="GU152" s="12"/>
      <c r="GV152" s="12"/>
      <c r="GW152" s="12"/>
      <c r="GX152" s="12"/>
      <c r="GY152" s="12"/>
      <c r="GZ152" s="12"/>
      <c r="HA152" s="12"/>
      <c r="HB152" s="12"/>
      <c r="HC152" s="12"/>
      <c r="HD152" s="12"/>
      <c r="HE152" s="12"/>
      <c r="HF152" s="12"/>
    </row>
    <row r="153" spans="1:214" x14ac:dyDescent="0.2">
      <c r="A153" s="154" t="s">
        <v>29</v>
      </c>
      <c r="B153" s="12">
        <v>7575</v>
      </c>
      <c r="C153" s="12">
        <v>0.9</v>
      </c>
      <c r="D153" s="12">
        <f t="shared" si="194"/>
        <v>9.9999999999999978E-2</v>
      </c>
      <c r="E153" s="12"/>
      <c r="F153" s="12"/>
      <c r="G153" s="12"/>
      <c r="H153" s="16">
        <f t="shared" si="203"/>
        <v>382.75862068965517</v>
      </c>
      <c r="I153" s="16">
        <v>743390</v>
      </c>
      <c r="J153" s="16">
        <f t="shared" si="195"/>
        <v>486.4446384637908</v>
      </c>
      <c r="K153" s="16" t="str">
        <f t="shared" si="196"/>
        <v/>
      </c>
      <c r="L153" s="103">
        <v>0.16900000000000001</v>
      </c>
      <c r="M153" s="103">
        <f t="shared" si="204"/>
        <v>0.16093540589294469</v>
      </c>
      <c r="N153" s="122">
        <f t="shared" si="197"/>
        <v>0.85</v>
      </c>
      <c r="O153" s="46">
        <f t="shared" si="205"/>
        <v>40</v>
      </c>
      <c r="P153" s="70">
        <f t="array" ref="P153">SUMPRODUCT(IF(Solar_data!A$4:A$777=A153,Solar_data!C$4:C$777),IF(Solar_data!A$4:A$777=A153,Solar_data!I$4:I$777))/SUMIF(Solar_data!A$4:A$777,A153,Solar_data!I$4:I$777)</f>
        <v>2146.2855429965939</v>
      </c>
      <c r="Q153" s="16">
        <f t="array" ref="Q153">MAX(IF(Solar_data!$A$777:'Solar_data'!$A$4=Country_details!$A153,Solar_data!$C$4:'Solar_data'!$C$777))</f>
        <v>2281.25</v>
      </c>
      <c r="R153" s="16">
        <f t="array" ref="R153">MIN(IF(Solar_data!$A$777:'Solar_data'!$A$4=Country_details!A153,Solar_data!$C$4:'Solar_data'!$C$777))</f>
        <v>1916.25</v>
      </c>
      <c r="S153" s="24">
        <f t="shared" si="176"/>
        <v>2.7094750090977135</v>
      </c>
      <c r="T153" s="24">
        <f t="shared" si="177"/>
        <v>2.5491756892655286</v>
      </c>
      <c r="U153" s="24">
        <f t="shared" si="178"/>
        <v>3.0347329634113436</v>
      </c>
      <c r="V153" s="16">
        <f t="array" ref="V153">SUM(IF(Solar_data!$A$777:'Solar_data'!$A$4=Country_details!$A153,Solar_data!$I$4:'Solar_data'!$I$777))</f>
        <v>6186.0023684282914</v>
      </c>
      <c r="W153" s="148"/>
      <c r="X153" s="16" t="str">
        <f>IFERROR(INDEX(Onshore_wind_data!$J$5:'Onshore_wind_data'!$J$221,MATCH(A153,Onshore_wind_data!$B$5:'Onshore_wind_data'!$B$221,0)),"")</f>
        <v/>
      </c>
      <c r="Y153" s="16" t="str">
        <f>IFERROR(INDEX(Onshore_wind_data!$K$5:'Onshore_wind_data'!$K$221,MATCH(A153,Onshore_wind_data!$B$5:'Onshore_wind_data'!$B$221,0)),"")</f>
        <v/>
      </c>
      <c r="Z153" s="16" t="str">
        <f>IFERROR(INDEX(Onshore_wind_data!$L$5:'Onshore_wind_data'!$L$221,MATCH(A153,Onshore_wind_data!$B$5:'Onshore_wind_data'!$B$221,0)),"")</f>
        <v/>
      </c>
      <c r="AA153" s="24" t="str">
        <f t="shared" si="206"/>
        <v/>
      </c>
      <c r="AB153" s="24" t="str">
        <f t="shared" si="207"/>
        <v/>
      </c>
      <c r="AC153" s="24" t="str">
        <f t="shared" si="208"/>
        <v/>
      </c>
      <c r="AD153" s="16">
        <f>IFERROR(INDEX(Onshore_wind_data!$I$5:'Onshore_wind_data'!$I$221,MATCH(A153,Onshore_wind_data!$B$5:'Onshore_wind_data'!$B$221,0)),"")</f>
        <v>0</v>
      </c>
      <c r="AE153" s="148"/>
      <c r="AF153" s="16" t="str">
        <f>INDEX(Offshore_wind_data!$AA$7:$AA$192,MATCH(Country_details!A153,Offshore_wind_data!$A$7:$A$192,0))</f>
        <v/>
      </c>
      <c r="AG153" s="16" t="str">
        <f>INDEX(Offshore_wind_data!$Y$7:$Y$192,MATCH(Country_details!A153,Offshore_wind_data!$A$7:$A$192,0))</f>
        <v/>
      </c>
      <c r="AH153" s="16" t="str">
        <f>INDEX(Offshore_wind_data!$Z$7:$Z$192,MATCH(Country_details!A153,Offshore_wind_data!$A$7:$A$192,0))</f>
        <v/>
      </c>
      <c r="AI153" s="24" t="str">
        <f t="shared" si="179"/>
        <v/>
      </c>
      <c r="AJ153" s="24" t="str">
        <f t="shared" si="180"/>
        <v/>
      </c>
      <c r="AK153" s="24" t="str">
        <f t="shared" si="181"/>
        <v/>
      </c>
      <c r="AL153" s="16">
        <f>INDEX(Offshore_wind_data!$W$7:$W$191,MATCH(A153,Offshore_wind_data!$A$7:$A$191,0))</f>
        <v>0</v>
      </c>
      <c r="AM153" s="148"/>
      <c r="AN153" s="12">
        <v>17.100000000000001</v>
      </c>
      <c r="AO153" s="12">
        <v>41</v>
      </c>
      <c r="AP153" s="34">
        <f>0.63*11.63</f>
        <v>7.3269000000000002</v>
      </c>
      <c r="AQ153" s="15">
        <f t="shared" si="182"/>
        <v>50</v>
      </c>
      <c r="AR153" s="12">
        <f t="shared" si="212"/>
        <v>2050</v>
      </c>
      <c r="AS153" s="16">
        <f t="shared" si="198"/>
        <v>4136.0023684282914</v>
      </c>
      <c r="AT153" s="12"/>
      <c r="AU153" s="24">
        <f t="shared" si="183"/>
        <v>2.7094750090977135</v>
      </c>
      <c r="AV153" s="16">
        <f t="shared" si="184"/>
        <v>2146.2855429965939</v>
      </c>
      <c r="AW153" s="149">
        <f>HV_DC_Grid!$E$3/(1-AX153)*AU153/100*1000</f>
        <v>3195.7904500471254</v>
      </c>
      <c r="AX153" s="31">
        <f>(1-(1-HV_DC_Grid!$E$25)^(B153*C153*HV_DC_Grid!$E$8/1000))+(1-(1-HV_DC_Grid!$E$26)^(B153*D153*HV_DC_Grid!$E$8/1000))+HV_DC_Grid!$E$35*HV_DC_Grid!$E$28</f>
        <v>0.15217375749471951</v>
      </c>
      <c r="AY153" s="28">
        <f>B153*nl_e_demand/IF(hv_dc_flh="electricity FLH",$AV153,hv_dc_custom)*1000*hv_dc_capacity_multiplier*hv_dc_length_multiplier*1000*(C153*hv_dc_overhead_invest*(hv_dc_overhead_opex+M153+1/hv_dc_lifetime)+D153*hv_dc_sea_invest*(hv_dc_sea_opex+M153+1/hv_dc_lifetime))/1000000+HV_DC_Grid!$E$10*1000*hv_dc_station_invest*hv_dc_station_number*(hv_dc_station_opex+M153+1/hv_dc_lifetime)/1000000</f>
        <v>10062.461547606907</v>
      </c>
      <c r="AZ153" s="24">
        <f>(AW153+AY153)/(HV_DC_Grid!$E$3*1000)*100</f>
        <v>13.25825199765403</v>
      </c>
      <c r="BA153" s="28">
        <f>MIN(((Carriers!$F$26+Carriers!$F$27)*(alk_el_opex+wacc_nl+1/alk_el_lifetime)+IF(hv_dc_flh="electricity FLH",$AV153,hv_dc_custom)*AZ153/100)/(IF(hv_dc_flh="electricity FLH",$AV153,hv_dc_custom)/alk_el_e_demand)*1000,((Carriers!$H$26+Carriers!$H$27)*(pem_el_opex+wacc_nl+1/pem_el_lifetime)+IF(hv_dc_flh="electricity FLH",$AV153,hv_dc_custom)*AZ153/100)/(IF(hv_dc_flh="electricity FLH",$AV153,hv_dc_custom)/pem_el_e_demand)*1000)</f>
        <v>7134.8104610620185</v>
      </c>
      <c r="BB153" s="12"/>
      <c r="BC153" s="12"/>
      <c r="BD153" s="149">
        <f>MIN(((Carriers!$F$26+Carriers!$F$27)*(alk_el_opex+M153+1/alk_el_lifetime)+$AV153*$AU153/100)/($AV153/alk_el_e_demand)*1000,((Carriers!$H$26+Carriers!$H$27)*(pem_el_opex+M153+1/pem_el_lifetime)+$AV153*$AU153/100)/($AV153/pem_el_e_demand)*1000)</f>
        <v>3270.563437775565</v>
      </c>
      <c r="BE153" s="28">
        <f>Storage!$AC$50</f>
        <v>8.1664117557772418</v>
      </c>
      <c r="BF153" s="28">
        <f>((Pipeline!$D$22*Pipeline!$D$24*B153*(pipeline_opex+M153+1/pipeline_lifetime))*(Pipeline!$D$39/Pipeline!$D$3)+(Pipeline!$D$57*(pipeline_comp_opex+M153+1/pipeline_comp_lifetime)+Pipeline!$D$47*1000*Pipeline!$D$45*$AU153/100/1000000))*(Pipeline!$D$75/Pipeline!$D$45)</f>
        <v>20219.440770158701</v>
      </c>
      <c r="BG153" s="28">
        <f>BD153+(BE153+BF153)/Storage!$AC$12*1000000</f>
        <v>4757.8874952692768</v>
      </c>
      <c r="BH153" s="28"/>
      <c r="BI153" s="28"/>
      <c r="BJ153" s="28" t="str">
        <f>IF($E153="","No Port",BK153*HV_DC_Grid!$E$3*$AU153/100*1000)</f>
        <v>No Port</v>
      </c>
      <c r="BK153" s="31" t="str">
        <f>IFERROR((1-(1-HV_DC_Grid!$E$25)^(K153*HV_DC_Grid!$E$8/1000))+HV_DC_Grid!$E$35*HV_DC_Grid!$E$28,"")</f>
        <v/>
      </c>
      <c r="BL153" s="28" t="str">
        <f>IFERROR(K153*nl_e_demand/IF(hv_dc_flh="electricity FLH",$AV153,hv_dc_custom)*1000*hv_dc_capacity_multiplier*hv_dc_length_multiplier*1000*(hv_dc_overhead_invest*(hv_dc_overhead_opex+M153+1/hv_dc_lifetime))/1000000+HV_DC_Grid!$E$10*1000*hv_dc_station_invest*hv_dc_station_number*(hv_dc_station_opex+M153+1/hv_dc_lifetime)/1000000,"")</f>
        <v/>
      </c>
      <c r="BM153" s="29" t="str">
        <f>IFERROR((BJ153+BL153)/(HV_DC_Grid!$E$3*1000)*100,"")</f>
        <v/>
      </c>
      <c r="BN153" s="28" t="str">
        <f>IFERROR(((Pipeline!$D$22*Pipeline!$D$24*K153*(pipeline_opex+M153+1/pipeline_lifetime))*(Pipeline!$D$39/Pipeline!$D$3)+(Pipeline!$D$57*(pipeline_comp_opex+M153+1/pipeline_comp_lifetime)+Pipeline!$D$47*1000*Pipeline!$D$45*S153/100/1000000))*(Pipeline!$D$75/Pipeline!$D$45),"")</f>
        <v/>
      </c>
      <c r="BO153" s="28"/>
      <c r="BP153" s="150">
        <f t="shared" si="209"/>
        <v>131.86981549650977</v>
      </c>
      <c r="BQ153" s="34">
        <f t="shared" si="210"/>
        <v>39.574658565132992</v>
      </c>
      <c r="BR153" s="151">
        <f>(nh3_invest*(M153+1/nh3_lifetime)/nh3_prod+nh3_opex+nh3_e_demand*1000*$AU153/100+Carriers!$N$18/Carriers!$N$23*BD153+Carriers!$N$19/Carriers!$N$23*BQ153)*(BT153+nh3_st_ab_losses)/1000000</f>
        <v>57483.934294676495</v>
      </c>
      <c r="BS153" s="63">
        <f>nh3_st_nl_cost*nh3_st_nl_demand/1000000+(nh3_st_invest*(M153+1/nh3_st_lifetime+nh3_st_opex)/(Storage!$G$63/1000000)+nh3_st_e_demand*1000*$AU153/100)*(BT153+nh3_st_ab_losses)/1000000+Carriers!$N$18/Carriers!$N$23*((BT153+nh3_st_ab_losses)/365.25*short_st_duration_hrs/24)*(h2_short_st_invest*(1/gh2_short_st_lifetime+$M153+h2_short_st_opex)+h2_short_st_e_demand*1000*$AU153/100)/1000000+Carriers!$N$19/Carriers!$N$23*((BT153+nh3_st_ab_losses)/365.25*short_st_duration_hrs/24)*(n2_short_st_invest*(1/n2_short_st_lifetime+$M153+n2_short_st_opex)+n2_short_st_e_demand*1000*$AU153/100)/1000000</f>
        <v>3791.0419550587103</v>
      </c>
      <c r="BT153" s="63">
        <f>Storage!$G$57/((1-Shipping!$H$37)^(F153/24/Shipping!$H$44+0.5*Shipping!$H$59))</f>
        <v>76857210.785724297</v>
      </c>
      <c r="BU153" s="63" t="str">
        <f>IF($E153="","No Port",((F153/24/Shipping!$H$44+F153/24/Shipping!$H$50+Shipping!$H$59+Shipping!$H$64)*(Shipping!$H$22+wacc_nl*Shipping!$H$19/365.25*1000000+Shipping!$H$35)+(F153/24/Shipping!$H$44*Shipping!$H$45+Shipping!$H$64*Shipping!$H$65)*IF(bunker_choice="HFO",H153,IF(bunker_choice="hydrogen",BD153*hfo_e_density_lhv/h2_e_density_lhv,(BR153+BS153)*1000000/BT153*hfo_e_density_lhv/nh3_e_density_lhv))+(F153/24/Shipping!$H$50*Shipping!$H$51+Shipping!$H$59*Shipping!$H$60)*IF(bunker_choice="HFO",bunker_price_ROT,IF(bunker_choice="hydrogen",BD153*hfo_e_density_lhv/h2_e_density_lhv,(BR153+BS153)*1000000/BT153*hfo_e_density_lhv/nh3_e_density_lhv))+Shipping!$H$73+IF(G153="Panama",Shipping!$H$55,0)+IF(G153="Suez",Shipping!$H$56,0))/Shipping!$H$31*BT153/1000000+IF(inland_transport_to_port="hv dc grid",$BM153/100*1000*BW153,IF(inland_transport_to_port="pipeline",$BN153,0)))</f>
        <v>No Port</v>
      </c>
      <c r="BV153" s="63" t="str">
        <f t="shared" si="199"/>
        <v/>
      </c>
      <c r="BW153" s="33">
        <f>((Carriers!$N$18/Carriers!$N$23*alk_el_e_demand)+(Carriers!$N$19/Carriers!$N$23*n2_e_demand)+nh3_e_demand)*(BT153+nh3_st_ab_losses)/1000000+nh3_st_e_demand*BT153/1000000</f>
        <v>759.00171168026975</v>
      </c>
      <c r="BX153" s="33">
        <f t="shared" si="185"/>
        <v>0.76626754477640768</v>
      </c>
      <c r="BY153" s="63" t="str">
        <f>IFERROR(BV153*1000000/Storage!$G$12,"")</f>
        <v/>
      </c>
      <c r="BZ153" s="63">
        <f>H2_retrieval!$F$25*h2_demand_kt/1000</f>
        <v>80</v>
      </c>
      <c r="CA153" s="63" t="str">
        <f>IFERROR(BY153*(1+H2_retrieval!$F$34)/Carrier_properties!$E$7+H2_retrieval!$F$38,"")</f>
        <v/>
      </c>
      <c r="CB153" s="149">
        <f>(FA_invest*(M153+1/FA_lifetime)/FA_prod+FA_opex+FA_e_demand*1000*$AU153/100+Carriers!$P$18/Carriers!$P$23*BD153+Carriers!$P$20/Carriers!$P$23*co2_liq_cost)*(CF153+FA_st_ab_losses)/1000000</f>
        <v>116239.51062701178</v>
      </c>
      <c r="CC153" s="86">
        <f>(FA_invest*(M153+1/FA_lifetime)/FA_prod+FA_opex+FA_e_demand*1000*$AU153/100+Carriers!$P$18/Carriers!$P$23*BD153+Carriers!$P$20/Carriers!$P$23*BP153)*(CF153+FA_st_ab_losses)/1000000</f>
        <v>148350.64798551492</v>
      </c>
      <c r="CD153" s="63">
        <f>FA_st_nl_cost*FA_st_nl_demand/1000000+(FA_st_invest*(M153+1/FA_st_lifetime+FA_st_opex)/(Storage!$I$63/1000000)+FA_st_e_demand*1000*$AU153/100)*(CF153+FA_st_ab_losses)/1000000+co2_st_nl_cost*Storage!$I$12*co2_density/FA_density/1000000+(co2_st_opex_lev+co2_st_invest_lev+co2_st_e_demand*1000*$AU153/100)*Storage!$I$12/1000000+co2_st_invest_lev*Storage!$I$12*co2_st_lifetime*M153/1000000+Carriers!$P$18/Carriers!$P$23*((CF153+FA_st_ab_losses)/365.25*short_st_duration_hrs/24)*(h2_short_st_invest*(1/gh2_short_st_lifetime+$M153+h2_short_st_opex)+h2_short_st_e_demand*1000*$AU153/100)/1000000+Carriers!$P$20/Carriers!$P$23*((CF153+FA_st_ab_losses)/365.25*short_st_duration_hrs/24)*(co2_short_st_invest*(1/co2_short_st_lifetime+$M153+co2_short_st_opex)+co2_short_st_e_demand*1000*$AU153/100)/1000000</f>
        <v>12945.79329144857</v>
      </c>
      <c r="CE153" s="63">
        <f>FA_st_nl_cost*FA_st_nl_demand/1000000+(FA_st_invest*(M153+1/FA_st_lifetime+FA_st_opex)/(Storage!$I$63/1000000)+FA_st_e_demand*1000*$AU153/100)*(CF153+FA_st_ab_losses)/1000000+Carriers!$P$18/Carriers!$P$23*((CF153+FA_st_ab_losses)/365.25*short_st_duration_hrs/24)*(h2_short_st_invest*(1/gh2_short_st_lifetime+$M153+h2_short_st_opex)+h2_short_st_e_demand*1000*$AU153/100)/1000000+Carriers!$P$20/Carriers!$P$23*((CF153+FA_st_ab_losses)/365.25*short_st_duration_hrs/24)*(co2_short_st_invest*(1/co2_short_st_lifetime+$M153+co2_short_st_opex)+co2_short_st_e_demand*1000*$AU153/100)/1000000</f>
        <v>5728.1439353705118</v>
      </c>
      <c r="CF153" s="63">
        <f>Storage!$I$57/((1-Shipping!$J$37)^($F153/24/Shipping!$J$44+0.5*Shipping!$J$59))</f>
        <v>310425396.82539684</v>
      </c>
      <c r="CG153" s="28" t="str">
        <f>IF($E153="","No Port",((F153/24/Shipping!$J$44+F153/24/Shipping!$J$50+Shipping!$J$59+Shipping!$J$64)*(Shipping!$J$22+wacc_nl*Shipping!$J$19/365.25*1000000+Shipping!$J$35)+(F153/24/Shipping!$J$44*Shipping!$J$45+Shipping!$J$64*Shipping!$J$65)*IF(bunker_choice="HFO",$H153,IF(bunker_choice="hydrogen",$BD153*hfo_e_density_lhv/h2_e_density_lhv,(CB153+CD153)*1000000/CF153*hfo_e_density_lhv/FA_e_density_lhv))+(F153/24/Shipping!$J$50*Shipping!$J$51+Shipping!$J$59*Shipping!$J$60)*IF(bunker_choice="HFO",bunker_price_ROT,IF(bunker_choice="hydrogen",$BD153*hfo_e_density_lhv/h2_e_density_lhv,(CB153+CD153)*1000000/CF153*hfo_e_density_lhv/FA_e_density_lhv))+Shipping!$J$73+IF(G153="Panama",Shipping!$J$55,0)+IF(G153="Suez",Shipping!$J$56,0))/Shipping!$J$31*CF153/1000000+IF(inland_transport_to_port="hv dc grid",$BM153/100*1000*CI153,IF(inland_transport_to_port="pipeline",$BN153,0)))</f>
        <v>No Port</v>
      </c>
      <c r="CH153" s="28" t="str">
        <f t="shared" si="213"/>
        <v/>
      </c>
      <c r="CI153" s="29">
        <f>((Carriers!$P$18/Carriers!$P$23*alk_el_e_demand)+FA_e_demand)*(CF153+FA_st_ab_losses)/1000000+FA_st_e_demand*CF153/1000000</f>
        <v>1897.8881241622576</v>
      </c>
      <c r="CJ153" s="29">
        <f t="shared" si="186"/>
        <v>0.46563809523809524</v>
      </c>
      <c r="CK153" s="28" t="str">
        <f>IFERROR(CH153*1000000/Storage!$I$12,"")</f>
        <v/>
      </c>
      <c r="CL153" s="28" t="str">
        <f>IF($E153="","No Port",((F153/24/Shipping!$J$44+F153/24/Shipping!$J$50+Shipping!$J$59+Shipping!$J$64)*Carriers!$P$39*wacc_nl))</f>
        <v>No Port</v>
      </c>
      <c r="CM153" s="29">
        <f>H2_retrieval!$H$25*h2_demand_kt/1000+(co2_liq_e_demand+co2_st_e_demand*2)*Storage!$I$12*co2_density/FA_density/1000000</f>
        <v>94.204253879484654</v>
      </c>
      <c r="CN153" s="28" t="str">
        <f>IFERROR((((CB153+CD153+CG153)*(1+H2_retrieval!$H$34)+CL153)*1000000/H2_retrieval!$H$8)+h2_regen_fa,"")</f>
        <v/>
      </c>
      <c r="CO153" s="149">
        <f>(meoh_invest*(M153+1/meoh_lifetime)/meoh_prod+meoh_opex+meoh_e_demand*1000*$AU153/100+Carriers!$R$18/Carriers!$R$23*BD153+Carriers!$R$20/Carriers!$R$23*co2_liq_cost)*(CS153+meoh_st_ab_losses)/1000000</f>
        <v>71491.478635407198</v>
      </c>
      <c r="CP153" s="86">
        <f>(meoh_invest*(M153+1/meoh_lifetime)/meoh_prod+meoh_opex+meoh_e_demand*1000*$AU153/100+Carriers!$R$18/Carriers!$R$23*BD153+Carriers!$R$20/Carriers!$R$23*BP153)*(CS153+meoh_st_ab_losses)/1000000</f>
        <v>90341.707594628664</v>
      </c>
      <c r="CQ153" s="63">
        <f>meoh_st_nl_cost*meoh_st_nl_demand/1000000+(meoh_st_invest*(M153+1/meoh_st_lifetime+meoh_st_opex)/(Storage!$K$63/1000000)+meoh_st_e_demand*1000*$AU153/100)*(CS153+meoh_st_ab_losses)/1000000+co2_st_nl_cost*Storage!$K$12*co2_density/meoh_density/1000000+(co2_st_opex_lev+co2_st_invest_lev+co2_st_e_demand*1000*IFERROR(MIN(S153,AA153,AI153),S153)/100)*Storage!$K$12/1000000+co2_st_invest_lev*Storage!$K$12*co2_st_lifetime*M153/1000000+Carriers!$R$18/Carriers!$R$23*((CS153+meoh_st_ab_losses)/365.25*short_st_duration_hrs/24)*(h2_short_st_invest*(1/gh2_short_st_lifetime+$M153+h2_short_st_opex)+h2_short_st_e_demand*1000*$AU153/100)/1000000+Carriers!$R$20/Carriers!$R$23*((CF153+meoh_st_ab_losses)/365.25*short_st_duration_hrs/24)*(co2_short_st_invest*(1/co2_short_st_lifetime+$M153+co2_short_st_opex)+co2_short_st_e_demand*1000*$AU153/100)/1000000</f>
        <v>5409.0219024021935</v>
      </c>
      <c r="CR153" s="63">
        <f>meoh_st_nl_cost*meoh_st_nl_demand/1000000+(meoh_st_invest*(M153+1/meoh_st_lifetime+meoh_st_opex)/(Storage!$K$63/1000000)+meoh_st_e_demand*1000*$AU153/100)*(CS153+meoh_st_ab_losses)/1000000+Carriers!$R$18/Carriers!$R$23*((CS153+meoh_st_ab_losses)/365.25*short_st_duration_hrs/24)*(h2_short_st_invest*(1/gh2_short_st_lifetime+$M153+h2_short_st_opex)+h2_short_st_e_demand*1000*$AU153/100)/1000000+Carriers!$R$20/Carriers!$R$23*((CF153+meoh_st_ab_losses)/365.25*short_st_duration_hrs/24)*(co2_short_st_invest*(1/co2_short_st_lifetime+$M153+co2_short_st_opex)+co2_short_st_e_demand*1000*$AU153/100)/1000000</f>
        <v>2297.9010271611742</v>
      </c>
      <c r="CS153" s="63">
        <f>Storage!$K$57/((1-Shipping!$L$37)^($F153/24/Shipping!$L$44+0.5*Shipping!$L$59))</f>
        <v>108044444.44444443</v>
      </c>
      <c r="CT153" s="28" t="str">
        <f>IF($E153="","No Port",IF(AND(ship_choice="VLCC",G153="Panama"),"Ship cannot pass through Panama",IF(ship_choice="VLCC",((F153/24/Shipping!$AD$44+F153/24/Shipping!$AD$50+Shipping!$AD$59+Shipping!$AD$64)*(Shipping!$AD$22+wacc_nl*Shipping!$AD$19/365.25*1000000+Shipping!$AD$35)+(F153/24/Shipping!$AD$44*Shipping!$AD$45+Shipping!$AD$64*Shipping!$AD$65)*IF(bunker_choice="HFO",$H153,IF(bunker_choice="hydrogen",$BD153*hfo_e_density_lhv/h2_e_density_lhv,(CO153+CQ153)*1000000/CS153*hfo_e_density_lhv/meoh_e_density_lhv))+(F153/24/Shipping!$AD$50*Shipping!$AD$51+Shipping!$AD$59*Shipping!$AD$60)*IF(bunker_choice="HFO",bunker_price_ROT,IF(bunker_choice="hydrogen",$BD153*hfo_e_density_lhv/h2_e_density_lhv,(CO153+CQ153)*1000000/CS153*hfo_e_density_lhv/meoh_e_density_lhv))+Shipping!$AD$73+IF(G153="Panama",Shipping!$AD$55,0)+IF(G153="Suez",Shipping!$AD$56,0))/Shipping!$AD$31*CS153/1000000+IF(inland_transport_to_port="hv dc grid",$BM153/100*1000*CV153,IF(inland_transport_to_port="pipeline",$BN153,0)),((F153/24/Shipping!$L$44+F153/24/Shipping!$L$50+Shipping!$L$59+Shipping!$L$64)*(Shipping!$L$22+wacc_nl*Shipping!$L$19/365.25*1000000+Shipping!$L$35)+(F153/24/Shipping!$L$44*Shipping!$L$45+Shipping!$L$64*Shipping!$L$65)*IF(bunker_choice="HFO",$H153,IF(bunker_choice="hydrogen",$BD153*hfo_e_density_lhv/h2_e_density_lhv,(CO153+CQ153)*1000000/CS153*hfo_e_density_lhv/meoh_e_density_lhv))+(F153/24/Shipping!$L$50*Shipping!$L$51+Shipping!$L$59*Shipping!$L$60)*IF(bunker_choice="HFO",bunker_price_ROT,IF(bunker_choice="hydrogen",$BD153*hfo_e_density_lhv/h2_e_density_lhv,(CO153+CQ153)*1000000/CS153*hfo_e_density_lhv/meoh_e_density_lhv))+Shipping!$L$73+IF(G153="Panama",Shipping!$L$55,0)+IF(G153="Suez",Shipping!$L$56,0))/Shipping!$L$31*CS153/1000000+IF(inland_transport_to_port="hv dc grid",$BM153/100*1000*CV153,IF(inland_transport_to_port="pipeline",$BN153,0)))))</f>
        <v>No Port</v>
      </c>
      <c r="CU153" s="28" t="str">
        <f t="shared" si="214"/>
        <v/>
      </c>
      <c r="CV153" s="29">
        <f>((Carriers!$R$18/Carriers!$R$23*alk_el_e_demand)+meoh_e_demand)*(CS153+meoh_st_ab_losses)/1000000+meoh_st_e_demand*CS153/1000000</f>
        <v>1119.9789871111109</v>
      </c>
      <c r="CW153" s="29">
        <f t="shared" si="187"/>
        <v>0.16206666666666666</v>
      </c>
      <c r="CX153" s="28" t="str">
        <f>IFERROR(CU153*1000000/Storage!$K$12,"")</f>
        <v/>
      </c>
      <c r="CY153" s="28" t="str">
        <f>IF($E153="","No Port",((F153/24/Shipping!$L$44+F153/24/Shipping!$L$50+Shipping!$L$59+Shipping!$L$64)*Carriers!$R$39*wacc_nl))</f>
        <v>No Port</v>
      </c>
      <c r="CZ153" s="29">
        <f>H2_retrieval!$J$25*h2_demand_kt/1000+(co2_liq_e_demand+co2_st_e_demand*2)*Storage!$K$12*co2_density/meoh_density/1000000</f>
        <v>251.05079059698966</v>
      </c>
      <c r="DA153" s="28" t="str">
        <f>IFERROR((((CO153+CQ153+CT153)*(1+H2_retrieval!$J$34)+CY153)*1000000/H2_retrieval!$J$8)+h2_regen_meoh,"")</f>
        <v/>
      </c>
      <c r="DB153" s="149">
        <f>(DBT_invest*(M153+1/DBT_lifetime)/DBT_prod+DBT_opex+DBT_e_demand*1000*$AU153/100+Carriers!$T$18/Carriers!$T$23*BD153)*(DD153+DBT_st_ab_losses)/1000000</f>
        <v>48139.737822901836</v>
      </c>
      <c r="DC153" s="28">
        <f>2*(DBT_st_nl_cost*DBT_st_nl_demand/1000000+(DBT_st_invest*(M153+1/DBT_st_lifetime+DBT_st_opex)/(Storage!$M$63/1000000)+DBT_st_e_demand*1000*$AU153/100)*(DD153+DBT_st_ab_losses)/1000000)+Carriers!$T$18/Carriers!$T$23*((DD153+DBT_st_ab_losses)/365.25*short_st_duration_hrs/24)*(h2_short_st_invest*(1/gh2_short_st_lifetime+$M153+h2_short_st_opex)+h2_short_st_e_demand*1000*$AU153/100)/1000000</f>
        <v>4652.8429772258942</v>
      </c>
      <c r="DD153" s="63">
        <f>Storage!$M$57/((1-Shipping!$N$37)^($F153/24/Shipping!$N$44+0.5*Shipping!$N$59))</f>
        <v>219354838.70967743</v>
      </c>
      <c r="DE153" s="28" t="str">
        <f>IF($E153="","No Port",IF(AND(ship_choice="VLCC",G153="Panama"),"Ship cannot pass through Panama",IF(ship_choice="VLCC",((F153/24/Shipping!$AD$44+F153/24/Shipping!$AD$50+Shipping!$AD$59+Shipping!$AD$64)*(Shipping!$AD$22+wacc_nl*Shipping!$AD$19/365.25*1000000+Shipping!$AD$35)+(F153/24/Shipping!$AD$44*Shipping!$AD$45+Shipping!$AD$64*Shipping!$AD$65)*IF(bunker_choice="HFO",$H153,IF(bunker_choice="hydrogen",$BD153*hfo_e_density_lhv/h2_e_density_lhv,(DB153+DC153)*1000000/DD153*hfo_e_density_lhv/DBT_e_density_lhv))+(F153/24/Shipping!$AD$50*Shipping!$AD$51+Shipping!$AD$59*Shipping!$AD$60)*IF(bunker_choice="HFO",bunker_price_ROT,IF(bunker_choice="hydrogen",$BD153*hfo_e_density_lhv/h2_e_density_lhv,(DB153+DC153)*1000000/DD153*hfo_e_density_lhv/DBT_e_density_lhv))+Shipping!$AD$73+IF(G153="Panama",Shipping!$AD$55,0)+IF(G153="Suez",Shipping!$AD$56,0))/Shipping!$AD$31*DD153/1000000+IF(inland_transport_to_port="hv dc grid",$BM153/100*1000*DG153,IF(inland_transport_to_port="pipeline",$BN153,0)),((F153/24/Shipping!$N$44+F153/24/Shipping!$N$50+Shipping!$N$59+Shipping!$N$64)*(Shipping!$N$22+wacc_nl*Shipping!$N$19/365.25*1000000+Shipping!$N$35)+(F153/24/Shipping!$N$44*Shipping!$N$45+Shipping!$N$64*Shipping!$N$65)*IF(bunker_choice="HFO",$H153,IF(bunker_choice="hydrogen",$BD153*hfo_e_density_lhv/h2_e_density_lhv,(DB153+DC153)*1000000/DD153*hfo_e_density_lhv/DBT_e_density_lhv))+(F153/24/Shipping!$N$50*Shipping!$N$51+Shipping!$N$59*Shipping!$N$60)*IF(bunker_choice="HFO",bunker_price_ROT,IF(bunker_choice="hydrogen",$BD153*hfo_e_density_lhv/h2_e_density_lhv,(DB153+DC153)*1000000/DD153*hfo_e_density_lhv/DBT_e_density_lhv))+Shipping!$N$73+IF(G153="Panama",Shipping!$N$55,0)+IF(G153="Suez",Shipping!$N$56,0))/Shipping!$N$31*Shipping!$N$86/1000000+IF(inland_transport_to_port="hv dc grid",$BM153/100*1000*DG153,IF(inland_transport_to_port="pipeline",$BN153,0)))))</f>
        <v>No Port</v>
      </c>
      <c r="DF153" s="28" t="str">
        <f t="shared" si="159"/>
        <v/>
      </c>
      <c r="DG153" s="29">
        <f>((Carriers!$T$18/Carriers!$T$23*alk_el_e_demand)+DBT_e_demand)*(DD153+DBT_st_ab_losses)/1000000+DBT_st_e_demand*DD153/1000000</f>
        <v>703.88335483870969</v>
      </c>
      <c r="DH153" s="29">
        <f t="shared" si="188"/>
        <v>0.21935483870967742</v>
      </c>
      <c r="DI153" s="28" t="str">
        <f>IFERROR(DF153*1000000/Storage!$M$12,"")</f>
        <v/>
      </c>
      <c r="DJ153" s="28" t="str">
        <f>IF($E153="","No Port",((F153/24/Shipping!$N$44+F153/24/Shipping!$N$50+Shipping!$N$59+Shipping!$N$64)*Carriers!$T$39*wacc_nl))</f>
        <v>No Port</v>
      </c>
      <c r="DK153" s="100">
        <f>H2_retrieval!$L$25*h2_demand_kt/1000+(co2_liq_e_demand+co2_st_e_demand*2)*Storage!$M$12*co2_density/DBT_density/1000000</f>
        <v>206.61934861671787</v>
      </c>
      <c r="DL153" s="28" t="str">
        <f>IFERROR(((DF153*(1+H2_retrieval!$L$34)+DJ153)*1000000/H2_retrieval!$L$8)+h2_regen_lohc,"")</f>
        <v/>
      </c>
      <c r="DM153" s="149">
        <f t="shared" si="211"/>
        <v>54861.128497583835</v>
      </c>
      <c r="DN153" s="16">
        <f>2*(nabh4_st_nl_cost*nabh4_st_nl_demand/1000000+(nabh4_st_invest*(M153+1/nabh4_st_lifetime+nabh4_st_opex)/(Storage!$O$63/1000000)+nabh4_st_e_demand*1000*$AU153/100)*(DO153+nabh4_st_ab_losses)/1000000)+(h2_demand_kt*1000/365.25*short_st_duration_hrs/24)*(h2_short_st_invest*(1/gh2_short_st_lifetime+$M153+h2_short_st_opex)+h2_short_st_e_demand*1000*$AU153/100)/1000000</f>
        <v>1564.2641853702298</v>
      </c>
      <c r="DO153" s="63">
        <f>Storage!$O$57/((1-Shipping!$P$37)^($F153/24/Shipping!$P$44+0.5*Shipping!$P$59))</f>
        <v>63920000</v>
      </c>
      <c r="DP153" s="16" t="str">
        <f>IF($E153="","No Port",((F153/24/Shipping!$P$44+F153/24/Shipping!$P$50+Shipping!$P$59+Shipping!$P$64)*(Shipping!$P$22+wacc_nl*Shipping!$P$19/365.25*1000000+Shipping!$P$35)+(F153/24/Shipping!$P$44*Shipping!$P$45+Shipping!$P$64*Shipping!$P$65)*IF(bunker_choice="HFO",$H153,IF(bunker_choice="hydrogen",$BD153*hfo_e_density_lhv/h2_e_density_lhv,(DM153+DN153)*1000000/DO153*hfo_e_density_lhv/nabh4_e_density_lhv))+(F153/24/Shipping!$P$50*Shipping!$P$51+Shipping!$P$59*Shipping!$P$60)*IF(bunker_choice="HFO",bunker_price_ROT,IF(bunker_choice="hydrogen",$BD153*hfo_e_density_lhv/h2_e_density_lhv,(DM153+DN153)*1000000/DO153*hfo_e_density_lhv/nabh4_e_density_lhv))+Shipping!$P$73+IF(G153="Panama",Shipping!$P$55,0)+IF(G153="Suez",Shipping!$P$56,0))/Shipping!$P$31*(DO153+nabh4_st_ab_losses)/1000000+IF(inland_transport_to_port="hv dc grid",$BM153/100*1000*DR153,IF(inland_transport_to_port="pipeline",$BN153,0)))</f>
        <v>No Port</v>
      </c>
      <c r="DQ153" s="28" t="str">
        <f t="shared" si="146"/>
        <v/>
      </c>
      <c r="DR153" s="29">
        <f>((Carriers!$V$18/Carriers!$V$23*alk_el_e_demand)+nabh4_e_demand)*(DO153+nabh4_st_ab_losses)/1000000+nabh4_st_e_demand*DO153/1000000</f>
        <v>980.02139682539689</v>
      </c>
      <c r="DS153" s="28">
        <f t="shared" si="189"/>
        <v>3.1960000000000002</v>
      </c>
      <c r="DT153" s="28" t="str">
        <f>IFERROR(DQ153*1000000/Storage!$O$12,"")</f>
        <v/>
      </c>
      <c r="DU153" s="28" t="str">
        <f>IF($E153="","No Port",((F153/24/Shipping!$P$44+F153/24/Shipping!$P$50+Shipping!$P$59+Shipping!$P$64)*Carriers!$V$39*wacc_nl))</f>
        <v>No Port</v>
      </c>
      <c r="DV153" s="100">
        <f>H2_retrieval!$N$25*h2_demand_kt/1000+(co2_liq_e_demand+co2_st_e_demand*2)*Storage!$O$12*co2_density/nabh4_density/1000000</f>
        <v>18.783638728971958</v>
      </c>
      <c r="DW153" s="28" t="str">
        <f>IFERROR(((DQ153*(1+H2_retrieval!$N$34)+DU153)*1000000/H2_retrieval!$N$8)+h2_regen_nabh4,"")</f>
        <v/>
      </c>
      <c r="DX153" s="149">
        <f>(Dme_invest*(M153+1/Dme_lifetime)/Dme_prod+Dme_opex+Dme_e_demand*1000*$AU153/100+Carriers!$X$21/Carriers!$X$23*(CO153*1000000/CS153))*(EB153+Dme_st_ab_losses)/1000000</f>
        <v>100560.01107681483</v>
      </c>
      <c r="DY153" s="86">
        <f>(Dme_invest*(M153+1/Dme_lifetime)/Dme_prod+Dme_opex+Dme_e_demand*1000*$AU153/100+Carriers!$X$21/Carriers!$X$23*(CP153*1000000/CS153))*(EB153+Dme_st_ab_losses)/1000000</f>
        <v>126133.43832304975</v>
      </c>
      <c r="DZ153" s="63">
        <f>Dme_st_nl_cost*Dme_st_nl_demand/1000000+(Dme_st_invest*(M153+1/Dme_st_lifetime+Dme_st_opex)/(Storage!$Q$63/1000000)+Dme_st_e_demand*1000*$AU153/100)*(EB153+Dme_st_ab_losses)/1000000+co2_st_nl_cost*Storage!$Q$12*co2_density/Dme_density/1000000+(co2_st_opex_lev+co2_st_invest_lev+co2_st_e_demand*1000*$AU153/100)*Storage!$Q$12/1000000+co2_st_invest_lev*Storage!$Q$12*co2_st_lifetime*M153/1000000+(h2_demand_kt*1000/365.25*short_st_duration_hrs/24)*(h2_short_st_invest*(1/gh2_short_st_lifetime+$M153+h2_short_st_opex)+h2_short_st_e_demand*1000*$AU153/100)/1000000</f>
        <v>6500.2352920450921</v>
      </c>
      <c r="EA153" s="63">
        <f>Dme_st_nl_cost*Dme_st_nl_demand/1000000+(Dme_st_invest*(M153+1/Dme_st_lifetime+Dme_st_opex)/(Storage!$Q$63/1000000)+Dme_st_e_demand*1000*$AU153/100)*(EB153+Dme_st_ab_losses)/1000000+(h2_demand_kt*1000/365.25*short_st_duration_hrs/24)*(h2_short_st_invest*(1/gh2_short_st_lifetime+$M153+h2_short_st_opex)+h2_short_st_e_demand*1000*$AU153/100)/1000000</f>
        <v>3391.7142577629752</v>
      </c>
      <c r="EB153" s="63">
        <f>Storage!$Q$57/((1-Shipping!$R$37)^($F153/24/Shipping!$R$44+0.5*Shipping!$R$59))</f>
        <v>103547089.94708996</v>
      </c>
      <c r="EC153" s="153" t="str">
        <f>IF($E153="","No Port",IF(AND(ship_choice="VLCC",G153="Panama"),"Ship cannot pass through Panama",IF(ship_choice="VLCC",((F153/24/Shipping!$AD$44+F153/24/Shipping!$AD$50+Shipping!$AD$59+Shipping!$AD$64)*(Shipping!$AD$22+wacc_nl*Shipping!$AD$19/365.25*1000000+Shipping!$AD$35)+(F153/24/Shipping!$AD$44*Shipping!$AD$45+Shipping!$AD$64*Shipping!$AD$65)*IF(bunker_choice="HFO",$H153,IF(bunker_choice="hydrogen",$BD153*hfo_e_density_lhv/h2_e_density_lhv,(DX153+DZ153)*1000000/EB153*hfo_e_density_lhv/Dme_e_density_lhv))+(F153/24/Shipping!$AD$50*Shipping!$AD$51+Shipping!$AD$59*Shipping!$AD$60)*IF(bunker_choice="HFO",bunker_price_ROT,IF(bunker_choice="hydrogen",$BD153*hfo_e_density_lhv/h2_e_density_lhv,(DX153+DZ153)*1000000/EB153*hfo_e_density_lhv/Dme_e_density_lhv))+Shipping!$AD$73+IF(G153="Panama",Shipping!$AD$55,0)+IF(G153="Suez",Shipping!$AD$56,0))/Shipping!$AD$31*(EB153+Dme_st_ab_losses)/1000000+IF(inland_transport_to_port="hv dc grid",$BM153/100*1000*EE153,IF(inland_transport_to_port="pipeline",$BN153,0)),((F153/24/Shipping!$R$44+F153/24/Shipping!$R$50+Shipping!$R$59+Shipping!$R$64)*(Shipping!$R$22+wacc_nl*Shipping!$R$19/365.25*1000000+Shipping!$R$35)+(F153/24/Shipping!$R$44*Shipping!$R$45+Shipping!$R$64*Shipping!$R$65)*IF(bunker_choice="HFO",$H153,IF(bunker_choice="hydrogen",$BD153*hfo_e_density_lhv/h2_e_density_lhv,(DX153+DZ153)*1000000/EB153*hfo_e_density_lhv/Dme_e_density_lhv))+(F153/24/Shipping!$R$50*Shipping!$R$51+Shipping!$R$59*Shipping!$R$60)*IF(bunker_choice="HFO",bunker_price_ROT,IF(bunker_choice="hydrogen",$BD153*hfo_e_density_lhv/h2_e_density_lhv,(DX153+DZ153)*1000000/EB153*hfo_e_density_lhv/Dme_e_density_lhv))+Shipping!$R$73+IF(G153="Panama",Shipping!$R$55,0)+IF(G153="Suez",Shipping!$R$56,0))/Shipping!$R$31*(EB153+Dme_st_ab_losses)/1000000+IF(inland_transport_to_port="hv dc grid",$BM153/100*1000*EE153,IF(inland_transport_to_port="pipeline",$BN153,0)))))</f>
        <v>No Port</v>
      </c>
      <c r="ED153" s="28" t="str">
        <f t="shared" si="215"/>
        <v/>
      </c>
      <c r="EE153" s="29">
        <f>(Dme_e_demand)*(EB153+Dme_st_ab_losses)/1000000+Dme_st_e_demand*DZ153/1000000+$CV153*(Carriers!$X$21/Carriers!$X$23*EB153)/$CS153</f>
        <v>1550.2168251694088</v>
      </c>
      <c r="EF153" s="29">
        <f t="shared" si="190"/>
        <v>1.0354708994708997</v>
      </c>
      <c r="EG153" s="28" t="str">
        <f>IFERROR(ED153*1000000/Storage!$Q$12,"")</f>
        <v/>
      </c>
      <c r="EH153" s="28" t="str">
        <f>IF($E153="","No Port",((F153/24/Shipping!$R$44+F153/24/Shipping!$R$50+Shipping!$R$59+Shipping!$R$64)*Carriers!$X$39*wacc_nl))</f>
        <v>No Port</v>
      </c>
      <c r="EI153" s="100">
        <f>H2_retrieval!$P$25*h2_demand_kt/1000+(co2_liq_e_demand+co2_st_e_demand*2)*Storage!$Q$12*co2_density/Dme_density/1000000</f>
        <v>252.45335899349112</v>
      </c>
      <c r="EJ153" s="28" t="str">
        <f>IFERROR((((DX153+DZ153+EC153)*(1+H2_retrieval!$P$34)+EH153)*1000000/H2_retrieval!$P$8)+h2_regen_dme,"")</f>
        <v/>
      </c>
      <c r="EK153" s="149">
        <f>(ome_invest*(M153+1/ome_lifetime)/ome_prod+ome_opex+ome_e_demand*1000*$AU153/100+Carriers!$Z$21/Carriers!$Z$23*(CO153*1000000/CS153))*(EO153+ome_st_ab_losses)/1000000</f>
        <v>218727.2840821826</v>
      </c>
      <c r="EL153" s="86">
        <f>(ome_invest*(M153+1/ome_lifetime)/ome_prod+ome_opex+ome_e_demand*1000*$AU153/100+Carriers!$Z$21/Carriers!$Z$23*(CP153*1000000/CS153))*(EO153+ome_st_ab_losses)/1000000</f>
        <v>272410.88607295108</v>
      </c>
      <c r="EM153" s="63">
        <f>ome_st_nl_cost*ome_st_nl_demand/1000000+(ome_st_invest*(M153+1/ome_st_lifetime+ome_st_opex)/(Storage!$S$63/1000000)+ome_st_e_demand*1000*$AU153/100)*(EO153+ome_st_ab_losses)/1000000+co2_st_nl_cost*Storage!$S$12*co2_density/ome_density/1000000+(co2_st_opex_lev+co2_st_invest_lev+co2_st_e_demand*1000*$AU153/100)*Storage!$S$12/1000000+co2_st_invest_lev*Storage!$S$12*co2_st_lifetime*M153/1000000+(h2_demand_kt*1000/365.25*short_st_duration_hrs/24)*(h2_short_st_invest*(1/gh2_short_st_lifetime+$M153+h2_short_st_opex)+h2_short_st_e_demand*1000*$AU153/100)/1000000</f>
        <v>5567.6910832195945</v>
      </c>
      <c r="EN153" s="63">
        <f>ome_st_nl_cost*ome_st_nl_demand/1000000+(ome_st_invest*(M153+1/ome_st_lifetime+ome_st_opex)/(Storage!$S$63/1000000)+ome_st_e_demand*1000*$AU153/100)*(EO153+ome_st_ab_losses)/1000000+(h2_demand_kt*1000/365.25*short_st_duration_hrs/24)*(h2_short_st_invest*(1/gh2_short_st_lifetime+$M153+h2_short_st_opex)+h2_short_st_e_demand*1000*$AU153/100)/1000000</f>
        <v>2055.5707532477027</v>
      </c>
      <c r="EO153" s="63">
        <f>Storage!$S$57/((1-Shipping!$T$37)^($F153/24/Shipping!$T$44+0.5*Shipping!$T$59))</f>
        <v>128282539.68253967</v>
      </c>
      <c r="EP153" s="28" t="str">
        <f>IF($E153="","No Port",IF(AND(ship_choice="VLCC",G153="Panama"),"Ship cannot pass through Panama",IF(ship_choice="VLCC",((F153/24/Shipping!$AD$44+F153/24/Shipping!$AD$50+Shipping!$AD$59+Shipping!$AD$64)*(Shipping!$AD$22+wacc_nl*Shipping!$AD$19/365.25*1000000+Shipping!$AD$35)+(F153/24/Shipping!$AD$44*Shipping!$AD$45+Shipping!$AD$64*Shipping!$AD$65)*IF(bunker_choice="HFO",$H153,IF(bunker_choice="hydrogen",$BD153*hfo_e_density_lhv/h2_e_density_lhv,(EK153+EM153)*1000000/EO153*hfo_e_density_lhv/Dme_e_density_lhv))+(F153/24/Shipping!$AD$50*Shipping!$AD$51+Shipping!$AD$59*Shipping!$AD$60)*IF(bunker_choice="HFO",bunker_price_ROT,IF(bunker_choice="hydrogen",$BD153*hfo_e_density_lhv/h2_e_density_lhv,(EK153+EM153)*1000000/EO153*hfo_e_density_lhv/ome_e_density_lhv))+Shipping!$AD$73+IF(G153="Panama",Shipping!$AD$55,0)+IF(G153="Suez",Shipping!$AD$56,0))/Shipping!$AD$31*(EO153+ome_st_ab_losses)/1000000+IF(inland_transport_to_port="hv dc grid",$BM153/100*1000*ER153,IF(inland_transport_to_port="pipeline",$BN153,0)),((F153/24/Shipping!$T$44+F153/24/Shipping!$T$50+Shipping!$T$59+Shipping!$T$64)*(Shipping!$T$22+wacc_nl*Shipping!$T$19/365.25*1000000+Shipping!$T$35)+(F153/24/Shipping!$T$44*Shipping!$T$45+Shipping!$T$64*Shipping!$T$65)*IF(bunker_choice="HFO",$H153,IF(bunker_choice="hydrogen",$BD153*hfo_e_density_lhv/h2_e_density_lhv,(EK153+EM153)*1000000/EO153*hfo_e_density_lhv/Dme_e_density_lhv))+(F153/24/Shipping!$T$50*Shipping!$T$51+Shipping!$T$59*Shipping!$T$60)*IF(bunker_choice="HFO",bunker_price_ROT,IF(bunker_choice="hydrogen",$BD153*hfo_e_density_lhv/h2_e_density_lhv,(EK153+EM153)*1000000/EO153*hfo_e_density_lhv/ome_e_density_lhv))+Shipping!$T$73+IF(G153="Panama",Shipping!$T$55,0)+IF(G153="Suez",Shipping!$T$56,0))/Shipping!$T$31*(EO153+ome_st_ab_losses)/1000000+IF(inland_transport_to_port="hv dc grid",$BM153/100*1000*ER153,IF(inland_transport_to_port="pipeline",$BN153,0)))))</f>
        <v>No Port</v>
      </c>
      <c r="EQ153" s="28" t="str">
        <f t="shared" si="216"/>
        <v/>
      </c>
      <c r="ER153" s="29">
        <f>(ome_e_demand)*(EO153+ome_st_ab_losses)/1000000+ome_st_e_demand*EM153/1000000+$CV153*(Carriers!$Z$21/Carriers!$Z$23*EO153)/$CS153</f>
        <v>3352.0814584923201</v>
      </c>
      <c r="ES153" s="29">
        <f t="shared" si="191"/>
        <v>0.1924238095238095</v>
      </c>
      <c r="ET153" s="28" t="str">
        <f>IFERROR(EQ153*1000000/Storage!$S$12,"")</f>
        <v/>
      </c>
      <c r="EU153" s="28" t="str">
        <f>IF($E153="","No Port",((F153/24/Shipping!$T$44+F153/24/Shipping!$T$50+Shipping!$T$59+Shipping!$T$64)*Carriers!$Z$39*wacc_nl))</f>
        <v>No Port</v>
      </c>
      <c r="EV153" s="100">
        <f>H2_retrieval!$R$25*h2_demand_kt/1000+(co2_liq_e_demand+co2_st_e_demand*2)*Storage!$S$12*co2_density/ome_density/1000000</f>
        <v>254.51942895252085</v>
      </c>
      <c r="EW153" s="28" t="str">
        <f>IFERROR((((EK153+EM153+EP153)*(1+H2_retrieval!$R$34)+EU153)*1000000/H2_retrieval!$R$8)+h2_regen_ome,"")</f>
        <v/>
      </c>
      <c r="EX153" s="149">
        <f>(sng_invest*(M153+1/sng_lifetime)/sng_prod+lng_invest*(M153+1/lng_lifetime)/lng_prod+sng_opex+lng_opex+(sng_e_demand+lng_e_demand)*1000*$AU153/100+Carriers!$AB$18/Carriers!$AB$23*BD153+Carriers!$AB$20/Carriers!$AB$23*co2_liq_cost)*(FB153+lng_st_ab_losses)/1000000</f>
        <v>76881.706683320022</v>
      </c>
      <c r="EY153" s="86">
        <f>(sng_invest*(M153+1/sng_lifetime)/sng_prod+lng_invest*(M153+1/lng_lifetime)/lng_prod+sng_opex+lng_opex+(sng_e_demand+lng_e_demand)*1000*$AU153/100+Carriers!$AB$18/Carriers!$AB$23*BD153+Carriers!$AB$20/Carriers!$AB$23*BP153)*(FB153+lng_st_ab_losses)/1000000</f>
        <v>90820.389228628235</v>
      </c>
      <c r="EZ153" s="63">
        <f>lng_st_nl_cost*lng_st_nl_demand/1000000+(lng_st_invest*(M153+1/lng_st_lifetime+lng_st_opex)/(Storage!$U$63/1000000)+lng_st_e_demand*1000*$AU153/100)*(FB153+lng_st_ab_losses)/1000000+co2_st_nl_cost*Storage!$U$12*co2_density/lng_density/1000000+(co2_st_opex_lev+co2_st_invest_lev+co2_st_e_demand*1000*$AU153/100)*Storage!$U$12/1000000+co2_st_invest_lev*Storage!$U$12*co2_st_lifetime*M153/1000000+Carriers!$AB$18/Carriers!$AB$23*((FB153+lng_st_ab_losses)/365.25*short_st_duration_hrs/24)*(h2_short_st_invest*(1/gh2_short_st_lifetime+$M153+h2_short_st_opex)+h2_short_st_e_demand*1000*$AU153/100)/1000000+Carriers!$AB$20/Carriers!$AB$23*((FB153+lng_st_ab_losses)/365.25*short_st_duration_hrs/24)*(co2_short_st_invest*(1/co2_short_st_lifetime+$M153+co2_short_st_opex)+co2_short_st_e_demand*1000*$AU153/100)/1000000</f>
        <v>6922.7194097359024</v>
      </c>
      <c r="FA153" s="63">
        <f>lng_st_nl_cost*lng_st_nl_demand/1000000+(lng_st_invest*(M153+1/lng_st_lifetime+lng_st_opex)/(Storage!$U$63/1000000)+lng_st_e_demand*1000*$AU153/100)*(FB153+lng_st_ab_losses)/1000000+Carriers!$AB$18/Carriers!$AB$23*((FB153+lng_st_ab_losses)/365.25*short_st_duration_hrs/24)*(h2_short_st_invest*(1/gh2_short_st_lifetime+$M153+h2_short_st_opex)+h2_short_st_e_demand*1000*$AU153/100)/1000000+Carriers!$AB$20/Carriers!$AB$23*((FB153+lng_st_ab_losses)/365.25*short_st_duration_hrs/24)*(co2_short_st_invest*(1/co2_short_st_lifetime+$M153+co2_short_st_opex)+co2_short_st_e_demand*1000*$AU153/100)/1000000</f>
        <v>5266.680915901441</v>
      </c>
      <c r="FB153" s="63">
        <f>Storage!$U$57/((1-Shipping!$V$37)^($F153/24/Shipping!$V$44+0.5*Shipping!$V$59))</f>
        <v>40707231.50721889</v>
      </c>
      <c r="FC153" s="28" t="str">
        <f>IF($E153="","No Port",IF(G153="Panama","Ship cannot pass through Panama",((F153/24/Shipping!$V$44+F153/24/Shipping!$V$50+Shipping!$V$59+Shipping!$V$64)*(Shipping!$V$22+wacc_nl*Shipping!$V$19/365.25*1000000+Shipping!$V$35)+(F153/24/Shipping!$V$44*Shipping!$V$45+Shipping!$V$64*Shipping!$V$65)*IF(bunker_choice="HFO",$H153,IF(bunker_choice="hydrogen",$BD153*hfo_e_density_lhv/h2_e_density_lhv,(EX153+EZ153)*1000000/FB153*hfo_e_density_lhv/lng_e_density_lhv))+(F153/24/Shipping!$V$50*Shipping!$V$51+Shipping!$V$59*Shipping!$V$60)*IF(bunker_choice="HFO",bunker_price_ROT,IF(bunker_choice="hydrogen",$BD153*hfo_e_density_lhv/h2_e_density_lhv,(EX153+EZ153)*1000000/FB153*hfo_e_density_lhv/lng_e_density_lhv))+Shipping!$V$73+IF(G153="Panama",Shipping!$V$55,0)+IF(G153="Suez",Shipping!$V$56,0))/Shipping!$V$31*(FB153+lng_st_ab_losses)/1000000)+IF(inland_transport_to_port="hv dc grid",$BM153/100*1000*FE153,IF(inland_transport_to_port="pipeline",$BN153,0)))</f>
        <v>No Port</v>
      </c>
      <c r="FD153" s="28" t="str">
        <f t="shared" si="217"/>
        <v/>
      </c>
      <c r="FE153" s="29">
        <f>((Carriers!$AB$18/Carriers!$AB$23*alk_el_e_demand)+sng_e_demand+lng_e_demand)*(FB153+lng_st_ab_losses)/1000000+lng_st_e_demand*EZ153/1000000</f>
        <v>1091.7518974830375</v>
      </c>
      <c r="FF153" s="29">
        <f t="shared" si="192"/>
        <v>0.8126185861001558</v>
      </c>
      <c r="FG153" s="28" t="str">
        <f>IFERROR(FD153*1000000/Storage!$U$12,"")</f>
        <v/>
      </c>
      <c r="FH153" s="28" t="str">
        <f>IF($E153="","No Port",((F153/24/Shipping!$V$44+F153/24/Shipping!$V$50+Shipping!$V$59+Shipping!$V$64)*Carriers!$AB$39*wacc_nl))</f>
        <v>No Port</v>
      </c>
      <c r="FI153" s="100">
        <f>H2_retrieval!$T$25*h2_demand_kt/1000+(co2_liq_e_demand+co2_st_e_demand*2)*Storage!$U$12*co2_density/lng_density/1000000</f>
        <v>236.51371749646054</v>
      </c>
      <c r="FJ153" s="28" t="str">
        <f>IFERROR((((EX153+EZ153+FC153)*(1+H2_retrieval!$T$34)+FH153)*1000000/H2_retrieval!$T$8)+h2_regen_lng,"")</f>
        <v/>
      </c>
      <c r="FK153" s="149">
        <f>(lh2_invest*(M153+1/lh2_lifetime)/lh2_prod+lh2_opex+lh2_e_demand*1000*$AU153/100+Carriers!$AD$18/Carriers!$AD$23*BD153)*(FM153+lh2_st_ab_losses)/1000000</f>
        <v>60090.909506092816</v>
      </c>
      <c r="FL153" s="28">
        <f>lh2_st_nl_cost*lh2_st_nl_demand/1000000+(lh2_st_invest*(M153+1/lh2_st_lifetime+lh2_st_opex)/(Storage!$Y$63/1000000)+lh2_st_e_demand*1000*$AU153/100)*(FM153+lh2_st_ab_losses)/1000000+((FM153+lh2_st_ab_losses)/365.25*short_st_duration_hrs/24)*(h2_short_st_invest*(1/gh2_short_st_lifetime+$M153+h2_short_st_opex)+h2_short_st_e_demand*1000*$AU153/100)/1000000</f>
        <v>60352.195110730507</v>
      </c>
      <c r="FM153" s="63">
        <f>Storage!$Y$57/((1-Shipping!$Z$37)^($F153/24/Shipping!$Z$44+0.5*Shipping!$Z$59))</f>
        <v>13659984.090217989</v>
      </c>
      <c r="FN153" s="28" t="str">
        <f>IF($E153="","No Port",IF(G153="Panama","Ship cannot pass through Panama",((F153/24/Shipping!$Z$44+F153/24/Shipping!$Z$50+Shipping!$Z$59+Shipping!$Z$64)*(Shipping!$Z$22+wacc_nl*Shipping!$Z$19/365.25*1000000+Shipping!$Z$35)+(F153/24/Shipping!$Z$44*Shipping!$Z$45+Shipping!$Z$64*Shipping!$Z$65)*IF(bunker_choice="HFO",$H153,IF(bunker_choice="hydrogen",$BD153*hfo_e_density_lhv/h2_e_density_lhv,(FK153+FL153)*1000000/FM153*hfo_e_density_lhv/lh2_e_density_lhv))+(F153/24/Shipping!$Z$50*Shipping!$Z$51+Shipping!$Z$59*Shipping!$Z$60)*IF(bunker_choice="HFO",bunker_price_ROT,IF(bunker_choice="hydrogen",$BD153*hfo_e_density_lhv/h2_e_density_lhv,(FK153+FL153)*1000000/FM153*hfo_e_density_lhv/lh2_e_density_lhv))+Shipping!$Z$73+IF(G153="Panama",Shipping!$Z$55,0)+IF(G153="Suez",Shipping!$Z$56,0))/Shipping!$Z$31*(FM153+lh2_st_ab_losses)/1000000)+IF(inland_transport_to_port="hv dc grid",$BM153/100*1000*FP153,IF(inland_transport_to_port="pipeline",$BN153,0)))</f>
        <v>No Port</v>
      </c>
      <c r="FO153" s="28" t="str">
        <f t="shared" si="200"/>
        <v/>
      </c>
      <c r="FP153" s="29">
        <f>((Carriers!$AD$18/Carriers!$AD$23*alk_el_e_demand)+lh2_e_demand)*(FM153+lh2_st_ab_losses)/1000000+lh2_st_e_demand*FM153/1000000</f>
        <v>791.60233245091877</v>
      </c>
      <c r="FQ153" s="100">
        <f t="shared" si="193"/>
        <v>1.361902463475859</v>
      </c>
      <c r="FR153" s="28" t="str">
        <f>IFERROR(FO153*1000000/Storage!$Y$12,"")</f>
        <v/>
      </c>
      <c r="FS153" s="100">
        <f>H2_retrieval!$V$25*h2_demand_kt/1000</f>
        <v>8.16</v>
      </c>
      <c r="FT153" s="28" t="str">
        <f>IFERROR(FR153*(1+H2_retrieval!$V$34)/Carrier_properties!$U$7+H2_retrieval!$V$38,"")</f>
        <v/>
      </c>
      <c r="FU153" s="12"/>
      <c r="FV153" s="24">
        <f t="shared" si="201"/>
        <v>2.7094750090977135</v>
      </c>
      <c r="FW153" s="24" t="str">
        <f t="shared" si="143"/>
        <v/>
      </c>
      <c r="FX153" s="24" t="str">
        <f t="shared" si="144"/>
        <v/>
      </c>
      <c r="FY153" s="24">
        <f t="shared" si="202"/>
        <v>2.7094750090977135</v>
      </c>
      <c r="FZ153" s="28">
        <f t="shared" si="145"/>
        <v>3270.563437775565</v>
      </c>
      <c r="GA153" s="28">
        <f t="shared" si="218"/>
        <v>747.93156955617428</v>
      </c>
      <c r="GB153" s="28">
        <f t="shared" si="219"/>
        <v>477.89468742777143</v>
      </c>
      <c r="GC153" s="28">
        <f t="shared" si="220"/>
        <v>836.1531965771884</v>
      </c>
      <c r="GD153" s="28">
        <f t="shared" si="221"/>
        <v>1218.1263460663247</v>
      </c>
      <c r="GE153" s="28">
        <f t="shared" si="222"/>
        <v>2123.5227081338217</v>
      </c>
      <c r="GF153" s="28">
        <f t="shared" si="223"/>
        <v>2231.0627833416388</v>
      </c>
      <c r="GG153" s="12"/>
      <c r="GH153" s="12"/>
      <c r="GI153" s="12"/>
      <c r="GJ153" s="12"/>
      <c r="GK153" s="12"/>
      <c r="GL153" s="12"/>
      <c r="GM153" s="12"/>
      <c r="GN153" s="12"/>
      <c r="GO153" s="12"/>
      <c r="GP153" s="12"/>
      <c r="GQ153" s="12"/>
      <c r="GR153" s="12"/>
      <c r="GS153" s="12"/>
      <c r="GT153" s="12"/>
      <c r="GU153" s="12"/>
      <c r="GV153" s="12"/>
      <c r="GW153" s="12"/>
      <c r="GX153" s="12"/>
      <c r="GY153" s="12"/>
      <c r="GZ153" s="12"/>
      <c r="HA153" s="12"/>
      <c r="HB153" s="12"/>
      <c r="HC153" s="12"/>
      <c r="HD153" s="12"/>
      <c r="HE153" s="12"/>
      <c r="HF153" s="12"/>
    </row>
    <row r="154" spans="1:214" x14ac:dyDescent="0.2">
      <c r="A154" s="154" t="s">
        <v>141</v>
      </c>
      <c r="B154" s="12">
        <v>8243</v>
      </c>
      <c r="C154" s="12">
        <v>0.9</v>
      </c>
      <c r="D154" s="12">
        <f t="shared" si="194"/>
        <v>9.9999999999999978E-2</v>
      </c>
      <c r="E154" s="12"/>
      <c r="F154" s="12"/>
      <c r="G154" s="12"/>
      <c r="H154" s="16">
        <f t="shared" si="203"/>
        <v>382.75862068965517</v>
      </c>
      <c r="I154" s="16">
        <v>386850</v>
      </c>
      <c r="J154" s="16">
        <f t="shared" si="195"/>
        <v>350.91050065536569</v>
      </c>
      <c r="K154" s="16" t="str">
        <f t="shared" si="196"/>
        <v/>
      </c>
      <c r="L154" s="103">
        <v>2.5489999999999999</v>
      </c>
      <c r="M154" s="103">
        <f t="shared" si="204"/>
        <v>1.8438495451169279</v>
      </c>
      <c r="N154" s="122">
        <f t="shared" si="197"/>
        <v>0.8</v>
      </c>
      <c r="O154" s="46">
        <f t="shared" si="205"/>
        <v>40</v>
      </c>
      <c r="P154" s="70">
        <f t="array" ref="P154">SUMPRODUCT(IF(Solar_data!A$4:A$777=A154,Solar_data!C$4:C$777),IF(Solar_data!A$4:A$777=A154,Solar_data!I$4:I$777))/SUMIF(Solar_data!A$4:A$777,A154,Solar_data!I$4:I$777)</f>
        <v>2234.9112324384828</v>
      </c>
      <c r="Q154" s="16">
        <f t="array" ref="Q154">MAX(IF(Solar_data!$A$777:'Solar_data'!$A$4=Country_details!$A154,Solar_data!$C$4:'Solar_data'!$C$777))</f>
        <v>2463.75</v>
      </c>
      <c r="R154" s="16">
        <f t="array" ref="R154">MIN(IF(Solar_data!$A$777:'Solar_data'!$A$4=Country_details!A154,Solar_data!$C$4:'Solar_data'!$C$777))</f>
        <v>1916.25</v>
      </c>
      <c r="S154" s="24">
        <f t="shared" si="176"/>
        <v>25.919764808350187</v>
      </c>
      <c r="T154" s="24">
        <f t="shared" si="177"/>
        <v>23.512277427638978</v>
      </c>
      <c r="U154" s="24">
        <f t="shared" si="178"/>
        <v>30.23007097839297</v>
      </c>
      <c r="V154" s="16">
        <f t="array" ref="V154">SUM(IF(Solar_data!$A$777:'Solar_data'!$A$4=Country_details!$A154,Solar_data!$I$4:'Solar_data'!$I$777))</f>
        <v>3126.8763616821593</v>
      </c>
      <c r="W154" s="148"/>
      <c r="X154" s="16" t="str">
        <f>IFERROR(INDEX(Onshore_wind_data!$J$5:'Onshore_wind_data'!$J$221,MATCH(A154,Onshore_wind_data!$B$5:'Onshore_wind_data'!$B$221,0)),"")</f>
        <v/>
      </c>
      <c r="Y154" s="16" t="str">
        <f>IFERROR(INDEX(Onshore_wind_data!$K$5:'Onshore_wind_data'!$K$221,MATCH(A154,Onshore_wind_data!$B$5:'Onshore_wind_data'!$B$221,0)),"")</f>
        <v/>
      </c>
      <c r="Z154" s="16" t="str">
        <f>IFERROR(INDEX(Onshore_wind_data!$L$5:'Onshore_wind_data'!$L$221,MATCH(A154,Onshore_wind_data!$B$5:'Onshore_wind_data'!$B$221,0)),"")</f>
        <v/>
      </c>
      <c r="AA154" s="24" t="str">
        <f t="shared" si="206"/>
        <v/>
      </c>
      <c r="AB154" s="24" t="str">
        <f t="shared" si="207"/>
        <v/>
      </c>
      <c r="AC154" s="24" t="str">
        <f t="shared" si="208"/>
        <v/>
      </c>
      <c r="AD154" s="16">
        <f>IFERROR(INDEX(Onshore_wind_data!$I$5:'Onshore_wind_data'!$I$221,MATCH(A154,Onshore_wind_data!$B$5:'Onshore_wind_data'!$B$221,0)),"")</f>
        <v>0</v>
      </c>
      <c r="AE154" s="148"/>
      <c r="AF154" s="16" t="str">
        <f>INDEX(Offshore_wind_data!$AA$7:$AA$192,MATCH(Country_details!A154,Offshore_wind_data!$A$7:$A$192,0))</f>
        <v/>
      </c>
      <c r="AG154" s="16" t="str">
        <f>INDEX(Offshore_wind_data!$Y$7:$Y$192,MATCH(Country_details!A154,Offshore_wind_data!$A$7:$A$192,0))</f>
        <v/>
      </c>
      <c r="AH154" s="16" t="str">
        <f>INDEX(Offshore_wind_data!$Z$7:$Z$192,MATCH(Country_details!A154,Offshore_wind_data!$A$7:$A$192,0))</f>
        <v/>
      </c>
      <c r="AI154" s="24" t="str">
        <f t="shared" si="179"/>
        <v/>
      </c>
      <c r="AJ154" s="24" t="str">
        <f t="shared" si="180"/>
        <v/>
      </c>
      <c r="AK154" s="24" t="str">
        <f t="shared" si="181"/>
        <v/>
      </c>
      <c r="AL154" s="16">
        <f>INDEX(Offshore_wind_data!$W$7:$W$191,MATCH(A154,Offshore_wind_data!$A$7:$A$191,0))</f>
        <v>0</v>
      </c>
      <c r="AM154" s="148"/>
      <c r="AN154" s="12">
        <v>16.5</v>
      </c>
      <c r="AO154" s="12">
        <v>29.7</v>
      </c>
      <c r="AP154" s="34">
        <f>0.757*11.63</f>
        <v>8.8039100000000001</v>
      </c>
      <c r="AQ154" s="15">
        <f t="shared" si="182"/>
        <v>50</v>
      </c>
      <c r="AR154" s="12">
        <f t="shared" si="212"/>
        <v>1485</v>
      </c>
      <c r="AS154" s="16">
        <f t="shared" si="198"/>
        <v>1641.8763616821593</v>
      </c>
      <c r="AT154" s="12"/>
      <c r="AU154" s="24">
        <f t="shared" si="183"/>
        <v>25.919764808350187</v>
      </c>
      <c r="AV154" s="16">
        <f t="shared" si="184"/>
        <v>2234.9112324384828</v>
      </c>
      <c r="AW154" s="149">
        <f>HV_DC_Grid!$E$3/(1-AX154)*AU154/100*1000</f>
        <v>30989.151335098344</v>
      </c>
      <c r="AX154" s="31">
        <f>(1-(1-HV_DC_Grid!$E$25)^(B154*C154*HV_DC_Grid!$E$8/1000))+(1-(1-HV_DC_Grid!$E$26)^(B154*D154*HV_DC_Grid!$E$8/1000))+HV_DC_Grid!$E$35*HV_DC_Grid!$E$28</f>
        <v>0.16358584563774625</v>
      </c>
      <c r="AY154" s="28">
        <f>B154*nl_e_demand/IF(hv_dc_flh="electricity FLH",$AV154,hv_dc_custom)*1000*hv_dc_capacity_multiplier*hv_dc_length_multiplier*1000*(C154*hv_dc_overhead_invest*(hv_dc_overhead_opex+M154+1/hv_dc_lifetime)+D154*hv_dc_sea_invest*(hv_dc_sea_opex+M154+1/hv_dc_lifetime))/1000000+HV_DC_Grid!$E$10*1000*hv_dc_station_invest*hv_dc_station_number*(hv_dc_station_opex+M154+1/hv_dc_lifetime)/1000000</f>
        <v>105683.26116330593</v>
      </c>
      <c r="AZ154" s="24">
        <f>(AW154+AY154)/(HV_DC_Grid!$E$3*1000)*100</f>
        <v>136.67241249840427</v>
      </c>
      <c r="BA154" s="28">
        <f>MIN(((Carriers!$F$26+Carriers!$F$27)*(alk_el_opex+wacc_nl+1/alk_el_lifetime)+IF(hv_dc_flh="electricity FLH",$AV154,hv_dc_custom)*AZ154/100)/(IF(hv_dc_flh="electricity FLH",$AV154,hv_dc_custom)/alk_el_e_demand)*1000,((Carriers!$H$26+Carriers!$H$27)*(pem_el_opex+wacc_nl+1/pem_el_lifetime)+IF(hv_dc_flh="electricity FLH",$AV154,hv_dc_custom)*AZ154/100)/(IF(hv_dc_flh="electricity FLH",$AV154,hv_dc_custom)/pem_el_e_demand)*1000)</f>
        <v>68656.493310346385</v>
      </c>
      <c r="BB154" s="12"/>
      <c r="BC154" s="12"/>
      <c r="BD154" s="149">
        <f>MIN(((Carriers!$F$26+Carriers!$F$27)*(alk_el_opex+M154+1/alk_el_lifetime)+$AV154*$AU154/100)/($AV154/alk_el_e_demand)*1000,((Carriers!$H$26+Carriers!$H$27)*(pem_el_opex+M154+1/pem_el_lifetime)+$AV154*$AU154/100)/($AV154/pem_el_e_demand)*1000)</f>
        <v>28657.961491609862</v>
      </c>
      <c r="BE154" s="28">
        <f>Storage!$AC$50</f>
        <v>8.1664117557772418</v>
      </c>
      <c r="BF154" s="28">
        <f>((Pipeline!$D$22*Pipeline!$D$24*B154*(pipeline_opex+M154+1/pipeline_lifetime))*(Pipeline!$D$39/Pipeline!$D$3)+(Pipeline!$D$57*(pipeline_comp_opex+M154+1/pipeline_comp_lifetime)+Pipeline!$D$47*1000*Pipeline!$D$45*$AU154/100/1000000))*(Pipeline!$D$75/Pipeline!$D$45)</f>
        <v>185899.89687610415</v>
      </c>
      <c r="BG154" s="28">
        <f>BD154+(BE154+BF154)/Storage!$AC$12*1000000</f>
        <v>42327.672027481916</v>
      </c>
      <c r="BH154" s="28"/>
      <c r="BI154" s="28"/>
      <c r="BJ154" s="28" t="str">
        <f>IF($E154="","No Port",BK154*HV_DC_Grid!$E$3*$AU154/100*1000)</f>
        <v>No Port</v>
      </c>
      <c r="BK154" s="31" t="str">
        <f>IFERROR((1-(1-HV_DC_Grid!$E$25)^(K154*HV_DC_Grid!$E$8/1000))+HV_DC_Grid!$E$35*HV_DC_Grid!$E$28,"")</f>
        <v/>
      </c>
      <c r="BL154" s="28" t="str">
        <f>IFERROR(K154*nl_e_demand/IF(hv_dc_flh="electricity FLH",$AV154,hv_dc_custom)*1000*hv_dc_capacity_multiplier*hv_dc_length_multiplier*1000*(hv_dc_overhead_invest*(hv_dc_overhead_opex+M154+1/hv_dc_lifetime))/1000000+HV_DC_Grid!$E$10*1000*hv_dc_station_invest*hv_dc_station_number*(hv_dc_station_opex+M154+1/hv_dc_lifetime)/1000000,"")</f>
        <v/>
      </c>
      <c r="BM154" s="29" t="str">
        <f>IFERROR((BJ154+BL154)/(HV_DC_Grid!$E$3*1000)*100,"")</f>
        <v/>
      </c>
      <c r="BN154" s="28" t="str">
        <f>IFERROR(((Pipeline!$D$22*Pipeline!$D$24*K154*(pipeline_opex+M154+1/pipeline_lifetime))*(Pipeline!$D$39/Pipeline!$D$3)+(Pipeline!$D$57*(pipeline_comp_opex+M154+1/pipeline_comp_lifetime)+Pipeline!$D$47*1000*Pipeline!$D$45*S154/100/1000000))*(Pipeline!$D$75/Pipeline!$D$45),"")</f>
        <v/>
      </c>
      <c r="BO154" s="28"/>
      <c r="BP154" s="150">
        <f t="shared" si="209"/>
        <v>1100.9834790043899</v>
      </c>
      <c r="BQ154" s="34">
        <f t="shared" si="210"/>
        <v>328.85918117374001</v>
      </c>
      <c r="BR154" s="151">
        <f>(nh3_invest*(M154+1/nh3_lifetime)/nh3_prod+nh3_opex+nh3_e_demand*1000*$AU154/100+Carriers!$N$18/Carriers!$N$23*BD154+Carriers!$N$19/Carriers!$N$23*BQ154)*(BT154+nh3_st_ab_losses)/1000000</f>
        <v>496682.95191037375</v>
      </c>
      <c r="BS154" s="63">
        <f>nh3_st_nl_cost*nh3_st_nl_demand/1000000+(nh3_st_invest*(M154+1/nh3_st_lifetime+nh3_st_opex)/(Storage!$G$63/1000000)+nh3_st_e_demand*1000*$AU154/100)*(BT154+nh3_st_ab_losses)/1000000+Carriers!$N$18/Carriers!$N$23*((BT154+nh3_st_ab_losses)/365.25*short_st_duration_hrs/24)*(h2_short_st_invest*(1/gh2_short_st_lifetime+$M154+h2_short_st_opex)+h2_short_st_e_demand*1000*$AU154/100)/1000000+Carriers!$N$19/Carriers!$N$23*((BT154+nh3_st_ab_losses)/365.25*short_st_duration_hrs/24)*(n2_short_st_invest*(1/n2_short_st_lifetime+$M154+n2_short_st_opex)+n2_short_st_e_demand*1000*$AU154/100)/1000000</f>
        <v>23487.043784920148</v>
      </c>
      <c r="BT154" s="63">
        <f>Storage!$G$57/((1-Shipping!$H$37)^(F154/24/Shipping!$H$44+0.5*Shipping!$H$59))</f>
        <v>76857210.785724297</v>
      </c>
      <c r="BU154" s="63" t="str">
        <f>IF($E154="","No Port",((F154/24/Shipping!$H$44+F154/24/Shipping!$H$50+Shipping!$H$59+Shipping!$H$64)*(Shipping!$H$22+wacc_nl*Shipping!$H$19/365.25*1000000+Shipping!$H$35)+(F154/24/Shipping!$H$44*Shipping!$H$45+Shipping!$H$64*Shipping!$H$65)*IF(bunker_choice="HFO",H154,IF(bunker_choice="hydrogen",BD154*hfo_e_density_lhv/h2_e_density_lhv,(BR154+BS154)*1000000/BT154*hfo_e_density_lhv/nh3_e_density_lhv))+(F154/24/Shipping!$H$50*Shipping!$H$51+Shipping!$H$59*Shipping!$H$60)*IF(bunker_choice="HFO",bunker_price_ROT,IF(bunker_choice="hydrogen",BD154*hfo_e_density_lhv/h2_e_density_lhv,(BR154+BS154)*1000000/BT154*hfo_e_density_lhv/nh3_e_density_lhv))+Shipping!$H$73+IF(G154="Panama",Shipping!$H$55,0)+IF(G154="Suez",Shipping!$H$56,0))/Shipping!$H$31*BT154/1000000+IF(inland_transport_to_port="hv dc grid",$BM154/100*1000*BW154,IF(inland_transport_to_port="pipeline",$BN154,0)))</f>
        <v>No Port</v>
      </c>
      <c r="BV154" s="63" t="str">
        <f t="shared" si="199"/>
        <v/>
      </c>
      <c r="BW154" s="33">
        <f>((Carriers!$N$18/Carriers!$N$23*alk_el_e_demand)+(Carriers!$N$19/Carriers!$N$23*n2_e_demand)+nh3_e_demand)*(BT154+nh3_st_ab_losses)/1000000+nh3_st_e_demand*BT154/1000000</f>
        <v>759.00171168026975</v>
      </c>
      <c r="BX154" s="33">
        <f t="shared" si="185"/>
        <v>0.76626754477640768</v>
      </c>
      <c r="BY154" s="63" t="str">
        <f>IFERROR(BV154*1000000/Storage!$G$12,"")</f>
        <v/>
      </c>
      <c r="BZ154" s="63">
        <f>H2_retrieval!$F$25*h2_demand_kt/1000</f>
        <v>80</v>
      </c>
      <c r="CA154" s="63" t="str">
        <f>IFERROR(BY154*(1+H2_retrieval!$F$34)/Carrier_properties!$E$7+H2_retrieval!$F$38,"")</f>
        <v/>
      </c>
      <c r="CB154" s="149">
        <f>(FA_invest*(M154+1/FA_lifetime)/FA_prod+FA_opex+FA_e_demand*1000*$AU154/100+Carriers!$P$18/Carriers!$P$23*BD154+Carriers!$P$20/Carriers!$P$23*co2_liq_cost)*(CF154+FA_st_ab_losses)/1000000</f>
        <v>1000501.9717192758</v>
      </c>
      <c r="CC154" s="86">
        <f>(FA_invest*(M154+1/FA_lifetime)/FA_prod+FA_opex+FA_e_demand*1000*$AU154/100+Carriers!$P$18/Carriers!$P$23*BD154+Carriers!$P$20/Carriers!$P$23*BP154)*(CF154+FA_st_ab_losses)/1000000</f>
        <v>1282327.8913166362</v>
      </c>
      <c r="CD154" s="63">
        <f>FA_st_nl_cost*FA_st_nl_demand/1000000+(FA_st_invest*(M154+1/FA_st_lifetime+FA_st_opex)/(Storage!$I$63/1000000)+FA_st_e_demand*1000*$AU154/100)*(CF154+FA_st_ab_losses)/1000000+co2_st_nl_cost*Storage!$I$12*co2_density/FA_density/1000000+(co2_st_opex_lev+co2_st_invest_lev+co2_st_e_demand*1000*$AU154/100)*Storage!$I$12/1000000+co2_st_invest_lev*Storage!$I$12*co2_st_lifetime*M154/1000000+Carriers!$P$18/Carriers!$P$23*((CF154+FA_st_ab_losses)/365.25*short_st_duration_hrs/24)*(h2_short_st_invest*(1/gh2_short_st_lifetime+$M154+h2_short_st_opex)+h2_short_st_e_demand*1000*$AU154/100)/1000000+Carriers!$P$20/Carriers!$P$23*((CF154+FA_st_ab_losses)/365.25*short_st_duration_hrs/24)*(co2_short_st_invest*(1/co2_short_st_lifetime+$M154+co2_short_st_opex)+co2_short_st_e_demand*1000*$AU154/100)/1000000</f>
        <v>74477.817685772912</v>
      </c>
      <c r="CE154" s="63">
        <f>FA_st_nl_cost*FA_st_nl_demand/1000000+(FA_st_invest*(M154+1/FA_st_lifetime+FA_st_opex)/(Storage!$I$63/1000000)+FA_st_e_demand*1000*$AU154/100)*(CF154+FA_st_ab_losses)/1000000+Carriers!$P$18/Carriers!$P$23*((CF154+FA_st_ab_losses)/365.25*short_st_duration_hrs/24)*(h2_short_st_invest*(1/gh2_short_st_lifetime+$M154+h2_short_st_opex)+h2_short_st_e_demand*1000*$AU154/100)/1000000+Carriers!$P$20/Carriers!$P$23*((CF154+FA_st_ab_losses)/365.25*short_st_duration_hrs/24)*(co2_short_st_invest*(1/co2_short_st_lifetime+$M154+co2_short_st_opex)+co2_short_st_e_demand*1000*$AU154/100)/1000000</f>
        <v>35556.783068912489</v>
      </c>
      <c r="CF154" s="63">
        <f>Storage!$I$57/((1-Shipping!$J$37)^($F154/24/Shipping!$J$44+0.5*Shipping!$J$59))</f>
        <v>310425396.82539684</v>
      </c>
      <c r="CG154" s="28" t="str">
        <f>IF($E154="","No Port",((F154/24/Shipping!$J$44+F154/24/Shipping!$J$50+Shipping!$J$59+Shipping!$J$64)*(Shipping!$J$22+wacc_nl*Shipping!$J$19/365.25*1000000+Shipping!$J$35)+(F154/24/Shipping!$J$44*Shipping!$J$45+Shipping!$J$64*Shipping!$J$65)*IF(bunker_choice="HFO",$H154,IF(bunker_choice="hydrogen",$BD154*hfo_e_density_lhv/h2_e_density_lhv,(CB154+CD154)*1000000/CF154*hfo_e_density_lhv/FA_e_density_lhv))+(F154/24/Shipping!$J$50*Shipping!$J$51+Shipping!$J$59*Shipping!$J$60)*IF(bunker_choice="HFO",bunker_price_ROT,IF(bunker_choice="hydrogen",$BD154*hfo_e_density_lhv/h2_e_density_lhv,(CB154+CD154)*1000000/CF154*hfo_e_density_lhv/FA_e_density_lhv))+Shipping!$J$73+IF(G154="Panama",Shipping!$J$55,0)+IF(G154="Suez",Shipping!$J$56,0))/Shipping!$J$31*CF154/1000000+IF(inland_transport_to_port="hv dc grid",$BM154/100*1000*CI154,IF(inland_transport_to_port="pipeline",$BN154,0)))</f>
        <v>No Port</v>
      </c>
      <c r="CH154" s="28" t="str">
        <f t="shared" si="213"/>
        <v/>
      </c>
      <c r="CI154" s="29">
        <f>((Carriers!$P$18/Carriers!$P$23*alk_el_e_demand)+FA_e_demand)*(CF154+FA_st_ab_losses)/1000000+FA_st_e_demand*CF154/1000000</f>
        <v>1897.8881241622576</v>
      </c>
      <c r="CJ154" s="29">
        <f t="shared" si="186"/>
        <v>0.46563809523809524</v>
      </c>
      <c r="CK154" s="28" t="str">
        <f>IFERROR(CH154*1000000/Storage!$I$12,"")</f>
        <v/>
      </c>
      <c r="CL154" s="28" t="str">
        <f>IF($E154="","No Port",((F154/24/Shipping!$J$44+F154/24/Shipping!$J$50+Shipping!$J$59+Shipping!$J$64)*Carriers!$P$39*wacc_nl))</f>
        <v>No Port</v>
      </c>
      <c r="CM154" s="29">
        <f>H2_retrieval!$H$25*h2_demand_kt/1000+(co2_liq_e_demand+co2_st_e_demand*2)*Storage!$I$12*co2_density/FA_density/1000000</f>
        <v>94.204253879484654</v>
      </c>
      <c r="CN154" s="28" t="str">
        <f>IFERROR((((CB154+CD154+CG154)*(1+H2_retrieval!$H$34)+CL154)*1000000/H2_retrieval!$H$8)+h2_regen_fa,"")</f>
        <v/>
      </c>
      <c r="CO154" s="149">
        <f>(meoh_invest*(M154+1/meoh_lifetime)/meoh_prod+meoh_opex+meoh_e_demand*1000*$AU154/100+Carriers!$R$18/Carriers!$R$23*BD154+Carriers!$R$20/Carriers!$R$23*co2_liq_cost)*(CS154+meoh_st_ab_losses)/1000000</f>
        <v>618565.5926266904</v>
      </c>
      <c r="CP154" s="86">
        <f>(meoh_invest*(M154+1/meoh_lifetime)/meoh_prod+meoh_opex+meoh_e_demand*1000*$AU154/100+Carriers!$R$18/Carriers!$R$23*BD154+Carriers!$R$20/Carriers!$R$23*BP154)*(CS154+meoh_st_ab_losses)/1000000</f>
        <v>784006.10791403276</v>
      </c>
      <c r="CQ154" s="63">
        <f>meoh_st_nl_cost*meoh_st_nl_demand/1000000+(meoh_st_invest*(M154+1/meoh_st_lifetime+meoh_st_opex)/(Storage!$K$63/1000000)+meoh_st_e_demand*1000*$AU154/100)*(CS154+meoh_st_ab_losses)/1000000+co2_st_nl_cost*Storage!$K$12*co2_density/meoh_density/1000000+(co2_st_opex_lev+co2_st_invest_lev+co2_st_e_demand*1000*IFERROR(MIN(S154,AA154,AI154),S154)/100)*Storage!$K$12/1000000+co2_st_invest_lev*Storage!$K$12*co2_st_lifetime*M154/1000000+Carriers!$R$18/Carriers!$R$23*((CS154+meoh_st_ab_losses)/365.25*short_st_duration_hrs/24)*(h2_short_st_invest*(1/gh2_short_st_lifetime+$M154+h2_short_st_opex)+h2_short_st_e_demand*1000*$AU154/100)/1000000+Carriers!$R$20/Carriers!$R$23*((CF154+meoh_st_ab_losses)/365.25*short_st_duration_hrs/24)*(co2_short_st_invest*(1/co2_short_st_lifetime+$M154+co2_short_st_opex)+co2_short_st_e_demand*1000*$AU154/100)/1000000</f>
        <v>30107.24244260581</v>
      </c>
      <c r="CR154" s="63">
        <f>meoh_st_nl_cost*meoh_st_nl_demand/1000000+(meoh_st_invest*(M154+1/meoh_st_lifetime+meoh_st_opex)/(Storage!$K$63/1000000)+meoh_st_e_demand*1000*$AU154/100)*(CS154+meoh_st_ab_losses)/1000000+Carriers!$R$18/Carriers!$R$23*((CS154+meoh_st_ab_losses)/365.25*short_st_duration_hrs/24)*(h2_short_st_invest*(1/gh2_short_st_lifetime+$M154+h2_short_st_opex)+h2_short_st_e_demand*1000*$AU154/100)/1000000+Carriers!$R$20/Carriers!$R$23*((CF154+meoh_st_ab_losses)/365.25*short_st_duration_hrs/24)*(co2_short_st_invest*(1/co2_short_st_lifetime+$M154+co2_short_st_opex)+co2_short_st_e_demand*1000*$AU154/100)/1000000</f>
        <v>15961.667935221833</v>
      </c>
      <c r="CS154" s="63">
        <f>Storage!$K$57/((1-Shipping!$L$37)^($F154/24/Shipping!$L$44+0.5*Shipping!$L$59))</f>
        <v>108044444.44444443</v>
      </c>
      <c r="CT154" s="28" t="str">
        <f>IF($E154="","No Port",IF(AND(ship_choice="VLCC",G154="Panama"),"Ship cannot pass through Panama",IF(ship_choice="VLCC",((F154/24/Shipping!$AD$44+F154/24/Shipping!$AD$50+Shipping!$AD$59+Shipping!$AD$64)*(Shipping!$AD$22+wacc_nl*Shipping!$AD$19/365.25*1000000+Shipping!$AD$35)+(F154/24/Shipping!$AD$44*Shipping!$AD$45+Shipping!$AD$64*Shipping!$AD$65)*IF(bunker_choice="HFO",$H154,IF(bunker_choice="hydrogen",$BD154*hfo_e_density_lhv/h2_e_density_lhv,(CO154+CQ154)*1000000/CS154*hfo_e_density_lhv/meoh_e_density_lhv))+(F154/24/Shipping!$AD$50*Shipping!$AD$51+Shipping!$AD$59*Shipping!$AD$60)*IF(bunker_choice="HFO",bunker_price_ROT,IF(bunker_choice="hydrogen",$BD154*hfo_e_density_lhv/h2_e_density_lhv,(CO154+CQ154)*1000000/CS154*hfo_e_density_lhv/meoh_e_density_lhv))+Shipping!$AD$73+IF(G154="Panama",Shipping!$AD$55,0)+IF(G154="Suez",Shipping!$AD$56,0))/Shipping!$AD$31*CS154/1000000+IF(inland_transport_to_port="hv dc grid",$BM154/100*1000*CV154,IF(inland_transport_to_port="pipeline",$BN154,0)),((F154/24/Shipping!$L$44+F154/24/Shipping!$L$50+Shipping!$L$59+Shipping!$L$64)*(Shipping!$L$22+wacc_nl*Shipping!$L$19/365.25*1000000+Shipping!$L$35)+(F154/24/Shipping!$L$44*Shipping!$L$45+Shipping!$L$64*Shipping!$L$65)*IF(bunker_choice="HFO",$H154,IF(bunker_choice="hydrogen",$BD154*hfo_e_density_lhv/h2_e_density_lhv,(CO154+CQ154)*1000000/CS154*hfo_e_density_lhv/meoh_e_density_lhv))+(F154/24/Shipping!$L$50*Shipping!$L$51+Shipping!$L$59*Shipping!$L$60)*IF(bunker_choice="HFO",bunker_price_ROT,IF(bunker_choice="hydrogen",$BD154*hfo_e_density_lhv/h2_e_density_lhv,(CO154+CQ154)*1000000/CS154*hfo_e_density_lhv/meoh_e_density_lhv))+Shipping!$L$73+IF(G154="Panama",Shipping!$L$55,0)+IF(G154="Suez",Shipping!$L$56,0))/Shipping!$L$31*CS154/1000000+IF(inland_transport_to_port="hv dc grid",$BM154/100*1000*CV154,IF(inland_transport_to_port="pipeline",$BN154,0)))))</f>
        <v>No Port</v>
      </c>
      <c r="CU154" s="28" t="str">
        <f t="shared" si="214"/>
        <v/>
      </c>
      <c r="CV154" s="29">
        <f>((Carriers!$R$18/Carriers!$R$23*alk_el_e_demand)+meoh_e_demand)*(CS154+meoh_st_ab_losses)/1000000+meoh_st_e_demand*CS154/1000000</f>
        <v>1119.9789871111109</v>
      </c>
      <c r="CW154" s="29">
        <f t="shared" si="187"/>
        <v>0.16206666666666666</v>
      </c>
      <c r="CX154" s="28" t="str">
        <f>IFERROR(CU154*1000000/Storage!$K$12,"")</f>
        <v/>
      </c>
      <c r="CY154" s="28" t="str">
        <f>IF($E154="","No Port",((F154/24/Shipping!$L$44+F154/24/Shipping!$L$50+Shipping!$L$59+Shipping!$L$64)*Carriers!$R$39*wacc_nl))</f>
        <v>No Port</v>
      </c>
      <c r="CZ154" s="29">
        <f>H2_retrieval!$J$25*h2_demand_kt/1000+(co2_liq_e_demand+co2_st_e_demand*2)*Storage!$K$12*co2_density/meoh_density/1000000</f>
        <v>251.05079059698966</v>
      </c>
      <c r="DA154" s="28" t="str">
        <f>IFERROR((((CO154+CQ154+CT154)*(1+H2_retrieval!$J$34)+CY154)*1000000/H2_retrieval!$J$8)+h2_regen_meoh,"")</f>
        <v/>
      </c>
      <c r="DB154" s="149">
        <f>(DBT_invest*(M154+1/DBT_lifetime)/DBT_prod+DBT_opex+DBT_e_demand*1000*$AU154/100+Carriers!$T$18/Carriers!$T$23*BD154)*(DD154+DBT_st_ab_losses)/1000000</f>
        <v>413060.58688094863</v>
      </c>
      <c r="DC154" s="28">
        <f>2*(DBT_st_nl_cost*DBT_st_nl_demand/1000000+(DBT_st_invest*(M154+1/DBT_st_lifetime+DBT_st_opex)/(Storage!$M$63/1000000)+DBT_st_e_demand*1000*$AU154/100)*(DD154+DBT_st_ab_losses)/1000000)+Carriers!$T$18/Carriers!$T$23*((DD154+DBT_st_ab_losses)/365.25*short_st_duration_hrs/24)*(h2_short_st_invest*(1/gh2_short_st_lifetime+$M154+h2_short_st_opex)+h2_short_st_e_demand*1000*$AU154/100)/1000000</f>
        <v>28703.008173320904</v>
      </c>
      <c r="DD154" s="63">
        <f>Storage!$M$57/((1-Shipping!$N$37)^($F154/24/Shipping!$N$44+0.5*Shipping!$N$59))</f>
        <v>219354838.70967743</v>
      </c>
      <c r="DE154" s="28" t="str">
        <f>IF($E154="","No Port",IF(AND(ship_choice="VLCC",G154="Panama"),"Ship cannot pass through Panama",IF(ship_choice="VLCC",((F154/24/Shipping!$AD$44+F154/24/Shipping!$AD$50+Shipping!$AD$59+Shipping!$AD$64)*(Shipping!$AD$22+wacc_nl*Shipping!$AD$19/365.25*1000000+Shipping!$AD$35)+(F154/24/Shipping!$AD$44*Shipping!$AD$45+Shipping!$AD$64*Shipping!$AD$65)*IF(bunker_choice="HFO",$H154,IF(bunker_choice="hydrogen",$BD154*hfo_e_density_lhv/h2_e_density_lhv,(DB154+DC154)*1000000/DD154*hfo_e_density_lhv/DBT_e_density_lhv))+(F154/24/Shipping!$AD$50*Shipping!$AD$51+Shipping!$AD$59*Shipping!$AD$60)*IF(bunker_choice="HFO",bunker_price_ROT,IF(bunker_choice="hydrogen",$BD154*hfo_e_density_lhv/h2_e_density_lhv,(DB154+DC154)*1000000/DD154*hfo_e_density_lhv/DBT_e_density_lhv))+Shipping!$AD$73+IF(G154="Panama",Shipping!$AD$55,0)+IF(G154="Suez",Shipping!$AD$56,0))/Shipping!$AD$31*DD154/1000000+IF(inland_transport_to_port="hv dc grid",$BM154/100*1000*DG154,IF(inland_transport_to_port="pipeline",$BN154,0)),((F154/24/Shipping!$N$44+F154/24/Shipping!$N$50+Shipping!$N$59+Shipping!$N$64)*(Shipping!$N$22+wacc_nl*Shipping!$N$19/365.25*1000000+Shipping!$N$35)+(F154/24/Shipping!$N$44*Shipping!$N$45+Shipping!$N$64*Shipping!$N$65)*IF(bunker_choice="HFO",$H154,IF(bunker_choice="hydrogen",$BD154*hfo_e_density_lhv/h2_e_density_lhv,(DB154+DC154)*1000000/DD154*hfo_e_density_lhv/DBT_e_density_lhv))+(F154/24/Shipping!$N$50*Shipping!$N$51+Shipping!$N$59*Shipping!$N$60)*IF(bunker_choice="HFO",bunker_price_ROT,IF(bunker_choice="hydrogen",$BD154*hfo_e_density_lhv/h2_e_density_lhv,(DB154+DC154)*1000000/DD154*hfo_e_density_lhv/DBT_e_density_lhv))+Shipping!$N$73+IF(G154="Panama",Shipping!$N$55,0)+IF(G154="Suez",Shipping!$N$56,0))/Shipping!$N$31*Shipping!$N$86/1000000+IF(inland_transport_to_port="hv dc grid",$BM154/100*1000*DG154,IF(inland_transport_to_port="pipeline",$BN154,0)))))</f>
        <v>No Port</v>
      </c>
      <c r="DF154" s="28" t="str">
        <f t="shared" si="159"/>
        <v/>
      </c>
      <c r="DG154" s="29">
        <f>((Carriers!$T$18/Carriers!$T$23*alk_el_e_demand)+DBT_e_demand)*(DD154+DBT_st_ab_losses)/1000000+DBT_st_e_demand*DD154/1000000</f>
        <v>703.88335483870969</v>
      </c>
      <c r="DH154" s="29">
        <f t="shared" si="188"/>
        <v>0.21935483870967742</v>
      </c>
      <c r="DI154" s="28" t="str">
        <f>IFERROR(DF154*1000000/Storage!$M$12,"")</f>
        <v/>
      </c>
      <c r="DJ154" s="28" t="str">
        <f>IF($E154="","No Port",((F154/24/Shipping!$N$44+F154/24/Shipping!$N$50+Shipping!$N$59+Shipping!$N$64)*Carriers!$T$39*wacc_nl))</f>
        <v>No Port</v>
      </c>
      <c r="DK154" s="100">
        <f>H2_retrieval!$L$25*h2_demand_kt/1000+(co2_liq_e_demand+co2_st_e_demand*2)*Storage!$M$12*co2_density/DBT_density/1000000</f>
        <v>206.61934861671787</v>
      </c>
      <c r="DL154" s="28" t="str">
        <f>IFERROR(((DF154*(1+H2_retrieval!$L$34)+DJ154)*1000000/H2_retrieval!$L$8)+h2_regen_lohc,"")</f>
        <v/>
      </c>
      <c r="DM154" s="149">
        <f t="shared" si="211"/>
        <v>421428.56724641251</v>
      </c>
      <c r="DN154" s="16">
        <f>2*(nabh4_st_nl_cost*nabh4_st_nl_demand/1000000+(nabh4_st_invest*(M154+1/nabh4_st_lifetime+nabh4_st_opex)/(Storage!$O$63/1000000)+nabh4_st_e_demand*1000*$AU154/100)*(DO154+nabh4_st_ab_losses)/1000000)+(h2_demand_kt*1000/365.25*short_st_duration_hrs/24)*(h2_short_st_invest*(1/gh2_short_st_lifetime+$M154+h2_short_st_opex)+h2_short_st_e_demand*1000*$AU154/100)/1000000</f>
        <v>10120.709350239915</v>
      </c>
      <c r="DO154" s="63">
        <f>Storage!$O$57/((1-Shipping!$P$37)^($F154/24/Shipping!$P$44+0.5*Shipping!$P$59))</f>
        <v>63920000</v>
      </c>
      <c r="DP154" s="16" t="str">
        <f>IF($E154="","No Port",((F154/24/Shipping!$P$44+F154/24/Shipping!$P$50+Shipping!$P$59+Shipping!$P$64)*(Shipping!$P$22+wacc_nl*Shipping!$P$19/365.25*1000000+Shipping!$P$35)+(F154/24/Shipping!$P$44*Shipping!$P$45+Shipping!$P$64*Shipping!$P$65)*IF(bunker_choice="HFO",$H154,IF(bunker_choice="hydrogen",$BD154*hfo_e_density_lhv/h2_e_density_lhv,(DM154+DN154)*1000000/DO154*hfo_e_density_lhv/nabh4_e_density_lhv))+(F154/24/Shipping!$P$50*Shipping!$P$51+Shipping!$P$59*Shipping!$P$60)*IF(bunker_choice="HFO",bunker_price_ROT,IF(bunker_choice="hydrogen",$BD154*hfo_e_density_lhv/h2_e_density_lhv,(DM154+DN154)*1000000/DO154*hfo_e_density_lhv/nabh4_e_density_lhv))+Shipping!$P$73+IF(G154="Panama",Shipping!$P$55,0)+IF(G154="Suez",Shipping!$P$56,0))/Shipping!$P$31*(DO154+nabh4_st_ab_losses)/1000000+IF(inland_transport_to_port="hv dc grid",$BM154/100*1000*DR154,IF(inland_transport_to_port="pipeline",$BN154,0)))</f>
        <v>No Port</v>
      </c>
      <c r="DQ154" s="28" t="str">
        <f t="shared" si="146"/>
        <v/>
      </c>
      <c r="DR154" s="29">
        <f>((Carriers!$V$18/Carriers!$V$23*alk_el_e_demand)+nabh4_e_demand)*(DO154+nabh4_st_ab_losses)/1000000+nabh4_st_e_demand*DO154/1000000</f>
        <v>980.02139682539689</v>
      </c>
      <c r="DS154" s="28">
        <f t="shared" si="189"/>
        <v>3.1960000000000002</v>
      </c>
      <c r="DT154" s="28" t="str">
        <f>IFERROR(DQ154*1000000/Storage!$O$12,"")</f>
        <v/>
      </c>
      <c r="DU154" s="28" t="str">
        <f>IF($E154="","No Port",((F154/24/Shipping!$P$44+F154/24/Shipping!$P$50+Shipping!$P$59+Shipping!$P$64)*Carriers!$V$39*wacc_nl))</f>
        <v>No Port</v>
      </c>
      <c r="DV154" s="100">
        <f>H2_retrieval!$N$25*h2_demand_kt/1000+(co2_liq_e_demand+co2_st_e_demand*2)*Storage!$O$12*co2_density/nabh4_density/1000000</f>
        <v>18.783638728971958</v>
      </c>
      <c r="DW154" s="28" t="str">
        <f>IFERROR(((DQ154*(1+H2_retrieval!$N$34)+DU154)*1000000/H2_retrieval!$N$8)+h2_regen_nabh4,"")</f>
        <v/>
      </c>
      <c r="DX154" s="149">
        <f>(Dme_invest*(M154+1/Dme_lifetime)/Dme_prod+Dme_opex+Dme_e_demand*1000*$AU154/100+Carriers!$X$21/Carriers!$X$23*(CO154*1000000/CS154))*(EB154+Dme_st_ab_losses)/1000000</f>
        <v>869063.89006207592</v>
      </c>
      <c r="DY154" s="86">
        <f>(Dme_invest*(M154+1/Dme_lifetime)/Dme_prod+Dme_opex+Dme_e_demand*1000*$AU154/100+Carriers!$X$21/Carriers!$X$23*(CP154*1000000/CS154))*(EB154+Dme_st_ab_losses)/1000000</f>
        <v>1093511.0832729961</v>
      </c>
      <c r="DZ154" s="63">
        <f>Dme_st_nl_cost*Dme_st_nl_demand/1000000+(Dme_st_invest*(M154+1/Dme_st_lifetime+Dme_st_opex)/(Storage!$Q$63/1000000)+Dme_st_e_demand*1000*$AU154/100)*(EB154+Dme_st_ab_losses)/1000000+co2_st_nl_cost*Storage!$Q$12*co2_density/Dme_density/1000000+(co2_st_opex_lev+co2_st_invest_lev+co2_st_e_demand*1000*$AU154/100)*Storage!$Q$12/1000000+co2_st_invest_lev*Storage!$Q$12*co2_st_lifetime*M154/1000000+(h2_demand_kt*1000/365.25*short_st_duration_hrs/24)*(h2_short_st_invest*(1/gh2_short_st_lifetime+$M154+h2_short_st_opex)+h2_short_st_e_demand*1000*$AU154/100)/1000000</f>
        <v>34980.793708698016</v>
      </c>
      <c r="EA154" s="63">
        <f>Dme_st_nl_cost*Dme_st_nl_demand/1000000+(Dme_st_invest*(M154+1/Dme_st_lifetime+Dme_st_opex)/(Storage!$Q$63/1000000)+Dme_st_e_demand*1000*$AU154/100)*(EB154+Dme_st_ab_losses)/1000000+(h2_demand_kt*1000/365.25*short_st_duration_hrs/24)*(h2_short_st_invest*(1/gh2_short_st_lifetime+$M154+h2_short_st_opex)+h2_short_st_e_demand*1000*$AU154/100)/1000000</f>
        <v>21297.128634020479</v>
      </c>
      <c r="EB154" s="63">
        <f>Storage!$Q$57/((1-Shipping!$R$37)^($F154/24/Shipping!$R$44+0.5*Shipping!$R$59))</f>
        <v>103547089.94708996</v>
      </c>
      <c r="EC154" s="153" t="str">
        <f>IF($E154="","No Port",IF(AND(ship_choice="VLCC",G154="Panama"),"Ship cannot pass through Panama",IF(ship_choice="VLCC",((F154/24/Shipping!$AD$44+F154/24/Shipping!$AD$50+Shipping!$AD$59+Shipping!$AD$64)*(Shipping!$AD$22+wacc_nl*Shipping!$AD$19/365.25*1000000+Shipping!$AD$35)+(F154/24/Shipping!$AD$44*Shipping!$AD$45+Shipping!$AD$64*Shipping!$AD$65)*IF(bunker_choice="HFO",$H154,IF(bunker_choice="hydrogen",$BD154*hfo_e_density_lhv/h2_e_density_lhv,(DX154+DZ154)*1000000/EB154*hfo_e_density_lhv/Dme_e_density_lhv))+(F154/24/Shipping!$AD$50*Shipping!$AD$51+Shipping!$AD$59*Shipping!$AD$60)*IF(bunker_choice="HFO",bunker_price_ROT,IF(bunker_choice="hydrogen",$BD154*hfo_e_density_lhv/h2_e_density_lhv,(DX154+DZ154)*1000000/EB154*hfo_e_density_lhv/Dme_e_density_lhv))+Shipping!$AD$73+IF(G154="Panama",Shipping!$AD$55,0)+IF(G154="Suez",Shipping!$AD$56,0))/Shipping!$AD$31*(EB154+Dme_st_ab_losses)/1000000+IF(inland_transport_to_port="hv dc grid",$BM154/100*1000*EE154,IF(inland_transport_to_port="pipeline",$BN154,0)),((F154/24/Shipping!$R$44+F154/24/Shipping!$R$50+Shipping!$R$59+Shipping!$R$64)*(Shipping!$R$22+wacc_nl*Shipping!$R$19/365.25*1000000+Shipping!$R$35)+(F154/24/Shipping!$R$44*Shipping!$R$45+Shipping!$R$64*Shipping!$R$65)*IF(bunker_choice="HFO",$H154,IF(bunker_choice="hydrogen",$BD154*hfo_e_density_lhv/h2_e_density_lhv,(DX154+DZ154)*1000000/EB154*hfo_e_density_lhv/Dme_e_density_lhv))+(F154/24/Shipping!$R$50*Shipping!$R$51+Shipping!$R$59*Shipping!$R$60)*IF(bunker_choice="HFO",bunker_price_ROT,IF(bunker_choice="hydrogen",$BD154*hfo_e_density_lhv/h2_e_density_lhv,(DX154+DZ154)*1000000/EB154*hfo_e_density_lhv/Dme_e_density_lhv))+Shipping!$R$73+IF(G154="Panama",Shipping!$R$55,0)+IF(G154="Suez",Shipping!$R$56,0))/Shipping!$R$31*(EB154+Dme_st_ab_losses)/1000000+IF(inland_transport_to_port="hv dc grid",$BM154/100*1000*EE154,IF(inland_transport_to_port="pipeline",$BN154,0)))))</f>
        <v>No Port</v>
      </c>
      <c r="ED154" s="28" t="str">
        <f t="shared" si="215"/>
        <v/>
      </c>
      <c r="EE154" s="29">
        <f>(Dme_e_demand)*(EB154+Dme_st_ab_losses)/1000000+Dme_st_e_demand*DZ154/1000000+$CV154*(Carriers!$X$21/Carriers!$X$23*EB154)/$CS154</f>
        <v>1550.2171099749928</v>
      </c>
      <c r="EF154" s="29">
        <f t="shared" si="190"/>
        <v>1.0354708994708997</v>
      </c>
      <c r="EG154" s="28" t="str">
        <f>IFERROR(ED154*1000000/Storage!$Q$12,"")</f>
        <v/>
      </c>
      <c r="EH154" s="28" t="str">
        <f>IF($E154="","No Port",((F154/24/Shipping!$R$44+F154/24/Shipping!$R$50+Shipping!$R$59+Shipping!$R$64)*Carriers!$X$39*wacc_nl))</f>
        <v>No Port</v>
      </c>
      <c r="EI154" s="100">
        <f>H2_retrieval!$P$25*h2_demand_kt/1000+(co2_liq_e_demand+co2_st_e_demand*2)*Storage!$Q$12*co2_density/Dme_density/1000000</f>
        <v>252.45335899349112</v>
      </c>
      <c r="EJ154" s="28" t="str">
        <f>IFERROR((((DX154+DZ154+EC154)*(1+H2_retrieval!$P$34)+EH154)*1000000/H2_retrieval!$P$8)+h2_regen_dme,"")</f>
        <v/>
      </c>
      <c r="EK154" s="149">
        <f>(ome_invest*(M154+1/ome_lifetime)/ome_prod+ome_opex+ome_e_demand*1000*$AU154/100+Carriers!$Z$21/Carriers!$Z$23*(CO154*1000000/CS154))*(EO154+ome_st_ab_losses)/1000000</f>
        <v>1889360.9900275636</v>
      </c>
      <c r="EL154" s="86">
        <f>(ome_invest*(M154+1/ome_lifetime)/ome_prod+ome_opex+ome_e_demand*1000*$AU154/100+Carriers!$Z$21/Carriers!$Z$23*(CP154*1000000/CS154))*(EO154+ome_st_ab_losses)/1000000</f>
        <v>2360519.340148747</v>
      </c>
      <c r="EM154" s="63">
        <f>ome_st_nl_cost*ome_st_nl_demand/1000000+(ome_st_invest*(M154+1/ome_st_lifetime+ome_st_opex)/(Storage!$S$63/1000000)+ome_st_e_demand*1000*$AU154/100)*(EO154+ome_st_ab_losses)/1000000+co2_st_nl_cost*Storage!$S$12*co2_density/ome_density/1000000+(co2_st_opex_lev+co2_st_invest_lev+co2_st_e_demand*1000*$AU154/100)*Storage!$S$12/1000000+co2_st_invest_lev*Storage!$S$12*co2_st_lifetime*M154/1000000+(h2_demand_kt*1000/365.25*short_st_duration_hrs/24)*(h2_short_st_invest*(1/gh2_short_st_lifetime+$M154+h2_short_st_opex)+h2_short_st_e_demand*1000*$AU154/100)/1000000</f>
        <v>30241.719207194707</v>
      </c>
      <c r="EN154" s="63">
        <f>ome_st_nl_cost*ome_st_nl_demand/1000000+(ome_st_invest*(M154+1/ome_st_lifetime+ome_st_opex)/(Storage!$S$63/1000000)+ome_st_e_demand*1000*$AU154/100)*(EO154+ome_st_ab_losses)/1000000+(h2_demand_kt*1000/365.25*short_st_duration_hrs/24)*(h2_short_st_invest*(1/gh2_short_st_lifetime+$M154+h2_short_st_opex)+h2_short_st_e_demand*1000*$AU154/100)/1000000</f>
        <v>13628.252082215909</v>
      </c>
      <c r="EO154" s="63">
        <f>Storage!$S$57/((1-Shipping!$T$37)^($F154/24/Shipping!$T$44+0.5*Shipping!$T$59))</f>
        <v>128282539.68253967</v>
      </c>
      <c r="EP154" s="28" t="str">
        <f>IF($E154="","No Port",IF(AND(ship_choice="VLCC",G154="Panama"),"Ship cannot pass through Panama",IF(ship_choice="VLCC",((F154/24/Shipping!$AD$44+F154/24/Shipping!$AD$50+Shipping!$AD$59+Shipping!$AD$64)*(Shipping!$AD$22+wacc_nl*Shipping!$AD$19/365.25*1000000+Shipping!$AD$35)+(F154/24/Shipping!$AD$44*Shipping!$AD$45+Shipping!$AD$64*Shipping!$AD$65)*IF(bunker_choice="HFO",$H154,IF(bunker_choice="hydrogen",$BD154*hfo_e_density_lhv/h2_e_density_lhv,(EK154+EM154)*1000000/EO154*hfo_e_density_lhv/Dme_e_density_lhv))+(F154/24/Shipping!$AD$50*Shipping!$AD$51+Shipping!$AD$59*Shipping!$AD$60)*IF(bunker_choice="HFO",bunker_price_ROT,IF(bunker_choice="hydrogen",$BD154*hfo_e_density_lhv/h2_e_density_lhv,(EK154+EM154)*1000000/EO154*hfo_e_density_lhv/ome_e_density_lhv))+Shipping!$AD$73+IF(G154="Panama",Shipping!$AD$55,0)+IF(G154="Suez",Shipping!$AD$56,0))/Shipping!$AD$31*(EO154+ome_st_ab_losses)/1000000+IF(inland_transport_to_port="hv dc grid",$BM154/100*1000*ER154,IF(inland_transport_to_port="pipeline",$BN154,0)),((F154/24/Shipping!$T$44+F154/24/Shipping!$T$50+Shipping!$T$59+Shipping!$T$64)*(Shipping!$T$22+wacc_nl*Shipping!$T$19/365.25*1000000+Shipping!$T$35)+(F154/24/Shipping!$T$44*Shipping!$T$45+Shipping!$T$64*Shipping!$T$65)*IF(bunker_choice="HFO",$H154,IF(bunker_choice="hydrogen",$BD154*hfo_e_density_lhv/h2_e_density_lhv,(EK154+EM154)*1000000/EO154*hfo_e_density_lhv/Dme_e_density_lhv))+(F154/24/Shipping!$T$50*Shipping!$T$51+Shipping!$T$59*Shipping!$T$60)*IF(bunker_choice="HFO",bunker_price_ROT,IF(bunker_choice="hydrogen",$BD154*hfo_e_density_lhv/h2_e_density_lhv,(EK154+EM154)*1000000/EO154*hfo_e_density_lhv/ome_e_density_lhv))+Shipping!$T$73+IF(G154="Panama",Shipping!$T$55,0)+IF(G154="Suez",Shipping!$T$56,0))/Shipping!$T$31*(EO154+ome_st_ab_losses)/1000000+IF(inland_transport_to_port="hv dc grid",$BM154/100*1000*ER154,IF(inland_transport_to_port="pipeline",$BN154,0)))))</f>
        <v>No Port</v>
      </c>
      <c r="EQ154" s="28" t="str">
        <f t="shared" si="216"/>
        <v/>
      </c>
      <c r="ER154" s="29">
        <f>(ome_e_demand)*(EO154+ome_st_ab_losses)/1000000+ome_st_e_demand*EM154/1000000+$CV154*(Carriers!$Z$21/Carriers!$Z$23*EO154)/$CS154</f>
        <v>3352.0814955033625</v>
      </c>
      <c r="ES154" s="29">
        <f t="shared" si="191"/>
        <v>0.1924238095238095</v>
      </c>
      <c r="ET154" s="28" t="str">
        <f>IFERROR(EQ154*1000000/Storage!$S$12,"")</f>
        <v/>
      </c>
      <c r="EU154" s="28" t="str">
        <f>IF($E154="","No Port",((F154/24/Shipping!$T$44+F154/24/Shipping!$T$50+Shipping!$T$59+Shipping!$T$64)*Carriers!$Z$39*wacc_nl))</f>
        <v>No Port</v>
      </c>
      <c r="EV154" s="100">
        <f>H2_retrieval!$R$25*h2_demand_kt/1000+(co2_liq_e_demand+co2_st_e_demand*2)*Storage!$S$12*co2_density/ome_density/1000000</f>
        <v>254.51942895252085</v>
      </c>
      <c r="EW154" s="28" t="str">
        <f>IFERROR((((EK154+EM154+EP154)*(1+H2_retrieval!$R$34)+EU154)*1000000/H2_retrieval!$R$8)+h2_regen_ome,"")</f>
        <v/>
      </c>
      <c r="EX154" s="149">
        <f>(sng_invest*(M154+1/sng_lifetime)/sng_prod+lng_invest*(M154+1/lng_lifetime)/lng_prod+sng_opex+lng_opex+(sng_e_demand+lng_e_demand)*1000*$AU154/100+Carriers!$AB$18/Carriers!$AB$23*BD154+Carriers!$AB$20/Carriers!$AB$23*co2_liq_cost)*(FB154+lng_st_ab_losses)/1000000</f>
        <v>659982.18736224808</v>
      </c>
      <c r="EY154" s="86">
        <f>(sng_invest*(M154+1/sng_lifetime)/sng_prod+lng_invest*(M154+1/lng_lifetime)/lng_prod+sng_opex+lng_opex+(sng_e_demand+lng_e_demand)*1000*$AU154/100+Carriers!$AB$18/Carriers!$AB$23*BD154+Carriers!$AB$20/Carriers!$AB$23*BP154)*(FB154+lng_st_ab_losses)/1000000</f>
        <v>782316.12970910606</v>
      </c>
      <c r="EZ154" s="63">
        <f>lng_st_nl_cost*lng_st_nl_demand/1000000+(lng_st_invest*(M154+1/lng_st_lifetime+lng_st_opex)/(Storage!$U$63/1000000)+lng_st_e_demand*1000*$AU154/100)*(FB154+lng_st_ab_losses)/1000000+co2_st_nl_cost*Storage!$U$12*co2_density/lng_density/1000000+(co2_st_opex_lev+co2_st_invest_lev+co2_st_e_demand*1000*$AU154/100)*Storage!$U$12/1000000+co2_st_invest_lev*Storage!$U$12*co2_st_lifetime*M154/1000000+Carriers!$AB$18/Carriers!$AB$23*((FB154+lng_st_ab_losses)/365.25*short_st_duration_hrs/24)*(h2_short_st_invest*(1/gh2_short_st_lifetime+$M154+h2_short_st_opex)+h2_short_st_e_demand*1000*$AU154/100)/1000000+Carriers!$AB$20/Carriers!$AB$23*((FB154+lng_st_ab_losses)/365.25*short_st_duration_hrs/24)*(co2_short_st_invest*(1/co2_short_st_lifetime+$M154+co2_short_st_opex)+co2_short_st_e_demand*1000*$AU154/100)/1000000</f>
        <v>38769.582069146789</v>
      </c>
      <c r="FA154" s="63">
        <f>lng_st_nl_cost*lng_st_nl_demand/1000000+(lng_st_invest*(M154+1/lng_st_lifetime+lng_st_opex)/(Storage!$U$63/1000000)+lng_st_e_demand*1000*$AU154/100)*(FB154+lng_st_ab_losses)/1000000+Carriers!$AB$18/Carriers!$AB$23*((FB154+lng_st_ab_losses)/365.25*short_st_duration_hrs/24)*(h2_short_st_invest*(1/gh2_short_st_lifetime+$M154+h2_short_st_opex)+h2_short_st_e_demand*1000*$AU154/100)/1000000+Carriers!$AB$20/Carriers!$AB$23*((FB154+lng_st_ab_losses)/365.25*short_st_duration_hrs/24)*(co2_short_st_invest*(1/co2_short_st_lifetime+$M154+co2_short_st_opex)+co2_short_st_e_demand*1000*$AU154/100)/1000000</f>
        <v>32968.733819382505</v>
      </c>
      <c r="FB154" s="63">
        <f>Storage!$U$57/((1-Shipping!$V$37)^($F154/24/Shipping!$V$44+0.5*Shipping!$V$59))</f>
        <v>40707231.50721889</v>
      </c>
      <c r="FC154" s="28" t="str">
        <f>IF($E154="","No Port",IF(G154="Panama","Ship cannot pass through Panama",((F154/24/Shipping!$V$44+F154/24/Shipping!$V$50+Shipping!$V$59+Shipping!$V$64)*(Shipping!$V$22+wacc_nl*Shipping!$V$19/365.25*1000000+Shipping!$V$35)+(F154/24/Shipping!$V$44*Shipping!$V$45+Shipping!$V$64*Shipping!$V$65)*IF(bunker_choice="HFO",$H154,IF(bunker_choice="hydrogen",$BD154*hfo_e_density_lhv/h2_e_density_lhv,(EX154+EZ154)*1000000/FB154*hfo_e_density_lhv/lng_e_density_lhv))+(F154/24/Shipping!$V$50*Shipping!$V$51+Shipping!$V$59*Shipping!$V$60)*IF(bunker_choice="HFO",bunker_price_ROT,IF(bunker_choice="hydrogen",$BD154*hfo_e_density_lhv/h2_e_density_lhv,(EX154+EZ154)*1000000/FB154*hfo_e_density_lhv/lng_e_density_lhv))+Shipping!$V$73+IF(G154="Panama",Shipping!$V$55,0)+IF(G154="Suez",Shipping!$V$56,0))/Shipping!$V$31*(FB154+lng_st_ab_losses)/1000000)+IF(inland_transport_to_port="hv dc grid",$BM154/100*1000*FE154,IF(inland_transport_to_port="pipeline",$BN154,0)))</f>
        <v>No Port</v>
      </c>
      <c r="FD154" s="28" t="str">
        <f t="shared" si="217"/>
        <v/>
      </c>
      <c r="FE154" s="29">
        <f>((Carriers!$AB$18/Carriers!$AB$23*alk_el_e_demand)+sng_e_demand+lng_e_demand)*(FB154+lng_st_ab_losses)/1000000+lng_st_e_demand*EZ154/1000000</f>
        <v>1091.7525344202907</v>
      </c>
      <c r="FF154" s="29">
        <f t="shared" si="192"/>
        <v>0.8126185861001558</v>
      </c>
      <c r="FG154" s="28" t="str">
        <f>IFERROR(FD154*1000000/Storage!$U$12,"")</f>
        <v/>
      </c>
      <c r="FH154" s="28" t="str">
        <f>IF($E154="","No Port",((F154/24/Shipping!$V$44+F154/24/Shipping!$V$50+Shipping!$V$59+Shipping!$V$64)*Carriers!$AB$39*wacc_nl))</f>
        <v>No Port</v>
      </c>
      <c r="FI154" s="100">
        <f>H2_retrieval!$T$25*h2_demand_kt/1000+(co2_liq_e_demand+co2_st_e_demand*2)*Storage!$U$12*co2_density/lng_density/1000000</f>
        <v>236.51371749646054</v>
      </c>
      <c r="FJ154" s="28" t="str">
        <f>IFERROR((((EX154+EZ154+FC154)*(1+H2_retrieval!$T$34)+FH154)*1000000/H2_retrieval!$T$8)+h2_regen_lng,"")</f>
        <v/>
      </c>
      <c r="FK154" s="149">
        <f>(lh2_invest*(M154+1/lh2_lifetime)/lh2_prod+lh2_opex+lh2_e_demand*1000*$AU154/100+Carriers!$AD$18/Carriers!$AD$23*BD154)*(FM154+lh2_st_ab_losses)/1000000</f>
        <v>525093.08095259557</v>
      </c>
      <c r="FL154" s="28">
        <f>lh2_st_nl_cost*lh2_st_nl_demand/1000000+(lh2_st_invest*(M154+1/lh2_st_lifetime+lh2_st_opex)/(Storage!$Y$63/1000000)+lh2_st_e_demand*1000*$AU154/100)*(FM154+lh2_st_ab_losses)/1000000+((FM154+lh2_st_ab_losses)/365.25*short_st_duration_hrs/24)*(h2_short_st_invest*(1/gh2_short_st_lifetime+$M154+h2_short_st_opex)+h2_short_st_e_demand*1000*$AU154/100)/1000000</f>
        <v>349782.39461342862</v>
      </c>
      <c r="FM154" s="63">
        <f>Storage!$Y$57/((1-Shipping!$Z$37)^($F154/24/Shipping!$Z$44+0.5*Shipping!$Z$59))</f>
        <v>13659984.090217989</v>
      </c>
      <c r="FN154" s="28" t="str">
        <f>IF($E154="","No Port",IF(G154="Panama","Ship cannot pass through Panama",((F154/24/Shipping!$Z$44+F154/24/Shipping!$Z$50+Shipping!$Z$59+Shipping!$Z$64)*(Shipping!$Z$22+wacc_nl*Shipping!$Z$19/365.25*1000000+Shipping!$Z$35)+(F154/24/Shipping!$Z$44*Shipping!$Z$45+Shipping!$Z$64*Shipping!$Z$65)*IF(bunker_choice="HFO",$H154,IF(bunker_choice="hydrogen",$BD154*hfo_e_density_lhv/h2_e_density_lhv,(FK154+FL154)*1000000/FM154*hfo_e_density_lhv/lh2_e_density_lhv))+(F154/24/Shipping!$Z$50*Shipping!$Z$51+Shipping!$Z$59*Shipping!$Z$60)*IF(bunker_choice="HFO",bunker_price_ROT,IF(bunker_choice="hydrogen",$BD154*hfo_e_density_lhv/h2_e_density_lhv,(FK154+FL154)*1000000/FM154*hfo_e_density_lhv/lh2_e_density_lhv))+Shipping!$Z$73+IF(G154="Panama",Shipping!$Z$55,0)+IF(G154="Suez",Shipping!$Z$56,0))/Shipping!$Z$31*(FM154+lh2_st_ab_losses)/1000000)+IF(inland_transport_to_port="hv dc grid",$BM154/100*1000*FP154,IF(inland_transport_to_port="pipeline",$BN154,0)))</f>
        <v>No Port</v>
      </c>
      <c r="FO154" s="28" t="str">
        <f t="shared" si="200"/>
        <v/>
      </c>
      <c r="FP154" s="29">
        <f>((Carriers!$AD$18/Carriers!$AD$23*alk_el_e_demand)+lh2_e_demand)*(FM154+lh2_st_ab_losses)/1000000+lh2_st_e_demand*FM154/1000000</f>
        <v>791.60233245091877</v>
      </c>
      <c r="FQ154" s="100">
        <f t="shared" si="193"/>
        <v>1.361902463475859</v>
      </c>
      <c r="FR154" s="28" t="str">
        <f>IFERROR(FO154*1000000/Storage!$Y$12,"")</f>
        <v/>
      </c>
      <c r="FS154" s="100">
        <f>H2_retrieval!$V$25*h2_demand_kt/1000</f>
        <v>8.16</v>
      </c>
      <c r="FT154" s="28" t="str">
        <f>IFERROR(FR154*(1+H2_retrieval!$V$34)/Carrier_properties!$U$7+H2_retrieval!$V$38,"")</f>
        <v/>
      </c>
      <c r="FU154" s="12"/>
      <c r="FV154" s="24">
        <f t="shared" si="201"/>
        <v>25.919764808350187</v>
      </c>
      <c r="FW154" s="24" t="str">
        <f t="shared" si="143"/>
        <v/>
      </c>
      <c r="FX154" s="24" t="str">
        <f t="shared" si="144"/>
        <v/>
      </c>
      <c r="FY154" s="24">
        <f t="shared" si="202"/>
        <v>25.919764808350187</v>
      </c>
      <c r="FZ154" s="28">
        <f t="shared" si="145"/>
        <v>28657.961491609862</v>
      </c>
      <c r="GA154" s="28">
        <f t="shared" si="218"/>
        <v>6462.411878244081</v>
      </c>
      <c r="GB154" s="28">
        <f t="shared" si="219"/>
        <v>4130.8730034028104</v>
      </c>
      <c r="GC154" s="28">
        <f t="shared" si="220"/>
        <v>7256.3296701216532</v>
      </c>
      <c r="GD154" s="28">
        <f t="shared" si="221"/>
        <v>10560.519700087696</v>
      </c>
      <c r="GE154" s="28">
        <f t="shared" si="222"/>
        <v>18400.94019022632</v>
      </c>
      <c r="GF154" s="28">
        <f t="shared" si="223"/>
        <v>19218.111886836927</v>
      </c>
      <c r="GG154" s="12"/>
      <c r="GH154" s="12"/>
      <c r="GI154" s="12"/>
      <c r="GJ154" s="12"/>
      <c r="GK154" s="12"/>
      <c r="GL154" s="12"/>
      <c r="GM154" s="12"/>
      <c r="GN154" s="12"/>
      <c r="GO154" s="12"/>
      <c r="GP154" s="12"/>
      <c r="GQ154" s="12"/>
      <c r="GR154" s="12"/>
      <c r="GS154" s="12"/>
      <c r="GT154" s="12"/>
      <c r="GU154" s="12"/>
      <c r="GV154" s="12"/>
      <c r="GW154" s="12"/>
      <c r="GX154" s="12"/>
      <c r="GY154" s="12"/>
      <c r="GZ154" s="12"/>
      <c r="HA154" s="12"/>
      <c r="HB154" s="12"/>
      <c r="HC154" s="12"/>
      <c r="HD154" s="12"/>
      <c r="HE154" s="12"/>
      <c r="HF154" s="12"/>
    </row>
    <row r="155" spans="1:214" x14ac:dyDescent="0.2">
      <c r="A155" s="25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46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  <c r="BU155" s="12"/>
      <c r="BV155" s="12"/>
      <c r="BW155" s="12"/>
      <c r="BX155" s="12"/>
      <c r="BY155" s="12"/>
      <c r="BZ155" s="12"/>
      <c r="CA155" s="12"/>
      <c r="CB155" s="12"/>
      <c r="CC155" s="12"/>
      <c r="CD155" s="12"/>
      <c r="CE155" s="12"/>
      <c r="CF155" s="12"/>
      <c r="CG155" s="12"/>
      <c r="CH155" s="12"/>
      <c r="CI155" s="12"/>
      <c r="CJ155" s="12"/>
      <c r="CK155" s="12"/>
      <c r="CL155" s="12"/>
      <c r="CM155" s="12"/>
      <c r="CN155" s="12"/>
      <c r="CO155" s="12"/>
      <c r="CP155" s="12"/>
      <c r="CQ155" s="12"/>
      <c r="CR155" s="12"/>
      <c r="CS155" s="12"/>
      <c r="CT155" s="12"/>
      <c r="CU155" s="12"/>
      <c r="CV155" s="12"/>
      <c r="CW155" s="12"/>
      <c r="CX155" s="12"/>
      <c r="CY155" s="12"/>
      <c r="CZ155" s="12"/>
      <c r="DA155" s="12"/>
      <c r="DB155" s="12"/>
      <c r="DC155" s="12"/>
      <c r="DD155" s="12"/>
      <c r="DE155" s="12"/>
      <c r="DF155" s="12"/>
      <c r="DG155" s="12"/>
      <c r="DH155" s="12"/>
      <c r="DI155" s="12"/>
      <c r="DJ155" s="12"/>
      <c r="DK155" s="12"/>
      <c r="DL155" s="12"/>
      <c r="DM155" s="12"/>
      <c r="DN155" s="12"/>
      <c r="DO155" s="12"/>
      <c r="DP155" s="12"/>
      <c r="DQ155" s="12"/>
      <c r="DR155" s="12"/>
      <c r="DS155" s="12"/>
      <c r="DT155" s="12"/>
      <c r="DU155" s="12"/>
      <c r="DV155" s="12"/>
      <c r="DW155" s="12"/>
      <c r="DX155" s="12"/>
      <c r="DY155" s="12"/>
      <c r="DZ155" s="12"/>
      <c r="EA155" s="12"/>
      <c r="EB155" s="12"/>
      <c r="EC155" s="12"/>
      <c r="ED155" s="12"/>
      <c r="EE155" s="12"/>
      <c r="EF155" s="12"/>
      <c r="EG155" s="12"/>
      <c r="EH155" s="12"/>
      <c r="EI155" s="12"/>
      <c r="EJ155" s="12"/>
      <c r="EK155" s="12"/>
      <c r="EL155" s="12"/>
      <c r="EM155" s="12"/>
      <c r="EN155" s="12"/>
      <c r="EO155" s="12"/>
      <c r="EP155" s="12"/>
      <c r="EQ155" s="12"/>
      <c r="ER155" s="12"/>
      <c r="ES155" s="12"/>
      <c r="ET155" s="12"/>
      <c r="EU155" s="12"/>
      <c r="EV155" s="12"/>
      <c r="EW155" s="12"/>
      <c r="EX155" s="12"/>
      <c r="EY155" s="12"/>
      <c r="EZ155" s="12"/>
      <c r="FA155" s="12"/>
      <c r="FB155" s="12"/>
      <c r="FC155" s="12"/>
      <c r="FD155" s="12"/>
      <c r="FE155" s="12"/>
      <c r="FF155" s="12"/>
      <c r="FG155" s="12"/>
      <c r="FH155" s="12"/>
      <c r="FI155" s="12"/>
      <c r="FJ155" s="12"/>
      <c r="FK155" s="12"/>
      <c r="FL155" s="12"/>
      <c r="FM155" s="12"/>
      <c r="FN155" s="12"/>
      <c r="FO155" s="12"/>
      <c r="FP155" s="12"/>
      <c r="FQ155" s="12"/>
      <c r="FR155" s="12"/>
      <c r="FS155" s="12"/>
      <c r="FT155" s="12"/>
      <c r="FU155" s="12"/>
      <c r="FV155" s="12"/>
      <c r="FW155" s="12"/>
      <c r="FX155" s="12"/>
      <c r="FY155" s="12"/>
      <c r="FZ155" s="12"/>
      <c r="GA155" s="12"/>
      <c r="GB155" s="12"/>
      <c r="GC155" s="12"/>
      <c r="GD155" s="12"/>
      <c r="GE155" s="12"/>
      <c r="GF155" s="12"/>
      <c r="GG155" s="12"/>
      <c r="GH155" s="12"/>
      <c r="GI155" s="12"/>
      <c r="GJ155" s="12"/>
      <c r="GK155" s="12"/>
      <c r="GL155" s="12"/>
      <c r="GM155" s="12"/>
      <c r="GN155" s="12"/>
      <c r="GO155" s="12"/>
      <c r="GP155" s="12"/>
      <c r="GQ155" s="12"/>
      <c r="GR155" s="12"/>
      <c r="GS155" s="12"/>
      <c r="GT155" s="12"/>
      <c r="GU155" s="12"/>
      <c r="GV155" s="12"/>
      <c r="GW155" s="12"/>
      <c r="GX155" s="12"/>
      <c r="GY155" s="12"/>
      <c r="GZ155" s="12"/>
      <c r="HA155" s="12"/>
      <c r="HB155" s="12"/>
      <c r="HC155" s="12"/>
      <c r="HD155" s="12"/>
      <c r="HE155" s="12"/>
      <c r="HF155" s="12"/>
    </row>
    <row r="156" spans="1:214" x14ac:dyDescent="0.2">
      <c r="A156" s="155" t="s">
        <v>299</v>
      </c>
      <c r="B156" s="12"/>
      <c r="C156" s="12"/>
      <c r="D156" s="12"/>
      <c r="E156" s="12"/>
      <c r="F156" s="12"/>
      <c r="G156" s="12"/>
      <c r="H156" s="12"/>
      <c r="I156" s="12"/>
      <c r="J156" s="12"/>
      <c r="K156" s="12" t="s">
        <v>1576</v>
      </c>
      <c r="L156" s="52">
        <f>AVERAGE(L9:L154)</f>
        <v>0.14146575342465756</v>
      </c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46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28">
        <f>SUMIF(AS9:AS154,"&gt;0")+SUMIF(AS9:AS154,"&lt;0")</f>
        <v>930422.7164176408</v>
      </c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  <c r="BP156" s="12"/>
      <c r="BQ156" s="12"/>
      <c r="BR156" s="12"/>
      <c r="BS156" s="12"/>
      <c r="BT156" s="12"/>
      <c r="BU156" s="12"/>
      <c r="BV156" s="12"/>
      <c r="BW156" s="12"/>
      <c r="BX156" s="12"/>
      <c r="BY156" s="12"/>
      <c r="BZ156" s="12"/>
      <c r="CA156" s="12"/>
      <c r="CB156" s="12"/>
      <c r="CC156" s="12"/>
      <c r="CD156" s="12"/>
      <c r="CE156" s="12"/>
      <c r="CF156" s="12"/>
      <c r="CG156" s="12"/>
      <c r="CH156" s="12"/>
      <c r="CI156" s="12"/>
      <c r="CJ156" s="12"/>
      <c r="CK156" s="12"/>
      <c r="CL156" s="12"/>
      <c r="CM156" s="12"/>
      <c r="CN156" s="12"/>
      <c r="CO156" s="12"/>
      <c r="CP156" s="12"/>
      <c r="CQ156" s="12"/>
      <c r="CR156" s="12"/>
      <c r="CS156" s="12"/>
      <c r="CT156" s="12"/>
      <c r="CU156" s="12"/>
      <c r="CV156" s="12"/>
      <c r="CW156" s="12"/>
      <c r="CX156" s="12"/>
      <c r="CY156" s="12"/>
      <c r="CZ156" s="12"/>
      <c r="DA156" s="12"/>
      <c r="DB156" s="12"/>
      <c r="DC156" s="12"/>
      <c r="DD156" s="12"/>
      <c r="DE156" s="12"/>
      <c r="DF156" s="12"/>
      <c r="DG156" s="12"/>
      <c r="DH156" s="12"/>
      <c r="DI156" s="12"/>
      <c r="DJ156" s="12"/>
      <c r="DK156" s="12"/>
      <c r="DL156" s="12"/>
      <c r="DM156" s="12"/>
      <c r="DN156" s="12"/>
      <c r="DO156" s="12"/>
      <c r="DP156" s="12"/>
      <c r="DQ156" s="12"/>
      <c r="DR156" s="12"/>
      <c r="DS156" s="12"/>
      <c r="DT156" s="12"/>
      <c r="DU156" s="12"/>
      <c r="DV156" s="12"/>
      <c r="DW156" s="12"/>
      <c r="DX156" s="12"/>
      <c r="DY156" s="12"/>
      <c r="DZ156" s="12"/>
      <c r="EA156" s="12"/>
      <c r="EB156" s="12"/>
      <c r="EC156" s="12"/>
      <c r="ED156" s="12"/>
      <c r="EE156" s="12"/>
      <c r="EF156" s="12"/>
      <c r="EG156" s="12"/>
      <c r="EH156" s="12"/>
      <c r="EI156" s="12"/>
      <c r="EJ156" s="12"/>
      <c r="EK156" s="12"/>
      <c r="EL156" s="12"/>
      <c r="EM156" s="12"/>
      <c r="EN156" s="12"/>
      <c r="EO156" s="12"/>
      <c r="EP156" s="12"/>
      <c r="EQ156" s="12"/>
      <c r="ER156" s="12"/>
      <c r="ES156" s="12"/>
      <c r="ET156" s="12"/>
      <c r="EU156" s="12"/>
      <c r="EV156" s="12"/>
      <c r="EW156" s="12"/>
      <c r="EX156" s="12"/>
      <c r="EY156" s="12"/>
      <c r="EZ156" s="12"/>
      <c r="FA156" s="12"/>
      <c r="FB156" s="12"/>
      <c r="FC156" s="12"/>
      <c r="FD156" s="12"/>
      <c r="FE156" s="12"/>
      <c r="FF156" s="12"/>
      <c r="FG156" s="12"/>
      <c r="FH156" s="12"/>
      <c r="FI156" s="12"/>
      <c r="FJ156" s="12"/>
      <c r="FK156" s="12"/>
      <c r="FL156" s="12"/>
      <c r="FM156" s="12"/>
      <c r="FN156" s="12"/>
      <c r="FO156" s="12"/>
      <c r="FP156" s="12"/>
      <c r="FQ156" s="12"/>
      <c r="FR156" s="12"/>
      <c r="FS156" s="12"/>
      <c r="FT156" s="12"/>
      <c r="FU156" s="12"/>
      <c r="FV156" s="12"/>
      <c r="FW156" s="12"/>
      <c r="FX156" s="12"/>
      <c r="FY156" s="12"/>
      <c r="FZ156" s="12"/>
      <c r="GA156" s="12"/>
      <c r="GB156" s="12"/>
      <c r="GC156" s="12"/>
      <c r="GD156" s="12"/>
      <c r="GE156" s="12"/>
      <c r="GF156" s="12"/>
      <c r="GG156" s="12"/>
      <c r="GH156" s="12"/>
      <c r="GI156" s="12"/>
      <c r="GJ156" s="12"/>
      <c r="GK156" s="12"/>
      <c r="GL156" s="12"/>
      <c r="GM156" s="12"/>
      <c r="GN156" s="12"/>
      <c r="GO156" s="12"/>
      <c r="GP156" s="12"/>
      <c r="GQ156" s="12"/>
      <c r="GR156" s="12"/>
      <c r="GS156" s="12"/>
      <c r="GT156" s="12"/>
      <c r="GU156" s="12"/>
      <c r="GV156" s="12"/>
      <c r="GW156" s="12"/>
      <c r="GX156" s="12"/>
      <c r="GY156" s="12"/>
      <c r="GZ156" s="12"/>
      <c r="HA156" s="12"/>
      <c r="HB156" s="12"/>
      <c r="HC156" s="12"/>
      <c r="HD156" s="12"/>
      <c r="HE156" s="12"/>
      <c r="HF156" s="12"/>
    </row>
    <row r="157" spans="1:214" x14ac:dyDescent="0.2">
      <c r="A157" s="25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46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12"/>
      <c r="BY157" s="12"/>
      <c r="BZ157" s="12"/>
      <c r="CA157" s="12"/>
      <c r="CB157" s="12"/>
      <c r="CC157" s="12"/>
      <c r="CD157" s="12"/>
      <c r="CE157" s="12"/>
      <c r="CF157" s="12"/>
      <c r="CG157" s="12"/>
      <c r="CH157" s="12"/>
      <c r="CI157" s="12"/>
      <c r="CJ157" s="12"/>
      <c r="CK157" s="12"/>
      <c r="CL157" s="12"/>
      <c r="CM157" s="12"/>
      <c r="CN157" s="12"/>
      <c r="CO157" s="12"/>
      <c r="CP157" s="12"/>
      <c r="CQ157" s="12"/>
      <c r="CR157" s="12"/>
      <c r="CS157" s="12"/>
      <c r="CT157" s="12"/>
      <c r="CU157" s="12"/>
      <c r="CV157" s="12"/>
      <c r="CW157" s="12"/>
      <c r="CX157" s="12"/>
      <c r="CY157" s="12"/>
      <c r="CZ157" s="12"/>
      <c r="DA157" s="12"/>
      <c r="DB157" s="12"/>
      <c r="DC157" s="12"/>
      <c r="DD157" s="12"/>
      <c r="DE157" s="12"/>
      <c r="DF157" s="12"/>
      <c r="DG157" s="12"/>
      <c r="DH157" s="12"/>
      <c r="DI157" s="12"/>
      <c r="DJ157" s="12"/>
      <c r="DK157" s="12"/>
      <c r="DL157" s="12"/>
      <c r="DM157" s="12"/>
      <c r="DN157" s="12"/>
      <c r="DO157" s="12"/>
      <c r="DP157" s="12"/>
      <c r="DQ157" s="12"/>
      <c r="DR157" s="12"/>
      <c r="DS157" s="12"/>
      <c r="DT157" s="12"/>
      <c r="DU157" s="12"/>
      <c r="DV157" s="12"/>
      <c r="DW157" s="12"/>
      <c r="DX157" s="12"/>
      <c r="DY157" s="12"/>
      <c r="DZ157" s="12"/>
      <c r="EA157" s="12"/>
      <c r="EB157" s="12"/>
      <c r="EC157" s="12"/>
      <c r="ED157" s="12"/>
      <c r="EE157" s="12"/>
      <c r="EF157" s="12"/>
      <c r="EG157" s="12"/>
      <c r="EH157" s="12"/>
      <c r="EI157" s="12"/>
      <c r="EJ157" s="12"/>
      <c r="EK157" s="12"/>
      <c r="EL157" s="12"/>
      <c r="EM157" s="12"/>
      <c r="EN157" s="12"/>
      <c r="EO157" s="12"/>
      <c r="EP157" s="12"/>
      <c r="EQ157" s="12"/>
      <c r="ER157" s="12"/>
      <c r="ES157" s="12"/>
      <c r="ET157" s="12"/>
      <c r="EU157" s="12"/>
      <c r="EV157" s="12"/>
      <c r="EW157" s="12"/>
      <c r="EX157" s="12"/>
      <c r="EY157" s="12"/>
      <c r="EZ157" s="12"/>
      <c r="FA157" s="12"/>
      <c r="FB157" s="12"/>
      <c r="FC157" s="12"/>
      <c r="FD157" s="12"/>
      <c r="FE157" s="12"/>
      <c r="FF157" s="12"/>
      <c r="FG157" s="12"/>
      <c r="FH157" s="12"/>
      <c r="FI157" s="12"/>
      <c r="FJ157" s="12"/>
      <c r="FK157" s="12"/>
      <c r="FL157" s="12"/>
      <c r="FM157" s="12"/>
      <c r="FN157" s="12"/>
      <c r="FO157" s="12"/>
      <c r="FP157" s="12"/>
      <c r="FQ157" s="12"/>
      <c r="FR157" s="12"/>
      <c r="FS157" s="12"/>
      <c r="FT157" s="12"/>
      <c r="FU157" s="12"/>
      <c r="FV157" s="12"/>
      <c r="FW157" s="12"/>
      <c r="FX157" s="12"/>
      <c r="FY157" s="12"/>
      <c r="FZ157" s="12"/>
      <c r="GA157" s="12"/>
      <c r="GB157" s="12"/>
      <c r="GC157" s="12"/>
      <c r="GD157" s="12"/>
      <c r="GE157" s="12"/>
      <c r="GF157" s="12"/>
      <c r="GG157" s="12"/>
      <c r="GH157" s="12"/>
      <c r="GI157" s="12"/>
      <c r="GJ157" s="12"/>
      <c r="GK157" s="12"/>
      <c r="GL157" s="12"/>
      <c r="GM157" s="12"/>
      <c r="GN157" s="12"/>
      <c r="GO157" s="12"/>
      <c r="GP157" s="12"/>
      <c r="GQ157" s="12"/>
      <c r="GR157" s="12"/>
      <c r="GS157" s="12"/>
      <c r="GT157" s="12"/>
      <c r="GU157" s="12"/>
      <c r="GV157" s="12"/>
      <c r="GW157" s="12"/>
      <c r="GX157" s="12"/>
      <c r="GY157" s="12"/>
      <c r="GZ157" s="12"/>
      <c r="HA157" s="12"/>
      <c r="HB157" s="12"/>
      <c r="HC157" s="12"/>
      <c r="HD157" s="12"/>
      <c r="HE157" s="12"/>
      <c r="HF157" s="12"/>
    </row>
    <row r="158" spans="1:214" x14ac:dyDescent="0.2">
      <c r="A158" s="65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46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  <c r="BN158" s="12"/>
      <c r="BO158" s="12"/>
      <c r="BP158" s="12"/>
      <c r="BQ158" s="12"/>
      <c r="BR158" s="12"/>
      <c r="BS158" s="12"/>
      <c r="BT158" s="12"/>
      <c r="BU158" s="12"/>
      <c r="BV158" s="12"/>
      <c r="BW158" s="12"/>
      <c r="BX158" s="12"/>
      <c r="BY158" s="12"/>
      <c r="BZ158" s="12"/>
      <c r="CA158" s="12"/>
      <c r="CB158" s="12"/>
      <c r="CC158" s="12"/>
      <c r="CD158" s="12"/>
      <c r="CE158" s="12"/>
      <c r="CF158" s="12"/>
      <c r="CG158" s="12"/>
      <c r="CH158" s="12"/>
      <c r="CI158" s="12"/>
      <c r="CJ158" s="12"/>
      <c r="CK158" s="12"/>
      <c r="CL158" s="12"/>
      <c r="CM158" s="12"/>
      <c r="CN158" s="12"/>
      <c r="CO158" s="12"/>
      <c r="CP158" s="12"/>
      <c r="CQ158" s="12"/>
      <c r="CR158" s="12"/>
      <c r="CS158" s="12"/>
      <c r="CT158" s="12"/>
      <c r="CU158" s="12"/>
      <c r="CV158" s="12"/>
      <c r="CW158" s="12"/>
      <c r="CX158" s="12"/>
      <c r="CY158" s="12"/>
      <c r="CZ158" s="12"/>
      <c r="DA158" s="12"/>
      <c r="DB158" s="12"/>
      <c r="DC158" s="12"/>
      <c r="DD158" s="12"/>
      <c r="DE158" s="12"/>
      <c r="DF158" s="12"/>
      <c r="DG158" s="12"/>
      <c r="DH158" s="12"/>
      <c r="DI158" s="12"/>
      <c r="DJ158" s="12"/>
      <c r="DK158" s="12"/>
      <c r="DL158" s="12"/>
      <c r="DM158" s="12"/>
      <c r="DN158" s="12"/>
      <c r="DO158" s="12"/>
      <c r="DP158" s="12"/>
      <c r="DQ158" s="12"/>
      <c r="DR158" s="12"/>
      <c r="DS158" s="12"/>
      <c r="DT158" s="12"/>
      <c r="DU158" s="12"/>
      <c r="DV158" s="12"/>
      <c r="DW158" s="12"/>
      <c r="DX158" s="12"/>
      <c r="DY158" s="12"/>
      <c r="DZ158" s="12"/>
      <c r="EA158" s="12"/>
      <c r="EB158" s="12"/>
      <c r="EC158" s="12"/>
      <c r="ED158" s="12"/>
      <c r="EE158" s="12"/>
      <c r="EF158" s="12"/>
      <c r="EG158" s="12"/>
      <c r="EH158" s="12"/>
      <c r="EI158" s="12"/>
      <c r="EJ158" s="12"/>
      <c r="EK158" s="12"/>
      <c r="EL158" s="12"/>
      <c r="EM158" s="12"/>
      <c r="EN158" s="12"/>
      <c r="EO158" s="12"/>
      <c r="EP158" s="12"/>
      <c r="EQ158" s="12"/>
      <c r="ER158" s="12"/>
      <c r="ES158" s="12"/>
      <c r="ET158" s="12"/>
      <c r="EU158" s="12"/>
      <c r="EV158" s="12"/>
      <c r="EW158" s="12"/>
      <c r="EX158" s="12"/>
      <c r="EY158" s="12"/>
      <c r="EZ158" s="12"/>
      <c r="FA158" s="12"/>
      <c r="FB158" s="12"/>
      <c r="FC158" s="12"/>
      <c r="FD158" s="12"/>
      <c r="FE158" s="12"/>
      <c r="FF158" s="12"/>
      <c r="FG158" s="12"/>
      <c r="FH158" s="12"/>
      <c r="FI158" s="12"/>
      <c r="FJ158" s="12"/>
      <c r="FK158" s="12"/>
      <c r="FL158" s="12"/>
      <c r="FM158" s="12"/>
      <c r="FN158" s="12"/>
      <c r="FO158" s="12"/>
      <c r="FP158" s="12"/>
      <c r="FQ158" s="12"/>
      <c r="FR158" s="12"/>
      <c r="FS158" s="12"/>
      <c r="FT158" s="12"/>
      <c r="FU158" s="12"/>
      <c r="FV158" s="12"/>
      <c r="FW158" s="12"/>
      <c r="FX158" s="12"/>
      <c r="FY158" s="12"/>
      <c r="FZ158" s="12"/>
      <c r="GA158" s="12"/>
      <c r="GB158" s="12"/>
      <c r="GC158" s="12"/>
      <c r="GD158" s="12"/>
      <c r="GE158" s="12"/>
      <c r="GF158" s="12"/>
      <c r="GG158" s="12"/>
      <c r="GH158" s="12"/>
      <c r="GI158" s="12"/>
      <c r="GJ158" s="12"/>
      <c r="GK158" s="12"/>
      <c r="GL158" s="12"/>
      <c r="GM158" s="12"/>
      <c r="GN158" s="12"/>
      <c r="GO158" s="12"/>
      <c r="GP158" s="12"/>
      <c r="GQ158" s="12"/>
      <c r="GR158" s="12"/>
      <c r="GS158" s="12"/>
      <c r="GT158" s="12"/>
      <c r="GU158" s="12"/>
      <c r="GV158" s="12"/>
      <c r="GW158" s="12"/>
      <c r="GX158" s="12"/>
      <c r="GY158" s="12"/>
      <c r="GZ158" s="12"/>
      <c r="HA158" s="12"/>
      <c r="HB158" s="12"/>
      <c r="HC158" s="12"/>
      <c r="HD158" s="12"/>
      <c r="HE158" s="12"/>
      <c r="HF158" s="12"/>
    </row>
    <row r="159" spans="1:214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46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  <c r="BN159" s="12"/>
      <c r="BO159" s="12"/>
      <c r="BP159" s="12"/>
      <c r="BQ159" s="12"/>
      <c r="BR159" s="12"/>
      <c r="BS159" s="12"/>
      <c r="BT159" s="12"/>
      <c r="BU159" s="12"/>
      <c r="BV159" s="12"/>
      <c r="BW159" s="12"/>
      <c r="BX159" s="12"/>
      <c r="BY159" s="12"/>
      <c r="BZ159" s="12"/>
      <c r="CA159" s="12"/>
      <c r="CB159" s="12"/>
      <c r="CC159" s="12"/>
      <c r="CD159" s="12"/>
      <c r="CE159" s="12"/>
      <c r="CF159" s="12"/>
      <c r="CG159" s="12"/>
      <c r="CH159" s="12"/>
      <c r="CI159" s="12"/>
      <c r="CJ159" s="12"/>
      <c r="CK159" s="12"/>
      <c r="CL159" s="12"/>
      <c r="CM159" s="12"/>
      <c r="CN159" s="12"/>
      <c r="CO159" s="12"/>
      <c r="CP159" s="12"/>
      <c r="CQ159" s="12"/>
      <c r="CR159" s="12"/>
      <c r="CS159" s="12"/>
      <c r="CT159" s="12"/>
      <c r="CU159" s="12"/>
      <c r="CV159" s="12"/>
      <c r="CW159" s="12"/>
      <c r="CX159" s="12"/>
      <c r="CY159" s="12"/>
      <c r="CZ159" s="12"/>
      <c r="DA159" s="12"/>
      <c r="DB159" s="12"/>
      <c r="DC159" s="12"/>
      <c r="DD159" s="12"/>
      <c r="DE159" s="12"/>
      <c r="DF159" s="12"/>
      <c r="DG159" s="12"/>
      <c r="DH159" s="12"/>
      <c r="DI159" s="12"/>
      <c r="DJ159" s="12"/>
      <c r="DK159" s="12"/>
      <c r="DL159" s="12"/>
      <c r="DM159" s="12"/>
      <c r="DN159" s="12"/>
      <c r="DO159" s="12"/>
      <c r="DP159" s="12"/>
      <c r="DQ159" s="12"/>
      <c r="DR159" s="12"/>
      <c r="DS159" s="12"/>
      <c r="DT159" s="12"/>
      <c r="DU159" s="12"/>
      <c r="DV159" s="12"/>
      <c r="DW159" s="12"/>
      <c r="DX159" s="12"/>
      <c r="DY159" s="12"/>
      <c r="DZ159" s="12"/>
      <c r="EA159" s="12"/>
      <c r="EB159" s="12"/>
      <c r="EC159" s="12"/>
      <c r="ED159" s="12"/>
      <c r="EE159" s="12"/>
      <c r="EF159" s="12"/>
      <c r="EG159" s="12"/>
      <c r="EH159" s="12"/>
      <c r="EI159" s="12"/>
      <c r="EJ159" s="12"/>
      <c r="EK159" s="12"/>
      <c r="EL159" s="12"/>
      <c r="EM159" s="12"/>
      <c r="EN159" s="12"/>
      <c r="EO159" s="12"/>
      <c r="EP159" s="12"/>
      <c r="EQ159" s="12"/>
      <c r="ER159" s="12"/>
      <c r="ES159" s="12"/>
      <c r="ET159" s="12"/>
      <c r="EU159" s="12"/>
      <c r="EV159" s="12"/>
      <c r="EW159" s="12"/>
      <c r="EX159" s="12"/>
      <c r="EY159" s="12"/>
      <c r="EZ159" s="12"/>
      <c r="FA159" s="12"/>
      <c r="FB159" s="12"/>
      <c r="FC159" s="12"/>
      <c r="FD159" s="12"/>
      <c r="FE159" s="12"/>
      <c r="FF159" s="12"/>
      <c r="FG159" s="12"/>
      <c r="FH159" s="12"/>
      <c r="FI159" s="12"/>
      <c r="FJ159" s="12"/>
      <c r="FK159" s="12"/>
      <c r="FL159" s="12"/>
      <c r="FM159" s="12"/>
      <c r="FN159" s="12"/>
      <c r="FO159" s="12"/>
      <c r="FP159" s="12"/>
      <c r="FQ159" s="12"/>
      <c r="FR159" s="12"/>
      <c r="FS159" s="12"/>
      <c r="FT159" s="12"/>
      <c r="FU159" s="12"/>
      <c r="FV159" s="12"/>
      <c r="FW159" s="12"/>
      <c r="FX159" s="12"/>
      <c r="FY159" s="12"/>
      <c r="FZ159" s="12"/>
      <c r="GA159" s="12"/>
      <c r="GB159" s="12"/>
      <c r="GC159" s="12"/>
      <c r="GD159" s="12"/>
      <c r="GE159" s="12"/>
      <c r="GF159" s="12"/>
      <c r="GG159" s="12"/>
      <c r="GH159" s="12"/>
      <c r="GI159" s="12"/>
      <c r="GJ159" s="12"/>
      <c r="GK159" s="12"/>
      <c r="GL159" s="12"/>
      <c r="GM159" s="12"/>
      <c r="GN159" s="12"/>
      <c r="GO159" s="12"/>
      <c r="GP159" s="12"/>
      <c r="GQ159" s="12"/>
      <c r="GR159" s="12"/>
      <c r="GS159" s="12"/>
      <c r="GT159" s="12"/>
      <c r="GU159" s="12"/>
      <c r="GV159" s="12"/>
      <c r="GW159" s="12"/>
      <c r="GX159" s="12"/>
      <c r="GY159" s="12"/>
      <c r="GZ159" s="12"/>
      <c r="HA159" s="12"/>
      <c r="HB159" s="12"/>
      <c r="HC159" s="12"/>
      <c r="HD159" s="12"/>
      <c r="HE159" s="12"/>
      <c r="HF159" s="12"/>
    </row>
    <row r="160" spans="1:214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46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  <c r="BN160" s="12"/>
      <c r="BO160" s="12"/>
      <c r="BP160" s="12"/>
      <c r="BQ160" s="12"/>
      <c r="BR160" s="12"/>
      <c r="BS160" s="12"/>
      <c r="BT160" s="12"/>
      <c r="BU160" s="12"/>
      <c r="BV160" s="12"/>
      <c r="BW160" s="12"/>
      <c r="BX160" s="12"/>
      <c r="BY160" s="12"/>
      <c r="BZ160" s="12"/>
      <c r="CA160" s="12"/>
      <c r="CB160" s="12"/>
      <c r="CC160" s="12"/>
      <c r="CD160" s="12"/>
      <c r="CE160" s="12"/>
      <c r="CF160" s="12"/>
      <c r="CG160" s="12"/>
      <c r="CH160" s="12"/>
      <c r="CI160" s="12"/>
      <c r="CJ160" s="12"/>
      <c r="CK160" s="12"/>
      <c r="CL160" s="12"/>
      <c r="CM160" s="12"/>
      <c r="CN160" s="12"/>
      <c r="CO160" s="12"/>
      <c r="CP160" s="12"/>
      <c r="CQ160" s="12"/>
      <c r="CR160" s="12"/>
      <c r="CS160" s="12"/>
      <c r="CT160" s="12"/>
      <c r="CU160" s="12"/>
      <c r="CV160" s="12"/>
      <c r="CW160" s="12"/>
      <c r="CX160" s="12"/>
      <c r="CY160" s="12"/>
      <c r="CZ160" s="12"/>
      <c r="DA160" s="12"/>
      <c r="DB160" s="12"/>
      <c r="DC160" s="12"/>
      <c r="DD160" s="12"/>
      <c r="DE160" s="12"/>
      <c r="DF160" s="12"/>
      <c r="DG160" s="12"/>
      <c r="DH160" s="12"/>
      <c r="DI160" s="12"/>
      <c r="DJ160" s="12"/>
      <c r="DK160" s="12"/>
      <c r="DL160" s="12"/>
      <c r="DM160" s="12"/>
      <c r="DN160" s="12"/>
      <c r="DO160" s="12"/>
      <c r="DP160" s="12"/>
      <c r="DQ160" s="12"/>
      <c r="DR160" s="12"/>
      <c r="DS160" s="12"/>
      <c r="DT160" s="12"/>
      <c r="DU160" s="12"/>
      <c r="DV160" s="12"/>
      <c r="DW160" s="12"/>
      <c r="DX160" s="12"/>
      <c r="DY160" s="12"/>
      <c r="DZ160" s="12"/>
      <c r="EA160" s="12"/>
      <c r="EB160" s="12"/>
      <c r="EC160" s="12"/>
      <c r="ED160" s="12"/>
      <c r="EE160" s="12"/>
      <c r="EF160" s="12"/>
      <c r="EG160" s="12"/>
      <c r="EH160" s="12"/>
      <c r="EI160" s="12"/>
      <c r="EJ160" s="12"/>
      <c r="EK160" s="12"/>
      <c r="EL160" s="12"/>
      <c r="EM160" s="12"/>
      <c r="EN160" s="12"/>
      <c r="EO160" s="12"/>
      <c r="EP160" s="12"/>
      <c r="EQ160" s="12"/>
      <c r="ER160" s="12"/>
      <c r="ES160" s="12"/>
      <c r="ET160" s="12"/>
      <c r="EU160" s="12"/>
      <c r="EV160" s="12"/>
      <c r="EW160" s="12"/>
      <c r="EX160" s="12"/>
      <c r="EY160" s="12"/>
      <c r="EZ160" s="12"/>
      <c r="FA160" s="12"/>
      <c r="FB160" s="12"/>
      <c r="FC160" s="12"/>
      <c r="FD160" s="12"/>
      <c r="FE160" s="12"/>
      <c r="FF160" s="12"/>
      <c r="FG160" s="12"/>
      <c r="FH160" s="12"/>
      <c r="FI160" s="12"/>
      <c r="FJ160" s="12"/>
      <c r="FK160" s="12"/>
      <c r="FL160" s="12"/>
      <c r="FM160" s="12"/>
      <c r="FN160" s="12"/>
      <c r="FO160" s="12"/>
      <c r="FP160" s="12"/>
      <c r="FQ160" s="12"/>
      <c r="FR160" s="12"/>
      <c r="FS160" s="12"/>
      <c r="FT160" s="12"/>
      <c r="FU160" s="12"/>
      <c r="FV160" s="12"/>
      <c r="FW160" s="12"/>
      <c r="FX160" s="12"/>
      <c r="FY160" s="12"/>
      <c r="FZ160" s="12"/>
      <c r="GA160" s="12"/>
      <c r="GB160" s="12"/>
      <c r="GC160" s="12"/>
      <c r="GD160" s="12"/>
      <c r="GE160" s="12"/>
      <c r="GF160" s="12"/>
      <c r="GG160" s="12"/>
      <c r="GH160" s="12"/>
      <c r="GI160" s="12"/>
      <c r="GJ160" s="12"/>
      <c r="GK160" s="12"/>
      <c r="GL160" s="12"/>
      <c r="GM160" s="12"/>
      <c r="GN160" s="12"/>
      <c r="GO160" s="12"/>
      <c r="GP160" s="12"/>
      <c r="GQ160" s="12"/>
      <c r="GR160" s="12"/>
      <c r="GS160" s="12"/>
      <c r="GT160" s="12"/>
      <c r="GU160" s="12"/>
      <c r="GV160" s="12"/>
      <c r="GW160" s="12"/>
      <c r="GX160" s="12"/>
      <c r="GY160" s="12"/>
      <c r="GZ160" s="12"/>
      <c r="HA160" s="12"/>
      <c r="HB160" s="12"/>
      <c r="HC160" s="12"/>
      <c r="HD160" s="12"/>
      <c r="HE160" s="12"/>
      <c r="HF160" s="12"/>
    </row>
    <row r="161" spans="1:214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46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  <c r="BN161" s="12"/>
      <c r="BO161" s="12"/>
      <c r="BP161" s="12"/>
      <c r="BQ161" s="12"/>
      <c r="BR161" s="12"/>
      <c r="BS161" s="12"/>
      <c r="BT161" s="12"/>
      <c r="BU161" s="12"/>
      <c r="BV161" s="12"/>
      <c r="BW161" s="12"/>
      <c r="BX161" s="12"/>
      <c r="BY161" s="12"/>
      <c r="BZ161" s="12"/>
      <c r="CA161" s="12"/>
      <c r="CB161" s="12"/>
      <c r="CC161" s="12"/>
      <c r="CD161" s="12"/>
      <c r="CE161" s="12"/>
      <c r="CF161" s="12"/>
      <c r="CG161" s="12"/>
      <c r="CH161" s="12"/>
      <c r="CI161" s="12"/>
      <c r="CJ161" s="12"/>
      <c r="CK161" s="12"/>
      <c r="CL161" s="12"/>
      <c r="CM161" s="12"/>
      <c r="CN161" s="12"/>
      <c r="CO161" s="12"/>
      <c r="CP161" s="12"/>
      <c r="CQ161" s="12"/>
      <c r="CR161" s="12"/>
      <c r="CS161" s="12"/>
      <c r="CT161" s="12"/>
      <c r="CU161" s="12"/>
      <c r="CV161" s="12"/>
      <c r="CW161" s="12"/>
      <c r="CX161" s="12"/>
      <c r="CY161" s="12"/>
      <c r="CZ161" s="12"/>
      <c r="DA161" s="12"/>
      <c r="DB161" s="12"/>
      <c r="DC161" s="12"/>
      <c r="DD161" s="12"/>
      <c r="DE161" s="12"/>
      <c r="DF161" s="12"/>
      <c r="DG161" s="12"/>
      <c r="DH161" s="12"/>
      <c r="DI161" s="12"/>
      <c r="DJ161" s="12"/>
      <c r="DK161" s="12"/>
      <c r="DL161" s="12"/>
      <c r="DM161" s="12"/>
      <c r="DN161" s="12"/>
      <c r="DO161" s="12"/>
      <c r="DP161" s="12"/>
      <c r="DQ161" s="12"/>
      <c r="DR161" s="12"/>
      <c r="DS161" s="12"/>
      <c r="DT161" s="12"/>
      <c r="DU161" s="12"/>
      <c r="DV161" s="12"/>
      <c r="DW161" s="12"/>
      <c r="DX161" s="12"/>
      <c r="DY161" s="12"/>
      <c r="DZ161" s="12"/>
      <c r="EA161" s="12"/>
      <c r="EB161" s="12"/>
      <c r="EC161" s="12"/>
      <c r="ED161" s="12"/>
      <c r="EE161" s="12"/>
      <c r="EF161" s="12"/>
      <c r="EG161" s="12"/>
      <c r="EH161" s="12"/>
      <c r="EI161" s="12"/>
      <c r="EJ161" s="12"/>
      <c r="EK161" s="12"/>
      <c r="EL161" s="12"/>
      <c r="EM161" s="12"/>
      <c r="EN161" s="12"/>
      <c r="EO161" s="12"/>
      <c r="EP161" s="12"/>
      <c r="EQ161" s="12"/>
      <c r="ER161" s="12"/>
      <c r="ES161" s="12"/>
      <c r="ET161" s="12"/>
      <c r="EU161" s="12"/>
      <c r="EV161" s="12"/>
      <c r="EW161" s="12"/>
      <c r="EX161" s="12"/>
      <c r="EY161" s="12"/>
      <c r="EZ161" s="12"/>
      <c r="FA161" s="12"/>
      <c r="FB161" s="12"/>
      <c r="FC161" s="12"/>
      <c r="FD161" s="12"/>
      <c r="FE161" s="12"/>
      <c r="FF161" s="12"/>
      <c r="FG161" s="12"/>
      <c r="FH161" s="12"/>
      <c r="FI161" s="12"/>
      <c r="FJ161" s="12"/>
      <c r="FK161" s="12"/>
      <c r="FL161" s="12"/>
      <c r="FM161" s="12"/>
      <c r="FN161" s="12"/>
      <c r="FO161" s="12"/>
      <c r="FP161" s="12"/>
      <c r="FQ161" s="12"/>
      <c r="FR161" s="12"/>
      <c r="FS161" s="12"/>
      <c r="FT161" s="12"/>
      <c r="FU161" s="12"/>
      <c r="FV161" s="12"/>
      <c r="FW161" s="12"/>
      <c r="FX161" s="12"/>
      <c r="FY161" s="12"/>
      <c r="FZ161" s="12"/>
      <c r="GA161" s="12"/>
      <c r="GB161" s="12"/>
      <c r="GC161" s="12"/>
      <c r="GD161" s="12"/>
      <c r="GE161" s="12"/>
      <c r="GF161" s="12"/>
      <c r="GG161" s="12"/>
      <c r="GH161" s="12"/>
      <c r="GI161" s="12"/>
      <c r="GJ161" s="12"/>
      <c r="GK161" s="12"/>
      <c r="GL161" s="12"/>
      <c r="GM161" s="12"/>
      <c r="GN161" s="12"/>
      <c r="GO161" s="12"/>
      <c r="GP161" s="12"/>
      <c r="GQ161" s="12"/>
      <c r="GR161" s="12"/>
      <c r="GS161" s="12"/>
      <c r="GT161" s="12"/>
      <c r="GU161" s="12"/>
      <c r="GV161" s="12"/>
      <c r="GW161" s="12"/>
      <c r="GX161" s="12"/>
      <c r="GY161" s="12"/>
      <c r="GZ161" s="12"/>
      <c r="HA161" s="12"/>
      <c r="HB161" s="12"/>
      <c r="HC161" s="12"/>
      <c r="HD161" s="12"/>
      <c r="HE161" s="12"/>
      <c r="HF161" s="12"/>
    </row>
    <row r="162" spans="1:214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46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  <c r="BN162" s="12"/>
      <c r="BO162" s="12"/>
      <c r="BP162" s="12"/>
      <c r="BQ162" s="12"/>
      <c r="BR162" s="12"/>
      <c r="BS162" s="12"/>
      <c r="BT162" s="12"/>
      <c r="BU162" s="12"/>
      <c r="BV162" s="12"/>
      <c r="BW162" s="12"/>
      <c r="BX162" s="12"/>
      <c r="BY162" s="12"/>
      <c r="BZ162" s="12"/>
      <c r="CA162" s="12"/>
      <c r="CB162" s="12"/>
      <c r="CC162" s="12"/>
      <c r="CD162" s="12"/>
      <c r="CE162" s="12"/>
      <c r="CF162" s="12"/>
      <c r="CG162" s="12"/>
      <c r="CH162" s="12"/>
      <c r="CI162" s="12"/>
      <c r="CJ162" s="12"/>
      <c r="CK162" s="12"/>
      <c r="CL162" s="12"/>
      <c r="CM162" s="12"/>
      <c r="CN162" s="12"/>
      <c r="CO162" s="12"/>
      <c r="CP162" s="12"/>
      <c r="CQ162" s="12"/>
      <c r="CR162" s="12"/>
      <c r="CS162" s="12"/>
      <c r="CT162" s="12"/>
      <c r="CU162" s="12"/>
      <c r="CV162" s="12"/>
      <c r="CW162" s="12"/>
      <c r="CX162" s="12"/>
      <c r="CY162" s="12"/>
      <c r="CZ162" s="12"/>
      <c r="DA162" s="12"/>
      <c r="DB162" s="12"/>
      <c r="DC162" s="12"/>
      <c r="DD162" s="12"/>
      <c r="DE162" s="12"/>
      <c r="DF162" s="12"/>
      <c r="DG162" s="12"/>
      <c r="DH162" s="12"/>
      <c r="DI162" s="12"/>
      <c r="DJ162" s="12"/>
      <c r="DK162" s="12"/>
      <c r="DL162" s="12"/>
      <c r="DM162" s="12"/>
      <c r="DN162" s="12"/>
      <c r="DO162" s="12"/>
      <c r="DP162" s="12"/>
      <c r="DQ162" s="12"/>
      <c r="DR162" s="12"/>
      <c r="DS162" s="12"/>
      <c r="DT162" s="12"/>
      <c r="DU162" s="12"/>
      <c r="DV162" s="12"/>
      <c r="DW162" s="12"/>
      <c r="DX162" s="12"/>
      <c r="DY162" s="12"/>
      <c r="DZ162" s="12"/>
      <c r="EA162" s="12"/>
      <c r="EB162" s="12"/>
      <c r="EC162" s="12"/>
      <c r="ED162" s="12"/>
      <c r="EE162" s="12"/>
      <c r="EF162" s="12"/>
      <c r="EG162" s="12"/>
      <c r="EH162" s="12"/>
      <c r="EI162" s="12"/>
      <c r="EJ162" s="12"/>
      <c r="EK162" s="12"/>
      <c r="EL162" s="12"/>
      <c r="EM162" s="12"/>
      <c r="EN162" s="12"/>
      <c r="EO162" s="12"/>
      <c r="EP162" s="12"/>
      <c r="EQ162" s="12"/>
      <c r="ER162" s="12"/>
      <c r="ES162" s="12"/>
      <c r="ET162" s="12"/>
      <c r="EU162" s="12"/>
      <c r="EV162" s="12"/>
      <c r="EW162" s="12"/>
      <c r="EX162" s="12"/>
      <c r="EY162" s="12"/>
      <c r="EZ162" s="12"/>
      <c r="FA162" s="12"/>
      <c r="FB162" s="12"/>
      <c r="FC162" s="12"/>
      <c r="FD162" s="12"/>
      <c r="FE162" s="12"/>
      <c r="FF162" s="12"/>
      <c r="FG162" s="12"/>
      <c r="FH162" s="12"/>
      <c r="FI162" s="12"/>
      <c r="FJ162" s="12"/>
      <c r="FK162" s="12"/>
      <c r="FL162" s="12"/>
      <c r="FM162" s="12"/>
      <c r="FN162" s="12"/>
      <c r="FO162" s="12"/>
      <c r="FP162" s="12"/>
      <c r="FQ162" s="12"/>
      <c r="FR162" s="12"/>
      <c r="FS162" s="12"/>
      <c r="FT162" s="12"/>
      <c r="FU162" s="12"/>
      <c r="FV162" s="12"/>
      <c r="FW162" s="12"/>
      <c r="FX162" s="12"/>
      <c r="FY162" s="12"/>
      <c r="FZ162" s="12"/>
      <c r="GA162" s="12"/>
      <c r="GB162" s="12"/>
      <c r="GC162" s="12"/>
      <c r="GD162" s="12"/>
      <c r="GE162" s="12"/>
      <c r="GF162" s="12"/>
      <c r="GG162" s="12"/>
      <c r="GH162" s="12"/>
      <c r="GI162" s="12"/>
      <c r="GJ162" s="12"/>
      <c r="GK162" s="12"/>
      <c r="GL162" s="12"/>
      <c r="GM162" s="12"/>
      <c r="GN162" s="12"/>
      <c r="GO162" s="12"/>
      <c r="GP162" s="12"/>
      <c r="GQ162" s="12"/>
      <c r="GR162" s="12"/>
      <c r="GS162" s="12"/>
      <c r="GT162" s="12"/>
      <c r="GU162" s="12"/>
      <c r="GV162" s="12"/>
      <c r="GW162" s="12"/>
      <c r="GX162" s="12"/>
      <c r="GY162" s="12"/>
      <c r="GZ162" s="12"/>
      <c r="HA162" s="12"/>
      <c r="HB162" s="12"/>
      <c r="HC162" s="12"/>
      <c r="HD162" s="12"/>
      <c r="HE162" s="12"/>
      <c r="HF162" s="12"/>
    </row>
    <row r="163" spans="1:214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46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  <c r="BN163" s="12"/>
      <c r="BO163" s="12"/>
      <c r="BP163" s="12"/>
      <c r="BQ163" s="12"/>
      <c r="BR163" s="12"/>
      <c r="BS163" s="12"/>
      <c r="BT163" s="12"/>
      <c r="BU163" s="12"/>
      <c r="BV163" s="12"/>
      <c r="BW163" s="12"/>
      <c r="BX163" s="12"/>
      <c r="BY163" s="12"/>
      <c r="BZ163" s="12"/>
      <c r="CA163" s="12"/>
      <c r="CB163" s="12"/>
      <c r="CC163" s="12"/>
      <c r="CD163" s="12"/>
      <c r="CE163" s="12"/>
      <c r="CF163" s="12"/>
      <c r="CG163" s="12"/>
      <c r="CH163" s="12"/>
      <c r="CI163" s="12"/>
      <c r="CJ163" s="12"/>
      <c r="CK163" s="12"/>
      <c r="CL163" s="12"/>
      <c r="CM163" s="12"/>
      <c r="CN163" s="12"/>
      <c r="CO163" s="12"/>
      <c r="CP163" s="12"/>
      <c r="CQ163" s="12"/>
      <c r="CR163" s="12"/>
      <c r="CS163" s="12"/>
      <c r="CT163" s="12"/>
      <c r="CU163" s="12"/>
      <c r="CV163" s="12"/>
      <c r="CW163" s="12"/>
      <c r="CX163" s="12"/>
      <c r="CY163" s="12"/>
      <c r="CZ163" s="12"/>
      <c r="DA163" s="12"/>
      <c r="DB163" s="12"/>
      <c r="DC163" s="12"/>
      <c r="DD163" s="12"/>
      <c r="DE163" s="12"/>
      <c r="DF163" s="12"/>
      <c r="DG163" s="12"/>
      <c r="DH163" s="12"/>
      <c r="DI163" s="12"/>
      <c r="DJ163" s="12"/>
      <c r="DK163" s="12"/>
      <c r="DL163" s="12"/>
      <c r="DM163" s="12"/>
      <c r="DN163" s="12"/>
      <c r="DO163" s="12"/>
      <c r="DP163" s="12"/>
      <c r="DQ163" s="12"/>
      <c r="DR163" s="12"/>
      <c r="DS163" s="12"/>
      <c r="DT163" s="12"/>
      <c r="DU163" s="12"/>
      <c r="DV163" s="12"/>
      <c r="DW163" s="12"/>
      <c r="DX163" s="12"/>
      <c r="DY163" s="12"/>
      <c r="DZ163" s="12"/>
      <c r="EA163" s="12"/>
      <c r="EB163" s="12"/>
      <c r="EC163" s="12"/>
      <c r="ED163" s="12"/>
      <c r="EE163" s="12"/>
      <c r="EF163" s="12"/>
      <c r="EG163" s="12"/>
      <c r="EH163" s="12"/>
      <c r="EI163" s="12"/>
      <c r="EJ163" s="12"/>
      <c r="EK163" s="12"/>
      <c r="EL163" s="12"/>
      <c r="EM163" s="12"/>
      <c r="EN163" s="12"/>
      <c r="EO163" s="12"/>
      <c r="EP163" s="12"/>
      <c r="EQ163" s="12"/>
      <c r="ER163" s="12"/>
      <c r="ES163" s="12"/>
      <c r="ET163" s="12"/>
      <c r="EU163" s="12"/>
      <c r="EV163" s="12"/>
      <c r="EW163" s="12"/>
      <c r="EX163" s="12"/>
      <c r="EY163" s="12"/>
      <c r="EZ163" s="12"/>
      <c r="FA163" s="12"/>
      <c r="FB163" s="12"/>
      <c r="FC163" s="12"/>
      <c r="FD163" s="12"/>
      <c r="FE163" s="12"/>
      <c r="FF163" s="12"/>
      <c r="FG163" s="12"/>
      <c r="FH163" s="12"/>
      <c r="FI163" s="12"/>
      <c r="FJ163" s="12"/>
      <c r="FK163" s="12"/>
      <c r="FL163" s="12"/>
      <c r="FM163" s="12"/>
      <c r="FN163" s="12"/>
      <c r="FO163" s="12"/>
      <c r="FP163" s="12"/>
      <c r="FQ163" s="12"/>
      <c r="FR163" s="12"/>
      <c r="FS163" s="12"/>
      <c r="FT163" s="12"/>
      <c r="FU163" s="12"/>
      <c r="FV163" s="12"/>
      <c r="FW163" s="12"/>
      <c r="FX163" s="12"/>
      <c r="FY163" s="12"/>
      <c r="FZ163" s="12"/>
      <c r="GA163" s="12"/>
      <c r="GB163" s="12"/>
      <c r="GC163" s="12"/>
      <c r="GD163" s="12"/>
      <c r="GE163" s="12"/>
      <c r="GF163" s="12"/>
      <c r="GG163" s="12"/>
      <c r="GH163" s="12"/>
      <c r="GI163" s="12"/>
      <c r="GJ163" s="12"/>
      <c r="GK163" s="12"/>
      <c r="GL163" s="12"/>
      <c r="GM163" s="12"/>
      <c r="GN163" s="12"/>
      <c r="GO163" s="12"/>
      <c r="GP163" s="12"/>
      <c r="GQ163" s="12"/>
      <c r="GR163" s="12"/>
      <c r="GS163" s="12"/>
      <c r="GT163" s="12"/>
      <c r="GU163" s="12"/>
      <c r="GV163" s="12"/>
      <c r="GW163" s="12"/>
      <c r="GX163" s="12"/>
      <c r="GY163" s="12"/>
      <c r="GZ163" s="12"/>
      <c r="HA163" s="12"/>
      <c r="HB163" s="12"/>
      <c r="HC163" s="12"/>
      <c r="HD163" s="12"/>
      <c r="HE163" s="12"/>
      <c r="HF163" s="12"/>
    </row>
    <row r="164" spans="1:214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46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  <c r="BN164" s="12"/>
      <c r="BO164" s="12"/>
      <c r="BP164" s="12"/>
      <c r="BQ164" s="12"/>
      <c r="BR164" s="12"/>
      <c r="BS164" s="12"/>
      <c r="BT164" s="12"/>
      <c r="BU164" s="12"/>
      <c r="BV164" s="12"/>
      <c r="BW164" s="12"/>
      <c r="BX164" s="12"/>
      <c r="BY164" s="12"/>
      <c r="BZ164" s="12"/>
      <c r="CA164" s="12"/>
      <c r="CB164" s="12"/>
      <c r="CC164" s="12"/>
      <c r="CD164" s="12"/>
      <c r="CE164" s="12"/>
      <c r="CF164" s="12"/>
      <c r="CG164" s="12"/>
      <c r="CH164" s="12"/>
      <c r="CI164" s="12"/>
      <c r="CJ164" s="12"/>
      <c r="CK164" s="12"/>
      <c r="CL164" s="12"/>
      <c r="CM164" s="12"/>
      <c r="CN164" s="12"/>
      <c r="CO164" s="12"/>
      <c r="CP164" s="12"/>
      <c r="CQ164" s="12"/>
      <c r="CR164" s="12"/>
      <c r="CS164" s="12"/>
      <c r="CT164" s="12"/>
      <c r="CU164" s="12"/>
      <c r="CV164" s="12"/>
      <c r="CW164" s="12"/>
      <c r="CX164" s="12"/>
      <c r="CY164" s="12"/>
      <c r="CZ164" s="12"/>
      <c r="DA164" s="12"/>
      <c r="DB164" s="12"/>
      <c r="DC164" s="12"/>
      <c r="DD164" s="12"/>
      <c r="DE164" s="12"/>
      <c r="DF164" s="12"/>
      <c r="DG164" s="12"/>
      <c r="DH164" s="12"/>
      <c r="DI164" s="12"/>
      <c r="DJ164" s="12"/>
      <c r="DK164" s="12"/>
      <c r="DL164" s="12"/>
      <c r="DM164" s="12"/>
      <c r="DN164" s="12"/>
      <c r="DO164" s="12"/>
      <c r="DP164" s="12"/>
      <c r="DQ164" s="12"/>
      <c r="DR164" s="12"/>
      <c r="DS164" s="12"/>
      <c r="DT164" s="12"/>
      <c r="DU164" s="12"/>
      <c r="DV164" s="12"/>
      <c r="DW164" s="12"/>
      <c r="DX164" s="12"/>
      <c r="DY164" s="12"/>
      <c r="DZ164" s="12"/>
      <c r="EA164" s="12"/>
      <c r="EB164" s="12"/>
      <c r="EC164" s="12"/>
      <c r="ED164" s="12"/>
      <c r="EE164" s="12"/>
      <c r="EF164" s="12"/>
      <c r="EG164" s="12"/>
      <c r="EH164" s="12"/>
      <c r="EI164" s="12"/>
      <c r="EJ164" s="12"/>
      <c r="EK164" s="12"/>
      <c r="EL164" s="12"/>
      <c r="EM164" s="12"/>
      <c r="EN164" s="12"/>
      <c r="EO164" s="12"/>
      <c r="EP164" s="12"/>
      <c r="EQ164" s="12"/>
      <c r="ER164" s="12"/>
      <c r="ES164" s="12"/>
      <c r="ET164" s="12"/>
      <c r="EU164" s="12"/>
      <c r="EV164" s="12"/>
      <c r="EW164" s="12"/>
      <c r="EX164" s="12"/>
      <c r="EY164" s="12"/>
      <c r="EZ164" s="12"/>
      <c r="FA164" s="12"/>
      <c r="FB164" s="12"/>
      <c r="FC164" s="12"/>
      <c r="FD164" s="12"/>
      <c r="FE164" s="12"/>
      <c r="FF164" s="12"/>
      <c r="FG164" s="12"/>
      <c r="FH164" s="12"/>
      <c r="FI164" s="12"/>
      <c r="FJ164" s="12"/>
      <c r="FK164" s="12"/>
      <c r="FL164" s="12"/>
      <c r="FM164" s="12"/>
      <c r="FN164" s="12"/>
      <c r="FO164" s="12"/>
      <c r="FP164" s="12"/>
      <c r="FQ164" s="12"/>
      <c r="FR164" s="12"/>
      <c r="FS164" s="12"/>
      <c r="FT164" s="12"/>
      <c r="FU164" s="12"/>
      <c r="FV164" s="12"/>
      <c r="FW164" s="12"/>
      <c r="FX164" s="12"/>
      <c r="FY164" s="12"/>
      <c r="FZ164" s="12"/>
      <c r="GA164" s="12"/>
      <c r="GB164" s="12"/>
      <c r="GC164" s="12"/>
      <c r="GD164" s="12"/>
      <c r="GE164" s="12"/>
      <c r="GF164" s="12"/>
      <c r="GG164" s="12"/>
      <c r="GH164" s="12"/>
      <c r="GI164" s="12"/>
      <c r="GJ164" s="12"/>
      <c r="GK164" s="12"/>
      <c r="GL164" s="12"/>
      <c r="GM164" s="12"/>
      <c r="GN164" s="12"/>
      <c r="GO164" s="12"/>
      <c r="GP164" s="12"/>
      <c r="GQ164" s="12"/>
      <c r="GR164" s="12"/>
      <c r="GS164" s="12"/>
      <c r="GT164" s="12"/>
      <c r="GU164" s="12"/>
      <c r="GV164" s="12"/>
      <c r="GW164" s="12"/>
      <c r="GX164" s="12"/>
      <c r="GY164" s="12"/>
      <c r="GZ164" s="12"/>
      <c r="HA164" s="12"/>
      <c r="HB164" s="12"/>
      <c r="HC164" s="12"/>
      <c r="HD164" s="12"/>
      <c r="HE164" s="12"/>
      <c r="HF164" s="12"/>
    </row>
    <row r="165" spans="1:214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46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  <c r="BN165" s="12"/>
      <c r="BO165" s="12"/>
      <c r="BP165" s="12"/>
      <c r="BQ165" s="12"/>
      <c r="BR165" s="12"/>
      <c r="BS165" s="12"/>
      <c r="BT165" s="12"/>
      <c r="BU165" s="12"/>
      <c r="BV165" s="12"/>
      <c r="BW165" s="12"/>
      <c r="BX165" s="12"/>
      <c r="BY165" s="12"/>
      <c r="BZ165" s="12"/>
      <c r="CA165" s="12"/>
      <c r="CB165" s="12"/>
      <c r="CC165" s="12"/>
      <c r="CD165" s="12"/>
      <c r="CE165" s="12"/>
      <c r="CF165" s="12"/>
      <c r="CG165" s="12"/>
      <c r="CH165" s="12"/>
      <c r="CI165" s="12"/>
      <c r="CJ165" s="12"/>
      <c r="CK165" s="12"/>
      <c r="CL165" s="12"/>
      <c r="CM165" s="12"/>
      <c r="CN165" s="12"/>
      <c r="CO165" s="12"/>
      <c r="CP165" s="12"/>
      <c r="CQ165" s="12"/>
      <c r="CR165" s="12"/>
      <c r="CS165" s="12"/>
      <c r="CT165" s="12"/>
      <c r="CU165" s="12"/>
      <c r="CV165" s="12"/>
      <c r="CW165" s="12"/>
      <c r="CX165" s="12"/>
      <c r="CY165" s="12"/>
      <c r="CZ165" s="12"/>
      <c r="DA165" s="12"/>
      <c r="DB165" s="12"/>
      <c r="DC165" s="12"/>
      <c r="DD165" s="12"/>
      <c r="DE165" s="12"/>
      <c r="DF165" s="12"/>
      <c r="DG165" s="12"/>
      <c r="DH165" s="12"/>
      <c r="DI165" s="12"/>
      <c r="DJ165" s="12"/>
      <c r="DK165" s="12"/>
      <c r="DL165" s="12"/>
      <c r="DM165" s="12"/>
      <c r="DN165" s="12"/>
      <c r="DO165" s="12"/>
      <c r="DP165" s="12"/>
      <c r="DQ165" s="12"/>
      <c r="DR165" s="12"/>
      <c r="DS165" s="12"/>
      <c r="DT165" s="12"/>
      <c r="DU165" s="12"/>
      <c r="DV165" s="12"/>
      <c r="DW165" s="12"/>
      <c r="DX165" s="12"/>
      <c r="DY165" s="12"/>
      <c r="DZ165" s="12"/>
      <c r="EA165" s="12"/>
      <c r="EB165" s="12"/>
      <c r="EC165" s="12"/>
      <c r="ED165" s="12"/>
      <c r="EE165" s="12"/>
      <c r="EF165" s="12"/>
      <c r="EG165" s="12"/>
      <c r="EH165" s="12"/>
      <c r="EI165" s="12"/>
      <c r="EJ165" s="12"/>
      <c r="EK165" s="12"/>
      <c r="EL165" s="12"/>
      <c r="EM165" s="12"/>
      <c r="EN165" s="12"/>
      <c r="EO165" s="12"/>
      <c r="EP165" s="12"/>
      <c r="EQ165" s="12"/>
      <c r="ER165" s="12"/>
      <c r="ES165" s="12"/>
      <c r="ET165" s="12"/>
      <c r="EU165" s="12"/>
      <c r="EV165" s="12"/>
      <c r="EW165" s="12"/>
      <c r="EX165" s="12"/>
      <c r="EY165" s="12"/>
      <c r="EZ165" s="12"/>
      <c r="FA165" s="12"/>
      <c r="FB165" s="12"/>
      <c r="FC165" s="12"/>
      <c r="FD165" s="12"/>
      <c r="FE165" s="12"/>
      <c r="FF165" s="12"/>
      <c r="FG165" s="12"/>
      <c r="FH165" s="12"/>
      <c r="FI165" s="12"/>
      <c r="FJ165" s="12"/>
      <c r="FK165" s="12"/>
      <c r="FL165" s="12"/>
      <c r="FM165" s="12"/>
      <c r="FN165" s="12"/>
      <c r="FO165" s="12"/>
      <c r="FP165" s="12"/>
      <c r="FQ165" s="12"/>
      <c r="FR165" s="12"/>
      <c r="FS165" s="12"/>
      <c r="FT165" s="12"/>
      <c r="FU165" s="12"/>
      <c r="FV165" s="12"/>
      <c r="FW165" s="12"/>
      <c r="FX165" s="12"/>
      <c r="FY165" s="12"/>
      <c r="FZ165" s="12"/>
      <c r="GA165" s="12"/>
      <c r="GB165" s="12"/>
      <c r="GC165" s="12"/>
      <c r="GD165" s="12"/>
      <c r="GE165" s="12"/>
      <c r="GF165" s="12"/>
      <c r="GG165" s="12"/>
      <c r="GH165" s="12"/>
      <c r="GI165" s="12"/>
      <c r="GJ165" s="12"/>
      <c r="GK165" s="12"/>
      <c r="GL165" s="12"/>
      <c r="GM165" s="12"/>
      <c r="GN165" s="12"/>
      <c r="GO165" s="12"/>
      <c r="GP165" s="12"/>
      <c r="GQ165" s="12"/>
      <c r="GR165" s="12"/>
      <c r="GS165" s="12"/>
      <c r="GT165" s="12"/>
      <c r="GU165" s="12"/>
      <c r="GV165" s="12"/>
      <c r="GW165" s="12"/>
      <c r="GX165" s="12"/>
      <c r="GY165" s="12"/>
      <c r="GZ165" s="12"/>
      <c r="HA165" s="12"/>
      <c r="HB165" s="12"/>
      <c r="HC165" s="12"/>
      <c r="HD165" s="12"/>
      <c r="HE165" s="12"/>
      <c r="HF165" s="12"/>
    </row>
    <row r="166" spans="1:214" x14ac:dyDescent="0.2">
      <c r="A166" s="65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46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  <c r="BN166" s="12"/>
      <c r="BO166" s="12"/>
      <c r="BP166" s="12"/>
      <c r="BQ166" s="12"/>
      <c r="BR166" s="12"/>
      <c r="BS166" s="12"/>
      <c r="BT166" s="12"/>
      <c r="BU166" s="12"/>
      <c r="BV166" s="12"/>
      <c r="BW166" s="12"/>
      <c r="BX166" s="12"/>
      <c r="BY166" s="12"/>
      <c r="BZ166" s="12"/>
      <c r="CA166" s="12"/>
      <c r="CB166" s="12"/>
      <c r="CC166" s="12"/>
      <c r="CD166" s="12"/>
      <c r="CE166" s="12"/>
      <c r="CF166" s="12"/>
      <c r="CG166" s="12"/>
      <c r="CH166" s="12"/>
      <c r="CI166" s="12"/>
      <c r="CJ166" s="12"/>
      <c r="CK166" s="12"/>
      <c r="CL166" s="12"/>
      <c r="CM166" s="12"/>
      <c r="CN166" s="12"/>
      <c r="CO166" s="12"/>
      <c r="CP166" s="12"/>
      <c r="CQ166" s="12"/>
      <c r="CR166" s="12"/>
      <c r="CS166" s="12"/>
      <c r="CT166" s="12"/>
      <c r="CU166" s="12"/>
      <c r="CV166" s="12"/>
      <c r="CW166" s="12"/>
      <c r="CX166" s="12"/>
      <c r="CY166" s="12"/>
      <c r="CZ166" s="12"/>
      <c r="DA166" s="12"/>
      <c r="DB166" s="12"/>
      <c r="DC166" s="12"/>
      <c r="DD166" s="12"/>
      <c r="DE166" s="12"/>
      <c r="DF166" s="12"/>
      <c r="DG166" s="12"/>
      <c r="DH166" s="12"/>
      <c r="DI166" s="12"/>
      <c r="DJ166" s="12"/>
      <c r="DK166" s="12"/>
      <c r="DL166" s="12"/>
      <c r="DM166" s="12"/>
      <c r="DN166" s="12"/>
      <c r="DO166" s="12"/>
      <c r="DP166" s="12"/>
      <c r="DQ166" s="12"/>
      <c r="DR166" s="12"/>
      <c r="DS166" s="12"/>
      <c r="DT166" s="12"/>
      <c r="DU166" s="12"/>
      <c r="DV166" s="12"/>
      <c r="DW166" s="12"/>
      <c r="DX166" s="12"/>
      <c r="DY166" s="12"/>
      <c r="DZ166" s="12"/>
      <c r="EA166" s="12"/>
      <c r="EB166" s="12"/>
      <c r="EC166" s="12"/>
      <c r="ED166" s="12"/>
      <c r="EE166" s="12"/>
      <c r="EF166" s="12"/>
      <c r="EG166" s="12"/>
      <c r="EH166" s="12"/>
      <c r="EI166" s="12"/>
      <c r="EJ166" s="12"/>
      <c r="EK166" s="12"/>
      <c r="EL166" s="12"/>
      <c r="EM166" s="12"/>
      <c r="EN166" s="12"/>
      <c r="EO166" s="12"/>
      <c r="EP166" s="12"/>
      <c r="EQ166" s="12"/>
      <c r="ER166" s="12"/>
      <c r="ES166" s="12"/>
      <c r="ET166" s="12"/>
      <c r="EU166" s="12"/>
      <c r="EV166" s="12"/>
      <c r="EW166" s="12"/>
      <c r="EX166" s="12"/>
      <c r="EY166" s="12"/>
      <c r="EZ166" s="12"/>
      <c r="FA166" s="12"/>
      <c r="FB166" s="12"/>
      <c r="FC166" s="12"/>
      <c r="FD166" s="12"/>
      <c r="FE166" s="12"/>
      <c r="FF166" s="12"/>
      <c r="FG166" s="12"/>
      <c r="FH166" s="12"/>
      <c r="FI166" s="12"/>
      <c r="FJ166" s="12"/>
      <c r="FK166" s="12"/>
      <c r="FL166" s="12"/>
      <c r="FM166" s="12"/>
      <c r="FN166" s="12"/>
      <c r="FO166" s="12"/>
      <c r="FP166" s="12"/>
      <c r="FQ166" s="12"/>
      <c r="FR166" s="12"/>
      <c r="FS166" s="12"/>
      <c r="FT166" s="12"/>
      <c r="FU166" s="12"/>
      <c r="FV166" s="12"/>
      <c r="FW166" s="12"/>
      <c r="FX166" s="12"/>
      <c r="FY166" s="12"/>
      <c r="FZ166" s="12"/>
      <c r="GA166" s="12"/>
      <c r="GB166" s="12"/>
      <c r="GC166" s="12"/>
      <c r="GD166" s="12"/>
      <c r="GE166" s="12"/>
      <c r="GF166" s="12"/>
      <c r="GG166" s="12"/>
      <c r="GH166" s="12"/>
      <c r="GI166" s="12"/>
      <c r="GJ166" s="12"/>
      <c r="GK166" s="12"/>
      <c r="GL166" s="12"/>
      <c r="GM166" s="12"/>
      <c r="GN166" s="12"/>
      <c r="GO166" s="12"/>
      <c r="GP166" s="12"/>
      <c r="GQ166" s="12"/>
      <c r="GR166" s="12"/>
      <c r="GS166" s="12"/>
      <c r="GT166" s="12"/>
      <c r="GU166" s="12"/>
      <c r="GV166" s="12"/>
      <c r="GW166" s="12"/>
      <c r="GX166" s="12"/>
      <c r="GY166" s="12"/>
      <c r="GZ166" s="12"/>
      <c r="HA166" s="12"/>
      <c r="HB166" s="12"/>
      <c r="HC166" s="12"/>
      <c r="HD166" s="12"/>
      <c r="HE166" s="12"/>
      <c r="HF166" s="12"/>
    </row>
    <row r="167" spans="1:214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46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  <c r="BN167" s="12"/>
      <c r="BO167" s="12"/>
      <c r="BP167" s="12"/>
      <c r="BQ167" s="12"/>
      <c r="BR167" s="12"/>
      <c r="BS167" s="12"/>
      <c r="BT167" s="12"/>
      <c r="BU167" s="12"/>
      <c r="BV167" s="12"/>
      <c r="BW167" s="12"/>
      <c r="BX167" s="12"/>
      <c r="BY167" s="12"/>
      <c r="BZ167" s="12"/>
      <c r="CA167" s="12"/>
      <c r="CB167" s="12"/>
      <c r="CC167" s="12"/>
      <c r="CD167" s="12"/>
      <c r="CE167" s="12"/>
      <c r="CF167" s="12"/>
      <c r="CG167" s="12"/>
      <c r="CH167" s="12"/>
      <c r="CI167" s="12"/>
      <c r="CJ167" s="12"/>
      <c r="CK167" s="12"/>
      <c r="CL167" s="12"/>
      <c r="CM167" s="12"/>
      <c r="CN167" s="12"/>
      <c r="CO167" s="12"/>
      <c r="CP167" s="12"/>
      <c r="CQ167" s="12"/>
      <c r="CR167" s="12"/>
      <c r="CS167" s="12"/>
      <c r="CT167" s="12"/>
      <c r="CU167" s="12"/>
      <c r="CV167" s="12"/>
      <c r="CW167" s="12"/>
      <c r="CX167" s="12"/>
      <c r="CY167" s="12"/>
      <c r="CZ167" s="12"/>
      <c r="DA167" s="12"/>
      <c r="DB167" s="12"/>
      <c r="DC167" s="12"/>
      <c r="DD167" s="12"/>
      <c r="DE167" s="12"/>
      <c r="DF167" s="12"/>
      <c r="DG167" s="12"/>
      <c r="DH167" s="12"/>
      <c r="DI167" s="12"/>
      <c r="DJ167" s="12"/>
      <c r="DK167" s="12"/>
      <c r="DL167" s="12"/>
      <c r="DM167" s="12"/>
      <c r="DN167" s="12"/>
      <c r="DO167" s="12"/>
      <c r="DP167" s="12"/>
      <c r="DQ167" s="12"/>
      <c r="DR167" s="12"/>
      <c r="DS167" s="12"/>
      <c r="DT167" s="12"/>
      <c r="DU167" s="12"/>
      <c r="DV167" s="12"/>
      <c r="DW167" s="12"/>
      <c r="DX167" s="12"/>
      <c r="DY167" s="12"/>
      <c r="DZ167" s="12"/>
      <c r="EA167" s="12"/>
      <c r="EB167" s="12"/>
      <c r="EC167" s="12"/>
      <c r="ED167" s="12"/>
      <c r="EE167" s="12"/>
      <c r="EF167" s="12"/>
      <c r="EG167" s="12"/>
      <c r="EH167" s="12"/>
      <c r="EI167" s="12"/>
      <c r="EJ167" s="12"/>
      <c r="EK167" s="12"/>
      <c r="EL167" s="12"/>
      <c r="EM167" s="12"/>
      <c r="EN167" s="12"/>
      <c r="EO167" s="12"/>
      <c r="EP167" s="12"/>
      <c r="EQ167" s="12"/>
      <c r="ER167" s="12"/>
      <c r="ES167" s="12"/>
      <c r="ET167" s="12"/>
      <c r="EU167" s="12"/>
      <c r="EV167" s="12"/>
      <c r="EW167" s="12"/>
      <c r="EX167" s="12"/>
      <c r="EY167" s="12"/>
      <c r="EZ167" s="12"/>
      <c r="FA167" s="12"/>
      <c r="FB167" s="12"/>
      <c r="FC167" s="12"/>
      <c r="FD167" s="12"/>
      <c r="FE167" s="12"/>
      <c r="FF167" s="12"/>
      <c r="FG167" s="12"/>
      <c r="FH167" s="12"/>
      <c r="FI167" s="12"/>
      <c r="FJ167" s="12"/>
      <c r="FK167" s="12"/>
      <c r="FL167" s="12"/>
      <c r="FM167" s="12"/>
      <c r="FN167" s="12"/>
      <c r="FO167" s="12"/>
      <c r="FP167" s="12"/>
      <c r="FQ167" s="12"/>
      <c r="FR167" s="12"/>
      <c r="FS167" s="12"/>
      <c r="FT167" s="12"/>
      <c r="FU167" s="12"/>
      <c r="FV167" s="12"/>
      <c r="FW167" s="12"/>
      <c r="FX167" s="12"/>
      <c r="FY167" s="12"/>
      <c r="FZ167" s="12"/>
      <c r="GA167" s="12"/>
      <c r="GB167" s="12"/>
      <c r="GC167" s="12"/>
      <c r="GD167" s="12"/>
      <c r="GE167" s="12"/>
      <c r="GF167" s="12"/>
      <c r="GG167" s="12"/>
      <c r="GH167" s="12"/>
      <c r="GI167" s="12"/>
      <c r="GJ167" s="12"/>
      <c r="GK167" s="12"/>
      <c r="GL167" s="12"/>
      <c r="GM167" s="12"/>
      <c r="GN167" s="12"/>
      <c r="GO167" s="12"/>
      <c r="GP167" s="12"/>
      <c r="GQ167" s="12"/>
      <c r="GR167" s="12"/>
      <c r="GS167" s="12"/>
      <c r="GT167" s="12"/>
      <c r="GU167" s="12"/>
      <c r="GV167" s="12"/>
      <c r="GW167" s="12"/>
      <c r="GX167" s="12"/>
      <c r="GY167" s="12"/>
      <c r="GZ167" s="12"/>
      <c r="HA167" s="12"/>
      <c r="HB167" s="12"/>
      <c r="HC167" s="12"/>
      <c r="HD167" s="12"/>
      <c r="HE167" s="12"/>
      <c r="HF167" s="12"/>
    </row>
    <row r="168" spans="1:214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46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  <c r="BN168" s="12"/>
      <c r="BO168" s="12"/>
      <c r="BP168" s="12"/>
      <c r="BQ168" s="12"/>
      <c r="BR168" s="12"/>
      <c r="BS168" s="12"/>
      <c r="BT168" s="12"/>
      <c r="BU168" s="12"/>
      <c r="BV168" s="12"/>
      <c r="BW168" s="12"/>
      <c r="BX168" s="12"/>
      <c r="BY168" s="12"/>
      <c r="BZ168" s="12"/>
      <c r="CA168" s="12"/>
      <c r="CB168" s="12"/>
      <c r="CC168" s="12"/>
      <c r="CD168" s="12"/>
      <c r="CE168" s="12"/>
      <c r="CF168" s="12"/>
      <c r="CG168" s="12"/>
      <c r="CH168" s="12"/>
      <c r="CI168" s="12"/>
      <c r="CJ168" s="12"/>
      <c r="CK168" s="12"/>
      <c r="CL168" s="12"/>
      <c r="CM168" s="12"/>
      <c r="CN168" s="12"/>
      <c r="CO168" s="12"/>
      <c r="CP168" s="12"/>
      <c r="CQ168" s="12"/>
      <c r="CR168" s="12"/>
      <c r="CS168" s="12"/>
      <c r="CT168" s="12"/>
      <c r="CU168" s="12"/>
      <c r="CV168" s="12"/>
      <c r="CW168" s="12"/>
      <c r="CX168" s="12"/>
      <c r="CY168" s="12"/>
      <c r="CZ168" s="12"/>
      <c r="DA168" s="12"/>
      <c r="DB168" s="12"/>
      <c r="DC168" s="12"/>
      <c r="DD168" s="12"/>
      <c r="DE168" s="12"/>
      <c r="DF168" s="12"/>
      <c r="DG168" s="12"/>
      <c r="DH168" s="12"/>
      <c r="DI168" s="12"/>
      <c r="DJ168" s="12"/>
      <c r="DK168" s="12"/>
      <c r="DL168" s="12"/>
      <c r="DM168" s="12"/>
      <c r="DN168" s="12"/>
      <c r="DO168" s="12"/>
      <c r="DP168" s="12"/>
      <c r="DQ168" s="12"/>
      <c r="DR168" s="12"/>
      <c r="DS168" s="12"/>
      <c r="DT168" s="12"/>
      <c r="DU168" s="12"/>
      <c r="DV168" s="12"/>
      <c r="DW168" s="12"/>
      <c r="DX168" s="12"/>
      <c r="DY168" s="12"/>
      <c r="DZ168" s="12"/>
      <c r="EA168" s="12"/>
      <c r="EB168" s="12"/>
      <c r="EC168" s="12"/>
      <c r="ED168" s="12"/>
      <c r="EE168" s="12"/>
      <c r="EF168" s="12"/>
      <c r="EG168" s="12"/>
      <c r="EH168" s="12"/>
      <c r="EI168" s="12"/>
      <c r="EJ168" s="12"/>
      <c r="EK168" s="12"/>
      <c r="EL168" s="12"/>
      <c r="EM168" s="12"/>
      <c r="EN168" s="12"/>
      <c r="EO168" s="12"/>
      <c r="EP168" s="12"/>
      <c r="EQ168" s="12"/>
      <c r="ER168" s="12"/>
      <c r="ES168" s="12"/>
      <c r="ET168" s="12"/>
      <c r="EU168" s="12"/>
      <c r="EV168" s="12"/>
      <c r="EW168" s="12"/>
      <c r="EX168" s="12"/>
      <c r="EY168" s="12"/>
      <c r="EZ168" s="12"/>
      <c r="FA168" s="12"/>
      <c r="FB168" s="12"/>
      <c r="FC168" s="12"/>
      <c r="FD168" s="12"/>
      <c r="FE168" s="12"/>
      <c r="FF168" s="12"/>
      <c r="FG168" s="12"/>
      <c r="FH168" s="12"/>
      <c r="FI168" s="12"/>
      <c r="FJ168" s="12"/>
      <c r="FK168" s="12"/>
      <c r="FL168" s="12"/>
      <c r="FM168" s="12"/>
      <c r="FN168" s="12"/>
      <c r="FO168" s="12"/>
      <c r="FP168" s="12"/>
      <c r="FQ168" s="12"/>
      <c r="FR168" s="12"/>
      <c r="FS168" s="12"/>
      <c r="FT168" s="12"/>
      <c r="FU168" s="12"/>
      <c r="FV168" s="12"/>
      <c r="FW168" s="12"/>
      <c r="FX168" s="12"/>
      <c r="FY168" s="12"/>
      <c r="FZ168" s="12"/>
      <c r="GA168" s="12"/>
      <c r="GB168" s="12"/>
      <c r="GC168" s="12"/>
      <c r="GD168" s="12"/>
      <c r="GE168" s="12"/>
      <c r="GF168" s="12"/>
      <c r="GG168" s="12"/>
      <c r="GH168" s="12"/>
      <c r="GI168" s="12"/>
      <c r="GJ168" s="12"/>
      <c r="GK168" s="12"/>
      <c r="GL168" s="12"/>
      <c r="GM168" s="12"/>
      <c r="GN168" s="12"/>
      <c r="GO168" s="12"/>
      <c r="GP168" s="12"/>
      <c r="GQ168" s="12"/>
      <c r="GR168" s="12"/>
      <c r="GS168" s="12"/>
      <c r="GT168" s="12"/>
      <c r="GU168" s="12"/>
      <c r="GV168" s="12"/>
      <c r="GW168" s="12"/>
      <c r="GX168" s="12"/>
      <c r="GY168" s="12"/>
      <c r="GZ168" s="12"/>
      <c r="HA168" s="12"/>
      <c r="HB168" s="12"/>
      <c r="HC168" s="12"/>
      <c r="HD168" s="12"/>
      <c r="HE168" s="12"/>
      <c r="HF168" s="12"/>
    </row>
    <row r="169" spans="1:214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46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  <c r="BN169" s="12"/>
      <c r="BO169" s="12"/>
      <c r="BP169" s="12"/>
      <c r="BQ169" s="12"/>
      <c r="BR169" s="12"/>
      <c r="BS169" s="12"/>
      <c r="BT169" s="12"/>
      <c r="BU169" s="12"/>
      <c r="BV169" s="12"/>
      <c r="BW169" s="12"/>
      <c r="BX169" s="12"/>
      <c r="BY169" s="12"/>
      <c r="BZ169" s="12"/>
      <c r="CA169" s="12"/>
      <c r="CB169" s="12"/>
      <c r="CC169" s="12"/>
      <c r="CD169" s="12"/>
      <c r="CE169" s="12"/>
      <c r="CF169" s="12"/>
      <c r="CG169" s="12"/>
      <c r="CH169" s="12"/>
      <c r="CI169" s="12"/>
      <c r="CJ169" s="12"/>
      <c r="CK169" s="12"/>
      <c r="CL169" s="12"/>
      <c r="CM169" s="12"/>
      <c r="CN169" s="12"/>
      <c r="CO169" s="12"/>
      <c r="CP169" s="12"/>
      <c r="CQ169" s="12"/>
      <c r="CR169" s="12"/>
      <c r="CS169" s="12"/>
      <c r="CT169" s="12"/>
      <c r="CU169" s="12"/>
      <c r="CV169" s="12"/>
      <c r="CW169" s="12"/>
      <c r="CX169" s="12"/>
      <c r="CY169" s="12"/>
      <c r="CZ169" s="12"/>
      <c r="DA169" s="12"/>
      <c r="DB169" s="12"/>
      <c r="DC169" s="12"/>
      <c r="DD169" s="12"/>
      <c r="DE169" s="12"/>
      <c r="DF169" s="12"/>
      <c r="DG169" s="12"/>
      <c r="DH169" s="12"/>
      <c r="DI169" s="12"/>
      <c r="DJ169" s="12"/>
      <c r="DK169" s="12"/>
      <c r="DL169" s="12"/>
      <c r="DM169" s="12"/>
      <c r="DN169" s="12"/>
      <c r="DO169" s="12"/>
      <c r="DP169" s="12"/>
      <c r="DQ169" s="12"/>
      <c r="DR169" s="12"/>
      <c r="DS169" s="12"/>
      <c r="DT169" s="12"/>
      <c r="DU169" s="12"/>
      <c r="DV169" s="12"/>
      <c r="DW169" s="12"/>
      <c r="DX169" s="12"/>
      <c r="DY169" s="12"/>
      <c r="DZ169" s="12"/>
      <c r="EA169" s="12"/>
      <c r="EB169" s="12"/>
      <c r="EC169" s="12"/>
      <c r="ED169" s="12"/>
      <c r="EE169" s="12"/>
      <c r="EF169" s="12"/>
      <c r="EG169" s="12"/>
      <c r="EH169" s="12"/>
      <c r="EI169" s="12"/>
      <c r="EJ169" s="12"/>
      <c r="EK169" s="12"/>
      <c r="EL169" s="12"/>
      <c r="EM169" s="12"/>
      <c r="EN169" s="12"/>
      <c r="EO169" s="12"/>
      <c r="EP169" s="12"/>
      <c r="EQ169" s="12"/>
      <c r="ER169" s="12"/>
      <c r="ES169" s="12"/>
      <c r="ET169" s="12"/>
      <c r="EU169" s="12"/>
      <c r="EV169" s="12"/>
      <c r="EW169" s="12"/>
      <c r="EX169" s="12"/>
      <c r="EY169" s="12"/>
      <c r="EZ169" s="12"/>
      <c r="FA169" s="12"/>
      <c r="FB169" s="12"/>
      <c r="FC169" s="12"/>
      <c r="FD169" s="12"/>
      <c r="FE169" s="12"/>
      <c r="FF169" s="12"/>
      <c r="FG169" s="12"/>
      <c r="FH169" s="12"/>
      <c r="FI169" s="12"/>
      <c r="FJ169" s="12"/>
      <c r="FK169" s="12"/>
      <c r="FL169" s="12"/>
      <c r="FM169" s="12"/>
      <c r="FN169" s="12"/>
      <c r="FO169" s="12"/>
      <c r="FP169" s="12"/>
      <c r="FQ169" s="12"/>
      <c r="FR169" s="12"/>
      <c r="FS169" s="12"/>
      <c r="FT169" s="12"/>
      <c r="FU169" s="12"/>
      <c r="FV169" s="12"/>
      <c r="FW169" s="12"/>
      <c r="FX169" s="12"/>
      <c r="FY169" s="12"/>
      <c r="FZ169" s="12"/>
      <c r="GA169" s="12"/>
      <c r="GB169" s="12"/>
      <c r="GC169" s="12"/>
      <c r="GD169" s="12"/>
      <c r="GE169" s="12"/>
      <c r="GF169" s="12"/>
      <c r="GG169" s="12"/>
      <c r="GH169" s="12"/>
      <c r="GI169" s="12"/>
      <c r="GJ169" s="12"/>
      <c r="GK169" s="12"/>
      <c r="GL169" s="12"/>
      <c r="GM169" s="12"/>
      <c r="GN169" s="12"/>
      <c r="GO169" s="12"/>
      <c r="GP169" s="12"/>
      <c r="GQ169" s="12"/>
      <c r="GR169" s="12"/>
      <c r="GS169" s="12"/>
      <c r="GT169" s="12"/>
      <c r="GU169" s="12"/>
      <c r="GV169" s="12"/>
      <c r="GW169" s="12"/>
      <c r="GX169" s="12"/>
      <c r="GY169" s="12"/>
      <c r="GZ169" s="12"/>
      <c r="HA169" s="12"/>
      <c r="HB169" s="12"/>
      <c r="HC169" s="12"/>
      <c r="HD169" s="12"/>
      <c r="HE169" s="12"/>
      <c r="HF169" s="12"/>
    </row>
    <row r="170" spans="1:214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46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  <c r="BN170" s="12"/>
      <c r="BO170" s="12"/>
      <c r="BP170" s="12"/>
      <c r="BQ170" s="12"/>
      <c r="BR170" s="12"/>
      <c r="BS170" s="12"/>
      <c r="BT170" s="12"/>
      <c r="BU170" s="12"/>
      <c r="BV170" s="12"/>
      <c r="BW170" s="12"/>
      <c r="BX170" s="12"/>
      <c r="BY170" s="12"/>
      <c r="BZ170" s="12"/>
      <c r="CA170" s="12"/>
      <c r="CB170" s="12"/>
      <c r="CC170" s="12"/>
      <c r="CD170" s="12"/>
      <c r="CE170" s="12"/>
      <c r="CF170" s="12"/>
      <c r="CG170" s="12"/>
      <c r="CH170" s="12"/>
      <c r="CI170" s="12"/>
      <c r="CJ170" s="12"/>
      <c r="CK170" s="12"/>
      <c r="CL170" s="12"/>
      <c r="CM170" s="12"/>
      <c r="CN170" s="12"/>
      <c r="CO170" s="12"/>
      <c r="CP170" s="12"/>
      <c r="CQ170" s="12"/>
      <c r="CR170" s="12"/>
      <c r="CS170" s="12"/>
      <c r="CT170" s="12"/>
      <c r="CU170" s="12"/>
      <c r="CV170" s="12"/>
      <c r="CW170" s="12"/>
      <c r="CX170" s="12"/>
      <c r="CY170" s="12"/>
      <c r="CZ170" s="12"/>
      <c r="DA170" s="12"/>
      <c r="DB170" s="12"/>
      <c r="DC170" s="12"/>
      <c r="DD170" s="12"/>
      <c r="DE170" s="12"/>
      <c r="DF170" s="12"/>
      <c r="DG170" s="12"/>
      <c r="DH170" s="12"/>
      <c r="DI170" s="12"/>
      <c r="DJ170" s="12"/>
      <c r="DK170" s="12"/>
      <c r="DL170" s="12"/>
      <c r="DM170" s="12"/>
      <c r="DN170" s="12"/>
      <c r="DO170" s="12"/>
      <c r="DP170" s="12"/>
      <c r="DQ170" s="12"/>
      <c r="DR170" s="12"/>
      <c r="DS170" s="12"/>
      <c r="DT170" s="12"/>
      <c r="DU170" s="12"/>
      <c r="DV170" s="12"/>
      <c r="DW170" s="12"/>
      <c r="DX170" s="12"/>
      <c r="DY170" s="12"/>
      <c r="DZ170" s="12"/>
      <c r="EA170" s="12"/>
      <c r="EB170" s="12"/>
      <c r="EC170" s="12"/>
      <c r="ED170" s="12"/>
      <c r="EE170" s="12"/>
      <c r="EF170" s="12"/>
      <c r="EG170" s="12"/>
      <c r="EH170" s="12"/>
      <c r="EI170" s="12"/>
      <c r="EJ170" s="12"/>
      <c r="EK170" s="12"/>
      <c r="EL170" s="12"/>
      <c r="EM170" s="12"/>
      <c r="EN170" s="12"/>
      <c r="EO170" s="12"/>
      <c r="EP170" s="12"/>
      <c r="EQ170" s="12"/>
      <c r="ER170" s="12"/>
      <c r="ES170" s="12"/>
      <c r="ET170" s="12"/>
      <c r="EU170" s="12"/>
      <c r="EV170" s="12"/>
      <c r="EW170" s="12"/>
      <c r="EX170" s="12"/>
      <c r="EY170" s="12"/>
      <c r="EZ170" s="12"/>
      <c r="FA170" s="12"/>
      <c r="FB170" s="12"/>
      <c r="FC170" s="12"/>
      <c r="FD170" s="12"/>
      <c r="FE170" s="12"/>
      <c r="FF170" s="12"/>
      <c r="FG170" s="12"/>
      <c r="FH170" s="12"/>
      <c r="FI170" s="12"/>
      <c r="FJ170" s="12"/>
      <c r="FK170" s="12"/>
      <c r="FL170" s="12"/>
      <c r="FM170" s="12"/>
      <c r="FN170" s="12"/>
      <c r="FO170" s="12"/>
      <c r="FP170" s="12"/>
      <c r="FQ170" s="12"/>
      <c r="FR170" s="12"/>
      <c r="FS170" s="12"/>
      <c r="FT170" s="12"/>
      <c r="FU170" s="12"/>
      <c r="FV170" s="12"/>
      <c r="FW170" s="12"/>
      <c r="FX170" s="12"/>
      <c r="FY170" s="12"/>
      <c r="FZ170" s="12"/>
      <c r="GA170" s="12"/>
      <c r="GB170" s="12"/>
      <c r="GC170" s="12"/>
      <c r="GD170" s="12"/>
      <c r="GE170" s="12"/>
      <c r="GF170" s="12"/>
      <c r="GG170" s="12"/>
      <c r="GH170" s="12"/>
      <c r="GI170" s="12"/>
      <c r="GJ170" s="12"/>
      <c r="GK170" s="12"/>
      <c r="GL170" s="12"/>
      <c r="GM170" s="12"/>
      <c r="GN170" s="12"/>
      <c r="GO170" s="12"/>
      <c r="GP170" s="12"/>
      <c r="GQ170" s="12"/>
      <c r="GR170" s="12"/>
      <c r="GS170" s="12"/>
      <c r="GT170" s="12"/>
      <c r="GU170" s="12"/>
      <c r="GV170" s="12"/>
      <c r="GW170" s="12"/>
      <c r="GX170" s="12"/>
      <c r="GY170" s="12"/>
      <c r="GZ170" s="12"/>
      <c r="HA170" s="12"/>
      <c r="HB170" s="12"/>
      <c r="HC170" s="12"/>
      <c r="HD170" s="12"/>
      <c r="HE170" s="12"/>
      <c r="HF170" s="12"/>
    </row>
    <row r="171" spans="1:214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46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12"/>
      <c r="CA171" s="12"/>
      <c r="CB171" s="12"/>
      <c r="CC171" s="12"/>
      <c r="CD171" s="12"/>
      <c r="CE171" s="12"/>
      <c r="CF171" s="12"/>
      <c r="CG171" s="12"/>
      <c r="CH171" s="12"/>
      <c r="CI171" s="12"/>
      <c r="CJ171" s="12"/>
      <c r="CK171" s="12"/>
      <c r="CL171" s="12"/>
      <c r="CM171" s="12"/>
      <c r="CN171" s="12"/>
      <c r="CO171" s="12"/>
      <c r="CP171" s="12"/>
      <c r="CQ171" s="12"/>
      <c r="CR171" s="12"/>
      <c r="CS171" s="12"/>
      <c r="CT171" s="12"/>
      <c r="CU171" s="12"/>
      <c r="CV171" s="12"/>
      <c r="CW171" s="12"/>
      <c r="CX171" s="12"/>
      <c r="CY171" s="12"/>
      <c r="CZ171" s="12"/>
      <c r="DA171" s="12"/>
      <c r="DB171" s="12"/>
      <c r="DC171" s="12"/>
      <c r="DD171" s="12"/>
      <c r="DE171" s="12"/>
      <c r="DF171" s="12"/>
      <c r="DG171" s="12"/>
      <c r="DH171" s="12"/>
      <c r="DI171" s="12"/>
      <c r="DJ171" s="12"/>
      <c r="DK171" s="12"/>
      <c r="DL171" s="12"/>
      <c r="DM171" s="12"/>
      <c r="DN171" s="12"/>
      <c r="DO171" s="12"/>
      <c r="DP171" s="12"/>
      <c r="DQ171" s="12"/>
      <c r="DR171" s="12"/>
      <c r="DS171" s="12"/>
      <c r="DT171" s="12"/>
      <c r="DU171" s="12"/>
      <c r="DV171" s="12"/>
      <c r="DW171" s="12"/>
      <c r="DX171" s="12"/>
      <c r="DY171" s="12"/>
      <c r="DZ171" s="12"/>
      <c r="EA171" s="12"/>
      <c r="EB171" s="12"/>
      <c r="EC171" s="12"/>
      <c r="ED171" s="12"/>
      <c r="EE171" s="12"/>
      <c r="EF171" s="12"/>
      <c r="EG171" s="12"/>
      <c r="EH171" s="12"/>
      <c r="EI171" s="12"/>
      <c r="EJ171" s="12"/>
      <c r="EK171" s="12"/>
      <c r="EL171" s="12"/>
      <c r="EM171" s="12"/>
      <c r="EN171" s="12"/>
      <c r="EO171" s="12"/>
      <c r="EP171" s="12"/>
      <c r="EQ171" s="12"/>
      <c r="ER171" s="12"/>
      <c r="ES171" s="12"/>
      <c r="ET171" s="12"/>
      <c r="EU171" s="12"/>
      <c r="EV171" s="12"/>
      <c r="EW171" s="12"/>
      <c r="EX171" s="12"/>
      <c r="EY171" s="12"/>
      <c r="EZ171" s="12"/>
      <c r="FA171" s="12"/>
      <c r="FB171" s="12"/>
      <c r="FC171" s="12"/>
      <c r="FD171" s="12"/>
      <c r="FE171" s="12"/>
      <c r="FF171" s="12"/>
      <c r="FG171" s="12"/>
      <c r="FH171" s="12"/>
      <c r="FI171" s="12"/>
      <c r="FJ171" s="12"/>
      <c r="FK171" s="12"/>
      <c r="FL171" s="12"/>
      <c r="FM171" s="12"/>
      <c r="FN171" s="12"/>
      <c r="FO171" s="12"/>
      <c r="FP171" s="12"/>
      <c r="FQ171" s="12"/>
      <c r="FR171" s="12"/>
      <c r="FS171" s="12"/>
      <c r="FT171" s="12"/>
      <c r="FU171" s="12"/>
      <c r="FV171" s="12"/>
      <c r="FW171" s="12"/>
      <c r="FX171" s="12"/>
      <c r="FY171" s="12"/>
      <c r="FZ171" s="12"/>
      <c r="GA171" s="12"/>
      <c r="GB171" s="12"/>
      <c r="GC171" s="12"/>
      <c r="GD171" s="12"/>
      <c r="GE171" s="12"/>
      <c r="GF171" s="12"/>
      <c r="GG171" s="12"/>
      <c r="GH171" s="12"/>
      <c r="GI171" s="12"/>
      <c r="GJ171" s="12"/>
      <c r="GK171" s="12"/>
      <c r="GL171" s="12"/>
      <c r="GM171" s="12"/>
      <c r="GN171" s="12"/>
      <c r="GO171" s="12"/>
      <c r="GP171" s="12"/>
      <c r="GQ171" s="12"/>
      <c r="GR171" s="12"/>
      <c r="GS171" s="12"/>
      <c r="GT171" s="12"/>
      <c r="GU171" s="12"/>
      <c r="GV171" s="12"/>
      <c r="GW171" s="12"/>
      <c r="GX171" s="12"/>
      <c r="GY171" s="12"/>
      <c r="GZ171" s="12"/>
      <c r="HA171" s="12"/>
      <c r="HB171" s="12"/>
      <c r="HC171" s="12"/>
      <c r="HD171" s="12"/>
      <c r="HE171" s="12"/>
      <c r="HF171" s="12"/>
    </row>
    <row r="172" spans="1:214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46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  <c r="BN172" s="12"/>
      <c r="BO172" s="12"/>
      <c r="BP172" s="12"/>
      <c r="BQ172" s="12"/>
      <c r="BR172" s="12"/>
      <c r="BS172" s="12"/>
      <c r="BT172" s="12"/>
      <c r="BU172" s="12"/>
      <c r="BV172" s="12"/>
      <c r="BW172" s="12"/>
      <c r="BX172" s="12"/>
      <c r="BY172" s="12"/>
      <c r="BZ172" s="12"/>
      <c r="CA172" s="12"/>
      <c r="CB172" s="12"/>
      <c r="CC172" s="12"/>
      <c r="CD172" s="12"/>
      <c r="CE172" s="12"/>
      <c r="CF172" s="12"/>
      <c r="CG172" s="12"/>
      <c r="CH172" s="12"/>
      <c r="CI172" s="12"/>
      <c r="CJ172" s="12"/>
      <c r="CK172" s="12"/>
      <c r="CL172" s="12"/>
      <c r="CM172" s="12"/>
      <c r="CN172" s="12"/>
      <c r="CO172" s="12"/>
      <c r="CP172" s="12"/>
      <c r="CQ172" s="12"/>
      <c r="CR172" s="12"/>
      <c r="CS172" s="12"/>
      <c r="CT172" s="12"/>
      <c r="CU172" s="12"/>
      <c r="CV172" s="12"/>
      <c r="CW172" s="12"/>
      <c r="CX172" s="12"/>
      <c r="CY172" s="12"/>
      <c r="CZ172" s="12"/>
      <c r="DA172" s="12"/>
      <c r="DB172" s="12"/>
      <c r="DC172" s="12"/>
      <c r="DD172" s="12"/>
      <c r="DE172" s="12"/>
      <c r="DF172" s="12"/>
      <c r="DG172" s="12"/>
      <c r="DH172" s="12"/>
      <c r="DI172" s="12"/>
      <c r="DJ172" s="12"/>
      <c r="DK172" s="12"/>
      <c r="DL172" s="12"/>
      <c r="DM172" s="12"/>
      <c r="DN172" s="12"/>
      <c r="DO172" s="12"/>
      <c r="DP172" s="12"/>
      <c r="DQ172" s="12"/>
      <c r="DR172" s="12"/>
      <c r="DS172" s="12"/>
      <c r="DT172" s="12"/>
      <c r="DU172" s="12"/>
      <c r="DV172" s="12"/>
      <c r="DW172" s="12"/>
      <c r="DX172" s="12"/>
      <c r="DY172" s="12"/>
      <c r="DZ172" s="12"/>
      <c r="EA172" s="12"/>
      <c r="EB172" s="12"/>
      <c r="EC172" s="12"/>
      <c r="ED172" s="12"/>
      <c r="EE172" s="12"/>
      <c r="EF172" s="12"/>
      <c r="EG172" s="12"/>
      <c r="EH172" s="12"/>
      <c r="EI172" s="12"/>
      <c r="EJ172" s="12"/>
      <c r="EK172" s="12"/>
      <c r="EL172" s="12"/>
      <c r="EM172" s="12"/>
      <c r="EN172" s="12"/>
      <c r="EO172" s="12"/>
      <c r="EP172" s="12"/>
      <c r="EQ172" s="12"/>
      <c r="ER172" s="12"/>
      <c r="ES172" s="12"/>
      <c r="ET172" s="12"/>
      <c r="EU172" s="12"/>
      <c r="EV172" s="12"/>
      <c r="EW172" s="12"/>
      <c r="EX172" s="12"/>
      <c r="EY172" s="12"/>
      <c r="EZ172" s="12"/>
      <c r="FA172" s="12"/>
      <c r="FB172" s="12"/>
      <c r="FC172" s="12"/>
      <c r="FD172" s="12"/>
      <c r="FE172" s="12"/>
      <c r="FF172" s="12"/>
      <c r="FG172" s="12"/>
      <c r="FH172" s="12"/>
      <c r="FI172" s="12"/>
      <c r="FJ172" s="12"/>
      <c r="FK172" s="12"/>
      <c r="FL172" s="12"/>
      <c r="FM172" s="12"/>
      <c r="FN172" s="12"/>
      <c r="FO172" s="12"/>
      <c r="FP172" s="12"/>
      <c r="FQ172" s="12"/>
      <c r="FR172" s="12"/>
      <c r="FS172" s="12"/>
      <c r="FT172" s="12"/>
      <c r="FU172" s="12"/>
      <c r="FV172" s="12"/>
      <c r="FW172" s="12"/>
      <c r="FX172" s="12"/>
      <c r="FY172" s="12"/>
      <c r="FZ172" s="12"/>
      <c r="GA172" s="12"/>
      <c r="GB172" s="12"/>
      <c r="GC172" s="12"/>
      <c r="GD172" s="12"/>
      <c r="GE172" s="12"/>
      <c r="GF172" s="12"/>
      <c r="GG172" s="12"/>
      <c r="GH172" s="12"/>
      <c r="GI172" s="12"/>
      <c r="GJ172" s="12"/>
      <c r="GK172" s="12"/>
      <c r="GL172" s="12"/>
      <c r="GM172" s="12"/>
      <c r="GN172" s="12"/>
      <c r="GO172" s="12"/>
      <c r="GP172" s="12"/>
      <c r="GQ172" s="12"/>
      <c r="GR172" s="12"/>
      <c r="GS172" s="12"/>
      <c r="GT172" s="12"/>
      <c r="GU172" s="12"/>
      <c r="GV172" s="12"/>
      <c r="GW172" s="12"/>
      <c r="GX172" s="12"/>
      <c r="GY172" s="12"/>
      <c r="GZ172" s="12"/>
      <c r="HA172" s="12"/>
      <c r="HB172" s="12"/>
      <c r="HC172" s="12"/>
      <c r="HD172" s="12"/>
      <c r="HE172" s="12"/>
      <c r="HF172" s="12"/>
    </row>
    <row r="173" spans="1:214" x14ac:dyDescent="0.2">
      <c r="A173" s="65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46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N173" s="12"/>
      <c r="BO173" s="12"/>
      <c r="BP173" s="12"/>
      <c r="BQ173" s="12"/>
      <c r="BR173" s="12"/>
      <c r="BS173" s="12"/>
      <c r="BT173" s="12"/>
      <c r="BU173" s="12"/>
      <c r="BV173" s="12"/>
      <c r="BW173" s="12"/>
      <c r="BX173" s="12"/>
      <c r="BY173" s="12"/>
      <c r="BZ173" s="12"/>
      <c r="CA173" s="12"/>
      <c r="CB173" s="12"/>
      <c r="CC173" s="12"/>
      <c r="CD173" s="12"/>
      <c r="CE173" s="12"/>
      <c r="CF173" s="12"/>
      <c r="CG173" s="12"/>
      <c r="CH173" s="12"/>
      <c r="CI173" s="12"/>
      <c r="CJ173" s="12"/>
      <c r="CK173" s="12"/>
      <c r="CL173" s="12"/>
      <c r="CM173" s="12"/>
      <c r="CN173" s="12"/>
      <c r="CO173" s="12"/>
      <c r="CP173" s="12"/>
      <c r="CQ173" s="12"/>
      <c r="CR173" s="12"/>
      <c r="CS173" s="12"/>
      <c r="CT173" s="12"/>
      <c r="CU173" s="12"/>
      <c r="CV173" s="12"/>
      <c r="CW173" s="12"/>
      <c r="CX173" s="12"/>
      <c r="CY173" s="12"/>
      <c r="CZ173" s="12"/>
      <c r="DA173" s="12"/>
      <c r="DB173" s="12"/>
      <c r="DC173" s="12"/>
      <c r="DD173" s="12"/>
      <c r="DE173" s="12"/>
      <c r="DF173" s="12"/>
      <c r="DG173" s="12"/>
      <c r="DH173" s="12"/>
      <c r="DI173" s="12"/>
      <c r="DJ173" s="12"/>
      <c r="DK173" s="12"/>
      <c r="DL173" s="12"/>
      <c r="DM173" s="12"/>
      <c r="DN173" s="12"/>
      <c r="DO173" s="12"/>
      <c r="DP173" s="12"/>
      <c r="DQ173" s="12"/>
      <c r="DR173" s="12"/>
      <c r="DS173" s="12"/>
      <c r="DT173" s="12"/>
      <c r="DU173" s="12"/>
      <c r="DV173" s="12"/>
      <c r="DW173" s="12"/>
      <c r="DX173" s="12"/>
      <c r="DY173" s="12"/>
      <c r="DZ173" s="12"/>
      <c r="EA173" s="12"/>
      <c r="EB173" s="12"/>
      <c r="EC173" s="12"/>
      <c r="ED173" s="12"/>
      <c r="EE173" s="12"/>
      <c r="EF173" s="12"/>
      <c r="EG173" s="12"/>
      <c r="EH173" s="12"/>
      <c r="EI173" s="12"/>
      <c r="EJ173" s="12"/>
      <c r="EK173" s="12"/>
      <c r="EL173" s="12"/>
      <c r="EM173" s="12"/>
      <c r="EN173" s="12"/>
      <c r="EO173" s="12"/>
      <c r="EP173" s="12"/>
      <c r="EQ173" s="12"/>
      <c r="ER173" s="12"/>
      <c r="ES173" s="12"/>
      <c r="ET173" s="12"/>
      <c r="EU173" s="12"/>
      <c r="EV173" s="12"/>
      <c r="EW173" s="12"/>
      <c r="EX173" s="12"/>
      <c r="EY173" s="12"/>
      <c r="EZ173" s="12"/>
      <c r="FA173" s="12"/>
      <c r="FB173" s="12"/>
      <c r="FC173" s="12"/>
      <c r="FD173" s="12"/>
      <c r="FE173" s="12"/>
      <c r="FF173" s="12"/>
      <c r="FG173" s="12"/>
      <c r="FH173" s="12"/>
      <c r="FI173" s="12"/>
      <c r="FJ173" s="12"/>
      <c r="FK173" s="12"/>
      <c r="FL173" s="12"/>
      <c r="FM173" s="12"/>
      <c r="FN173" s="12"/>
      <c r="FO173" s="12"/>
      <c r="FP173" s="12"/>
      <c r="FQ173" s="12"/>
      <c r="FR173" s="12"/>
      <c r="FS173" s="12"/>
      <c r="FT173" s="12"/>
      <c r="FU173" s="12"/>
      <c r="FV173" s="12"/>
      <c r="FW173" s="12"/>
      <c r="FX173" s="12"/>
      <c r="FY173" s="12"/>
      <c r="FZ173" s="12"/>
      <c r="GA173" s="12"/>
      <c r="GB173" s="12"/>
      <c r="GC173" s="12"/>
      <c r="GD173" s="12"/>
      <c r="GE173" s="12"/>
      <c r="GF173" s="12"/>
      <c r="GG173" s="12"/>
      <c r="GH173" s="12"/>
      <c r="GI173" s="12"/>
      <c r="GJ173" s="12"/>
      <c r="GK173" s="12"/>
      <c r="GL173" s="12"/>
      <c r="GM173" s="12"/>
      <c r="GN173" s="12"/>
      <c r="GO173" s="12"/>
      <c r="GP173" s="12"/>
      <c r="GQ173" s="12"/>
      <c r="GR173" s="12"/>
      <c r="GS173" s="12"/>
      <c r="GT173" s="12"/>
      <c r="GU173" s="12"/>
      <c r="GV173" s="12"/>
      <c r="GW173" s="12"/>
      <c r="GX173" s="12"/>
      <c r="GY173" s="12"/>
      <c r="GZ173" s="12"/>
      <c r="HA173" s="12"/>
      <c r="HB173" s="12"/>
      <c r="HC173" s="12"/>
      <c r="HD173" s="12"/>
      <c r="HE173" s="12"/>
      <c r="HF173" s="12"/>
    </row>
    <row r="174" spans="1:214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46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  <c r="BN174" s="12"/>
      <c r="BO174" s="12"/>
      <c r="BP174" s="12"/>
      <c r="BQ174" s="12"/>
      <c r="BR174" s="12"/>
      <c r="BS174" s="12"/>
      <c r="BT174" s="12"/>
      <c r="BU174" s="12"/>
      <c r="BV174" s="12"/>
      <c r="BW174" s="12"/>
      <c r="BX174" s="12"/>
      <c r="BY174" s="12"/>
      <c r="BZ174" s="12"/>
      <c r="CA174" s="12"/>
      <c r="CB174" s="12"/>
      <c r="CC174" s="12"/>
      <c r="CD174" s="12"/>
      <c r="CE174" s="12"/>
      <c r="CF174" s="12"/>
      <c r="CG174" s="12"/>
      <c r="CH174" s="12"/>
      <c r="CI174" s="12"/>
      <c r="CJ174" s="12"/>
      <c r="CK174" s="12"/>
      <c r="CL174" s="12"/>
      <c r="CM174" s="12"/>
      <c r="CN174" s="12"/>
      <c r="CO174" s="12"/>
      <c r="CP174" s="12"/>
      <c r="CQ174" s="12"/>
      <c r="CR174" s="12"/>
      <c r="CS174" s="12"/>
      <c r="CT174" s="12"/>
      <c r="CU174" s="12"/>
      <c r="CV174" s="12"/>
      <c r="CW174" s="12"/>
      <c r="CX174" s="12"/>
      <c r="CY174" s="12"/>
      <c r="CZ174" s="12"/>
      <c r="DA174" s="12"/>
      <c r="DB174" s="12"/>
      <c r="DC174" s="12"/>
      <c r="DD174" s="12"/>
      <c r="DE174" s="12"/>
      <c r="DF174" s="12"/>
      <c r="DG174" s="12"/>
      <c r="DH174" s="12"/>
      <c r="DI174" s="12"/>
      <c r="DJ174" s="12"/>
      <c r="DK174" s="12"/>
      <c r="DL174" s="12"/>
      <c r="DM174" s="12"/>
      <c r="DN174" s="12"/>
      <c r="DO174" s="12"/>
      <c r="DP174" s="12"/>
      <c r="DQ174" s="12"/>
      <c r="DR174" s="12"/>
      <c r="DS174" s="12"/>
      <c r="DT174" s="12"/>
      <c r="DU174" s="12"/>
      <c r="DV174" s="12"/>
      <c r="DW174" s="12"/>
      <c r="DX174" s="12"/>
      <c r="DY174" s="12"/>
      <c r="DZ174" s="12"/>
      <c r="EA174" s="12"/>
      <c r="EB174" s="12"/>
      <c r="EC174" s="12"/>
      <c r="ED174" s="12"/>
      <c r="EE174" s="12"/>
      <c r="EF174" s="12"/>
      <c r="EG174" s="12"/>
      <c r="EH174" s="12"/>
      <c r="EI174" s="12"/>
      <c r="EJ174" s="12"/>
      <c r="EK174" s="12"/>
      <c r="EL174" s="12"/>
      <c r="EM174" s="12"/>
      <c r="EN174" s="12"/>
      <c r="EO174" s="12"/>
      <c r="EP174" s="12"/>
      <c r="EQ174" s="12"/>
      <c r="ER174" s="12"/>
      <c r="ES174" s="12"/>
      <c r="ET174" s="12"/>
      <c r="EU174" s="12"/>
      <c r="EV174" s="12"/>
      <c r="EW174" s="12"/>
      <c r="EX174" s="12"/>
      <c r="EY174" s="12"/>
      <c r="EZ174" s="12"/>
      <c r="FA174" s="12"/>
      <c r="FB174" s="12"/>
      <c r="FC174" s="12"/>
      <c r="FD174" s="12"/>
      <c r="FE174" s="12"/>
      <c r="FF174" s="12"/>
      <c r="FG174" s="12"/>
      <c r="FH174" s="12"/>
      <c r="FI174" s="12"/>
      <c r="FJ174" s="12"/>
      <c r="FK174" s="12"/>
      <c r="FL174" s="12"/>
      <c r="FM174" s="12"/>
      <c r="FN174" s="12"/>
      <c r="FO174" s="12"/>
      <c r="FP174" s="12"/>
      <c r="FQ174" s="12"/>
      <c r="FR174" s="12"/>
      <c r="FS174" s="12"/>
      <c r="FT174" s="12"/>
      <c r="FU174" s="12"/>
      <c r="FV174" s="12"/>
      <c r="FW174" s="12"/>
      <c r="FX174" s="12"/>
      <c r="FY174" s="12"/>
      <c r="FZ174" s="12"/>
      <c r="GA174" s="12"/>
      <c r="GB174" s="12"/>
      <c r="GC174" s="12"/>
      <c r="GD174" s="12"/>
      <c r="GE174" s="12"/>
      <c r="GF174" s="12"/>
      <c r="GG174" s="12"/>
      <c r="GH174" s="12"/>
      <c r="GI174" s="12"/>
      <c r="GJ174" s="12"/>
      <c r="GK174" s="12"/>
      <c r="GL174" s="12"/>
      <c r="GM174" s="12"/>
      <c r="GN174" s="12"/>
      <c r="GO174" s="12"/>
      <c r="GP174" s="12"/>
      <c r="GQ174" s="12"/>
      <c r="GR174" s="12"/>
      <c r="GS174" s="12"/>
      <c r="GT174" s="12"/>
      <c r="GU174" s="12"/>
      <c r="GV174" s="12"/>
      <c r="GW174" s="12"/>
      <c r="GX174" s="12"/>
      <c r="GY174" s="12"/>
      <c r="GZ174" s="12"/>
      <c r="HA174" s="12"/>
      <c r="HB174" s="12"/>
      <c r="HC174" s="12"/>
      <c r="HD174" s="12"/>
      <c r="HE174" s="12"/>
      <c r="HF174" s="12"/>
    </row>
    <row r="175" spans="1:214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46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  <c r="BN175" s="12"/>
      <c r="BO175" s="12"/>
      <c r="BP175" s="12"/>
      <c r="BQ175" s="12"/>
      <c r="BR175" s="12"/>
      <c r="BS175" s="12"/>
      <c r="BT175" s="12"/>
      <c r="BU175" s="12"/>
      <c r="BV175" s="12"/>
      <c r="BW175" s="12"/>
      <c r="BX175" s="12"/>
      <c r="BY175" s="12"/>
      <c r="BZ175" s="12"/>
      <c r="CA175" s="12"/>
      <c r="CB175" s="12"/>
      <c r="CC175" s="12"/>
      <c r="CD175" s="12"/>
      <c r="CE175" s="12"/>
      <c r="CF175" s="12"/>
      <c r="CG175" s="12"/>
      <c r="CH175" s="12"/>
      <c r="CI175" s="12"/>
      <c r="CJ175" s="12"/>
      <c r="CK175" s="12"/>
      <c r="CL175" s="12"/>
      <c r="CM175" s="12"/>
      <c r="CN175" s="12"/>
      <c r="CO175" s="12"/>
      <c r="CP175" s="12"/>
      <c r="CQ175" s="12"/>
      <c r="CR175" s="12"/>
      <c r="CS175" s="12"/>
      <c r="CT175" s="12"/>
      <c r="CU175" s="12"/>
      <c r="CV175" s="12"/>
      <c r="CW175" s="12"/>
      <c r="CX175" s="12"/>
      <c r="CY175" s="12"/>
      <c r="CZ175" s="12"/>
      <c r="DA175" s="12"/>
      <c r="DB175" s="12"/>
      <c r="DC175" s="12"/>
      <c r="DD175" s="12"/>
      <c r="DE175" s="12"/>
      <c r="DF175" s="12"/>
      <c r="DG175" s="12"/>
      <c r="DH175" s="12"/>
      <c r="DI175" s="12"/>
      <c r="DJ175" s="12"/>
      <c r="DK175" s="12"/>
      <c r="DL175" s="12"/>
      <c r="DM175" s="12"/>
      <c r="DN175" s="12"/>
      <c r="DO175" s="12"/>
      <c r="DP175" s="12"/>
      <c r="DQ175" s="12"/>
      <c r="DR175" s="12"/>
      <c r="DS175" s="12"/>
      <c r="DT175" s="12"/>
      <c r="DU175" s="12"/>
      <c r="DV175" s="12"/>
      <c r="DW175" s="12"/>
      <c r="DX175" s="12"/>
      <c r="DY175" s="12"/>
      <c r="DZ175" s="12"/>
      <c r="EA175" s="12"/>
      <c r="EB175" s="12"/>
      <c r="EC175" s="12"/>
      <c r="ED175" s="12"/>
      <c r="EE175" s="12"/>
      <c r="EF175" s="12"/>
      <c r="EG175" s="12"/>
      <c r="EH175" s="12"/>
      <c r="EI175" s="12"/>
      <c r="EJ175" s="12"/>
      <c r="EK175" s="12"/>
      <c r="EL175" s="12"/>
      <c r="EM175" s="12"/>
      <c r="EN175" s="12"/>
      <c r="EO175" s="12"/>
      <c r="EP175" s="12"/>
      <c r="EQ175" s="12"/>
      <c r="ER175" s="12"/>
      <c r="ES175" s="12"/>
      <c r="ET175" s="12"/>
      <c r="EU175" s="12"/>
      <c r="EV175" s="12"/>
      <c r="EW175" s="12"/>
      <c r="EX175" s="12"/>
      <c r="EY175" s="12"/>
      <c r="EZ175" s="12"/>
      <c r="FA175" s="12"/>
      <c r="FB175" s="12"/>
      <c r="FC175" s="12"/>
      <c r="FD175" s="12"/>
      <c r="FE175" s="12"/>
      <c r="FF175" s="12"/>
      <c r="FG175" s="12"/>
      <c r="FH175" s="12"/>
      <c r="FI175" s="12"/>
      <c r="FJ175" s="12"/>
      <c r="FK175" s="12"/>
      <c r="FL175" s="12"/>
      <c r="FM175" s="12"/>
      <c r="FN175" s="12"/>
      <c r="FO175" s="12"/>
      <c r="FP175" s="12"/>
      <c r="FQ175" s="12"/>
      <c r="FR175" s="12"/>
      <c r="FS175" s="12"/>
      <c r="FT175" s="12"/>
      <c r="FU175" s="12"/>
      <c r="FV175" s="12"/>
      <c r="FW175" s="12"/>
      <c r="FX175" s="12"/>
      <c r="FY175" s="12"/>
      <c r="FZ175" s="12"/>
      <c r="GA175" s="12"/>
      <c r="GB175" s="12"/>
      <c r="GC175" s="12"/>
      <c r="GD175" s="12"/>
      <c r="GE175" s="12"/>
      <c r="GF175" s="12"/>
      <c r="GG175" s="12"/>
      <c r="GH175" s="12"/>
      <c r="GI175" s="12"/>
      <c r="GJ175" s="12"/>
      <c r="GK175" s="12"/>
      <c r="GL175" s="12"/>
      <c r="GM175" s="12"/>
      <c r="GN175" s="12"/>
      <c r="GO175" s="12"/>
      <c r="GP175" s="12"/>
      <c r="GQ175" s="12"/>
      <c r="GR175" s="12"/>
      <c r="GS175" s="12"/>
      <c r="GT175" s="12"/>
      <c r="GU175" s="12"/>
      <c r="GV175" s="12"/>
      <c r="GW175" s="12"/>
      <c r="GX175" s="12"/>
      <c r="GY175" s="12"/>
      <c r="GZ175" s="12"/>
      <c r="HA175" s="12"/>
      <c r="HB175" s="12"/>
      <c r="HC175" s="12"/>
      <c r="HD175" s="12"/>
      <c r="HE175" s="12"/>
      <c r="HF175" s="12"/>
    </row>
    <row r="176" spans="1:214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46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  <c r="BN176" s="12"/>
      <c r="BO176" s="12"/>
      <c r="BP176" s="12"/>
      <c r="BQ176" s="12"/>
      <c r="BR176" s="12"/>
      <c r="BS176" s="12"/>
      <c r="BT176" s="12"/>
      <c r="BU176" s="12"/>
      <c r="BV176" s="12"/>
      <c r="BW176" s="12"/>
      <c r="BX176" s="12"/>
      <c r="BY176" s="12"/>
      <c r="BZ176" s="12"/>
      <c r="CA176" s="12"/>
      <c r="CB176" s="12"/>
      <c r="CC176" s="12"/>
      <c r="CD176" s="12"/>
      <c r="CE176" s="12"/>
      <c r="CF176" s="12"/>
      <c r="CG176" s="12"/>
      <c r="CH176" s="12"/>
      <c r="CI176" s="12"/>
      <c r="CJ176" s="12"/>
      <c r="CK176" s="12"/>
      <c r="CL176" s="12"/>
      <c r="CM176" s="12"/>
      <c r="CN176" s="12"/>
      <c r="CO176" s="12"/>
      <c r="CP176" s="12"/>
      <c r="CQ176" s="12"/>
      <c r="CR176" s="12"/>
      <c r="CS176" s="12"/>
      <c r="CT176" s="12"/>
      <c r="CU176" s="12"/>
      <c r="CV176" s="12"/>
      <c r="CW176" s="12"/>
      <c r="CX176" s="12"/>
      <c r="CY176" s="12"/>
      <c r="CZ176" s="12"/>
      <c r="DA176" s="12"/>
      <c r="DB176" s="12"/>
      <c r="DC176" s="12"/>
      <c r="DD176" s="12"/>
      <c r="DE176" s="12"/>
      <c r="DF176" s="12"/>
      <c r="DG176" s="12"/>
      <c r="DH176" s="12"/>
      <c r="DI176" s="12"/>
      <c r="DJ176" s="12"/>
      <c r="DK176" s="12"/>
      <c r="DL176" s="12"/>
      <c r="DM176" s="12"/>
      <c r="DN176" s="12"/>
      <c r="DO176" s="12"/>
      <c r="DP176" s="12"/>
      <c r="DQ176" s="12"/>
      <c r="DR176" s="12"/>
      <c r="DS176" s="12"/>
      <c r="DT176" s="12"/>
      <c r="DU176" s="12"/>
      <c r="DV176" s="12"/>
      <c r="DW176" s="12"/>
      <c r="DX176" s="12"/>
      <c r="DY176" s="12"/>
      <c r="DZ176" s="12"/>
      <c r="EA176" s="12"/>
      <c r="EB176" s="12"/>
      <c r="EC176" s="12"/>
      <c r="ED176" s="12"/>
      <c r="EE176" s="12"/>
      <c r="EF176" s="12"/>
      <c r="EG176" s="12"/>
      <c r="EH176" s="12"/>
      <c r="EI176" s="12"/>
      <c r="EJ176" s="12"/>
      <c r="EK176" s="12"/>
      <c r="EL176" s="12"/>
      <c r="EM176" s="12"/>
      <c r="EN176" s="12"/>
      <c r="EO176" s="12"/>
      <c r="EP176" s="12"/>
      <c r="EQ176" s="12"/>
      <c r="ER176" s="12"/>
      <c r="ES176" s="12"/>
      <c r="ET176" s="12"/>
      <c r="EU176" s="12"/>
      <c r="EV176" s="12"/>
      <c r="EW176" s="12"/>
      <c r="EX176" s="12"/>
      <c r="EY176" s="12"/>
      <c r="EZ176" s="12"/>
      <c r="FA176" s="12"/>
      <c r="FB176" s="12"/>
      <c r="FC176" s="12"/>
      <c r="FD176" s="12"/>
      <c r="FE176" s="12"/>
      <c r="FF176" s="12"/>
      <c r="FG176" s="12"/>
      <c r="FH176" s="12"/>
      <c r="FI176" s="12"/>
      <c r="FJ176" s="12"/>
      <c r="FK176" s="12"/>
      <c r="FL176" s="12"/>
      <c r="FM176" s="12"/>
      <c r="FN176" s="12"/>
      <c r="FO176" s="12"/>
      <c r="FP176" s="12"/>
      <c r="FQ176" s="12"/>
      <c r="FR176" s="12"/>
      <c r="FS176" s="12"/>
      <c r="FT176" s="12"/>
      <c r="FU176" s="12"/>
      <c r="FV176" s="12"/>
      <c r="FW176" s="12"/>
      <c r="FX176" s="12"/>
      <c r="FY176" s="12"/>
      <c r="FZ176" s="12"/>
      <c r="GA176" s="12"/>
      <c r="GB176" s="12"/>
      <c r="GC176" s="12"/>
      <c r="GD176" s="12"/>
      <c r="GE176" s="12"/>
      <c r="GF176" s="12"/>
      <c r="GG176" s="12"/>
      <c r="GH176" s="12"/>
      <c r="GI176" s="12"/>
      <c r="GJ176" s="12"/>
      <c r="GK176" s="12"/>
      <c r="GL176" s="12"/>
      <c r="GM176" s="12"/>
      <c r="GN176" s="12"/>
      <c r="GO176" s="12"/>
      <c r="GP176" s="12"/>
      <c r="GQ176" s="12"/>
      <c r="GR176" s="12"/>
      <c r="GS176" s="12"/>
      <c r="GT176" s="12"/>
      <c r="GU176" s="12"/>
      <c r="GV176" s="12"/>
      <c r="GW176" s="12"/>
      <c r="GX176" s="12"/>
      <c r="GY176" s="12"/>
      <c r="GZ176" s="12"/>
      <c r="HA176" s="12"/>
      <c r="HB176" s="12"/>
      <c r="HC176" s="12"/>
      <c r="HD176" s="12"/>
      <c r="HE176" s="12"/>
      <c r="HF176" s="12"/>
    </row>
    <row r="177" spans="1:214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46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  <c r="BN177" s="12"/>
      <c r="BO177" s="12"/>
      <c r="BP177" s="12"/>
      <c r="BQ177" s="12"/>
      <c r="BR177" s="12"/>
      <c r="BS177" s="12"/>
      <c r="BT177" s="12"/>
      <c r="BU177" s="12"/>
      <c r="BV177" s="12"/>
      <c r="BW177" s="12"/>
      <c r="BX177" s="12"/>
      <c r="BY177" s="12"/>
      <c r="BZ177" s="12"/>
      <c r="CA177" s="12"/>
      <c r="CB177" s="12"/>
      <c r="CC177" s="12"/>
      <c r="CD177" s="12"/>
      <c r="CE177" s="12"/>
      <c r="CF177" s="12"/>
      <c r="CG177" s="12"/>
      <c r="CH177" s="12"/>
      <c r="CI177" s="12"/>
      <c r="CJ177" s="12"/>
      <c r="CK177" s="12"/>
      <c r="CL177" s="12"/>
      <c r="CM177" s="12"/>
      <c r="CN177" s="12"/>
      <c r="CO177" s="12"/>
      <c r="CP177" s="12"/>
      <c r="CQ177" s="12"/>
      <c r="CR177" s="12"/>
      <c r="CS177" s="12"/>
      <c r="CT177" s="12"/>
      <c r="CU177" s="12"/>
      <c r="CV177" s="12"/>
      <c r="CW177" s="12"/>
      <c r="CX177" s="12"/>
      <c r="CY177" s="12"/>
      <c r="CZ177" s="12"/>
      <c r="DA177" s="12"/>
      <c r="DB177" s="12"/>
      <c r="DC177" s="12"/>
      <c r="DD177" s="12"/>
      <c r="DE177" s="12"/>
      <c r="DF177" s="12"/>
      <c r="DG177" s="12"/>
      <c r="DH177" s="12"/>
      <c r="DI177" s="12"/>
      <c r="DJ177" s="12"/>
      <c r="DK177" s="12"/>
      <c r="DL177" s="12"/>
      <c r="DM177" s="12"/>
      <c r="DN177" s="12"/>
      <c r="DO177" s="12"/>
      <c r="DP177" s="12"/>
      <c r="DQ177" s="12"/>
      <c r="DR177" s="12"/>
      <c r="DS177" s="12"/>
      <c r="DT177" s="12"/>
      <c r="DU177" s="12"/>
      <c r="DV177" s="12"/>
      <c r="DW177" s="12"/>
      <c r="DX177" s="12"/>
      <c r="DY177" s="12"/>
      <c r="DZ177" s="12"/>
      <c r="EA177" s="12"/>
      <c r="EB177" s="12"/>
      <c r="EC177" s="12"/>
      <c r="ED177" s="12"/>
      <c r="EE177" s="12"/>
      <c r="EF177" s="12"/>
      <c r="EG177" s="12"/>
      <c r="EH177" s="12"/>
      <c r="EI177" s="12"/>
      <c r="EJ177" s="12"/>
      <c r="EK177" s="12"/>
      <c r="EL177" s="12"/>
      <c r="EM177" s="12"/>
      <c r="EN177" s="12"/>
      <c r="EO177" s="12"/>
      <c r="EP177" s="12"/>
      <c r="EQ177" s="12"/>
      <c r="ER177" s="12"/>
      <c r="ES177" s="12"/>
      <c r="ET177" s="12"/>
      <c r="EU177" s="12"/>
      <c r="EV177" s="12"/>
      <c r="EW177" s="12"/>
      <c r="EX177" s="12"/>
      <c r="EY177" s="12"/>
      <c r="EZ177" s="12"/>
      <c r="FA177" s="12"/>
      <c r="FB177" s="12"/>
      <c r="FC177" s="12"/>
      <c r="FD177" s="12"/>
      <c r="FE177" s="12"/>
      <c r="FF177" s="12"/>
      <c r="FG177" s="12"/>
      <c r="FH177" s="12"/>
      <c r="FI177" s="12"/>
      <c r="FJ177" s="12"/>
      <c r="FK177" s="12"/>
      <c r="FL177" s="12"/>
      <c r="FM177" s="12"/>
      <c r="FN177" s="12"/>
      <c r="FO177" s="12"/>
      <c r="FP177" s="12"/>
      <c r="FQ177" s="12"/>
      <c r="FR177" s="12"/>
      <c r="FS177" s="12"/>
      <c r="FT177" s="12"/>
      <c r="FU177" s="12"/>
      <c r="FV177" s="12"/>
      <c r="FW177" s="12"/>
      <c r="FX177" s="12"/>
      <c r="FY177" s="12"/>
      <c r="FZ177" s="12"/>
      <c r="GA177" s="12"/>
      <c r="GB177" s="12"/>
      <c r="GC177" s="12"/>
      <c r="GD177" s="12"/>
      <c r="GE177" s="12"/>
      <c r="GF177" s="12"/>
      <c r="GG177" s="12"/>
      <c r="GH177" s="12"/>
      <c r="GI177" s="12"/>
      <c r="GJ177" s="12"/>
      <c r="GK177" s="12"/>
      <c r="GL177" s="12"/>
      <c r="GM177" s="12"/>
      <c r="GN177" s="12"/>
      <c r="GO177" s="12"/>
      <c r="GP177" s="12"/>
      <c r="GQ177" s="12"/>
      <c r="GR177" s="12"/>
      <c r="GS177" s="12"/>
      <c r="GT177" s="12"/>
      <c r="GU177" s="12"/>
      <c r="GV177" s="12"/>
      <c r="GW177" s="12"/>
      <c r="GX177" s="12"/>
      <c r="GY177" s="12"/>
      <c r="GZ177" s="12"/>
      <c r="HA177" s="12"/>
      <c r="HB177" s="12"/>
      <c r="HC177" s="12"/>
      <c r="HD177" s="12"/>
      <c r="HE177" s="12"/>
      <c r="HF177" s="12"/>
    </row>
    <row r="178" spans="1:214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46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  <c r="BN178" s="12"/>
      <c r="BO178" s="12"/>
      <c r="BP178" s="12"/>
      <c r="BQ178" s="12"/>
      <c r="BR178" s="12"/>
      <c r="BS178" s="12"/>
      <c r="BT178" s="12"/>
      <c r="BU178" s="12"/>
      <c r="BV178" s="12"/>
      <c r="BW178" s="12"/>
      <c r="BX178" s="12"/>
      <c r="BY178" s="12"/>
      <c r="BZ178" s="12"/>
      <c r="CA178" s="12"/>
      <c r="CB178" s="12"/>
      <c r="CC178" s="12"/>
      <c r="CD178" s="12"/>
      <c r="CE178" s="12"/>
      <c r="CF178" s="12"/>
      <c r="CG178" s="12"/>
      <c r="CH178" s="12"/>
      <c r="CI178" s="12"/>
      <c r="CJ178" s="12"/>
      <c r="CK178" s="12"/>
      <c r="CL178" s="12"/>
      <c r="CM178" s="12"/>
      <c r="CN178" s="12"/>
      <c r="CO178" s="12"/>
      <c r="CP178" s="12"/>
      <c r="CQ178" s="12"/>
      <c r="CR178" s="12"/>
      <c r="CS178" s="12"/>
      <c r="CT178" s="12"/>
      <c r="CU178" s="12"/>
      <c r="CV178" s="12"/>
      <c r="CW178" s="12"/>
      <c r="CX178" s="12"/>
      <c r="CY178" s="12"/>
      <c r="CZ178" s="12"/>
      <c r="DA178" s="12"/>
      <c r="DB178" s="12"/>
      <c r="DC178" s="12"/>
      <c r="DD178" s="12"/>
      <c r="DE178" s="12"/>
      <c r="DF178" s="12"/>
      <c r="DG178" s="12"/>
      <c r="DH178" s="12"/>
      <c r="DI178" s="12"/>
      <c r="DJ178" s="12"/>
      <c r="DK178" s="12"/>
      <c r="DL178" s="12"/>
      <c r="DM178" s="12"/>
      <c r="DN178" s="12"/>
      <c r="DO178" s="12"/>
      <c r="DP178" s="12"/>
      <c r="DQ178" s="12"/>
      <c r="DR178" s="12"/>
      <c r="DS178" s="12"/>
      <c r="DT178" s="12"/>
      <c r="DU178" s="12"/>
      <c r="DV178" s="12"/>
      <c r="DW178" s="12"/>
      <c r="DX178" s="12"/>
      <c r="DY178" s="12"/>
      <c r="DZ178" s="12"/>
      <c r="EA178" s="12"/>
      <c r="EB178" s="12"/>
      <c r="EC178" s="12"/>
      <c r="ED178" s="12"/>
      <c r="EE178" s="12"/>
      <c r="EF178" s="12"/>
      <c r="EG178" s="12"/>
      <c r="EH178" s="12"/>
      <c r="EI178" s="12"/>
      <c r="EJ178" s="12"/>
      <c r="EK178" s="12"/>
      <c r="EL178" s="12"/>
      <c r="EM178" s="12"/>
      <c r="EN178" s="12"/>
      <c r="EO178" s="12"/>
      <c r="EP178" s="12"/>
      <c r="EQ178" s="12"/>
      <c r="ER178" s="12"/>
      <c r="ES178" s="12"/>
      <c r="ET178" s="12"/>
      <c r="EU178" s="12"/>
      <c r="EV178" s="12"/>
      <c r="EW178" s="12"/>
      <c r="EX178" s="12"/>
      <c r="EY178" s="12"/>
      <c r="EZ178" s="12"/>
      <c r="FA178" s="12"/>
      <c r="FB178" s="12"/>
      <c r="FC178" s="12"/>
      <c r="FD178" s="12"/>
      <c r="FE178" s="12"/>
      <c r="FF178" s="12"/>
      <c r="FG178" s="12"/>
      <c r="FH178" s="12"/>
      <c r="FI178" s="12"/>
      <c r="FJ178" s="12"/>
      <c r="FK178" s="12"/>
      <c r="FL178" s="12"/>
      <c r="FM178" s="12"/>
      <c r="FN178" s="12"/>
      <c r="FO178" s="12"/>
      <c r="FP178" s="12"/>
      <c r="FQ178" s="12"/>
      <c r="FR178" s="12"/>
      <c r="FS178" s="12"/>
      <c r="FT178" s="12"/>
      <c r="FU178" s="12"/>
      <c r="FV178" s="12"/>
      <c r="FW178" s="12"/>
      <c r="FX178" s="12"/>
      <c r="FY178" s="12"/>
      <c r="FZ178" s="12"/>
      <c r="GA178" s="12"/>
      <c r="GB178" s="12"/>
      <c r="GC178" s="12"/>
      <c r="GD178" s="12"/>
      <c r="GE178" s="12"/>
      <c r="GF178" s="12"/>
      <c r="GG178" s="12"/>
      <c r="GH178" s="12"/>
      <c r="GI178" s="12"/>
      <c r="GJ178" s="12"/>
      <c r="GK178" s="12"/>
      <c r="GL178" s="12"/>
      <c r="GM178" s="12"/>
      <c r="GN178" s="12"/>
      <c r="GO178" s="12"/>
      <c r="GP178" s="12"/>
      <c r="GQ178" s="12"/>
      <c r="GR178" s="12"/>
      <c r="GS178" s="12"/>
      <c r="GT178" s="12"/>
      <c r="GU178" s="12"/>
      <c r="GV178" s="12"/>
      <c r="GW178" s="12"/>
      <c r="GX178" s="12"/>
      <c r="GY178" s="12"/>
      <c r="GZ178" s="12"/>
      <c r="HA178" s="12"/>
      <c r="HB178" s="12"/>
      <c r="HC178" s="12"/>
      <c r="HD178" s="12"/>
      <c r="HE178" s="12"/>
      <c r="HF178" s="12"/>
    </row>
    <row r="179" spans="1:214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46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  <c r="BN179" s="12"/>
      <c r="BO179" s="12"/>
      <c r="BP179" s="12"/>
      <c r="BQ179" s="12"/>
      <c r="BR179" s="12"/>
      <c r="BS179" s="12"/>
      <c r="BT179" s="12"/>
      <c r="BU179" s="12"/>
      <c r="BV179" s="12"/>
      <c r="BW179" s="12"/>
      <c r="BX179" s="12"/>
      <c r="BY179" s="12"/>
      <c r="BZ179" s="12"/>
      <c r="CA179" s="12"/>
      <c r="CB179" s="12"/>
      <c r="CC179" s="12"/>
      <c r="CD179" s="12"/>
      <c r="CE179" s="12"/>
      <c r="CF179" s="12"/>
      <c r="CG179" s="12"/>
      <c r="CH179" s="12"/>
      <c r="CI179" s="12"/>
      <c r="CJ179" s="12"/>
      <c r="CK179" s="12"/>
      <c r="CL179" s="12"/>
      <c r="CM179" s="12"/>
      <c r="CN179" s="12"/>
      <c r="CO179" s="12"/>
      <c r="CP179" s="12"/>
      <c r="CQ179" s="12"/>
      <c r="CR179" s="12"/>
      <c r="CS179" s="12"/>
      <c r="CT179" s="12"/>
      <c r="CU179" s="12"/>
      <c r="CV179" s="12"/>
      <c r="CW179" s="12"/>
      <c r="CX179" s="12"/>
      <c r="CY179" s="12"/>
      <c r="CZ179" s="12"/>
      <c r="DA179" s="12"/>
      <c r="DB179" s="12"/>
      <c r="DC179" s="12"/>
      <c r="DD179" s="12"/>
      <c r="DE179" s="12"/>
      <c r="DF179" s="12"/>
      <c r="DG179" s="12"/>
      <c r="DH179" s="12"/>
      <c r="DI179" s="12"/>
      <c r="DJ179" s="12"/>
      <c r="DK179" s="12"/>
      <c r="DL179" s="12"/>
      <c r="DM179" s="12"/>
      <c r="DN179" s="12"/>
      <c r="DO179" s="12"/>
      <c r="DP179" s="12"/>
      <c r="DQ179" s="12"/>
      <c r="DR179" s="12"/>
      <c r="DS179" s="12"/>
      <c r="DT179" s="12"/>
      <c r="DU179" s="12"/>
      <c r="DV179" s="12"/>
      <c r="DW179" s="12"/>
      <c r="DX179" s="12"/>
      <c r="DY179" s="12"/>
      <c r="DZ179" s="12"/>
      <c r="EA179" s="12"/>
      <c r="EB179" s="12"/>
      <c r="EC179" s="12"/>
      <c r="ED179" s="12"/>
      <c r="EE179" s="12"/>
      <c r="EF179" s="12"/>
      <c r="EG179" s="12"/>
      <c r="EH179" s="12"/>
      <c r="EI179" s="12"/>
      <c r="EJ179" s="12"/>
      <c r="EK179" s="12"/>
      <c r="EL179" s="12"/>
      <c r="EM179" s="12"/>
      <c r="EN179" s="12"/>
      <c r="EO179" s="12"/>
      <c r="EP179" s="12"/>
      <c r="EQ179" s="12"/>
      <c r="ER179" s="12"/>
      <c r="ES179" s="12"/>
      <c r="ET179" s="12"/>
      <c r="EU179" s="12"/>
      <c r="EV179" s="12"/>
      <c r="EW179" s="12"/>
      <c r="EX179" s="12"/>
      <c r="EY179" s="12"/>
      <c r="EZ179" s="12"/>
      <c r="FA179" s="12"/>
      <c r="FB179" s="12"/>
      <c r="FC179" s="12"/>
      <c r="FD179" s="12"/>
      <c r="FE179" s="12"/>
      <c r="FF179" s="12"/>
      <c r="FG179" s="12"/>
      <c r="FH179" s="12"/>
      <c r="FI179" s="12"/>
      <c r="FJ179" s="12"/>
      <c r="FK179" s="12"/>
      <c r="FL179" s="12"/>
      <c r="FM179" s="12"/>
      <c r="FN179" s="12"/>
      <c r="FO179" s="12"/>
      <c r="FP179" s="12"/>
      <c r="FQ179" s="12"/>
      <c r="FR179" s="12"/>
      <c r="FS179" s="12"/>
      <c r="FT179" s="12"/>
      <c r="FU179" s="12"/>
      <c r="FV179" s="12"/>
      <c r="FW179" s="12"/>
      <c r="FX179" s="12"/>
      <c r="FY179" s="12"/>
      <c r="FZ179" s="12"/>
      <c r="GA179" s="12"/>
      <c r="GB179" s="12"/>
      <c r="GC179" s="12"/>
      <c r="GD179" s="12"/>
      <c r="GE179" s="12"/>
      <c r="GF179" s="12"/>
      <c r="GG179" s="12"/>
      <c r="GH179" s="12"/>
      <c r="GI179" s="12"/>
      <c r="GJ179" s="12"/>
      <c r="GK179" s="12"/>
      <c r="GL179" s="12"/>
      <c r="GM179" s="12"/>
      <c r="GN179" s="12"/>
      <c r="GO179" s="12"/>
      <c r="GP179" s="12"/>
      <c r="GQ179" s="12"/>
      <c r="GR179" s="12"/>
      <c r="GS179" s="12"/>
      <c r="GT179" s="12"/>
      <c r="GU179" s="12"/>
      <c r="GV179" s="12"/>
      <c r="GW179" s="12"/>
      <c r="GX179" s="12"/>
      <c r="GY179" s="12"/>
      <c r="GZ179" s="12"/>
      <c r="HA179" s="12"/>
      <c r="HB179" s="12"/>
      <c r="HC179" s="12"/>
      <c r="HD179" s="12"/>
      <c r="HE179" s="12"/>
      <c r="HF179" s="12"/>
    </row>
    <row r="180" spans="1:214" x14ac:dyDescent="0.2">
      <c r="A180" s="65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46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  <c r="BN180" s="12"/>
      <c r="BO180" s="12"/>
      <c r="BP180" s="12"/>
      <c r="BQ180" s="12"/>
      <c r="BR180" s="12"/>
      <c r="BS180" s="12"/>
      <c r="BT180" s="12"/>
      <c r="BU180" s="12"/>
      <c r="BV180" s="12"/>
      <c r="BW180" s="12"/>
      <c r="BX180" s="12"/>
      <c r="BY180" s="12"/>
      <c r="BZ180" s="12"/>
      <c r="CA180" s="12"/>
      <c r="CB180" s="12"/>
      <c r="CC180" s="12"/>
      <c r="CD180" s="12"/>
      <c r="CE180" s="12"/>
      <c r="CF180" s="12"/>
      <c r="CG180" s="12"/>
      <c r="CH180" s="12"/>
      <c r="CI180" s="12"/>
      <c r="CJ180" s="12"/>
      <c r="CK180" s="12"/>
      <c r="CL180" s="12"/>
      <c r="CM180" s="12"/>
      <c r="CN180" s="12"/>
      <c r="CO180" s="12"/>
      <c r="CP180" s="12"/>
      <c r="CQ180" s="12"/>
      <c r="CR180" s="12"/>
      <c r="CS180" s="12"/>
      <c r="CT180" s="12"/>
      <c r="CU180" s="12"/>
      <c r="CV180" s="12"/>
      <c r="CW180" s="12"/>
      <c r="CX180" s="12"/>
      <c r="CY180" s="12"/>
      <c r="CZ180" s="12"/>
      <c r="DA180" s="12"/>
      <c r="DB180" s="12"/>
      <c r="DC180" s="12"/>
      <c r="DD180" s="12"/>
      <c r="DE180" s="12"/>
      <c r="DF180" s="12"/>
      <c r="DG180" s="12"/>
      <c r="DH180" s="12"/>
      <c r="DI180" s="12"/>
      <c r="DJ180" s="12"/>
      <c r="DK180" s="12"/>
      <c r="DL180" s="12"/>
      <c r="DM180" s="12"/>
      <c r="DN180" s="12"/>
      <c r="DO180" s="12"/>
      <c r="DP180" s="12"/>
      <c r="DQ180" s="12"/>
      <c r="DR180" s="12"/>
      <c r="DS180" s="12"/>
      <c r="DT180" s="12"/>
      <c r="DU180" s="12"/>
      <c r="DV180" s="12"/>
      <c r="DW180" s="12"/>
      <c r="DX180" s="12"/>
      <c r="DY180" s="12"/>
      <c r="DZ180" s="12"/>
      <c r="EA180" s="12"/>
      <c r="EB180" s="12"/>
      <c r="EC180" s="12"/>
      <c r="ED180" s="12"/>
      <c r="EE180" s="12"/>
      <c r="EF180" s="12"/>
      <c r="EG180" s="12"/>
      <c r="EH180" s="12"/>
      <c r="EI180" s="12"/>
      <c r="EJ180" s="12"/>
      <c r="EK180" s="12"/>
      <c r="EL180" s="12"/>
      <c r="EM180" s="12"/>
      <c r="EN180" s="12"/>
      <c r="EO180" s="12"/>
      <c r="EP180" s="12"/>
      <c r="EQ180" s="12"/>
      <c r="ER180" s="12"/>
      <c r="ES180" s="12"/>
      <c r="ET180" s="12"/>
      <c r="EU180" s="12"/>
      <c r="EV180" s="12"/>
      <c r="EW180" s="12"/>
      <c r="EX180" s="12"/>
      <c r="EY180" s="12"/>
      <c r="EZ180" s="12"/>
      <c r="FA180" s="12"/>
      <c r="FB180" s="12"/>
      <c r="FC180" s="12"/>
      <c r="FD180" s="12"/>
      <c r="FE180" s="12"/>
      <c r="FF180" s="12"/>
      <c r="FG180" s="12"/>
      <c r="FH180" s="12"/>
      <c r="FI180" s="12"/>
      <c r="FJ180" s="12"/>
      <c r="FK180" s="12"/>
      <c r="FL180" s="12"/>
      <c r="FM180" s="12"/>
      <c r="FN180" s="12"/>
      <c r="FO180" s="12"/>
      <c r="FP180" s="12"/>
      <c r="FQ180" s="12"/>
      <c r="FR180" s="12"/>
      <c r="FS180" s="12"/>
      <c r="FT180" s="12"/>
      <c r="FU180" s="12"/>
      <c r="FV180" s="12"/>
      <c r="FW180" s="12"/>
      <c r="FX180" s="12"/>
      <c r="FY180" s="12"/>
      <c r="FZ180" s="12"/>
      <c r="GA180" s="12"/>
      <c r="GB180" s="12"/>
      <c r="GC180" s="12"/>
      <c r="GD180" s="12"/>
      <c r="GE180" s="12"/>
      <c r="GF180" s="12"/>
      <c r="GG180" s="12"/>
      <c r="GH180" s="12"/>
      <c r="GI180" s="12"/>
      <c r="GJ180" s="12"/>
      <c r="GK180" s="12"/>
      <c r="GL180" s="12"/>
      <c r="GM180" s="12"/>
      <c r="GN180" s="12"/>
      <c r="GO180" s="12"/>
      <c r="GP180" s="12"/>
      <c r="GQ180" s="12"/>
      <c r="GR180" s="12"/>
      <c r="GS180" s="12"/>
      <c r="GT180" s="12"/>
      <c r="GU180" s="12"/>
      <c r="GV180" s="12"/>
      <c r="GW180" s="12"/>
      <c r="GX180" s="12"/>
      <c r="GY180" s="12"/>
      <c r="GZ180" s="12"/>
      <c r="HA180" s="12"/>
      <c r="HB180" s="12"/>
      <c r="HC180" s="12"/>
      <c r="HD180" s="12"/>
      <c r="HE180" s="12"/>
      <c r="HF180" s="12"/>
    </row>
    <row r="181" spans="1:214" x14ac:dyDescent="0.2">
      <c r="A181" s="65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46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  <c r="BN181" s="12"/>
      <c r="BO181" s="12"/>
      <c r="BP181" s="12"/>
      <c r="BQ181" s="12"/>
      <c r="BR181" s="12"/>
      <c r="BS181" s="12"/>
      <c r="BT181" s="12"/>
      <c r="BU181" s="12"/>
      <c r="BV181" s="12"/>
      <c r="BW181" s="12"/>
      <c r="BX181" s="12"/>
      <c r="BY181" s="12"/>
      <c r="BZ181" s="12"/>
      <c r="CA181" s="12"/>
      <c r="CB181" s="12"/>
      <c r="CC181" s="12"/>
      <c r="CD181" s="12"/>
      <c r="CE181" s="12"/>
      <c r="CF181" s="12"/>
      <c r="CG181" s="12"/>
      <c r="CH181" s="12"/>
      <c r="CI181" s="12"/>
      <c r="CJ181" s="12"/>
      <c r="CK181" s="12"/>
      <c r="CL181" s="12"/>
      <c r="CM181" s="12"/>
      <c r="CN181" s="12"/>
      <c r="CO181" s="12"/>
      <c r="CP181" s="12"/>
      <c r="CQ181" s="12"/>
      <c r="CR181" s="12"/>
      <c r="CS181" s="12"/>
      <c r="CT181" s="12"/>
      <c r="CU181" s="12"/>
      <c r="CV181" s="12"/>
      <c r="CW181" s="12"/>
      <c r="CX181" s="12"/>
      <c r="CY181" s="12"/>
      <c r="CZ181" s="12"/>
      <c r="DA181" s="12"/>
      <c r="DB181" s="12"/>
      <c r="DC181" s="12"/>
      <c r="DD181" s="12"/>
      <c r="DE181" s="12"/>
      <c r="DF181" s="12"/>
      <c r="DG181" s="12"/>
      <c r="DH181" s="12"/>
      <c r="DI181" s="12"/>
      <c r="DJ181" s="12"/>
      <c r="DK181" s="12"/>
      <c r="DL181" s="12"/>
      <c r="DM181" s="12"/>
      <c r="DN181" s="12"/>
      <c r="DO181" s="12"/>
      <c r="DP181" s="12"/>
      <c r="DQ181" s="12"/>
      <c r="DR181" s="12"/>
      <c r="DS181" s="12"/>
      <c r="DT181" s="12"/>
      <c r="DU181" s="12"/>
      <c r="DV181" s="12"/>
      <c r="DW181" s="12"/>
      <c r="DX181" s="12"/>
      <c r="DY181" s="12"/>
      <c r="DZ181" s="12"/>
      <c r="EA181" s="12"/>
      <c r="EB181" s="12"/>
      <c r="EC181" s="12"/>
      <c r="ED181" s="12"/>
      <c r="EE181" s="12"/>
      <c r="EF181" s="12"/>
      <c r="EG181" s="12"/>
      <c r="EH181" s="12"/>
      <c r="EI181" s="12"/>
      <c r="EJ181" s="12"/>
      <c r="EK181" s="12"/>
      <c r="EL181" s="12"/>
      <c r="EM181" s="12"/>
      <c r="EN181" s="12"/>
      <c r="EO181" s="12"/>
      <c r="EP181" s="12"/>
      <c r="EQ181" s="12"/>
      <c r="ER181" s="12"/>
      <c r="ES181" s="12"/>
      <c r="ET181" s="12"/>
      <c r="EU181" s="12"/>
      <c r="EV181" s="12"/>
      <c r="EW181" s="12"/>
      <c r="EX181" s="12"/>
      <c r="EY181" s="12"/>
      <c r="EZ181" s="12"/>
      <c r="FA181" s="12"/>
      <c r="FB181" s="12"/>
      <c r="FC181" s="12"/>
      <c r="FD181" s="12"/>
      <c r="FE181" s="12"/>
      <c r="FF181" s="12"/>
      <c r="FG181" s="12"/>
      <c r="FH181" s="12"/>
      <c r="FI181" s="12"/>
      <c r="FJ181" s="12"/>
      <c r="FK181" s="12"/>
      <c r="FL181" s="12"/>
      <c r="FM181" s="12"/>
      <c r="FN181" s="12"/>
      <c r="FO181" s="12"/>
      <c r="FP181" s="12"/>
      <c r="FQ181" s="12"/>
      <c r="FR181" s="12"/>
      <c r="FS181" s="12"/>
      <c r="FT181" s="12"/>
      <c r="FU181" s="12"/>
      <c r="FV181" s="12"/>
      <c r="FW181" s="12"/>
      <c r="FX181" s="12"/>
      <c r="FY181" s="12"/>
      <c r="FZ181" s="12"/>
      <c r="GA181" s="12"/>
      <c r="GB181" s="12"/>
      <c r="GC181" s="12"/>
      <c r="GD181" s="12"/>
      <c r="GE181" s="12"/>
      <c r="GF181" s="12"/>
      <c r="GG181" s="12"/>
      <c r="GH181" s="12"/>
      <c r="GI181" s="12"/>
      <c r="GJ181" s="12"/>
      <c r="GK181" s="12"/>
      <c r="GL181" s="12"/>
      <c r="GM181" s="12"/>
      <c r="GN181" s="12"/>
      <c r="GO181" s="12"/>
      <c r="GP181" s="12"/>
      <c r="GQ181" s="12"/>
      <c r="GR181" s="12"/>
      <c r="GS181" s="12"/>
      <c r="GT181" s="12"/>
      <c r="GU181" s="12"/>
      <c r="GV181" s="12"/>
      <c r="GW181" s="12"/>
      <c r="GX181" s="12"/>
      <c r="GY181" s="12"/>
      <c r="GZ181" s="12"/>
      <c r="HA181" s="12"/>
      <c r="HB181" s="12"/>
      <c r="HC181" s="12"/>
      <c r="HD181" s="12"/>
      <c r="HE181" s="12"/>
      <c r="HF181" s="12"/>
    </row>
    <row r="182" spans="1:214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46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  <c r="BN182" s="12"/>
      <c r="BO182" s="12"/>
      <c r="BP182" s="12"/>
      <c r="BQ182" s="12"/>
      <c r="BR182" s="12"/>
      <c r="BS182" s="12"/>
      <c r="BT182" s="12"/>
      <c r="BU182" s="12"/>
      <c r="BV182" s="12"/>
      <c r="BW182" s="12"/>
      <c r="BX182" s="12"/>
      <c r="BY182" s="12"/>
      <c r="BZ182" s="12"/>
      <c r="CA182" s="12"/>
      <c r="CB182" s="12"/>
      <c r="CC182" s="12"/>
      <c r="CD182" s="12"/>
      <c r="CE182" s="12"/>
      <c r="CF182" s="12"/>
      <c r="CG182" s="12"/>
      <c r="CH182" s="12"/>
      <c r="CI182" s="12"/>
      <c r="CJ182" s="12"/>
      <c r="CK182" s="12"/>
      <c r="CL182" s="12"/>
      <c r="CM182" s="12"/>
      <c r="CN182" s="12"/>
      <c r="CO182" s="12"/>
      <c r="CP182" s="12"/>
      <c r="CQ182" s="12"/>
      <c r="CR182" s="12"/>
      <c r="CS182" s="12"/>
      <c r="CT182" s="12"/>
      <c r="CU182" s="12"/>
      <c r="CV182" s="12"/>
      <c r="CW182" s="12"/>
      <c r="CX182" s="12"/>
      <c r="CY182" s="12"/>
      <c r="CZ182" s="12"/>
      <c r="DA182" s="12"/>
      <c r="DB182" s="12"/>
      <c r="DC182" s="12"/>
      <c r="DD182" s="12"/>
      <c r="DE182" s="12"/>
      <c r="DF182" s="12"/>
      <c r="DG182" s="12"/>
      <c r="DH182" s="12"/>
      <c r="DI182" s="12"/>
      <c r="DJ182" s="12"/>
      <c r="DK182" s="12"/>
      <c r="DL182" s="12"/>
      <c r="DM182" s="12"/>
      <c r="DN182" s="12"/>
      <c r="DO182" s="12"/>
      <c r="DP182" s="12"/>
      <c r="DQ182" s="12"/>
      <c r="DR182" s="12"/>
      <c r="DS182" s="12"/>
      <c r="DT182" s="12"/>
      <c r="DU182" s="12"/>
      <c r="DV182" s="12"/>
      <c r="DW182" s="12"/>
      <c r="DX182" s="12"/>
      <c r="DY182" s="12"/>
      <c r="DZ182" s="12"/>
      <c r="EA182" s="12"/>
      <c r="EB182" s="12"/>
      <c r="EC182" s="12"/>
      <c r="ED182" s="12"/>
      <c r="EE182" s="12"/>
      <c r="EF182" s="12"/>
      <c r="EG182" s="12"/>
      <c r="EH182" s="12"/>
      <c r="EI182" s="12"/>
      <c r="EJ182" s="12"/>
      <c r="EK182" s="12"/>
      <c r="EL182" s="12"/>
      <c r="EM182" s="12"/>
      <c r="EN182" s="12"/>
      <c r="EO182" s="12"/>
      <c r="EP182" s="12"/>
      <c r="EQ182" s="12"/>
      <c r="ER182" s="12"/>
      <c r="ES182" s="12"/>
      <c r="ET182" s="12"/>
      <c r="EU182" s="12"/>
      <c r="EV182" s="12"/>
      <c r="EW182" s="12"/>
      <c r="EX182" s="12"/>
      <c r="EY182" s="12"/>
      <c r="EZ182" s="12"/>
      <c r="FA182" s="12"/>
      <c r="FB182" s="12"/>
      <c r="FC182" s="12"/>
      <c r="FD182" s="12"/>
      <c r="FE182" s="12"/>
      <c r="FF182" s="12"/>
      <c r="FG182" s="12"/>
      <c r="FH182" s="12"/>
      <c r="FI182" s="12"/>
      <c r="FJ182" s="12"/>
      <c r="FK182" s="12"/>
      <c r="FL182" s="12"/>
      <c r="FM182" s="12"/>
      <c r="FN182" s="12"/>
      <c r="FO182" s="12"/>
      <c r="FP182" s="12"/>
      <c r="FQ182" s="12"/>
      <c r="FR182" s="12"/>
      <c r="FS182" s="12"/>
      <c r="FT182" s="12"/>
      <c r="FU182" s="12"/>
      <c r="FV182" s="12"/>
      <c r="FW182" s="12"/>
      <c r="FX182" s="12"/>
      <c r="FY182" s="12"/>
      <c r="FZ182" s="12"/>
      <c r="GA182" s="12"/>
      <c r="GB182" s="12"/>
      <c r="GC182" s="12"/>
      <c r="GD182" s="12"/>
      <c r="GE182" s="12"/>
      <c r="GF182" s="12"/>
      <c r="GG182" s="12"/>
      <c r="GH182" s="12"/>
      <c r="GI182" s="12"/>
      <c r="GJ182" s="12"/>
      <c r="GK182" s="12"/>
      <c r="GL182" s="12"/>
      <c r="GM182" s="12"/>
      <c r="GN182" s="12"/>
      <c r="GO182" s="12"/>
      <c r="GP182" s="12"/>
      <c r="GQ182" s="12"/>
      <c r="GR182" s="12"/>
      <c r="GS182" s="12"/>
      <c r="GT182" s="12"/>
      <c r="GU182" s="12"/>
      <c r="GV182" s="12"/>
      <c r="GW182" s="12"/>
      <c r="GX182" s="12"/>
      <c r="GY182" s="12"/>
      <c r="GZ182" s="12"/>
      <c r="HA182" s="12"/>
      <c r="HB182" s="12"/>
      <c r="HC182" s="12"/>
      <c r="HD182" s="12"/>
      <c r="HE182" s="12"/>
      <c r="HF182" s="12"/>
    </row>
    <row r="183" spans="1:214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46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  <c r="BP183" s="12"/>
      <c r="BQ183" s="12"/>
      <c r="BR183" s="12"/>
      <c r="BS183" s="12"/>
      <c r="BT183" s="12"/>
      <c r="BU183" s="12"/>
      <c r="BV183" s="12"/>
      <c r="BW183" s="12"/>
      <c r="BX183" s="12"/>
      <c r="BY183" s="12"/>
      <c r="BZ183" s="12"/>
      <c r="CA183" s="12"/>
      <c r="CB183" s="12"/>
      <c r="CC183" s="12"/>
      <c r="CD183" s="12"/>
      <c r="CE183" s="12"/>
      <c r="CF183" s="12"/>
      <c r="CG183" s="12"/>
      <c r="CH183" s="12"/>
      <c r="CI183" s="12"/>
      <c r="CJ183" s="12"/>
      <c r="CK183" s="12"/>
      <c r="CL183" s="12"/>
      <c r="CM183" s="12"/>
      <c r="CN183" s="12"/>
      <c r="CO183" s="12"/>
      <c r="CP183" s="12"/>
      <c r="CQ183" s="12"/>
      <c r="CR183" s="12"/>
      <c r="CS183" s="12"/>
      <c r="CT183" s="12"/>
      <c r="CU183" s="12"/>
      <c r="CV183" s="12"/>
      <c r="CW183" s="12"/>
      <c r="CX183" s="12"/>
      <c r="CY183" s="12"/>
      <c r="CZ183" s="12"/>
      <c r="DA183" s="12"/>
      <c r="DB183" s="12"/>
      <c r="DC183" s="12"/>
      <c r="DD183" s="12"/>
      <c r="DE183" s="12"/>
      <c r="DF183" s="12"/>
      <c r="DG183" s="12"/>
      <c r="DH183" s="12"/>
      <c r="DI183" s="12"/>
      <c r="DJ183" s="12"/>
      <c r="DK183" s="12"/>
      <c r="DL183" s="12"/>
      <c r="DM183" s="12"/>
      <c r="DN183" s="12"/>
      <c r="DO183" s="12"/>
      <c r="DP183" s="12"/>
      <c r="DQ183" s="12"/>
      <c r="DR183" s="12"/>
      <c r="DS183" s="12"/>
      <c r="DT183" s="12"/>
      <c r="DU183" s="12"/>
      <c r="DV183" s="12"/>
      <c r="DW183" s="12"/>
      <c r="DX183" s="12"/>
      <c r="DY183" s="12"/>
      <c r="DZ183" s="12"/>
      <c r="EA183" s="12"/>
      <c r="EB183" s="12"/>
      <c r="EC183" s="12"/>
      <c r="ED183" s="12"/>
      <c r="EE183" s="12"/>
      <c r="EF183" s="12"/>
      <c r="EG183" s="12"/>
      <c r="EH183" s="12"/>
      <c r="EI183" s="12"/>
      <c r="EJ183" s="12"/>
      <c r="EK183" s="12"/>
      <c r="EL183" s="12"/>
      <c r="EM183" s="12"/>
      <c r="EN183" s="12"/>
      <c r="EO183" s="12"/>
      <c r="EP183" s="12"/>
      <c r="EQ183" s="12"/>
      <c r="ER183" s="12"/>
      <c r="ES183" s="12"/>
      <c r="ET183" s="12"/>
      <c r="EU183" s="12"/>
      <c r="EV183" s="12"/>
      <c r="EW183" s="12"/>
      <c r="EX183" s="12"/>
      <c r="EY183" s="12"/>
      <c r="EZ183" s="12"/>
      <c r="FA183" s="12"/>
      <c r="FB183" s="12"/>
      <c r="FC183" s="12"/>
      <c r="FD183" s="12"/>
      <c r="FE183" s="12"/>
      <c r="FF183" s="12"/>
      <c r="FG183" s="12"/>
      <c r="FH183" s="12"/>
      <c r="FI183" s="12"/>
      <c r="FJ183" s="12"/>
      <c r="FK183" s="12"/>
      <c r="FL183" s="12"/>
      <c r="FM183" s="12"/>
      <c r="FN183" s="12"/>
      <c r="FO183" s="12"/>
      <c r="FP183" s="12"/>
      <c r="FQ183" s="12"/>
      <c r="FR183" s="12"/>
      <c r="FS183" s="12"/>
      <c r="FT183" s="12"/>
      <c r="FU183" s="12"/>
      <c r="FV183" s="12"/>
      <c r="FW183" s="12"/>
      <c r="FX183" s="12"/>
      <c r="FY183" s="12"/>
      <c r="FZ183" s="12"/>
      <c r="GA183" s="12"/>
      <c r="GB183" s="12"/>
      <c r="GC183" s="12"/>
      <c r="GD183" s="12"/>
      <c r="GE183" s="12"/>
      <c r="GF183" s="12"/>
      <c r="GG183" s="12"/>
      <c r="GH183" s="12"/>
      <c r="GI183" s="12"/>
      <c r="GJ183" s="12"/>
      <c r="GK183" s="12"/>
      <c r="GL183" s="12"/>
      <c r="GM183" s="12"/>
      <c r="GN183" s="12"/>
      <c r="GO183" s="12"/>
      <c r="GP183" s="12"/>
      <c r="GQ183" s="12"/>
      <c r="GR183" s="12"/>
      <c r="GS183" s="12"/>
      <c r="GT183" s="12"/>
      <c r="GU183" s="12"/>
      <c r="GV183" s="12"/>
      <c r="GW183" s="12"/>
      <c r="GX183" s="12"/>
      <c r="GY183" s="12"/>
      <c r="GZ183" s="12"/>
      <c r="HA183" s="12"/>
      <c r="HB183" s="12"/>
      <c r="HC183" s="12"/>
      <c r="HD183" s="12"/>
      <c r="HE183" s="12"/>
      <c r="HF183" s="12"/>
    </row>
    <row r="184" spans="1:214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46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  <c r="BN184" s="12"/>
      <c r="BO184" s="12"/>
      <c r="BP184" s="12"/>
      <c r="BQ184" s="12"/>
      <c r="BR184" s="12"/>
      <c r="BS184" s="12"/>
      <c r="BT184" s="12"/>
      <c r="BU184" s="12"/>
      <c r="BV184" s="12"/>
      <c r="BW184" s="12"/>
      <c r="BX184" s="12"/>
      <c r="BY184" s="12"/>
      <c r="BZ184" s="12"/>
      <c r="CA184" s="12"/>
      <c r="CB184" s="12"/>
      <c r="CC184" s="12"/>
      <c r="CD184" s="12"/>
      <c r="CE184" s="12"/>
      <c r="CF184" s="12"/>
      <c r="CG184" s="12"/>
      <c r="CH184" s="12"/>
      <c r="CI184" s="12"/>
      <c r="CJ184" s="12"/>
      <c r="CK184" s="12"/>
      <c r="CL184" s="12"/>
      <c r="CM184" s="12"/>
      <c r="CN184" s="12"/>
      <c r="CO184" s="12"/>
      <c r="CP184" s="12"/>
      <c r="CQ184" s="12"/>
      <c r="CR184" s="12"/>
      <c r="CS184" s="12"/>
      <c r="CT184" s="12"/>
      <c r="CU184" s="12"/>
      <c r="CV184" s="12"/>
      <c r="CW184" s="12"/>
      <c r="CX184" s="12"/>
      <c r="CY184" s="12"/>
      <c r="CZ184" s="12"/>
      <c r="DA184" s="12"/>
      <c r="DB184" s="12"/>
      <c r="DC184" s="12"/>
      <c r="DD184" s="12"/>
      <c r="DE184" s="12"/>
      <c r="DF184" s="12"/>
      <c r="DG184" s="12"/>
      <c r="DH184" s="12"/>
      <c r="DI184" s="12"/>
      <c r="DJ184" s="12"/>
      <c r="DK184" s="12"/>
      <c r="DL184" s="12"/>
      <c r="DM184" s="12"/>
      <c r="DN184" s="12"/>
      <c r="DO184" s="12"/>
      <c r="DP184" s="12"/>
      <c r="DQ184" s="12"/>
      <c r="DR184" s="12"/>
      <c r="DS184" s="12"/>
      <c r="DT184" s="12"/>
      <c r="DU184" s="12"/>
      <c r="DV184" s="12"/>
      <c r="DW184" s="12"/>
      <c r="DX184" s="12"/>
      <c r="DY184" s="12"/>
      <c r="DZ184" s="12"/>
      <c r="EA184" s="12"/>
      <c r="EB184" s="12"/>
      <c r="EC184" s="12"/>
      <c r="ED184" s="12"/>
      <c r="EE184" s="12"/>
      <c r="EF184" s="12"/>
      <c r="EG184" s="12"/>
      <c r="EH184" s="12"/>
      <c r="EI184" s="12"/>
      <c r="EJ184" s="12"/>
      <c r="EK184" s="12"/>
      <c r="EL184" s="12"/>
      <c r="EM184" s="12"/>
      <c r="EN184" s="12"/>
      <c r="EO184" s="12"/>
      <c r="EP184" s="12"/>
      <c r="EQ184" s="12"/>
      <c r="ER184" s="12"/>
      <c r="ES184" s="12"/>
      <c r="ET184" s="12"/>
      <c r="EU184" s="12"/>
      <c r="EV184" s="12"/>
      <c r="EW184" s="12"/>
      <c r="EX184" s="12"/>
      <c r="EY184" s="12"/>
      <c r="EZ184" s="12"/>
      <c r="FA184" s="12"/>
      <c r="FB184" s="12"/>
      <c r="FC184" s="12"/>
      <c r="FD184" s="12"/>
      <c r="FE184" s="12"/>
      <c r="FF184" s="12"/>
      <c r="FG184" s="12"/>
      <c r="FH184" s="12"/>
      <c r="FI184" s="12"/>
      <c r="FJ184" s="12"/>
      <c r="FK184" s="12"/>
      <c r="FL184" s="12"/>
      <c r="FM184" s="12"/>
      <c r="FN184" s="12"/>
      <c r="FO184" s="12"/>
      <c r="FP184" s="12"/>
      <c r="FQ184" s="12"/>
      <c r="FR184" s="12"/>
      <c r="FS184" s="12"/>
      <c r="FT184" s="12"/>
      <c r="FU184" s="12"/>
      <c r="FV184" s="12"/>
      <c r="FW184" s="12"/>
      <c r="FX184" s="12"/>
      <c r="FY184" s="12"/>
      <c r="FZ184" s="12"/>
      <c r="GA184" s="12"/>
      <c r="GB184" s="12"/>
      <c r="GC184" s="12"/>
      <c r="GD184" s="12"/>
      <c r="GE184" s="12"/>
      <c r="GF184" s="12"/>
      <c r="GG184" s="12"/>
      <c r="GH184" s="12"/>
      <c r="GI184" s="12"/>
      <c r="GJ184" s="12"/>
      <c r="GK184" s="12"/>
      <c r="GL184" s="12"/>
      <c r="GM184" s="12"/>
      <c r="GN184" s="12"/>
      <c r="GO184" s="12"/>
      <c r="GP184" s="12"/>
      <c r="GQ184" s="12"/>
      <c r="GR184" s="12"/>
      <c r="GS184" s="12"/>
      <c r="GT184" s="12"/>
      <c r="GU184" s="12"/>
      <c r="GV184" s="12"/>
      <c r="GW184" s="12"/>
      <c r="GX184" s="12"/>
      <c r="GY184" s="12"/>
      <c r="GZ184" s="12"/>
      <c r="HA184" s="12"/>
      <c r="HB184" s="12"/>
      <c r="HC184" s="12"/>
      <c r="HD184" s="12"/>
      <c r="HE184" s="12"/>
      <c r="HF184" s="12"/>
    </row>
    <row r="185" spans="1:214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46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  <c r="BN185" s="12"/>
      <c r="BO185" s="12"/>
      <c r="BP185" s="12"/>
      <c r="BQ185" s="12"/>
      <c r="BR185" s="12"/>
      <c r="BS185" s="12"/>
      <c r="BT185" s="12"/>
      <c r="BU185" s="12"/>
      <c r="BV185" s="12"/>
      <c r="BW185" s="12"/>
      <c r="BX185" s="12"/>
      <c r="BY185" s="12"/>
      <c r="BZ185" s="12"/>
      <c r="CA185" s="12"/>
      <c r="CB185" s="12"/>
      <c r="CC185" s="12"/>
      <c r="CD185" s="12"/>
      <c r="CE185" s="12"/>
      <c r="CF185" s="12"/>
      <c r="CG185" s="12"/>
      <c r="CH185" s="12"/>
      <c r="CI185" s="12"/>
      <c r="CJ185" s="12"/>
      <c r="CK185" s="12"/>
      <c r="CL185" s="12"/>
      <c r="CM185" s="12"/>
      <c r="CN185" s="12"/>
      <c r="CO185" s="12"/>
      <c r="CP185" s="12"/>
      <c r="CQ185" s="12"/>
      <c r="CR185" s="12"/>
      <c r="CS185" s="12"/>
      <c r="CT185" s="12"/>
      <c r="CU185" s="12"/>
      <c r="CV185" s="12"/>
      <c r="CW185" s="12"/>
      <c r="CX185" s="12"/>
      <c r="CY185" s="12"/>
      <c r="CZ185" s="12"/>
      <c r="DA185" s="12"/>
      <c r="DB185" s="12"/>
      <c r="DC185" s="12"/>
      <c r="DD185" s="12"/>
      <c r="DE185" s="12"/>
      <c r="DF185" s="12"/>
      <c r="DG185" s="12"/>
      <c r="DH185" s="12"/>
      <c r="DI185" s="12"/>
      <c r="DJ185" s="12"/>
      <c r="DK185" s="12"/>
      <c r="DL185" s="12"/>
      <c r="DM185" s="12"/>
      <c r="DN185" s="12"/>
      <c r="DO185" s="12"/>
      <c r="DP185" s="12"/>
      <c r="DQ185" s="12"/>
      <c r="DR185" s="12"/>
      <c r="DS185" s="12"/>
      <c r="DT185" s="12"/>
      <c r="DU185" s="12"/>
      <c r="DV185" s="12"/>
      <c r="DW185" s="12"/>
      <c r="DX185" s="12"/>
      <c r="DY185" s="12"/>
      <c r="DZ185" s="12"/>
      <c r="EA185" s="12"/>
      <c r="EB185" s="12"/>
      <c r="EC185" s="12"/>
      <c r="ED185" s="12"/>
      <c r="EE185" s="12"/>
      <c r="EF185" s="12"/>
      <c r="EG185" s="12"/>
      <c r="EH185" s="12"/>
      <c r="EI185" s="12"/>
      <c r="EJ185" s="12"/>
      <c r="EK185" s="12"/>
      <c r="EL185" s="12"/>
      <c r="EM185" s="12"/>
      <c r="EN185" s="12"/>
      <c r="EO185" s="12"/>
      <c r="EP185" s="12"/>
      <c r="EQ185" s="12"/>
      <c r="ER185" s="12"/>
      <c r="ES185" s="12"/>
      <c r="ET185" s="12"/>
      <c r="EU185" s="12"/>
      <c r="EV185" s="12"/>
      <c r="EW185" s="12"/>
      <c r="EX185" s="12"/>
      <c r="EY185" s="12"/>
      <c r="EZ185" s="12"/>
      <c r="FA185" s="12"/>
      <c r="FB185" s="12"/>
      <c r="FC185" s="12"/>
      <c r="FD185" s="12"/>
      <c r="FE185" s="12"/>
      <c r="FF185" s="12"/>
      <c r="FG185" s="12"/>
      <c r="FH185" s="12"/>
      <c r="FI185" s="12"/>
      <c r="FJ185" s="12"/>
      <c r="FK185" s="12"/>
      <c r="FL185" s="12"/>
      <c r="FM185" s="12"/>
      <c r="FN185" s="12"/>
      <c r="FO185" s="12"/>
      <c r="FP185" s="12"/>
      <c r="FQ185" s="12"/>
      <c r="FR185" s="12"/>
      <c r="FS185" s="12"/>
      <c r="FT185" s="12"/>
      <c r="FU185" s="12"/>
      <c r="FV185" s="12"/>
      <c r="FW185" s="12"/>
      <c r="FX185" s="12"/>
      <c r="FY185" s="12"/>
      <c r="FZ185" s="12"/>
      <c r="GA185" s="12"/>
      <c r="GB185" s="12"/>
      <c r="GC185" s="12"/>
      <c r="GD185" s="12"/>
      <c r="GE185" s="12"/>
      <c r="GF185" s="12"/>
      <c r="GG185" s="12"/>
      <c r="GH185" s="12"/>
      <c r="GI185" s="12"/>
      <c r="GJ185" s="12"/>
      <c r="GK185" s="12"/>
      <c r="GL185" s="12"/>
      <c r="GM185" s="12"/>
      <c r="GN185" s="12"/>
      <c r="GO185" s="12"/>
      <c r="GP185" s="12"/>
      <c r="GQ185" s="12"/>
      <c r="GR185" s="12"/>
      <c r="GS185" s="12"/>
      <c r="GT185" s="12"/>
      <c r="GU185" s="12"/>
      <c r="GV185" s="12"/>
      <c r="GW185" s="12"/>
      <c r="GX185" s="12"/>
      <c r="GY185" s="12"/>
      <c r="GZ185" s="12"/>
      <c r="HA185" s="12"/>
      <c r="HB185" s="12"/>
      <c r="HC185" s="12"/>
      <c r="HD185" s="12"/>
      <c r="HE185" s="12"/>
      <c r="HF185" s="12"/>
    </row>
    <row r="186" spans="1:214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46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  <c r="BN186" s="12"/>
      <c r="BO186" s="12"/>
      <c r="BP186" s="12"/>
      <c r="BQ186" s="12"/>
      <c r="BR186" s="12"/>
      <c r="BS186" s="12"/>
      <c r="BT186" s="12"/>
      <c r="BU186" s="12"/>
      <c r="BV186" s="12"/>
      <c r="BW186" s="12"/>
      <c r="BX186" s="12"/>
      <c r="BY186" s="12"/>
      <c r="BZ186" s="12"/>
      <c r="CA186" s="12"/>
      <c r="CB186" s="12"/>
      <c r="CC186" s="12"/>
      <c r="CD186" s="12"/>
      <c r="CE186" s="12"/>
      <c r="CF186" s="12"/>
      <c r="CG186" s="12"/>
      <c r="CH186" s="12"/>
      <c r="CI186" s="12"/>
      <c r="CJ186" s="12"/>
      <c r="CK186" s="12"/>
      <c r="CL186" s="12"/>
      <c r="CM186" s="12"/>
      <c r="CN186" s="12"/>
      <c r="CO186" s="12"/>
      <c r="CP186" s="12"/>
      <c r="CQ186" s="12"/>
      <c r="CR186" s="12"/>
      <c r="CS186" s="12"/>
      <c r="CT186" s="12"/>
      <c r="CU186" s="12"/>
      <c r="CV186" s="12"/>
      <c r="CW186" s="12"/>
      <c r="CX186" s="12"/>
      <c r="CY186" s="12"/>
      <c r="CZ186" s="12"/>
      <c r="DA186" s="12"/>
      <c r="DB186" s="12"/>
      <c r="DC186" s="12"/>
      <c r="DD186" s="12"/>
      <c r="DE186" s="12"/>
      <c r="DF186" s="12"/>
      <c r="DG186" s="12"/>
      <c r="DH186" s="12"/>
      <c r="DI186" s="12"/>
      <c r="DJ186" s="12"/>
      <c r="DK186" s="12"/>
      <c r="DL186" s="12"/>
      <c r="DM186" s="12"/>
      <c r="DN186" s="12"/>
      <c r="DO186" s="12"/>
      <c r="DP186" s="12"/>
      <c r="DQ186" s="12"/>
      <c r="DR186" s="12"/>
      <c r="DS186" s="12"/>
      <c r="DT186" s="12"/>
      <c r="DU186" s="12"/>
      <c r="DV186" s="12"/>
      <c r="DW186" s="12"/>
      <c r="DX186" s="12"/>
      <c r="DY186" s="12"/>
      <c r="DZ186" s="12"/>
      <c r="EA186" s="12"/>
      <c r="EB186" s="12"/>
      <c r="EC186" s="12"/>
      <c r="ED186" s="12"/>
      <c r="EE186" s="12"/>
      <c r="EF186" s="12"/>
      <c r="EG186" s="12"/>
      <c r="EH186" s="12"/>
      <c r="EI186" s="12"/>
      <c r="EJ186" s="12"/>
      <c r="EK186" s="12"/>
      <c r="EL186" s="12"/>
      <c r="EM186" s="12"/>
      <c r="EN186" s="12"/>
      <c r="EO186" s="12"/>
      <c r="EP186" s="12"/>
      <c r="EQ186" s="12"/>
      <c r="ER186" s="12"/>
      <c r="ES186" s="12"/>
      <c r="ET186" s="12"/>
      <c r="EU186" s="12"/>
      <c r="EV186" s="12"/>
      <c r="EW186" s="12"/>
      <c r="EX186" s="12"/>
      <c r="EY186" s="12"/>
      <c r="EZ186" s="12"/>
      <c r="FA186" s="12"/>
      <c r="FB186" s="12"/>
      <c r="FC186" s="12"/>
      <c r="FD186" s="12"/>
      <c r="FE186" s="12"/>
      <c r="FF186" s="12"/>
      <c r="FG186" s="12"/>
      <c r="FH186" s="12"/>
      <c r="FI186" s="12"/>
      <c r="FJ186" s="12"/>
      <c r="FK186" s="12"/>
      <c r="FL186" s="12"/>
      <c r="FM186" s="12"/>
      <c r="FN186" s="12"/>
      <c r="FO186" s="12"/>
      <c r="FP186" s="12"/>
      <c r="FQ186" s="12"/>
      <c r="FR186" s="12"/>
      <c r="FS186" s="12"/>
      <c r="FT186" s="12"/>
      <c r="FU186" s="12"/>
      <c r="FV186" s="12"/>
      <c r="FW186" s="12"/>
      <c r="FX186" s="12"/>
      <c r="FY186" s="12"/>
      <c r="FZ186" s="12"/>
      <c r="GA186" s="12"/>
      <c r="GB186" s="12"/>
      <c r="GC186" s="12"/>
      <c r="GD186" s="12"/>
      <c r="GE186" s="12"/>
      <c r="GF186" s="12"/>
      <c r="GG186" s="12"/>
      <c r="GH186" s="12"/>
      <c r="GI186" s="12"/>
      <c r="GJ186" s="12"/>
      <c r="GK186" s="12"/>
      <c r="GL186" s="12"/>
      <c r="GM186" s="12"/>
      <c r="GN186" s="12"/>
      <c r="GO186" s="12"/>
      <c r="GP186" s="12"/>
      <c r="GQ186" s="12"/>
      <c r="GR186" s="12"/>
      <c r="GS186" s="12"/>
      <c r="GT186" s="12"/>
      <c r="GU186" s="12"/>
      <c r="GV186" s="12"/>
      <c r="GW186" s="12"/>
      <c r="GX186" s="12"/>
      <c r="GY186" s="12"/>
      <c r="GZ186" s="12"/>
      <c r="HA186" s="12"/>
      <c r="HB186" s="12"/>
      <c r="HC186" s="12"/>
      <c r="HD186" s="12"/>
      <c r="HE186" s="12"/>
      <c r="HF186" s="12"/>
    </row>
    <row r="187" spans="1:214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46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  <c r="BN187" s="12"/>
      <c r="BO187" s="12"/>
      <c r="BP187" s="12"/>
      <c r="BQ187" s="12"/>
      <c r="BR187" s="12"/>
      <c r="BS187" s="12"/>
      <c r="BT187" s="12"/>
      <c r="BU187" s="12"/>
      <c r="BV187" s="12"/>
      <c r="BW187" s="12"/>
      <c r="BX187" s="12"/>
      <c r="BY187" s="12"/>
      <c r="BZ187" s="12"/>
      <c r="CA187" s="12"/>
      <c r="CB187" s="12"/>
      <c r="CC187" s="12"/>
      <c r="CD187" s="12"/>
      <c r="CE187" s="12"/>
      <c r="CF187" s="12"/>
      <c r="CG187" s="12"/>
      <c r="CH187" s="12"/>
      <c r="CI187" s="12"/>
      <c r="CJ187" s="12"/>
      <c r="CK187" s="12"/>
      <c r="CL187" s="12"/>
      <c r="CM187" s="12"/>
      <c r="CN187" s="12"/>
      <c r="CO187" s="12"/>
      <c r="CP187" s="12"/>
      <c r="CQ187" s="12"/>
      <c r="CR187" s="12"/>
      <c r="CS187" s="12"/>
      <c r="CT187" s="12"/>
      <c r="CU187" s="12"/>
      <c r="CV187" s="12"/>
      <c r="CW187" s="12"/>
      <c r="CX187" s="12"/>
      <c r="CY187" s="12"/>
      <c r="CZ187" s="12"/>
      <c r="DA187" s="12"/>
      <c r="DB187" s="12"/>
      <c r="DC187" s="12"/>
      <c r="DD187" s="12"/>
      <c r="DE187" s="12"/>
      <c r="DF187" s="12"/>
      <c r="DG187" s="12"/>
      <c r="DH187" s="12"/>
      <c r="DI187" s="12"/>
      <c r="DJ187" s="12"/>
      <c r="DK187" s="12"/>
      <c r="DL187" s="12"/>
      <c r="DM187" s="12"/>
      <c r="DN187" s="12"/>
      <c r="DO187" s="12"/>
      <c r="DP187" s="12"/>
      <c r="DQ187" s="12"/>
      <c r="DR187" s="12"/>
      <c r="DS187" s="12"/>
      <c r="DT187" s="12"/>
      <c r="DU187" s="12"/>
      <c r="DV187" s="12"/>
      <c r="DW187" s="12"/>
      <c r="DX187" s="12"/>
      <c r="DY187" s="12"/>
      <c r="DZ187" s="12"/>
      <c r="EA187" s="12"/>
      <c r="EB187" s="12"/>
      <c r="EC187" s="12"/>
      <c r="ED187" s="12"/>
      <c r="EE187" s="12"/>
      <c r="EF187" s="12"/>
      <c r="EG187" s="12"/>
      <c r="EH187" s="12"/>
      <c r="EI187" s="12"/>
      <c r="EJ187" s="12"/>
      <c r="EK187" s="12"/>
      <c r="EL187" s="12"/>
      <c r="EM187" s="12"/>
      <c r="EN187" s="12"/>
      <c r="EO187" s="12"/>
      <c r="EP187" s="12"/>
      <c r="EQ187" s="12"/>
      <c r="ER187" s="12"/>
      <c r="ES187" s="12"/>
      <c r="ET187" s="12"/>
      <c r="EU187" s="12"/>
      <c r="EV187" s="12"/>
      <c r="EW187" s="12"/>
      <c r="EX187" s="12"/>
      <c r="EY187" s="12"/>
      <c r="EZ187" s="12"/>
      <c r="FA187" s="12"/>
      <c r="FB187" s="12"/>
      <c r="FC187" s="12"/>
      <c r="FD187" s="12"/>
      <c r="FE187" s="12"/>
      <c r="FF187" s="12"/>
      <c r="FG187" s="12"/>
      <c r="FH187" s="12"/>
      <c r="FI187" s="12"/>
      <c r="FJ187" s="12"/>
      <c r="FK187" s="12"/>
      <c r="FL187" s="12"/>
      <c r="FM187" s="12"/>
      <c r="FN187" s="12"/>
      <c r="FO187" s="12"/>
      <c r="FP187" s="12"/>
      <c r="FQ187" s="12"/>
      <c r="FR187" s="12"/>
      <c r="FS187" s="12"/>
      <c r="FT187" s="12"/>
      <c r="FU187" s="12"/>
      <c r="FV187" s="12"/>
      <c r="FW187" s="12"/>
      <c r="FX187" s="12"/>
      <c r="FY187" s="12"/>
      <c r="FZ187" s="12"/>
      <c r="GA187" s="12"/>
      <c r="GB187" s="12"/>
      <c r="GC187" s="12"/>
      <c r="GD187" s="12"/>
      <c r="GE187" s="12"/>
      <c r="GF187" s="12"/>
      <c r="GG187" s="12"/>
      <c r="GH187" s="12"/>
      <c r="GI187" s="12"/>
      <c r="GJ187" s="12"/>
      <c r="GK187" s="12"/>
      <c r="GL187" s="12"/>
      <c r="GM187" s="12"/>
      <c r="GN187" s="12"/>
      <c r="GO187" s="12"/>
      <c r="GP187" s="12"/>
      <c r="GQ187" s="12"/>
      <c r="GR187" s="12"/>
      <c r="GS187" s="12"/>
      <c r="GT187" s="12"/>
      <c r="GU187" s="12"/>
      <c r="GV187" s="12"/>
      <c r="GW187" s="12"/>
      <c r="GX187" s="12"/>
      <c r="GY187" s="12"/>
      <c r="GZ187" s="12"/>
      <c r="HA187" s="12"/>
      <c r="HB187" s="12"/>
      <c r="HC187" s="12"/>
      <c r="HD187" s="12"/>
      <c r="HE187" s="12"/>
      <c r="HF187" s="12"/>
    </row>
    <row r="188" spans="1:214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46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2"/>
      <c r="BO188" s="12"/>
      <c r="BP188" s="12"/>
      <c r="BQ188" s="12"/>
      <c r="BR188" s="12"/>
      <c r="BS188" s="12"/>
      <c r="BT188" s="12"/>
      <c r="BU188" s="12"/>
      <c r="BV188" s="12"/>
      <c r="BW188" s="12"/>
      <c r="BX188" s="12"/>
      <c r="BY188" s="12"/>
      <c r="BZ188" s="12"/>
      <c r="CA188" s="12"/>
      <c r="CB188" s="12"/>
      <c r="CC188" s="12"/>
      <c r="CD188" s="12"/>
      <c r="CE188" s="12"/>
      <c r="CF188" s="12"/>
      <c r="CG188" s="12"/>
      <c r="CH188" s="12"/>
      <c r="CI188" s="12"/>
      <c r="CJ188" s="12"/>
      <c r="CK188" s="12"/>
      <c r="CL188" s="12"/>
      <c r="CM188" s="12"/>
      <c r="CN188" s="12"/>
      <c r="CO188" s="12"/>
      <c r="CP188" s="12"/>
      <c r="CQ188" s="12"/>
      <c r="CR188" s="12"/>
      <c r="CS188" s="12"/>
      <c r="CT188" s="12"/>
      <c r="CU188" s="12"/>
      <c r="CV188" s="12"/>
      <c r="CW188" s="12"/>
      <c r="CX188" s="12"/>
      <c r="CY188" s="12"/>
      <c r="CZ188" s="12"/>
      <c r="DA188" s="12"/>
      <c r="DB188" s="12"/>
      <c r="DC188" s="12"/>
      <c r="DD188" s="12"/>
      <c r="DE188" s="12"/>
      <c r="DF188" s="12"/>
      <c r="DG188" s="12"/>
      <c r="DH188" s="12"/>
      <c r="DI188" s="12"/>
      <c r="DJ188" s="12"/>
      <c r="DK188" s="12"/>
      <c r="DL188" s="12"/>
      <c r="DM188" s="12"/>
      <c r="DN188" s="12"/>
      <c r="DO188" s="12"/>
      <c r="DP188" s="12"/>
      <c r="DQ188" s="12"/>
      <c r="DR188" s="12"/>
      <c r="DS188" s="12"/>
      <c r="DT188" s="12"/>
      <c r="DU188" s="12"/>
      <c r="DV188" s="12"/>
      <c r="DW188" s="12"/>
      <c r="DX188" s="12"/>
      <c r="DY188" s="12"/>
      <c r="DZ188" s="12"/>
      <c r="EA188" s="12"/>
      <c r="EB188" s="12"/>
      <c r="EC188" s="12"/>
      <c r="ED188" s="12"/>
      <c r="EE188" s="12"/>
      <c r="EF188" s="12"/>
      <c r="EG188" s="12"/>
      <c r="EH188" s="12"/>
      <c r="EI188" s="12"/>
      <c r="EJ188" s="12"/>
      <c r="EK188" s="12"/>
      <c r="EL188" s="12"/>
      <c r="EM188" s="12"/>
      <c r="EN188" s="12"/>
      <c r="EO188" s="12"/>
      <c r="EP188" s="12"/>
      <c r="EQ188" s="12"/>
      <c r="ER188" s="12"/>
      <c r="ES188" s="12"/>
      <c r="ET188" s="12"/>
      <c r="EU188" s="12"/>
      <c r="EV188" s="12"/>
      <c r="EW188" s="12"/>
      <c r="EX188" s="12"/>
      <c r="EY188" s="12"/>
      <c r="EZ188" s="12"/>
      <c r="FA188" s="12"/>
      <c r="FB188" s="12"/>
      <c r="FC188" s="12"/>
      <c r="FD188" s="12"/>
      <c r="FE188" s="12"/>
      <c r="FF188" s="12"/>
      <c r="FG188" s="12"/>
      <c r="FH188" s="12"/>
      <c r="FI188" s="12"/>
      <c r="FJ188" s="12"/>
      <c r="FK188" s="12"/>
      <c r="FL188" s="12"/>
      <c r="FM188" s="12"/>
      <c r="FN188" s="12"/>
      <c r="FO188" s="12"/>
      <c r="FP188" s="12"/>
      <c r="FQ188" s="12"/>
      <c r="FR188" s="12"/>
      <c r="FS188" s="12"/>
      <c r="FT188" s="12"/>
      <c r="FU188" s="12"/>
      <c r="FV188" s="12"/>
      <c r="FW188" s="12"/>
      <c r="FX188" s="12"/>
      <c r="FY188" s="12"/>
      <c r="FZ188" s="12"/>
      <c r="GA188" s="12"/>
      <c r="GB188" s="12"/>
      <c r="GC188" s="12"/>
      <c r="GD188" s="12"/>
      <c r="GE188" s="12"/>
      <c r="GF188" s="12"/>
      <c r="GG188" s="12"/>
      <c r="GH188" s="12"/>
      <c r="GI188" s="12"/>
      <c r="GJ188" s="12"/>
      <c r="GK188" s="12"/>
      <c r="GL188" s="12"/>
      <c r="GM188" s="12"/>
      <c r="GN188" s="12"/>
      <c r="GO188" s="12"/>
      <c r="GP188" s="12"/>
      <c r="GQ188" s="12"/>
      <c r="GR188" s="12"/>
      <c r="GS188" s="12"/>
      <c r="GT188" s="12"/>
      <c r="GU188" s="12"/>
      <c r="GV188" s="12"/>
      <c r="GW188" s="12"/>
      <c r="GX188" s="12"/>
      <c r="GY188" s="12"/>
      <c r="GZ188" s="12"/>
      <c r="HA188" s="12"/>
      <c r="HB188" s="12"/>
      <c r="HC188" s="12"/>
      <c r="HD188" s="12"/>
      <c r="HE188" s="12"/>
      <c r="HF188" s="12"/>
    </row>
    <row r="189" spans="1:214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46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2"/>
      <c r="CA189" s="12"/>
      <c r="CB189" s="12"/>
      <c r="CC189" s="12"/>
      <c r="CD189" s="12"/>
      <c r="CE189" s="12"/>
      <c r="CF189" s="12"/>
      <c r="CG189" s="12"/>
      <c r="CH189" s="12"/>
      <c r="CI189" s="12"/>
      <c r="CJ189" s="12"/>
      <c r="CK189" s="12"/>
      <c r="CL189" s="12"/>
      <c r="CM189" s="12"/>
      <c r="CN189" s="12"/>
      <c r="CO189" s="12"/>
      <c r="CP189" s="12"/>
      <c r="CQ189" s="12"/>
      <c r="CR189" s="12"/>
      <c r="CS189" s="12"/>
      <c r="CT189" s="12"/>
      <c r="CU189" s="12"/>
      <c r="CV189" s="12"/>
      <c r="CW189" s="12"/>
      <c r="CX189" s="12"/>
      <c r="CY189" s="12"/>
      <c r="CZ189" s="12"/>
      <c r="DA189" s="12"/>
      <c r="DB189" s="12"/>
      <c r="DC189" s="12"/>
      <c r="DD189" s="12"/>
      <c r="DE189" s="12"/>
      <c r="DF189" s="12"/>
      <c r="DG189" s="12"/>
      <c r="DH189" s="12"/>
      <c r="DI189" s="12"/>
      <c r="DJ189" s="12"/>
      <c r="DK189" s="12"/>
      <c r="DL189" s="12"/>
      <c r="DM189" s="12"/>
      <c r="DN189" s="12"/>
      <c r="DO189" s="12"/>
      <c r="DP189" s="12"/>
      <c r="DQ189" s="12"/>
      <c r="DR189" s="12"/>
      <c r="DS189" s="12"/>
      <c r="DT189" s="12"/>
      <c r="DU189" s="12"/>
      <c r="DV189" s="12"/>
      <c r="DW189" s="12"/>
      <c r="DX189" s="12"/>
      <c r="DY189" s="12"/>
      <c r="DZ189" s="12"/>
      <c r="EA189" s="12"/>
      <c r="EB189" s="12"/>
      <c r="EC189" s="12"/>
      <c r="ED189" s="12"/>
      <c r="EE189" s="12"/>
      <c r="EF189" s="12"/>
      <c r="EG189" s="12"/>
      <c r="EH189" s="12"/>
      <c r="EI189" s="12"/>
      <c r="EJ189" s="12"/>
      <c r="EK189" s="12"/>
      <c r="EL189" s="12"/>
      <c r="EM189" s="12"/>
      <c r="EN189" s="12"/>
      <c r="EO189" s="12"/>
      <c r="EP189" s="12"/>
      <c r="EQ189" s="12"/>
      <c r="ER189" s="12"/>
      <c r="ES189" s="12"/>
      <c r="ET189" s="12"/>
      <c r="EU189" s="12"/>
      <c r="EV189" s="12"/>
      <c r="EW189" s="12"/>
      <c r="EX189" s="12"/>
      <c r="EY189" s="12"/>
      <c r="EZ189" s="12"/>
      <c r="FA189" s="12"/>
      <c r="FB189" s="12"/>
      <c r="FC189" s="12"/>
      <c r="FD189" s="12"/>
      <c r="FE189" s="12"/>
      <c r="FF189" s="12"/>
      <c r="FG189" s="12"/>
      <c r="FH189" s="12"/>
      <c r="FI189" s="12"/>
      <c r="FJ189" s="12"/>
      <c r="FK189" s="12"/>
      <c r="FL189" s="12"/>
      <c r="FM189" s="12"/>
      <c r="FN189" s="12"/>
      <c r="FO189" s="12"/>
      <c r="FP189" s="12"/>
      <c r="FQ189" s="12"/>
      <c r="FR189" s="12"/>
      <c r="FS189" s="12"/>
      <c r="FT189" s="12"/>
      <c r="FU189" s="12"/>
      <c r="FV189" s="12"/>
      <c r="FW189" s="12"/>
      <c r="FX189" s="12"/>
      <c r="FY189" s="12"/>
      <c r="FZ189" s="12"/>
      <c r="GA189" s="12"/>
      <c r="GB189" s="12"/>
      <c r="GC189" s="12"/>
      <c r="GD189" s="12"/>
      <c r="GE189" s="12"/>
      <c r="GF189" s="12"/>
      <c r="GG189" s="12"/>
      <c r="GH189" s="12"/>
      <c r="GI189" s="12"/>
      <c r="GJ189" s="12"/>
      <c r="GK189" s="12"/>
      <c r="GL189" s="12"/>
      <c r="GM189" s="12"/>
      <c r="GN189" s="12"/>
      <c r="GO189" s="12"/>
      <c r="GP189" s="12"/>
      <c r="GQ189" s="12"/>
      <c r="GR189" s="12"/>
      <c r="GS189" s="12"/>
      <c r="GT189" s="12"/>
      <c r="GU189" s="12"/>
      <c r="GV189" s="12"/>
      <c r="GW189" s="12"/>
      <c r="GX189" s="12"/>
      <c r="GY189" s="12"/>
      <c r="GZ189" s="12"/>
      <c r="HA189" s="12"/>
      <c r="HB189" s="12"/>
      <c r="HC189" s="12"/>
      <c r="HD189" s="12"/>
      <c r="HE189" s="12"/>
      <c r="HF189" s="12"/>
    </row>
    <row r="190" spans="1:214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46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2"/>
      <c r="BO190" s="12"/>
      <c r="BP190" s="12"/>
      <c r="BQ190" s="12"/>
      <c r="BR190" s="12"/>
      <c r="BS190" s="12"/>
      <c r="BT190" s="12"/>
      <c r="BU190" s="12"/>
      <c r="BV190" s="12"/>
      <c r="BW190" s="12"/>
      <c r="BX190" s="12"/>
      <c r="BY190" s="12"/>
      <c r="BZ190" s="12"/>
      <c r="CA190" s="12"/>
      <c r="CB190" s="12"/>
      <c r="CC190" s="12"/>
      <c r="CD190" s="12"/>
      <c r="CE190" s="12"/>
      <c r="CF190" s="12"/>
      <c r="CG190" s="12"/>
      <c r="CH190" s="12"/>
      <c r="CI190" s="12"/>
      <c r="CJ190" s="12"/>
      <c r="CK190" s="12"/>
      <c r="CL190" s="12"/>
      <c r="CM190" s="12"/>
      <c r="CN190" s="12"/>
      <c r="CO190" s="12"/>
      <c r="CP190" s="12"/>
      <c r="CQ190" s="12"/>
      <c r="CR190" s="12"/>
      <c r="CS190" s="12"/>
      <c r="CT190" s="12"/>
      <c r="CU190" s="12"/>
      <c r="CV190" s="12"/>
      <c r="CW190" s="12"/>
      <c r="CX190" s="12"/>
      <c r="CY190" s="12"/>
      <c r="CZ190" s="12"/>
      <c r="DA190" s="12"/>
      <c r="DB190" s="12"/>
      <c r="DC190" s="12"/>
      <c r="DD190" s="12"/>
      <c r="DE190" s="12"/>
      <c r="DF190" s="12"/>
      <c r="DG190" s="12"/>
      <c r="DH190" s="12"/>
      <c r="DI190" s="12"/>
      <c r="DJ190" s="12"/>
      <c r="DK190" s="12"/>
      <c r="DL190" s="12"/>
      <c r="DM190" s="12"/>
      <c r="DN190" s="12"/>
      <c r="DO190" s="12"/>
      <c r="DP190" s="12"/>
      <c r="DQ190" s="12"/>
      <c r="DR190" s="12"/>
      <c r="DS190" s="12"/>
      <c r="DT190" s="12"/>
      <c r="DU190" s="12"/>
      <c r="DV190" s="12"/>
      <c r="DW190" s="12"/>
      <c r="DX190" s="12"/>
      <c r="DY190" s="12"/>
      <c r="DZ190" s="12"/>
      <c r="EA190" s="12"/>
      <c r="EB190" s="12"/>
      <c r="EC190" s="12"/>
      <c r="ED190" s="12"/>
      <c r="EE190" s="12"/>
      <c r="EF190" s="12"/>
      <c r="EG190" s="12"/>
      <c r="EH190" s="12"/>
      <c r="EI190" s="12"/>
      <c r="EJ190" s="12"/>
      <c r="EK190" s="12"/>
      <c r="EL190" s="12"/>
      <c r="EM190" s="12"/>
      <c r="EN190" s="12"/>
      <c r="EO190" s="12"/>
      <c r="EP190" s="12"/>
      <c r="EQ190" s="12"/>
      <c r="ER190" s="12"/>
      <c r="ES190" s="12"/>
      <c r="ET190" s="12"/>
      <c r="EU190" s="12"/>
      <c r="EV190" s="12"/>
      <c r="EW190" s="12"/>
      <c r="EX190" s="12"/>
      <c r="EY190" s="12"/>
      <c r="EZ190" s="12"/>
      <c r="FA190" s="12"/>
      <c r="FB190" s="12"/>
      <c r="FC190" s="12"/>
      <c r="FD190" s="12"/>
      <c r="FE190" s="12"/>
      <c r="FF190" s="12"/>
      <c r="FG190" s="12"/>
      <c r="FH190" s="12"/>
      <c r="FI190" s="12"/>
      <c r="FJ190" s="12"/>
      <c r="FK190" s="12"/>
      <c r="FL190" s="12"/>
      <c r="FM190" s="12"/>
      <c r="FN190" s="12"/>
      <c r="FO190" s="12"/>
      <c r="FP190" s="12"/>
      <c r="FQ190" s="12"/>
      <c r="FR190" s="12"/>
      <c r="FS190" s="12"/>
      <c r="FT190" s="12"/>
      <c r="FU190" s="12"/>
      <c r="FV190" s="12"/>
      <c r="FW190" s="12"/>
      <c r="FX190" s="12"/>
      <c r="FY190" s="12"/>
      <c r="FZ190" s="12"/>
      <c r="GA190" s="12"/>
      <c r="GB190" s="12"/>
      <c r="GC190" s="12"/>
      <c r="GD190" s="12"/>
      <c r="GE190" s="12"/>
      <c r="GF190" s="12"/>
      <c r="GG190" s="12"/>
      <c r="GH190" s="12"/>
      <c r="GI190" s="12"/>
      <c r="GJ190" s="12"/>
      <c r="GK190" s="12"/>
      <c r="GL190" s="12"/>
      <c r="GM190" s="12"/>
      <c r="GN190" s="12"/>
      <c r="GO190" s="12"/>
      <c r="GP190" s="12"/>
      <c r="GQ190" s="12"/>
      <c r="GR190" s="12"/>
      <c r="GS190" s="12"/>
      <c r="GT190" s="12"/>
      <c r="GU190" s="12"/>
      <c r="GV190" s="12"/>
      <c r="GW190" s="12"/>
      <c r="GX190" s="12"/>
      <c r="GY190" s="12"/>
      <c r="GZ190" s="12"/>
      <c r="HA190" s="12"/>
      <c r="HB190" s="12"/>
      <c r="HC190" s="12"/>
      <c r="HD190" s="12"/>
      <c r="HE190" s="12"/>
      <c r="HF190" s="12"/>
    </row>
    <row r="191" spans="1:214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46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  <c r="BV191" s="12"/>
      <c r="BW191" s="12"/>
      <c r="BX191" s="12"/>
      <c r="BY191" s="12"/>
      <c r="BZ191" s="12"/>
      <c r="CA191" s="12"/>
      <c r="CB191" s="12"/>
      <c r="CC191" s="12"/>
      <c r="CD191" s="12"/>
      <c r="CE191" s="12"/>
      <c r="CF191" s="12"/>
      <c r="CG191" s="12"/>
      <c r="CH191" s="12"/>
      <c r="CI191" s="12"/>
      <c r="CJ191" s="12"/>
      <c r="CK191" s="12"/>
      <c r="CL191" s="12"/>
      <c r="CM191" s="12"/>
      <c r="CN191" s="12"/>
      <c r="CO191" s="12"/>
      <c r="CP191" s="12"/>
      <c r="CQ191" s="12"/>
      <c r="CR191" s="12"/>
      <c r="CS191" s="12"/>
      <c r="CT191" s="12"/>
      <c r="CU191" s="12"/>
      <c r="CV191" s="12"/>
      <c r="CW191" s="12"/>
      <c r="CX191" s="12"/>
      <c r="CY191" s="12"/>
      <c r="CZ191" s="12"/>
      <c r="DA191" s="12"/>
      <c r="DB191" s="12"/>
      <c r="DC191" s="12"/>
      <c r="DD191" s="12"/>
      <c r="DE191" s="12"/>
      <c r="DF191" s="12"/>
      <c r="DG191" s="12"/>
      <c r="DH191" s="12"/>
      <c r="DI191" s="12"/>
      <c r="DJ191" s="12"/>
      <c r="DK191" s="12"/>
      <c r="DL191" s="12"/>
      <c r="DM191" s="12"/>
      <c r="DN191" s="12"/>
      <c r="DO191" s="12"/>
      <c r="DP191" s="12"/>
      <c r="DQ191" s="12"/>
      <c r="DR191" s="12"/>
      <c r="DS191" s="12"/>
      <c r="DT191" s="12"/>
      <c r="DU191" s="12"/>
      <c r="DV191" s="12"/>
      <c r="DW191" s="12"/>
      <c r="DX191" s="12"/>
      <c r="DY191" s="12"/>
      <c r="DZ191" s="12"/>
      <c r="EA191" s="12"/>
      <c r="EB191" s="12"/>
      <c r="EC191" s="12"/>
      <c r="ED191" s="12"/>
      <c r="EE191" s="12"/>
      <c r="EF191" s="12"/>
      <c r="EG191" s="12"/>
      <c r="EH191" s="12"/>
      <c r="EI191" s="12"/>
      <c r="EJ191" s="12"/>
      <c r="EK191" s="12"/>
      <c r="EL191" s="12"/>
      <c r="EM191" s="12"/>
      <c r="EN191" s="12"/>
      <c r="EO191" s="12"/>
      <c r="EP191" s="12"/>
      <c r="EQ191" s="12"/>
      <c r="ER191" s="12"/>
      <c r="ES191" s="12"/>
      <c r="ET191" s="12"/>
      <c r="EU191" s="12"/>
      <c r="EV191" s="12"/>
      <c r="EW191" s="12"/>
      <c r="EX191" s="12"/>
      <c r="EY191" s="12"/>
      <c r="EZ191" s="12"/>
      <c r="FA191" s="12"/>
      <c r="FB191" s="12"/>
      <c r="FC191" s="12"/>
      <c r="FD191" s="12"/>
      <c r="FE191" s="12"/>
      <c r="FF191" s="12"/>
      <c r="FG191" s="12"/>
      <c r="FH191" s="12"/>
      <c r="FI191" s="12"/>
      <c r="FJ191" s="12"/>
      <c r="FK191" s="12"/>
      <c r="FL191" s="12"/>
      <c r="FM191" s="12"/>
      <c r="FN191" s="12"/>
      <c r="FO191" s="12"/>
      <c r="FP191" s="12"/>
      <c r="FQ191" s="12"/>
      <c r="FR191" s="12"/>
      <c r="FS191" s="12"/>
      <c r="FT191" s="12"/>
      <c r="FU191" s="12"/>
      <c r="FV191" s="12"/>
      <c r="FW191" s="12"/>
      <c r="FX191" s="12"/>
      <c r="FY191" s="12"/>
      <c r="FZ191" s="12"/>
      <c r="GA191" s="12"/>
      <c r="GB191" s="12"/>
      <c r="GC191" s="12"/>
      <c r="GD191" s="12"/>
      <c r="GE191" s="12"/>
      <c r="GF191" s="12"/>
      <c r="GG191" s="12"/>
      <c r="GH191" s="12"/>
      <c r="GI191" s="12"/>
      <c r="GJ191" s="12"/>
      <c r="GK191" s="12"/>
      <c r="GL191" s="12"/>
      <c r="GM191" s="12"/>
      <c r="GN191" s="12"/>
      <c r="GO191" s="12"/>
      <c r="GP191" s="12"/>
      <c r="GQ191" s="12"/>
      <c r="GR191" s="12"/>
      <c r="GS191" s="12"/>
      <c r="GT191" s="12"/>
      <c r="GU191" s="12"/>
      <c r="GV191" s="12"/>
      <c r="GW191" s="12"/>
      <c r="GX191" s="12"/>
      <c r="GY191" s="12"/>
      <c r="GZ191" s="12"/>
      <c r="HA191" s="12"/>
      <c r="HB191" s="12"/>
      <c r="HC191" s="12"/>
      <c r="HD191" s="12"/>
      <c r="HE191" s="12"/>
      <c r="HF191" s="12"/>
    </row>
    <row r="192" spans="1:214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46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  <c r="BN192" s="12"/>
      <c r="BO192" s="12"/>
      <c r="BP192" s="12"/>
      <c r="BQ192" s="12"/>
      <c r="BR192" s="12"/>
      <c r="BS192" s="12"/>
      <c r="BT192" s="12"/>
      <c r="BU192" s="12"/>
      <c r="BV192" s="12"/>
      <c r="BW192" s="12"/>
      <c r="BX192" s="12"/>
      <c r="BY192" s="12"/>
      <c r="BZ192" s="12"/>
      <c r="CA192" s="12"/>
      <c r="CB192" s="12"/>
      <c r="CC192" s="12"/>
      <c r="CD192" s="12"/>
      <c r="CE192" s="12"/>
      <c r="CF192" s="12"/>
      <c r="CG192" s="12"/>
      <c r="CH192" s="12"/>
      <c r="CI192" s="12"/>
      <c r="CJ192" s="12"/>
      <c r="CK192" s="12"/>
      <c r="CL192" s="12"/>
      <c r="CM192" s="12"/>
      <c r="CN192" s="12"/>
      <c r="CO192" s="12"/>
      <c r="CP192" s="12"/>
      <c r="CQ192" s="12"/>
      <c r="CR192" s="12"/>
      <c r="CS192" s="12"/>
      <c r="CT192" s="12"/>
      <c r="CU192" s="12"/>
      <c r="CV192" s="12"/>
      <c r="CW192" s="12"/>
      <c r="CX192" s="12"/>
      <c r="CY192" s="12"/>
      <c r="CZ192" s="12"/>
      <c r="DA192" s="12"/>
      <c r="DB192" s="12"/>
      <c r="DC192" s="12"/>
      <c r="DD192" s="12"/>
      <c r="DE192" s="12"/>
      <c r="DF192" s="12"/>
      <c r="DG192" s="12"/>
      <c r="DH192" s="12"/>
      <c r="DI192" s="12"/>
      <c r="DJ192" s="12"/>
      <c r="DK192" s="12"/>
      <c r="DL192" s="12"/>
      <c r="DM192" s="12"/>
      <c r="DN192" s="12"/>
      <c r="DO192" s="12"/>
      <c r="DP192" s="12"/>
      <c r="DQ192" s="12"/>
      <c r="DR192" s="12"/>
      <c r="DS192" s="12"/>
      <c r="DT192" s="12"/>
      <c r="DU192" s="12"/>
      <c r="DV192" s="12"/>
      <c r="DW192" s="12"/>
      <c r="DX192" s="12"/>
      <c r="DY192" s="12"/>
      <c r="DZ192" s="12"/>
      <c r="EA192" s="12"/>
      <c r="EB192" s="12"/>
      <c r="EC192" s="12"/>
      <c r="ED192" s="12"/>
      <c r="EE192" s="12"/>
      <c r="EF192" s="12"/>
      <c r="EG192" s="12"/>
      <c r="EH192" s="12"/>
      <c r="EI192" s="12"/>
      <c r="EJ192" s="12"/>
      <c r="EK192" s="12"/>
      <c r="EL192" s="12"/>
      <c r="EM192" s="12"/>
      <c r="EN192" s="12"/>
      <c r="EO192" s="12"/>
      <c r="EP192" s="12"/>
      <c r="EQ192" s="12"/>
      <c r="ER192" s="12"/>
      <c r="ES192" s="12"/>
      <c r="ET192" s="12"/>
      <c r="EU192" s="12"/>
      <c r="EV192" s="12"/>
      <c r="EW192" s="12"/>
      <c r="EX192" s="12"/>
      <c r="EY192" s="12"/>
      <c r="EZ192" s="12"/>
      <c r="FA192" s="12"/>
      <c r="FB192" s="12"/>
      <c r="FC192" s="12"/>
      <c r="FD192" s="12"/>
      <c r="FE192" s="12"/>
      <c r="FF192" s="12"/>
      <c r="FG192" s="12"/>
      <c r="FH192" s="12"/>
      <c r="FI192" s="12"/>
      <c r="FJ192" s="12"/>
      <c r="FK192" s="12"/>
      <c r="FL192" s="12"/>
      <c r="FM192" s="12"/>
      <c r="FN192" s="12"/>
      <c r="FO192" s="12"/>
      <c r="FP192" s="12"/>
      <c r="FQ192" s="12"/>
      <c r="FR192" s="12"/>
      <c r="FS192" s="12"/>
      <c r="FT192" s="12"/>
      <c r="FU192" s="12"/>
      <c r="FV192" s="12"/>
      <c r="FW192" s="12"/>
      <c r="FX192" s="12"/>
      <c r="FY192" s="12"/>
      <c r="FZ192" s="12"/>
      <c r="GA192" s="12"/>
      <c r="GB192" s="12"/>
      <c r="GC192" s="12"/>
      <c r="GD192" s="12"/>
      <c r="GE192" s="12"/>
      <c r="GF192" s="12"/>
      <c r="GG192" s="12"/>
      <c r="GH192" s="12"/>
      <c r="GI192" s="12"/>
      <c r="GJ192" s="12"/>
      <c r="GK192" s="12"/>
      <c r="GL192" s="12"/>
      <c r="GM192" s="12"/>
      <c r="GN192" s="12"/>
      <c r="GO192" s="12"/>
      <c r="GP192" s="12"/>
      <c r="GQ192" s="12"/>
      <c r="GR192" s="12"/>
      <c r="GS192" s="12"/>
      <c r="GT192" s="12"/>
      <c r="GU192" s="12"/>
      <c r="GV192" s="12"/>
      <c r="GW192" s="12"/>
      <c r="GX192" s="12"/>
      <c r="GY192" s="12"/>
      <c r="GZ192" s="12"/>
      <c r="HA192" s="12"/>
      <c r="HB192" s="12"/>
      <c r="HC192" s="12"/>
      <c r="HD192" s="12"/>
      <c r="HE192" s="12"/>
      <c r="HF192" s="12"/>
    </row>
    <row r="193" spans="1:214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46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  <c r="BU193" s="12"/>
      <c r="BV193" s="12"/>
      <c r="BW193" s="12"/>
      <c r="BX193" s="12"/>
      <c r="BY193" s="12"/>
      <c r="BZ193" s="12"/>
      <c r="CA193" s="12"/>
      <c r="CB193" s="12"/>
      <c r="CC193" s="12"/>
      <c r="CD193" s="12"/>
      <c r="CE193" s="12"/>
      <c r="CF193" s="12"/>
      <c r="CG193" s="12"/>
      <c r="CH193" s="12"/>
      <c r="CI193" s="12"/>
      <c r="CJ193" s="12"/>
      <c r="CK193" s="12"/>
      <c r="CL193" s="12"/>
      <c r="CM193" s="12"/>
      <c r="CN193" s="12"/>
      <c r="CO193" s="12"/>
      <c r="CP193" s="12"/>
      <c r="CQ193" s="12"/>
      <c r="CR193" s="12"/>
      <c r="CS193" s="12"/>
      <c r="CT193" s="12"/>
      <c r="CU193" s="12"/>
      <c r="CV193" s="12"/>
      <c r="CW193" s="12"/>
      <c r="CX193" s="12"/>
      <c r="CY193" s="12"/>
      <c r="CZ193" s="12"/>
      <c r="DA193" s="12"/>
      <c r="DB193" s="12"/>
      <c r="DC193" s="12"/>
      <c r="DD193" s="12"/>
      <c r="DE193" s="12"/>
      <c r="DF193" s="12"/>
      <c r="DG193" s="12"/>
      <c r="DH193" s="12"/>
      <c r="DI193" s="12"/>
      <c r="DJ193" s="12"/>
      <c r="DK193" s="12"/>
      <c r="DL193" s="12"/>
      <c r="DM193" s="12"/>
      <c r="DN193" s="12"/>
      <c r="DO193" s="12"/>
      <c r="DP193" s="12"/>
      <c r="DQ193" s="12"/>
      <c r="DR193" s="12"/>
      <c r="DS193" s="12"/>
      <c r="DT193" s="12"/>
      <c r="DU193" s="12"/>
      <c r="DV193" s="12"/>
      <c r="DW193" s="12"/>
      <c r="DX193" s="12"/>
      <c r="DY193" s="12"/>
      <c r="DZ193" s="12"/>
      <c r="EA193" s="12"/>
      <c r="EB193" s="12"/>
      <c r="EC193" s="12"/>
      <c r="ED193" s="12"/>
      <c r="EE193" s="12"/>
      <c r="EF193" s="12"/>
      <c r="EG193" s="12"/>
      <c r="EH193" s="12"/>
      <c r="EI193" s="12"/>
      <c r="EJ193" s="12"/>
      <c r="EK193" s="12"/>
      <c r="EL193" s="12"/>
      <c r="EM193" s="12"/>
      <c r="EN193" s="12"/>
      <c r="EO193" s="12"/>
      <c r="EP193" s="12"/>
      <c r="EQ193" s="12"/>
      <c r="ER193" s="12"/>
      <c r="ES193" s="12"/>
      <c r="ET193" s="12"/>
      <c r="EU193" s="12"/>
      <c r="EV193" s="12"/>
      <c r="EW193" s="12"/>
      <c r="EX193" s="12"/>
      <c r="EY193" s="12"/>
      <c r="EZ193" s="12"/>
      <c r="FA193" s="12"/>
      <c r="FB193" s="12"/>
      <c r="FC193" s="12"/>
      <c r="FD193" s="12"/>
      <c r="FE193" s="12"/>
      <c r="FF193" s="12"/>
      <c r="FG193" s="12"/>
      <c r="FH193" s="12"/>
      <c r="FI193" s="12"/>
      <c r="FJ193" s="12"/>
      <c r="FK193" s="12"/>
      <c r="FL193" s="12"/>
      <c r="FM193" s="12"/>
      <c r="FN193" s="12"/>
      <c r="FO193" s="12"/>
      <c r="FP193" s="12"/>
      <c r="FQ193" s="12"/>
      <c r="FR193" s="12"/>
      <c r="FS193" s="12"/>
      <c r="FT193" s="12"/>
      <c r="FU193" s="12"/>
      <c r="FV193" s="12"/>
      <c r="FW193" s="12"/>
      <c r="FX193" s="12"/>
      <c r="FY193" s="12"/>
      <c r="FZ193" s="12"/>
      <c r="GA193" s="12"/>
      <c r="GB193" s="12"/>
      <c r="GC193" s="12"/>
      <c r="GD193" s="12"/>
      <c r="GE193" s="12"/>
      <c r="GF193" s="12"/>
      <c r="GG193" s="12"/>
      <c r="GH193" s="12"/>
      <c r="GI193" s="12"/>
      <c r="GJ193" s="12"/>
      <c r="GK193" s="12"/>
      <c r="GL193" s="12"/>
      <c r="GM193" s="12"/>
      <c r="GN193" s="12"/>
      <c r="GO193" s="12"/>
      <c r="GP193" s="12"/>
      <c r="GQ193" s="12"/>
      <c r="GR193" s="12"/>
      <c r="GS193" s="12"/>
      <c r="GT193" s="12"/>
      <c r="GU193" s="12"/>
      <c r="GV193" s="12"/>
      <c r="GW193" s="12"/>
      <c r="GX193" s="12"/>
      <c r="GY193" s="12"/>
      <c r="GZ193" s="12"/>
      <c r="HA193" s="12"/>
      <c r="HB193" s="12"/>
      <c r="HC193" s="12"/>
      <c r="HD193" s="12"/>
      <c r="HE193" s="12"/>
      <c r="HF193" s="12"/>
    </row>
    <row r="194" spans="1:214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46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  <c r="BN194" s="12"/>
      <c r="BO194" s="12"/>
      <c r="BP194" s="12"/>
      <c r="BQ194" s="12"/>
      <c r="BR194" s="12"/>
      <c r="BS194" s="12"/>
      <c r="BT194" s="12"/>
      <c r="BU194" s="12"/>
      <c r="BV194" s="12"/>
      <c r="BW194" s="12"/>
      <c r="BX194" s="12"/>
      <c r="BY194" s="12"/>
      <c r="BZ194" s="12"/>
      <c r="CA194" s="12"/>
      <c r="CB194" s="12"/>
      <c r="CC194" s="12"/>
      <c r="CD194" s="12"/>
      <c r="CE194" s="12"/>
      <c r="CF194" s="12"/>
      <c r="CG194" s="12"/>
      <c r="CH194" s="12"/>
      <c r="CI194" s="12"/>
      <c r="CJ194" s="12"/>
      <c r="CK194" s="12"/>
      <c r="CL194" s="12"/>
      <c r="CM194" s="12"/>
      <c r="CN194" s="12"/>
      <c r="CO194" s="12"/>
      <c r="CP194" s="12"/>
      <c r="CQ194" s="12"/>
      <c r="CR194" s="12"/>
      <c r="CS194" s="12"/>
      <c r="CT194" s="12"/>
      <c r="CU194" s="12"/>
      <c r="CV194" s="12"/>
      <c r="CW194" s="12"/>
      <c r="CX194" s="12"/>
      <c r="CY194" s="12"/>
      <c r="CZ194" s="12"/>
      <c r="DA194" s="12"/>
      <c r="DB194" s="12"/>
      <c r="DC194" s="12"/>
      <c r="DD194" s="12"/>
      <c r="DE194" s="12"/>
      <c r="DF194" s="12"/>
      <c r="DG194" s="12"/>
      <c r="DH194" s="12"/>
      <c r="DI194" s="12"/>
      <c r="DJ194" s="12"/>
      <c r="DK194" s="12"/>
      <c r="DL194" s="12"/>
      <c r="DM194" s="12"/>
      <c r="DN194" s="12"/>
      <c r="DO194" s="12"/>
      <c r="DP194" s="12"/>
      <c r="DQ194" s="12"/>
      <c r="DR194" s="12"/>
      <c r="DS194" s="12"/>
      <c r="DT194" s="12"/>
      <c r="DU194" s="12"/>
      <c r="DV194" s="12"/>
      <c r="DW194" s="12"/>
      <c r="DX194" s="12"/>
      <c r="DY194" s="12"/>
      <c r="DZ194" s="12"/>
      <c r="EA194" s="12"/>
      <c r="EB194" s="12"/>
      <c r="EC194" s="12"/>
      <c r="ED194" s="12"/>
      <c r="EE194" s="12"/>
      <c r="EF194" s="12"/>
      <c r="EG194" s="12"/>
      <c r="EH194" s="12"/>
      <c r="EI194" s="12"/>
      <c r="EJ194" s="12"/>
      <c r="EK194" s="12"/>
      <c r="EL194" s="12"/>
      <c r="EM194" s="12"/>
      <c r="EN194" s="12"/>
      <c r="EO194" s="12"/>
      <c r="EP194" s="12"/>
      <c r="EQ194" s="12"/>
      <c r="ER194" s="12"/>
      <c r="ES194" s="12"/>
      <c r="ET194" s="12"/>
      <c r="EU194" s="12"/>
      <c r="EV194" s="12"/>
      <c r="EW194" s="12"/>
      <c r="EX194" s="12"/>
      <c r="EY194" s="12"/>
      <c r="EZ194" s="12"/>
      <c r="FA194" s="12"/>
      <c r="FB194" s="12"/>
      <c r="FC194" s="12"/>
      <c r="FD194" s="12"/>
      <c r="FE194" s="12"/>
      <c r="FF194" s="12"/>
      <c r="FG194" s="12"/>
      <c r="FH194" s="12"/>
      <c r="FI194" s="12"/>
      <c r="FJ194" s="12"/>
      <c r="FK194" s="12"/>
      <c r="FL194" s="12"/>
      <c r="FM194" s="12"/>
      <c r="FN194" s="12"/>
      <c r="FO194" s="12"/>
      <c r="FP194" s="12"/>
      <c r="FQ194" s="12"/>
      <c r="FR194" s="12"/>
      <c r="FS194" s="12"/>
      <c r="FT194" s="12"/>
      <c r="FU194" s="12"/>
      <c r="FV194" s="12"/>
      <c r="FW194" s="12"/>
      <c r="FX194" s="12"/>
      <c r="FY194" s="12"/>
      <c r="FZ194" s="12"/>
      <c r="GA194" s="12"/>
      <c r="GB194" s="12"/>
      <c r="GC194" s="12"/>
      <c r="GD194" s="12"/>
      <c r="GE194" s="12"/>
      <c r="GF194" s="12"/>
      <c r="GG194" s="12"/>
      <c r="GH194" s="12"/>
      <c r="GI194" s="12"/>
      <c r="GJ194" s="12"/>
      <c r="GK194" s="12"/>
      <c r="GL194" s="12"/>
      <c r="GM194" s="12"/>
      <c r="GN194" s="12"/>
      <c r="GO194" s="12"/>
      <c r="GP194" s="12"/>
      <c r="GQ194" s="12"/>
      <c r="GR194" s="12"/>
      <c r="GS194" s="12"/>
      <c r="GT194" s="12"/>
      <c r="GU194" s="12"/>
      <c r="GV194" s="12"/>
      <c r="GW194" s="12"/>
      <c r="GX194" s="12"/>
      <c r="GY194" s="12"/>
      <c r="GZ194" s="12"/>
      <c r="HA194" s="12"/>
      <c r="HB194" s="12"/>
      <c r="HC194" s="12"/>
      <c r="HD194" s="12"/>
      <c r="HE194" s="12"/>
      <c r="HF194" s="12"/>
    </row>
    <row r="195" spans="1:214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46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  <c r="BN195" s="12"/>
      <c r="BO195" s="12"/>
      <c r="BP195" s="12"/>
      <c r="BQ195" s="12"/>
      <c r="BR195" s="12"/>
      <c r="BS195" s="12"/>
      <c r="BT195" s="12"/>
      <c r="BU195" s="12"/>
      <c r="BV195" s="12"/>
      <c r="BW195" s="12"/>
      <c r="BX195" s="12"/>
      <c r="BY195" s="12"/>
      <c r="BZ195" s="12"/>
      <c r="CA195" s="12"/>
      <c r="CB195" s="12"/>
      <c r="CC195" s="12"/>
      <c r="CD195" s="12"/>
      <c r="CE195" s="12"/>
      <c r="CF195" s="12"/>
      <c r="CG195" s="12"/>
      <c r="CH195" s="12"/>
      <c r="CI195" s="12"/>
      <c r="CJ195" s="12"/>
      <c r="CK195" s="12"/>
      <c r="CL195" s="12"/>
      <c r="CM195" s="12"/>
      <c r="CN195" s="12"/>
      <c r="CO195" s="12"/>
      <c r="CP195" s="12"/>
      <c r="CQ195" s="12"/>
      <c r="CR195" s="12"/>
      <c r="CS195" s="12"/>
      <c r="CT195" s="12"/>
      <c r="CU195" s="12"/>
      <c r="CV195" s="12"/>
      <c r="CW195" s="12"/>
      <c r="CX195" s="12"/>
      <c r="CY195" s="12"/>
      <c r="CZ195" s="12"/>
      <c r="DA195" s="12"/>
      <c r="DB195" s="12"/>
      <c r="DC195" s="12"/>
      <c r="DD195" s="12"/>
      <c r="DE195" s="12"/>
      <c r="DF195" s="12"/>
      <c r="DG195" s="12"/>
      <c r="DH195" s="12"/>
      <c r="DI195" s="12"/>
      <c r="DJ195" s="12"/>
      <c r="DK195" s="12"/>
      <c r="DL195" s="12"/>
      <c r="DM195" s="12"/>
      <c r="DN195" s="12"/>
      <c r="DO195" s="12"/>
      <c r="DP195" s="12"/>
      <c r="DQ195" s="12"/>
      <c r="DR195" s="12"/>
      <c r="DS195" s="12"/>
      <c r="DT195" s="12"/>
      <c r="DU195" s="12"/>
      <c r="DV195" s="12"/>
      <c r="DW195" s="12"/>
      <c r="DX195" s="12"/>
      <c r="DY195" s="12"/>
      <c r="DZ195" s="12"/>
      <c r="EA195" s="12"/>
      <c r="EB195" s="12"/>
      <c r="EC195" s="12"/>
      <c r="ED195" s="12"/>
      <c r="EE195" s="12"/>
      <c r="EF195" s="12"/>
      <c r="EG195" s="12"/>
      <c r="EH195" s="12"/>
      <c r="EI195" s="12"/>
      <c r="EJ195" s="12"/>
      <c r="EK195" s="12"/>
      <c r="EL195" s="12"/>
      <c r="EM195" s="12"/>
      <c r="EN195" s="12"/>
      <c r="EO195" s="12"/>
      <c r="EP195" s="12"/>
      <c r="EQ195" s="12"/>
      <c r="ER195" s="12"/>
      <c r="ES195" s="12"/>
      <c r="ET195" s="12"/>
      <c r="EU195" s="12"/>
      <c r="EV195" s="12"/>
      <c r="EW195" s="12"/>
      <c r="EX195" s="12"/>
      <c r="EY195" s="12"/>
      <c r="EZ195" s="12"/>
      <c r="FA195" s="12"/>
      <c r="FB195" s="12"/>
      <c r="FC195" s="12"/>
      <c r="FD195" s="12"/>
      <c r="FE195" s="12"/>
      <c r="FF195" s="12"/>
      <c r="FG195" s="12"/>
      <c r="FH195" s="12"/>
      <c r="FI195" s="12"/>
      <c r="FJ195" s="12"/>
      <c r="FK195" s="12"/>
      <c r="FL195" s="12"/>
      <c r="FM195" s="12"/>
      <c r="FN195" s="12"/>
      <c r="FO195" s="12"/>
      <c r="FP195" s="12"/>
      <c r="FQ195" s="12"/>
      <c r="FR195" s="12"/>
      <c r="FS195" s="12"/>
      <c r="FT195" s="12"/>
      <c r="FU195" s="12"/>
      <c r="FV195" s="12"/>
      <c r="FW195" s="12"/>
      <c r="FX195" s="12"/>
      <c r="FY195" s="12"/>
      <c r="FZ195" s="12"/>
      <c r="GA195" s="12"/>
      <c r="GB195" s="12"/>
      <c r="GC195" s="12"/>
      <c r="GD195" s="12"/>
      <c r="GE195" s="12"/>
      <c r="GF195" s="12"/>
      <c r="GG195" s="12"/>
      <c r="GH195" s="12"/>
      <c r="GI195" s="12"/>
      <c r="GJ195" s="12"/>
      <c r="GK195" s="12"/>
      <c r="GL195" s="12"/>
      <c r="GM195" s="12"/>
      <c r="GN195" s="12"/>
      <c r="GO195" s="12"/>
      <c r="GP195" s="12"/>
      <c r="GQ195" s="12"/>
      <c r="GR195" s="12"/>
      <c r="GS195" s="12"/>
      <c r="GT195" s="12"/>
      <c r="GU195" s="12"/>
      <c r="GV195" s="12"/>
      <c r="GW195" s="12"/>
      <c r="GX195" s="12"/>
      <c r="GY195" s="12"/>
      <c r="GZ195" s="12"/>
      <c r="HA195" s="12"/>
      <c r="HB195" s="12"/>
      <c r="HC195" s="12"/>
      <c r="HD195" s="12"/>
      <c r="HE195" s="12"/>
      <c r="HF195" s="12"/>
    </row>
    <row r="196" spans="1:214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46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  <c r="BN196" s="12"/>
      <c r="BO196" s="12"/>
      <c r="BP196" s="12"/>
      <c r="BQ196" s="12"/>
      <c r="BR196" s="12"/>
      <c r="BS196" s="12"/>
      <c r="BT196" s="12"/>
      <c r="BU196" s="12"/>
      <c r="BV196" s="12"/>
      <c r="BW196" s="12"/>
      <c r="BX196" s="12"/>
      <c r="BY196" s="12"/>
      <c r="BZ196" s="12"/>
      <c r="CA196" s="12"/>
      <c r="CB196" s="12"/>
      <c r="CC196" s="12"/>
      <c r="CD196" s="12"/>
      <c r="CE196" s="12"/>
      <c r="CF196" s="12"/>
      <c r="CG196" s="12"/>
      <c r="CH196" s="12"/>
      <c r="CI196" s="12"/>
      <c r="CJ196" s="12"/>
      <c r="CK196" s="12"/>
      <c r="CL196" s="12"/>
      <c r="CM196" s="12"/>
      <c r="CN196" s="12"/>
      <c r="CO196" s="12"/>
      <c r="CP196" s="12"/>
      <c r="CQ196" s="12"/>
      <c r="CR196" s="12"/>
      <c r="CS196" s="12"/>
      <c r="CT196" s="12"/>
      <c r="CU196" s="12"/>
      <c r="CV196" s="12"/>
      <c r="CW196" s="12"/>
      <c r="CX196" s="12"/>
      <c r="CY196" s="12"/>
      <c r="CZ196" s="12"/>
      <c r="DA196" s="12"/>
      <c r="DB196" s="12"/>
      <c r="DC196" s="12"/>
      <c r="DD196" s="12"/>
      <c r="DE196" s="12"/>
      <c r="DF196" s="12"/>
      <c r="DG196" s="12"/>
      <c r="DH196" s="12"/>
      <c r="DI196" s="12"/>
      <c r="DJ196" s="12"/>
      <c r="DK196" s="12"/>
      <c r="DL196" s="12"/>
      <c r="DM196" s="12"/>
      <c r="DN196" s="12"/>
      <c r="DO196" s="12"/>
      <c r="DP196" s="12"/>
      <c r="DQ196" s="12"/>
      <c r="DR196" s="12"/>
      <c r="DS196" s="12"/>
      <c r="DT196" s="12"/>
      <c r="DU196" s="12"/>
      <c r="DV196" s="12"/>
      <c r="DW196" s="12"/>
      <c r="DX196" s="12"/>
      <c r="DY196" s="12"/>
      <c r="DZ196" s="12"/>
      <c r="EA196" s="12"/>
      <c r="EB196" s="12"/>
      <c r="EC196" s="12"/>
      <c r="ED196" s="12"/>
      <c r="EE196" s="12"/>
      <c r="EF196" s="12"/>
      <c r="EG196" s="12"/>
      <c r="EH196" s="12"/>
      <c r="EI196" s="12"/>
      <c r="EJ196" s="12"/>
      <c r="EK196" s="12"/>
      <c r="EL196" s="12"/>
      <c r="EM196" s="12"/>
      <c r="EN196" s="12"/>
      <c r="EO196" s="12"/>
      <c r="EP196" s="12"/>
      <c r="EQ196" s="12"/>
      <c r="ER196" s="12"/>
      <c r="ES196" s="12"/>
      <c r="ET196" s="12"/>
      <c r="EU196" s="12"/>
      <c r="EV196" s="12"/>
      <c r="EW196" s="12"/>
      <c r="EX196" s="12"/>
      <c r="EY196" s="12"/>
      <c r="EZ196" s="12"/>
      <c r="FA196" s="12"/>
      <c r="FB196" s="12"/>
      <c r="FC196" s="12"/>
      <c r="FD196" s="12"/>
      <c r="FE196" s="12"/>
      <c r="FF196" s="12"/>
      <c r="FG196" s="12"/>
      <c r="FH196" s="12"/>
      <c r="FI196" s="12"/>
      <c r="FJ196" s="12"/>
      <c r="FK196" s="12"/>
      <c r="FL196" s="12"/>
      <c r="FM196" s="12"/>
      <c r="FN196" s="12"/>
      <c r="FO196" s="12"/>
      <c r="FP196" s="12"/>
      <c r="FQ196" s="12"/>
      <c r="FR196" s="12"/>
      <c r="FS196" s="12"/>
      <c r="FT196" s="12"/>
      <c r="FU196" s="12"/>
      <c r="FV196" s="12"/>
      <c r="FW196" s="12"/>
      <c r="FX196" s="12"/>
      <c r="FY196" s="12"/>
      <c r="FZ196" s="12"/>
      <c r="GA196" s="12"/>
      <c r="GB196" s="12"/>
      <c r="GC196" s="12"/>
      <c r="GD196" s="12"/>
      <c r="GE196" s="12"/>
      <c r="GF196" s="12"/>
      <c r="GG196" s="12"/>
      <c r="GH196" s="12"/>
      <c r="GI196" s="12"/>
      <c r="GJ196" s="12"/>
      <c r="GK196" s="12"/>
      <c r="GL196" s="12"/>
      <c r="GM196" s="12"/>
      <c r="GN196" s="12"/>
      <c r="GO196" s="12"/>
      <c r="GP196" s="12"/>
      <c r="GQ196" s="12"/>
      <c r="GR196" s="12"/>
      <c r="GS196" s="12"/>
      <c r="GT196" s="12"/>
      <c r="GU196" s="12"/>
      <c r="GV196" s="12"/>
      <c r="GW196" s="12"/>
      <c r="GX196" s="12"/>
      <c r="GY196" s="12"/>
      <c r="GZ196" s="12"/>
      <c r="HA196" s="12"/>
      <c r="HB196" s="12"/>
      <c r="HC196" s="12"/>
      <c r="HD196" s="12"/>
      <c r="HE196" s="12"/>
      <c r="HF196" s="12"/>
    </row>
    <row r="197" spans="1:214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46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  <c r="BN197" s="12"/>
      <c r="BO197" s="12"/>
      <c r="BP197" s="12"/>
      <c r="BQ197" s="12"/>
      <c r="BR197" s="12"/>
      <c r="BS197" s="12"/>
      <c r="BT197" s="12"/>
      <c r="BU197" s="12"/>
      <c r="BV197" s="12"/>
      <c r="BW197" s="12"/>
      <c r="BX197" s="12"/>
      <c r="BY197" s="12"/>
      <c r="BZ197" s="12"/>
      <c r="CA197" s="12"/>
      <c r="CB197" s="12"/>
      <c r="CC197" s="12"/>
      <c r="CD197" s="12"/>
      <c r="CE197" s="12"/>
      <c r="CF197" s="12"/>
      <c r="CG197" s="12"/>
      <c r="CH197" s="12"/>
      <c r="CI197" s="12"/>
      <c r="CJ197" s="12"/>
      <c r="CK197" s="12"/>
      <c r="CL197" s="12"/>
      <c r="CM197" s="12"/>
      <c r="CN197" s="12"/>
      <c r="CO197" s="12"/>
      <c r="CP197" s="12"/>
      <c r="CQ197" s="12"/>
      <c r="CR197" s="12"/>
      <c r="CS197" s="12"/>
      <c r="CT197" s="12"/>
      <c r="CU197" s="12"/>
      <c r="CV197" s="12"/>
      <c r="CW197" s="12"/>
      <c r="CX197" s="12"/>
      <c r="CY197" s="12"/>
      <c r="CZ197" s="12"/>
      <c r="DA197" s="12"/>
      <c r="DB197" s="12"/>
      <c r="DC197" s="12"/>
      <c r="DD197" s="12"/>
      <c r="DE197" s="12"/>
      <c r="DF197" s="12"/>
      <c r="DG197" s="12"/>
      <c r="DH197" s="12"/>
      <c r="DI197" s="12"/>
      <c r="DJ197" s="12"/>
      <c r="DK197" s="12"/>
      <c r="DL197" s="12"/>
      <c r="DM197" s="12"/>
      <c r="DN197" s="12"/>
      <c r="DO197" s="12"/>
      <c r="DP197" s="12"/>
      <c r="DQ197" s="12"/>
      <c r="DR197" s="12"/>
      <c r="DS197" s="12"/>
      <c r="DT197" s="12"/>
      <c r="DU197" s="12"/>
      <c r="DV197" s="12"/>
      <c r="DW197" s="12"/>
      <c r="DX197" s="12"/>
      <c r="DY197" s="12"/>
      <c r="DZ197" s="12"/>
      <c r="EA197" s="12"/>
      <c r="EB197" s="12"/>
      <c r="EC197" s="12"/>
      <c r="ED197" s="12"/>
      <c r="EE197" s="12"/>
      <c r="EF197" s="12"/>
      <c r="EG197" s="12"/>
      <c r="EH197" s="12"/>
      <c r="EI197" s="12"/>
      <c r="EJ197" s="12"/>
      <c r="EK197" s="12"/>
      <c r="EL197" s="12"/>
      <c r="EM197" s="12"/>
      <c r="EN197" s="12"/>
      <c r="EO197" s="12"/>
      <c r="EP197" s="12"/>
      <c r="EQ197" s="12"/>
      <c r="ER197" s="12"/>
      <c r="ES197" s="12"/>
      <c r="ET197" s="12"/>
      <c r="EU197" s="12"/>
      <c r="EV197" s="12"/>
      <c r="EW197" s="12"/>
      <c r="EX197" s="12"/>
      <c r="EY197" s="12"/>
      <c r="EZ197" s="12"/>
      <c r="FA197" s="12"/>
      <c r="FB197" s="12"/>
      <c r="FC197" s="12"/>
      <c r="FD197" s="12"/>
      <c r="FE197" s="12"/>
      <c r="FF197" s="12"/>
      <c r="FG197" s="12"/>
      <c r="FH197" s="12"/>
      <c r="FI197" s="12"/>
      <c r="FJ197" s="12"/>
      <c r="FK197" s="12"/>
      <c r="FL197" s="12"/>
      <c r="FM197" s="12"/>
      <c r="FN197" s="12"/>
      <c r="FO197" s="12"/>
      <c r="FP197" s="12"/>
      <c r="FQ197" s="12"/>
      <c r="FR197" s="12"/>
      <c r="FS197" s="12"/>
      <c r="FT197" s="12"/>
      <c r="FU197" s="12"/>
      <c r="FV197" s="12"/>
      <c r="FW197" s="12"/>
      <c r="FX197" s="12"/>
      <c r="FY197" s="12"/>
      <c r="FZ197" s="12"/>
      <c r="GA197" s="12"/>
      <c r="GB197" s="12"/>
      <c r="GC197" s="12"/>
      <c r="GD197" s="12"/>
      <c r="GE197" s="12"/>
      <c r="GF197" s="12"/>
      <c r="GG197" s="12"/>
      <c r="GH197" s="12"/>
      <c r="GI197" s="12"/>
      <c r="GJ197" s="12"/>
      <c r="GK197" s="12"/>
      <c r="GL197" s="12"/>
      <c r="GM197" s="12"/>
      <c r="GN197" s="12"/>
      <c r="GO197" s="12"/>
      <c r="GP197" s="12"/>
      <c r="GQ197" s="12"/>
      <c r="GR197" s="12"/>
      <c r="GS197" s="12"/>
      <c r="GT197" s="12"/>
      <c r="GU197" s="12"/>
      <c r="GV197" s="12"/>
      <c r="GW197" s="12"/>
      <c r="GX197" s="12"/>
      <c r="GY197" s="12"/>
      <c r="GZ197" s="12"/>
      <c r="HA197" s="12"/>
      <c r="HB197" s="12"/>
      <c r="HC197" s="12"/>
      <c r="HD197" s="12"/>
      <c r="HE197" s="12"/>
      <c r="HF197" s="12"/>
    </row>
    <row r="198" spans="1:214" x14ac:dyDescent="0.2">
      <c r="A198" s="65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46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N198" s="12"/>
      <c r="BO198" s="12"/>
      <c r="BP198" s="12"/>
      <c r="BQ198" s="12"/>
      <c r="BR198" s="12"/>
      <c r="BS198" s="12"/>
      <c r="BT198" s="12"/>
      <c r="BU198" s="12"/>
      <c r="BV198" s="12"/>
      <c r="BW198" s="12"/>
      <c r="BX198" s="12"/>
      <c r="BY198" s="12"/>
      <c r="BZ198" s="12"/>
      <c r="CA198" s="12"/>
      <c r="CB198" s="12"/>
      <c r="CC198" s="12"/>
      <c r="CD198" s="12"/>
      <c r="CE198" s="12"/>
      <c r="CF198" s="12"/>
      <c r="CG198" s="12"/>
      <c r="CH198" s="12"/>
      <c r="CI198" s="12"/>
      <c r="CJ198" s="12"/>
      <c r="CK198" s="12"/>
      <c r="CL198" s="12"/>
      <c r="CM198" s="12"/>
      <c r="CN198" s="12"/>
      <c r="CO198" s="12"/>
      <c r="CP198" s="12"/>
      <c r="CQ198" s="12"/>
      <c r="CR198" s="12"/>
      <c r="CS198" s="12"/>
      <c r="CT198" s="12"/>
      <c r="CU198" s="12"/>
      <c r="CV198" s="12"/>
      <c r="CW198" s="12"/>
      <c r="CX198" s="12"/>
      <c r="CY198" s="12"/>
      <c r="CZ198" s="12"/>
      <c r="DA198" s="12"/>
      <c r="DB198" s="12"/>
      <c r="DC198" s="12"/>
      <c r="DD198" s="12"/>
      <c r="DE198" s="12"/>
      <c r="DF198" s="12"/>
      <c r="DG198" s="12"/>
      <c r="DH198" s="12"/>
      <c r="DI198" s="12"/>
      <c r="DJ198" s="12"/>
      <c r="DK198" s="12"/>
      <c r="DL198" s="12"/>
      <c r="DM198" s="12"/>
      <c r="DN198" s="12"/>
      <c r="DO198" s="12"/>
      <c r="DP198" s="12"/>
      <c r="DQ198" s="12"/>
      <c r="DR198" s="12"/>
      <c r="DS198" s="12"/>
      <c r="DT198" s="12"/>
      <c r="DU198" s="12"/>
      <c r="DV198" s="12"/>
      <c r="DW198" s="12"/>
      <c r="DX198" s="12"/>
      <c r="DY198" s="12"/>
      <c r="DZ198" s="12"/>
      <c r="EA198" s="12"/>
      <c r="EB198" s="12"/>
      <c r="EC198" s="12"/>
      <c r="ED198" s="12"/>
      <c r="EE198" s="12"/>
      <c r="EF198" s="12"/>
      <c r="EG198" s="12"/>
      <c r="EH198" s="12"/>
      <c r="EI198" s="12"/>
      <c r="EJ198" s="12"/>
      <c r="EK198" s="12"/>
      <c r="EL198" s="12"/>
      <c r="EM198" s="12"/>
      <c r="EN198" s="12"/>
      <c r="EO198" s="12"/>
      <c r="EP198" s="12"/>
      <c r="EQ198" s="12"/>
      <c r="ER198" s="12"/>
      <c r="ES198" s="12"/>
      <c r="ET198" s="12"/>
      <c r="EU198" s="12"/>
      <c r="EV198" s="12"/>
      <c r="EW198" s="12"/>
      <c r="EX198" s="12"/>
      <c r="EY198" s="12"/>
      <c r="EZ198" s="12"/>
      <c r="FA198" s="12"/>
      <c r="FB198" s="12"/>
      <c r="FC198" s="12"/>
      <c r="FD198" s="12"/>
      <c r="FE198" s="12"/>
      <c r="FF198" s="12"/>
      <c r="FG198" s="12"/>
      <c r="FH198" s="12"/>
      <c r="FI198" s="12"/>
      <c r="FJ198" s="12"/>
      <c r="FK198" s="12"/>
      <c r="FL198" s="12"/>
      <c r="FM198" s="12"/>
      <c r="FN198" s="12"/>
      <c r="FO198" s="12"/>
      <c r="FP198" s="12"/>
      <c r="FQ198" s="12"/>
      <c r="FR198" s="12"/>
      <c r="FS198" s="12"/>
      <c r="FT198" s="12"/>
      <c r="FU198" s="12"/>
      <c r="FV198" s="12"/>
      <c r="FW198" s="12"/>
      <c r="FX198" s="12"/>
      <c r="FY198" s="12"/>
      <c r="FZ198" s="12"/>
      <c r="GA198" s="12"/>
      <c r="GB198" s="12"/>
      <c r="GC198" s="12"/>
      <c r="GD198" s="12"/>
      <c r="GE198" s="12"/>
      <c r="GF198" s="12"/>
      <c r="GG198" s="12"/>
      <c r="GH198" s="12"/>
      <c r="GI198" s="12"/>
      <c r="GJ198" s="12"/>
      <c r="GK198" s="12"/>
      <c r="GL198" s="12"/>
      <c r="GM198" s="12"/>
      <c r="GN198" s="12"/>
      <c r="GO198" s="12"/>
      <c r="GP198" s="12"/>
      <c r="GQ198" s="12"/>
      <c r="GR198" s="12"/>
      <c r="GS198" s="12"/>
      <c r="GT198" s="12"/>
      <c r="GU198" s="12"/>
      <c r="GV198" s="12"/>
      <c r="GW198" s="12"/>
      <c r="GX198" s="12"/>
      <c r="GY198" s="12"/>
      <c r="GZ198" s="12"/>
      <c r="HA198" s="12"/>
      <c r="HB198" s="12"/>
      <c r="HC198" s="12"/>
      <c r="HD198" s="12"/>
      <c r="HE198" s="12"/>
      <c r="HF198" s="12"/>
    </row>
    <row r="199" spans="1:214" x14ac:dyDescent="0.2">
      <c r="A199" s="65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46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  <c r="BN199" s="12"/>
      <c r="BO199" s="12"/>
      <c r="BP199" s="12"/>
      <c r="BQ199" s="12"/>
      <c r="BR199" s="12"/>
      <c r="BS199" s="12"/>
      <c r="BT199" s="12"/>
      <c r="BU199" s="12"/>
      <c r="BV199" s="12"/>
      <c r="BW199" s="12"/>
      <c r="BX199" s="12"/>
      <c r="BY199" s="12"/>
      <c r="BZ199" s="12"/>
      <c r="CA199" s="12"/>
      <c r="CB199" s="12"/>
      <c r="CC199" s="12"/>
      <c r="CD199" s="12"/>
      <c r="CE199" s="12"/>
      <c r="CF199" s="12"/>
      <c r="CG199" s="12"/>
      <c r="CH199" s="12"/>
      <c r="CI199" s="12"/>
      <c r="CJ199" s="12"/>
      <c r="CK199" s="12"/>
      <c r="CL199" s="12"/>
      <c r="CM199" s="12"/>
      <c r="CN199" s="12"/>
      <c r="CO199" s="12"/>
      <c r="CP199" s="12"/>
      <c r="CQ199" s="12"/>
      <c r="CR199" s="12"/>
      <c r="CS199" s="12"/>
      <c r="CT199" s="12"/>
      <c r="CU199" s="12"/>
      <c r="CV199" s="12"/>
      <c r="CW199" s="12"/>
      <c r="CX199" s="12"/>
      <c r="CY199" s="12"/>
      <c r="CZ199" s="12"/>
      <c r="DA199" s="12"/>
      <c r="DB199" s="12"/>
      <c r="DC199" s="12"/>
      <c r="DD199" s="12"/>
      <c r="DE199" s="12"/>
      <c r="DF199" s="12"/>
      <c r="DG199" s="12"/>
      <c r="DH199" s="12"/>
      <c r="DI199" s="12"/>
      <c r="DJ199" s="12"/>
      <c r="DK199" s="12"/>
      <c r="DL199" s="12"/>
      <c r="DM199" s="12"/>
      <c r="DN199" s="12"/>
      <c r="DO199" s="12"/>
      <c r="DP199" s="12"/>
      <c r="DQ199" s="12"/>
      <c r="DR199" s="12"/>
      <c r="DS199" s="12"/>
      <c r="DT199" s="12"/>
      <c r="DU199" s="12"/>
      <c r="DV199" s="12"/>
      <c r="DW199" s="12"/>
      <c r="DX199" s="12"/>
      <c r="DY199" s="12"/>
      <c r="DZ199" s="12"/>
      <c r="EA199" s="12"/>
      <c r="EB199" s="12"/>
      <c r="EC199" s="12"/>
      <c r="ED199" s="12"/>
      <c r="EE199" s="12"/>
      <c r="EF199" s="12"/>
      <c r="EG199" s="12"/>
      <c r="EH199" s="12"/>
      <c r="EI199" s="12"/>
      <c r="EJ199" s="12"/>
      <c r="EK199" s="12"/>
      <c r="EL199" s="12"/>
      <c r="EM199" s="12"/>
      <c r="EN199" s="12"/>
      <c r="EO199" s="12"/>
      <c r="EP199" s="12"/>
      <c r="EQ199" s="12"/>
      <c r="ER199" s="12"/>
      <c r="ES199" s="12"/>
      <c r="ET199" s="12"/>
      <c r="EU199" s="12"/>
      <c r="EV199" s="12"/>
      <c r="EW199" s="12"/>
      <c r="EX199" s="12"/>
      <c r="EY199" s="12"/>
      <c r="EZ199" s="12"/>
      <c r="FA199" s="12"/>
      <c r="FB199" s="12"/>
      <c r="FC199" s="12"/>
      <c r="FD199" s="12"/>
      <c r="FE199" s="12"/>
      <c r="FF199" s="12"/>
      <c r="FG199" s="12"/>
      <c r="FH199" s="12"/>
      <c r="FI199" s="12"/>
      <c r="FJ199" s="12"/>
      <c r="FK199" s="12"/>
      <c r="FL199" s="12"/>
      <c r="FM199" s="12"/>
      <c r="FN199" s="12"/>
      <c r="FO199" s="12"/>
      <c r="FP199" s="12"/>
      <c r="FQ199" s="12"/>
      <c r="FR199" s="12"/>
      <c r="FS199" s="12"/>
      <c r="FT199" s="12"/>
      <c r="FU199" s="12"/>
      <c r="FV199" s="12"/>
      <c r="FW199" s="12"/>
      <c r="FX199" s="12"/>
      <c r="FY199" s="12"/>
      <c r="FZ199" s="12"/>
      <c r="GA199" s="12"/>
      <c r="GB199" s="12"/>
      <c r="GC199" s="12"/>
      <c r="GD199" s="12"/>
      <c r="GE199" s="12"/>
      <c r="GF199" s="12"/>
      <c r="GG199" s="12"/>
      <c r="GH199" s="12"/>
      <c r="GI199" s="12"/>
      <c r="GJ199" s="12"/>
      <c r="GK199" s="12"/>
      <c r="GL199" s="12"/>
      <c r="GM199" s="12"/>
      <c r="GN199" s="12"/>
      <c r="GO199" s="12"/>
      <c r="GP199" s="12"/>
      <c r="GQ199" s="12"/>
      <c r="GR199" s="12"/>
      <c r="GS199" s="12"/>
      <c r="GT199" s="12"/>
      <c r="GU199" s="12"/>
      <c r="GV199" s="12"/>
      <c r="GW199" s="12"/>
      <c r="GX199" s="12"/>
      <c r="GY199" s="12"/>
      <c r="GZ199" s="12"/>
      <c r="HA199" s="12"/>
      <c r="HB199" s="12"/>
      <c r="HC199" s="12"/>
      <c r="HD199" s="12"/>
      <c r="HE199" s="12"/>
      <c r="HF199" s="12"/>
    </row>
    <row r="200" spans="1:214" x14ac:dyDescent="0.2">
      <c r="A200" s="65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46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  <c r="BU200" s="12"/>
      <c r="BV200" s="12"/>
      <c r="BW200" s="12"/>
      <c r="BX200" s="12"/>
      <c r="BY200" s="12"/>
      <c r="BZ200" s="12"/>
      <c r="CA200" s="12"/>
      <c r="CB200" s="12"/>
      <c r="CC200" s="12"/>
      <c r="CD200" s="12"/>
      <c r="CE200" s="12"/>
      <c r="CF200" s="12"/>
      <c r="CG200" s="12"/>
      <c r="CH200" s="12"/>
      <c r="CI200" s="12"/>
      <c r="CJ200" s="12"/>
      <c r="CK200" s="12"/>
      <c r="CL200" s="12"/>
      <c r="CM200" s="12"/>
      <c r="CN200" s="12"/>
      <c r="CO200" s="12"/>
      <c r="CP200" s="12"/>
      <c r="CQ200" s="12"/>
      <c r="CR200" s="12"/>
      <c r="CS200" s="12"/>
      <c r="CT200" s="12"/>
      <c r="CU200" s="12"/>
      <c r="CV200" s="12"/>
      <c r="CW200" s="12"/>
      <c r="CX200" s="12"/>
      <c r="CY200" s="12"/>
      <c r="CZ200" s="12"/>
      <c r="DA200" s="12"/>
      <c r="DB200" s="12"/>
      <c r="DC200" s="12"/>
      <c r="DD200" s="12"/>
      <c r="DE200" s="12"/>
      <c r="DF200" s="12"/>
      <c r="DG200" s="12"/>
      <c r="DH200" s="12"/>
      <c r="DI200" s="12"/>
      <c r="DJ200" s="12"/>
      <c r="DK200" s="12"/>
      <c r="DL200" s="12"/>
      <c r="DM200" s="12"/>
      <c r="DN200" s="12"/>
      <c r="DO200" s="12"/>
      <c r="DP200" s="12"/>
      <c r="DQ200" s="12"/>
      <c r="DR200" s="12"/>
      <c r="DS200" s="12"/>
      <c r="DT200" s="12"/>
      <c r="DU200" s="12"/>
      <c r="DV200" s="12"/>
      <c r="DW200" s="12"/>
      <c r="DX200" s="12"/>
      <c r="DY200" s="12"/>
      <c r="DZ200" s="12"/>
      <c r="EA200" s="12"/>
      <c r="EB200" s="12"/>
      <c r="EC200" s="12"/>
      <c r="ED200" s="12"/>
      <c r="EE200" s="12"/>
      <c r="EF200" s="12"/>
      <c r="EG200" s="12"/>
      <c r="EH200" s="12"/>
      <c r="EI200" s="12"/>
      <c r="EJ200" s="12"/>
      <c r="EK200" s="12"/>
      <c r="EL200" s="12"/>
      <c r="EM200" s="12"/>
      <c r="EN200" s="12"/>
      <c r="EO200" s="12"/>
      <c r="EP200" s="12"/>
      <c r="EQ200" s="12"/>
      <c r="ER200" s="12"/>
      <c r="ES200" s="12"/>
      <c r="ET200" s="12"/>
      <c r="EU200" s="12"/>
      <c r="EV200" s="12"/>
      <c r="EW200" s="12"/>
      <c r="EX200" s="12"/>
      <c r="EY200" s="12"/>
      <c r="EZ200" s="12"/>
      <c r="FA200" s="12"/>
      <c r="FB200" s="12"/>
      <c r="FC200" s="12"/>
      <c r="FD200" s="12"/>
      <c r="FE200" s="12"/>
      <c r="FF200" s="12"/>
      <c r="FG200" s="12"/>
      <c r="FH200" s="12"/>
      <c r="FI200" s="12"/>
      <c r="FJ200" s="12"/>
      <c r="FK200" s="12"/>
      <c r="FL200" s="12"/>
      <c r="FM200" s="12"/>
      <c r="FN200" s="12"/>
      <c r="FO200" s="12"/>
      <c r="FP200" s="12"/>
      <c r="FQ200" s="12"/>
      <c r="FR200" s="12"/>
      <c r="FS200" s="12"/>
      <c r="FT200" s="12"/>
      <c r="FU200" s="12"/>
      <c r="FV200" s="12"/>
      <c r="FW200" s="12"/>
      <c r="FX200" s="12"/>
      <c r="FY200" s="12"/>
      <c r="FZ200" s="12"/>
      <c r="GA200" s="12"/>
      <c r="GB200" s="12"/>
      <c r="GC200" s="12"/>
      <c r="GD200" s="12"/>
      <c r="GE200" s="12"/>
      <c r="GF200" s="12"/>
      <c r="GG200" s="12"/>
      <c r="GH200" s="12"/>
      <c r="GI200" s="12"/>
      <c r="GJ200" s="12"/>
      <c r="GK200" s="12"/>
      <c r="GL200" s="12"/>
      <c r="GM200" s="12"/>
      <c r="GN200" s="12"/>
      <c r="GO200" s="12"/>
      <c r="GP200" s="12"/>
      <c r="GQ200" s="12"/>
      <c r="GR200" s="12"/>
      <c r="GS200" s="12"/>
      <c r="GT200" s="12"/>
      <c r="GU200" s="12"/>
      <c r="GV200" s="12"/>
      <c r="GW200" s="12"/>
      <c r="GX200" s="12"/>
      <c r="GY200" s="12"/>
      <c r="GZ200" s="12"/>
      <c r="HA200" s="12"/>
      <c r="HB200" s="12"/>
      <c r="HC200" s="12"/>
      <c r="HD200" s="12"/>
      <c r="HE200" s="12"/>
      <c r="HF200" s="12"/>
    </row>
    <row r="201" spans="1:214" x14ac:dyDescent="0.2">
      <c r="A201" s="65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46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  <c r="BN201" s="12"/>
      <c r="BO201" s="12"/>
      <c r="BP201" s="12"/>
      <c r="BQ201" s="12"/>
      <c r="BR201" s="12"/>
      <c r="BS201" s="12"/>
      <c r="BT201" s="12"/>
      <c r="BU201" s="12"/>
      <c r="BV201" s="12"/>
      <c r="BW201" s="12"/>
      <c r="BX201" s="12"/>
      <c r="BY201" s="12"/>
      <c r="BZ201" s="12"/>
      <c r="CA201" s="12"/>
      <c r="CB201" s="12"/>
      <c r="CC201" s="12"/>
      <c r="CD201" s="12"/>
      <c r="CE201" s="12"/>
      <c r="CF201" s="12"/>
      <c r="CG201" s="12"/>
      <c r="CH201" s="12"/>
      <c r="CI201" s="12"/>
      <c r="CJ201" s="12"/>
      <c r="CK201" s="12"/>
      <c r="CL201" s="12"/>
      <c r="CM201" s="12"/>
      <c r="CN201" s="12"/>
      <c r="CO201" s="12"/>
      <c r="CP201" s="12"/>
      <c r="CQ201" s="12"/>
      <c r="CR201" s="12"/>
      <c r="CS201" s="12"/>
      <c r="CT201" s="12"/>
      <c r="CU201" s="12"/>
      <c r="CV201" s="12"/>
      <c r="CW201" s="12"/>
      <c r="CX201" s="12"/>
      <c r="CY201" s="12"/>
      <c r="CZ201" s="12"/>
      <c r="DA201" s="12"/>
      <c r="DB201" s="12"/>
      <c r="DC201" s="12"/>
      <c r="DD201" s="12"/>
      <c r="DE201" s="12"/>
      <c r="DF201" s="12"/>
      <c r="DG201" s="12"/>
      <c r="DH201" s="12"/>
      <c r="DI201" s="12"/>
      <c r="DJ201" s="12"/>
      <c r="DK201" s="12"/>
      <c r="DL201" s="12"/>
      <c r="DM201" s="12"/>
      <c r="DN201" s="12"/>
      <c r="DO201" s="12"/>
      <c r="DP201" s="12"/>
      <c r="DQ201" s="12"/>
      <c r="DR201" s="12"/>
      <c r="DS201" s="12"/>
      <c r="DT201" s="12"/>
      <c r="DU201" s="12"/>
      <c r="DV201" s="12"/>
      <c r="DW201" s="12"/>
      <c r="DX201" s="12"/>
      <c r="DY201" s="12"/>
      <c r="DZ201" s="12"/>
      <c r="EA201" s="12"/>
      <c r="EB201" s="12"/>
      <c r="EC201" s="12"/>
      <c r="ED201" s="12"/>
      <c r="EE201" s="12"/>
      <c r="EF201" s="12"/>
      <c r="EG201" s="12"/>
      <c r="EH201" s="12"/>
      <c r="EI201" s="12"/>
      <c r="EJ201" s="12"/>
      <c r="EK201" s="12"/>
      <c r="EL201" s="12"/>
      <c r="EM201" s="12"/>
      <c r="EN201" s="12"/>
      <c r="EO201" s="12"/>
      <c r="EP201" s="12"/>
      <c r="EQ201" s="12"/>
      <c r="ER201" s="12"/>
      <c r="ES201" s="12"/>
      <c r="ET201" s="12"/>
      <c r="EU201" s="12"/>
      <c r="EV201" s="12"/>
      <c r="EW201" s="12"/>
      <c r="EX201" s="12"/>
      <c r="EY201" s="12"/>
      <c r="EZ201" s="12"/>
      <c r="FA201" s="12"/>
      <c r="FB201" s="12"/>
      <c r="FC201" s="12"/>
      <c r="FD201" s="12"/>
      <c r="FE201" s="12"/>
      <c r="FF201" s="12"/>
      <c r="FG201" s="12"/>
      <c r="FH201" s="12"/>
      <c r="FI201" s="12"/>
      <c r="FJ201" s="12"/>
      <c r="FK201" s="12"/>
      <c r="FL201" s="12"/>
      <c r="FM201" s="12"/>
      <c r="FN201" s="12"/>
      <c r="FO201" s="12"/>
      <c r="FP201" s="12"/>
      <c r="FQ201" s="12"/>
      <c r="FR201" s="12"/>
      <c r="FS201" s="12"/>
      <c r="FT201" s="12"/>
      <c r="FU201" s="12"/>
      <c r="FV201" s="12"/>
      <c r="FW201" s="12"/>
      <c r="FX201" s="12"/>
      <c r="FY201" s="12"/>
      <c r="FZ201" s="12"/>
      <c r="GA201" s="12"/>
      <c r="GB201" s="12"/>
      <c r="GC201" s="12"/>
      <c r="GD201" s="12"/>
      <c r="GE201" s="12"/>
      <c r="GF201" s="12"/>
      <c r="GG201" s="12"/>
      <c r="GH201" s="12"/>
      <c r="GI201" s="12"/>
      <c r="GJ201" s="12"/>
      <c r="GK201" s="12"/>
      <c r="GL201" s="12"/>
      <c r="GM201" s="12"/>
      <c r="GN201" s="12"/>
      <c r="GO201" s="12"/>
      <c r="GP201" s="12"/>
      <c r="GQ201" s="12"/>
      <c r="GR201" s="12"/>
      <c r="GS201" s="12"/>
      <c r="GT201" s="12"/>
      <c r="GU201" s="12"/>
      <c r="GV201" s="12"/>
      <c r="GW201" s="12"/>
      <c r="GX201" s="12"/>
      <c r="GY201" s="12"/>
      <c r="GZ201" s="12"/>
      <c r="HA201" s="12"/>
      <c r="HB201" s="12"/>
      <c r="HC201" s="12"/>
      <c r="HD201" s="12"/>
      <c r="HE201" s="12"/>
      <c r="HF201" s="12"/>
    </row>
    <row r="202" spans="1:214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46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  <c r="BN202" s="12"/>
      <c r="BO202" s="12"/>
      <c r="BP202" s="12"/>
      <c r="BQ202" s="12"/>
      <c r="BR202" s="12"/>
      <c r="BS202" s="12"/>
      <c r="BT202" s="12"/>
      <c r="BU202" s="12"/>
      <c r="BV202" s="12"/>
      <c r="BW202" s="12"/>
      <c r="BX202" s="12"/>
      <c r="BY202" s="12"/>
      <c r="BZ202" s="12"/>
      <c r="CA202" s="12"/>
      <c r="CB202" s="12"/>
      <c r="CC202" s="12"/>
      <c r="CD202" s="12"/>
      <c r="CE202" s="12"/>
      <c r="CF202" s="12"/>
      <c r="CG202" s="12"/>
      <c r="CH202" s="12"/>
      <c r="CI202" s="12"/>
      <c r="CJ202" s="12"/>
      <c r="CK202" s="12"/>
      <c r="CL202" s="12"/>
      <c r="CM202" s="12"/>
      <c r="CN202" s="12"/>
      <c r="CO202" s="12"/>
      <c r="CP202" s="12"/>
      <c r="CQ202" s="12"/>
      <c r="CR202" s="12"/>
      <c r="CS202" s="12"/>
      <c r="CT202" s="12"/>
      <c r="CU202" s="12"/>
      <c r="CV202" s="12"/>
      <c r="CW202" s="12"/>
      <c r="CX202" s="12"/>
      <c r="CY202" s="12"/>
      <c r="CZ202" s="12"/>
      <c r="DA202" s="12"/>
      <c r="DB202" s="12"/>
      <c r="DC202" s="12"/>
      <c r="DD202" s="12"/>
      <c r="DE202" s="12"/>
      <c r="DF202" s="12"/>
      <c r="DG202" s="12"/>
      <c r="DH202" s="12"/>
      <c r="DI202" s="12"/>
      <c r="DJ202" s="12"/>
      <c r="DK202" s="12"/>
      <c r="DL202" s="12"/>
      <c r="DM202" s="12"/>
      <c r="DN202" s="12"/>
      <c r="DO202" s="12"/>
      <c r="DP202" s="12"/>
      <c r="DQ202" s="12"/>
      <c r="DR202" s="12"/>
      <c r="DS202" s="12"/>
      <c r="DT202" s="12"/>
      <c r="DU202" s="12"/>
      <c r="DV202" s="12"/>
      <c r="DW202" s="12"/>
      <c r="DX202" s="12"/>
      <c r="DY202" s="12"/>
      <c r="DZ202" s="12"/>
      <c r="EA202" s="12"/>
      <c r="EB202" s="12"/>
      <c r="EC202" s="12"/>
      <c r="ED202" s="12"/>
      <c r="EE202" s="12"/>
      <c r="EF202" s="12"/>
      <c r="EG202" s="12"/>
      <c r="EH202" s="12"/>
      <c r="EI202" s="12"/>
      <c r="EJ202" s="12"/>
      <c r="EK202" s="12"/>
      <c r="EL202" s="12"/>
      <c r="EM202" s="12"/>
      <c r="EN202" s="12"/>
      <c r="EO202" s="12"/>
      <c r="EP202" s="12"/>
      <c r="EQ202" s="12"/>
      <c r="ER202" s="12"/>
      <c r="ES202" s="12"/>
      <c r="ET202" s="12"/>
      <c r="EU202" s="12"/>
      <c r="EV202" s="12"/>
      <c r="EW202" s="12"/>
      <c r="EX202" s="12"/>
      <c r="EY202" s="12"/>
      <c r="EZ202" s="12"/>
      <c r="FA202" s="12"/>
      <c r="FB202" s="12"/>
      <c r="FC202" s="12"/>
      <c r="FD202" s="12"/>
      <c r="FE202" s="12"/>
      <c r="FF202" s="12"/>
      <c r="FG202" s="12"/>
      <c r="FH202" s="12"/>
      <c r="FI202" s="12"/>
      <c r="FJ202" s="12"/>
      <c r="FK202" s="12"/>
      <c r="FL202" s="12"/>
      <c r="FM202" s="12"/>
      <c r="FN202" s="12"/>
      <c r="FO202" s="12"/>
      <c r="FP202" s="12"/>
      <c r="FQ202" s="12"/>
      <c r="FR202" s="12"/>
      <c r="FS202" s="12"/>
      <c r="FT202" s="12"/>
      <c r="FU202" s="12"/>
      <c r="FV202" s="12"/>
      <c r="FW202" s="12"/>
      <c r="FX202" s="12"/>
      <c r="FY202" s="12"/>
      <c r="FZ202" s="12"/>
      <c r="GA202" s="12"/>
      <c r="GB202" s="12"/>
      <c r="GC202" s="12"/>
      <c r="GD202" s="12"/>
      <c r="GE202" s="12"/>
      <c r="GF202" s="12"/>
      <c r="GG202" s="12"/>
      <c r="GH202" s="12"/>
      <c r="GI202" s="12"/>
      <c r="GJ202" s="12"/>
      <c r="GK202" s="12"/>
      <c r="GL202" s="12"/>
      <c r="GM202" s="12"/>
      <c r="GN202" s="12"/>
      <c r="GO202" s="12"/>
      <c r="GP202" s="12"/>
      <c r="GQ202" s="12"/>
      <c r="GR202" s="12"/>
      <c r="GS202" s="12"/>
      <c r="GT202" s="12"/>
      <c r="GU202" s="12"/>
      <c r="GV202" s="12"/>
      <c r="GW202" s="12"/>
      <c r="GX202" s="12"/>
      <c r="GY202" s="12"/>
      <c r="GZ202" s="12"/>
      <c r="HA202" s="12"/>
      <c r="HB202" s="12"/>
      <c r="HC202" s="12"/>
      <c r="HD202" s="12"/>
      <c r="HE202" s="12"/>
      <c r="HF202" s="12"/>
    </row>
    <row r="203" spans="1:214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46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  <c r="BN203" s="12"/>
      <c r="BO203" s="12"/>
      <c r="BP203" s="12"/>
      <c r="BQ203" s="12"/>
      <c r="BR203" s="12"/>
      <c r="BS203" s="12"/>
      <c r="BT203" s="12"/>
      <c r="BU203" s="12"/>
      <c r="BV203" s="12"/>
      <c r="BW203" s="12"/>
      <c r="BX203" s="12"/>
      <c r="BY203" s="12"/>
      <c r="BZ203" s="12"/>
      <c r="CA203" s="12"/>
      <c r="CB203" s="12"/>
      <c r="CC203" s="12"/>
      <c r="CD203" s="12"/>
      <c r="CE203" s="12"/>
      <c r="CF203" s="12"/>
      <c r="CG203" s="12"/>
      <c r="CH203" s="12"/>
      <c r="CI203" s="12"/>
      <c r="CJ203" s="12"/>
      <c r="CK203" s="12"/>
      <c r="CL203" s="12"/>
      <c r="CM203" s="12"/>
      <c r="CN203" s="12"/>
      <c r="CO203" s="12"/>
      <c r="CP203" s="12"/>
      <c r="CQ203" s="12"/>
      <c r="CR203" s="12"/>
      <c r="CS203" s="12"/>
      <c r="CT203" s="12"/>
      <c r="CU203" s="12"/>
      <c r="CV203" s="12"/>
      <c r="CW203" s="12"/>
      <c r="CX203" s="12"/>
      <c r="CY203" s="12"/>
      <c r="CZ203" s="12"/>
      <c r="DA203" s="12"/>
      <c r="DB203" s="12"/>
      <c r="DC203" s="12"/>
      <c r="DD203" s="12"/>
      <c r="DE203" s="12"/>
      <c r="DF203" s="12"/>
      <c r="DG203" s="12"/>
      <c r="DH203" s="12"/>
      <c r="DI203" s="12"/>
      <c r="DJ203" s="12"/>
      <c r="DK203" s="12"/>
      <c r="DL203" s="12"/>
      <c r="DM203" s="12"/>
      <c r="DN203" s="12"/>
      <c r="DO203" s="12"/>
      <c r="DP203" s="12"/>
      <c r="DQ203" s="12"/>
      <c r="DR203" s="12"/>
      <c r="DS203" s="12"/>
      <c r="DT203" s="12"/>
      <c r="DU203" s="12"/>
      <c r="DV203" s="12"/>
      <c r="DW203" s="12"/>
      <c r="DX203" s="12"/>
      <c r="DY203" s="12"/>
      <c r="DZ203" s="12"/>
      <c r="EA203" s="12"/>
      <c r="EB203" s="12"/>
      <c r="EC203" s="12"/>
      <c r="ED203" s="12"/>
      <c r="EE203" s="12"/>
      <c r="EF203" s="12"/>
      <c r="EG203" s="12"/>
      <c r="EH203" s="12"/>
      <c r="EI203" s="12"/>
      <c r="EJ203" s="12"/>
      <c r="EK203" s="12"/>
      <c r="EL203" s="12"/>
      <c r="EM203" s="12"/>
      <c r="EN203" s="12"/>
      <c r="EO203" s="12"/>
      <c r="EP203" s="12"/>
      <c r="EQ203" s="12"/>
      <c r="ER203" s="12"/>
      <c r="ES203" s="12"/>
      <c r="ET203" s="12"/>
      <c r="EU203" s="12"/>
      <c r="EV203" s="12"/>
      <c r="EW203" s="12"/>
      <c r="EX203" s="12"/>
      <c r="EY203" s="12"/>
      <c r="EZ203" s="12"/>
      <c r="FA203" s="12"/>
      <c r="FB203" s="12"/>
      <c r="FC203" s="12"/>
      <c r="FD203" s="12"/>
      <c r="FE203" s="12"/>
      <c r="FF203" s="12"/>
      <c r="FG203" s="12"/>
      <c r="FH203" s="12"/>
      <c r="FI203" s="12"/>
      <c r="FJ203" s="12"/>
      <c r="FK203" s="12"/>
      <c r="FL203" s="12"/>
      <c r="FM203" s="12"/>
      <c r="FN203" s="12"/>
      <c r="FO203" s="12"/>
      <c r="FP203" s="12"/>
      <c r="FQ203" s="12"/>
      <c r="FR203" s="12"/>
      <c r="FS203" s="12"/>
      <c r="FT203" s="12"/>
      <c r="FU203" s="12"/>
      <c r="FV203" s="12"/>
      <c r="FW203" s="12"/>
      <c r="FX203" s="12"/>
      <c r="FY203" s="12"/>
      <c r="FZ203" s="12"/>
      <c r="GA203" s="12"/>
      <c r="GB203" s="12"/>
      <c r="GC203" s="12"/>
      <c r="GD203" s="12"/>
      <c r="GE203" s="12"/>
      <c r="GF203" s="12"/>
      <c r="GG203" s="12"/>
      <c r="GH203" s="12"/>
      <c r="GI203" s="12"/>
      <c r="GJ203" s="12"/>
      <c r="GK203" s="12"/>
      <c r="GL203" s="12"/>
      <c r="GM203" s="12"/>
      <c r="GN203" s="12"/>
      <c r="GO203" s="12"/>
      <c r="GP203" s="12"/>
      <c r="GQ203" s="12"/>
      <c r="GR203" s="12"/>
      <c r="GS203" s="12"/>
      <c r="GT203" s="12"/>
      <c r="GU203" s="12"/>
      <c r="GV203" s="12"/>
      <c r="GW203" s="12"/>
      <c r="GX203" s="12"/>
      <c r="GY203" s="12"/>
      <c r="GZ203" s="12"/>
      <c r="HA203" s="12"/>
      <c r="HB203" s="12"/>
      <c r="HC203" s="12"/>
      <c r="HD203" s="12"/>
      <c r="HE203" s="12"/>
      <c r="HF203" s="12"/>
    </row>
    <row r="204" spans="1:214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46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  <c r="BN204" s="12"/>
      <c r="BO204" s="12"/>
      <c r="BP204" s="12"/>
      <c r="BQ204" s="12"/>
      <c r="BR204" s="12"/>
      <c r="BS204" s="12"/>
      <c r="BT204" s="12"/>
      <c r="BU204" s="12"/>
      <c r="BV204" s="12"/>
      <c r="BW204" s="12"/>
      <c r="BX204" s="12"/>
      <c r="BY204" s="12"/>
      <c r="BZ204" s="12"/>
      <c r="CA204" s="12"/>
      <c r="CB204" s="12"/>
      <c r="CC204" s="12"/>
      <c r="CD204" s="12"/>
      <c r="CE204" s="12"/>
      <c r="CF204" s="12"/>
      <c r="CG204" s="12"/>
      <c r="CH204" s="12"/>
      <c r="CI204" s="12"/>
      <c r="CJ204" s="12"/>
      <c r="CK204" s="12"/>
      <c r="CL204" s="12"/>
      <c r="CM204" s="12"/>
      <c r="CN204" s="12"/>
      <c r="CO204" s="12"/>
      <c r="CP204" s="12"/>
      <c r="CQ204" s="12"/>
      <c r="CR204" s="12"/>
      <c r="CS204" s="12"/>
      <c r="CT204" s="12"/>
      <c r="CU204" s="12"/>
      <c r="CV204" s="12"/>
      <c r="CW204" s="12"/>
      <c r="CX204" s="12"/>
      <c r="CY204" s="12"/>
      <c r="CZ204" s="12"/>
      <c r="DA204" s="12"/>
      <c r="DB204" s="12"/>
      <c r="DC204" s="12"/>
      <c r="DD204" s="12"/>
      <c r="DE204" s="12"/>
      <c r="DF204" s="12"/>
      <c r="DG204" s="12"/>
      <c r="DH204" s="12"/>
      <c r="DI204" s="12"/>
      <c r="DJ204" s="12"/>
      <c r="DK204" s="12"/>
      <c r="DL204" s="12"/>
      <c r="DM204" s="12"/>
      <c r="DN204" s="12"/>
      <c r="DO204" s="12"/>
      <c r="DP204" s="12"/>
      <c r="DQ204" s="12"/>
      <c r="DR204" s="12"/>
      <c r="DS204" s="12"/>
      <c r="DT204" s="12"/>
      <c r="DU204" s="12"/>
      <c r="DV204" s="12"/>
      <c r="DW204" s="12"/>
      <c r="DX204" s="12"/>
      <c r="DY204" s="12"/>
      <c r="DZ204" s="12"/>
      <c r="EA204" s="12"/>
      <c r="EB204" s="12"/>
      <c r="EC204" s="12"/>
      <c r="ED204" s="12"/>
      <c r="EE204" s="12"/>
      <c r="EF204" s="12"/>
      <c r="EG204" s="12"/>
      <c r="EH204" s="12"/>
      <c r="EI204" s="12"/>
      <c r="EJ204" s="12"/>
      <c r="EK204" s="12"/>
      <c r="EL204" s="12"/>
      <c r="EM204" s="12"/>
      <c r="EN204" s="12"/>
      <c r="EO204" s="12"/>
      <c r="EP204" s="12"/>
      <c r="EQ204" s="12"/>
      <c r="ER204" s="12"/>
      <c r="ES204" s="12"/>
      <c r="ET204" s="12"/>
      <c r="EU204" s="12"/>
      <c r="EV204" s="12"/>
      <c r="EW204" s="12"/>
      <c r="EX204" s="12"/>
      <c r="EY204" s="12"/>
      <c r="EZ204" s="12"/>
      <c r="FA204" s="12"/>
      <c r="FB204" s="12"/>
      <c r="FC204" s="12"/>
      <c r="FD204" s="12"/>
      <c r="FE204" s="12"/>
      <c r="FF204" s="12"/>
      <c r="FG204" s="12"/>
      <c r="FH204" s="12"/>
      <c r="FI204" s="12"/>
      <c r="FJ204" s="12"/>
      <c r="FK204" s="12"/>
      <c r="FL204" s="12"/>
      <c r="FM204" s="12"/>
      <c r="FN204" s="12"/>
      <c r="FO204" s="12"/>
      <c r="FP204" s="12"/>
      <c r="FQ204" s="12"/>
      <c r="FR204" s="12"/>
      <c r="FS204" s="12"/>
      <c r="FT204" s="12"/>
      <c r="FU204" s="12"/>
      <c r="FV204" s="12"/>
      <c r="FW204" s="12"/>
      <c r="FX204" s="12"/>
      <c r="FY204" s="12"/>
      <c r="FZ204" s="12"/>
      <c r="GA204" s="12"/>
      <c r="GB204" s="12"/>
      <c r="GC204" s="12"/>
      <c r="GD204" s="12"/>
      <c r="GE204" s="12"/>
      <c r="GF204" s="12"/>
      <c r="GG204" s="12"/>
      <c r="GH204" s="12"/>
      <c r="GI204" s="12"/>
      <c r="GJ204" s="12"/>
      <c r="GK204" s="12"/>
      <c r="GL204" s="12"/>
      <c r="GM204" s="12"/>
      <c r="GN204" s="12"/>
      <c r="GO204" s="12"/>
      <c r="GP204" s="12"/>
      <c r="GQ204" s="12"/>
      <c r="GR204" s="12"/>
      <c r="GS204" s="12"/>
      <c r="GT204" s="12"/>
      <c r="GU204" s="12"/>
      <c r="GV204" s="12"/>
      <c r="GW204" s="12"/>
      <c r="GX204" s="12"/>
      <c r="GY204" s="12"/>
      <c r="GZ204" s="12"/>
      <c r="HA204" s="12"/>
      <c r="HB204" s="12"/>
      <c r="HC204" s="12"/>
      <c r="HD204" s="12"/>
      <c r="HE204" s="12"/>
      <c r="HF204" s="12"/>
    </row>
    <row r="205" spans="1:214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46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  <c r="BN205" s="12"/>
      <c r="BO205" s="12"/>
      <c r="BP205" s="12"/>
      <c r="BQ205" s="12"/>
      <c r="BR205" s="12"/>
      <c r="BS205" s="12"/>
      <c r="BT205" s="12"/>
      <c r="BU205" s="12"/>
      <c r="BV205" s="12"/>
      <c r="BW205" s="12"/>
      <c r="BX205" s="12"/>
      <c r="BY205" s="12"/>
      <c r="BZ205" s="12"/>
      <c r="CA205" s="12"/>
      <c r="CB205" s="12"/>
      <c r="CC205" s="12"/>
      <c r="CD205" s="12"/>
      <c r="CE205" s="12"/>
      <c r="CF205" s="12"/>
      <c r="CG205" s="12"/>
      <c r="CH205" s="12"/>
      <c r="CI205" s="12"/>
      <c r="CJ205" s="12"/>
      <c r="CK205" s="12"/>
      <c r="CL205" s="12"/>
      <c r="CM205" s="12"/>
      <c r="CN205" s="12"/>
      <c r="CO205" s="12"/>
      <c r="CP205" s="12"/>
      <c r="CQ205" s="12"/>
      <c r="CR205" s="12"/>
      <c r="CS205" s="12"/>
      <c r="CT205" s="12"/>
      <c r="CU205" s="12"/>
      <c r="CV205" s="12"/>
      <c r="CW205" s="12"/>
      <c r="CX205" s="12"/>
      <c r="CY205" s="12"/>
      <c r="CZ205" s="12"/>
      <c r="DA205" s="12"/>
      <c r="DB205" s="12"/>
      <c r="DC205" s="12"/>
      <c r="DD205" s="12"/>
      <c r="DE205" s="12"/>
      <c r="DF205" s="12"/>
      <c r="DG205" s="12"/>
      <c r="DH205" s="12"/>
      <c r="DI205" s="12"/>
      <c r="DJ205" s="12"/>
      <c r="DK205" s="12"/>
      <c r="DL205" s="12"/>
      <c r="DM205" s="12"/>
      <c r="DN205" s="12"/>
      <c r="DO205" s="12"/>
      <c r="DP205" s="12"/>
      <c r="DQ205" s="12"/>
      <c r="DR205" s="12"/>
      <c r="DS205" s="12"/>
      <c r="DT205" s="12"/>
      <c r="DU205" s="12"/>
      <c r="DV205" s="12"/>
      <c r="DW205" s="12"/>
      <c r="DX205" s="12"/>
      <c r="DY205" s="12"/>
      <c r="DZ205" s="12"/>
      <c r="EA205" s="12"/>
      <c r="EB205" s="12"/>
      <c r="EC205" s="12"/>
      <c r="ED205" s="12"/>
      <c r="EE205" s="12"/>
      <c r="EF205" s="12"/>
      <c r="EG205" s="12"/>
      <c r="EH205" s="12"/>
      <c r="EI205" s="12"/>
      <c r="EJ205" s="12"/>
      <c r="EK205" s="12"/>
      <c r="EL205" s="12"/>
      <c r="EM205" s="12"/>
      <c r="EN205" s="12"/>
      <c r="EO205" s="12"/>
      <c r="EP205" s="12"/>
      <c r="EQ205" s="12"/>
      <c r="ER205" s="12"/>
      <c r="ES205" s="12"/>
      <c r="ET205" s="12"/>
      <c r="EU205" s="12"/>
      <c r="EV205" s="12"/>
      <c r="EW205" s="12"/>
      <c r="EX205" s="12"/>
      <c r="EY205" s="12"/>
      <c r="EZ205" s="12"/>
      <c r="FA205" s="12"/>
      <c r="FB205" s="12"/>
      <c r="FC205" s="12"/>
      <c r="FD205" s="12"/>
      <c r="FE205" s="12"/>
      <c r="FF205" s="12"/>
      <c r="FG205" s="12"/>
      <c r="FH205" s="12"/>
      <c r="FI205" s="12"/>
      <c r="FJ205" s="12"/>
      <c r="FK205" s="12"/>
      <c r="FL205" s="12"/>
      <c r="FM205" s="12"/>
      <c r="FN205" s="12"/>
      <c r="FO205" s="12"/>
      <c r="FP205" s="12"/>
      <c r="FQ205" s="12"/>
      <c r="FR205" s="12"/>
      <c r="FS205" s="12"/>
      <c r="FT205" s="12"/>
      <c r="FU205" s="12"/>
      <c r="FV205" s="12"/>
      <c r="FW205" s="12"/>
      <c r="FX205" s="12"/>
      <c r="FY205" s="12"/>
      <c r="FZ205" s="12"/>
      <c r="GA205" s="12"/>
      <c r="GB205" s="12"/>
      <c r="GC205" s="12"/>
      <c r="GD205" s="12"/>
      <c r="GE205" s="12"/>
      <c r="GF205" s="12"/>
      <c r="GG205" s="12"/>
      <c r="GH205" s="12"/>
      <c r="GI205" s="12"/>
      <c r="GJ205" s="12"/>
      <c r="GK205" s="12"/>
      <c r="GL205" s="12"/>
      <c r="GM205" s="12"/>
      <c r="GN205" s="12"/>
      <c r="GO205" s="12"/>
      <c r="GP205" s="12"/>
      <c r="GQ205" s="12"/>
      <c r="GR205" s="12"/>
      <c r="GS205" s="12"/>
      <c r="GT205" s="12"/>
      <c r="GU205" s="12"/>
      <c r="GV205" s="12"/>
      <c r="GW205" s="12"/>
      <c r="GX205" s="12"/>
      <c r="GY205" s="12"/>
      <c r="GZ205" s="12"/>
      <c r="HA205" s="12"/>
      <c r="HB205" s="12"/>
      <c r="HC205" s="12"/>
      <c r="HD205" s="12"/>
      <c r="HE205" s="12"/>
      <c r="HF205" s="12"/>
    </row>
    <row r="206" spans="1:214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46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2"/>
      <c r="BY206" s="12"/>
      <c r="BZ206" s="12"/>
      <c r="CA206" s="12"/>
      <c r="CB206" s="12"/>
      <c r="CC206" s="12"/>
      <c r="CD206" s="12"/>
      <c r="CE206" s="12"/>
      <c r="CF206" s="12"/>
      <c r="CG206" s="12"/>
      <c r="CH206" s="12"/>
      <c r="CI206" s="12"/>
      <c r="CJ206" s="12"/>
      <c r="CK206" s="12"/>
      <c r="CL206" s="12"/>
      <c r="CM206" s="12"/>
      <c r="CN206" s="12"/>
      <c r="CO206" s="12"/>
      <c r="CP206" s="12"/>
      <c r="CQ206" s="12"/>
      <c r="CR206" s="12"/>
      <c r="CS206" s="12"/>
      <c r="CT206" s="12"/>
      <c r="CU206" s="12"/>
      <c r="CV206" s="12"/>
      <c r="CW206" s="12"/>
      <c r="CX206" s="12"/>
      <c r="CY206" s="12"/>
      <c r="CZ206" s="12"/>
      <c r="DA206" s="12"/>
      <c r="DB206" s="12"/>
      <c r="DC206" s="12"/>
      <c r="DD206" s="12"/>
      <c r="DE206" s="12"/>
      <c r="DF206" s="12"/>
      <c r="DG206" s="12"/>
      <c r="DH206" s="12"/>
      <c r="DI206" s="12"/>
      <c r="DJ206" s="12"/>
      <c r="DK206" s="12"/>
      <c r="DL206" s="12"/>
      <c r="DM206" s="12"/>
      <c r="DN206" s="12"/>
      <c r="DO206" s="12"/>
      <c r="DP206" s="12"/>
      <c r="DQ206" s="12"/>
      <c r="DR206" s="12"/>
      <c r="DS206" s="12"/>
      <c r="DT206" s="12"/>
      <c r="DU206" s="12"/>
      <c r="DV206" s="12"/>
      <c r="DW206" s="12"/>
      <c r="DX206" s="12"/>
      <c r="DY206" s="12"/>
      <c r="DZ206" s="12"/>
      <c r="EA206" s="12"/>
      <c r="EB206" s="12"/>
      <c r="EC206" s="12"/>
      <c r="ED206" s="12"/>
      <c r="EE206" s="12"/>
      <c r="EF206" s="12"/>
      <c r="EG206" s="12"/>
      <c r="EH206" s="12"/>
      <c r="EI206" s="12"/>
      <c r="EJ206" s="12"/>
      <c r="EK206" s="12"/>
      <c r="EL206" s="12"/>
      <c r="EM206" s="12"/>
      <c r="EN206" s="12"/>
      <c r="EO206" s="12"/>
      <c r="EP206" s="12"/>
      <c r="EQ206" s="12"/>
      <c r="ER206" s="12"/>
      <c r="ES206" s="12"/>
      <c r="ET206" s="12"/>
      <c r="EU206" s="12"/>
      <c r="EV206" s="12"/>
      <c r="EW206" s="12"/>
      <c r="EX206" s="12"/>
      <c r="EY206" s="12"/>
      <c r="EZ206" s="12"/>
      <c r="FA206" s="12"/>
      <c r="FB206" s="12"/>
      <c r="FC206" s="12"/>
      <c r="FD206" s="12"/>
      <c r="FE206" s="12"/>
      <c r="FF206" s="12"/>
      <c r="FG206" s="12"/>
      <c r="FH206" s="12"/>
      <c r="FI206" s="12"/>
      <c r="FJ206" s="12"/>
      <c r="FK206" s="12"/>
      <c r="FL206" s="12"/>
      <c r="FM206" s="12"/>
      <c r="FN206" s="12"/>
      <c r="FO206" s="12"/>
      <c r="FP206" s="12"/>
      <c r="FQ206" s="12"/>
      <c r="FR206" s="12"/>
      <c r="FS206" s="12"/>
      <c r="FT206" s="12"/>
      <c r="FU206" s="12"/>
      <c r="FV206" s="12"/>
      <c r="FW206" s="12"/>
      <c r="FX206" s="12"/>
      <c r="FY206" s="12"/>
      <c r="FZ206" s="12"/>
      <c r="GA206" s="12"/>
      <c r="GB206" s="12"/>
      <c r="GC206" s="12"/>
      <c r="GD206" s="12"/>
      <c r="GE206" s="12"/>
      <c r="GF206" s="12"/>
      <c r="GG206" s="12"/>
      <c r="GH206" s="12"/>
      <c r="GI206" s="12"/>
      <c r="GJ206" s="12"/>
      <c r="GK206" s="12"/>
      <c r="GL206" s="12"/>
      <c r="GM206" s="12"/>
      <c r="GN206" s="12"/>
      <c r="GO206" s="12"/>
      <c r="GP206" s="12"/>
      <c r="GQ206" s="12"/>
      <c r="GR206" s="12"/>
      <c r="GS206" s="12"/>
      <c r="GT206" s="12"/>
      <c r="GU206" s="12"/>
      <c r="GV206" s="12"/>
      <c r="GW206" s="12"/>
      <c r="GX206" s="12"/>
      <c r="GY206" s="12"/>
      <c r="GZ206" s="12"/>
      <c r="HA206" s="12"/>
      <c r="HB206" s="12"/>
      <c r="HC206" s="12"/>
      <c r="HD206" s="12"/>
      <c r="HE206" s="12"/>
      <c r="HF206" s="12"/>
    </row>
    <row r="207" spans="1:214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46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  <c r="BN207" s="12"/>
      <c r="BO207" s="12"/>
      <c r="BP207" s="12"/>
      <c r="BQ207" s="12"/>
      <c r="BR207" s="12"/>
      <c r="BS207" s="12"/>
      <c r="BT207" s="12"/>
      <c r="BU207" s="12"/>
      <c r="BV207" s="12"/>
      <c r="BW207" s="12"/>
      <c r="BX207" s="12"/>
      <c r="BY207" s="12"/>
      <c r="BZ207" s="12"/>
      <c r="CA207" s="12"/>
      <c r="CB207" s="12"/>
      <c r="CC207" s="12"/>
      <c r="CD207" s="12"/>
      <c r="CE207" s="12"/>
      <c r="CF207" s="12"/>
      <c r="CG207" s="12"/>
      <c r="CH207" s="12"/>
      <c r="CI207" s="12"/>
      <c r="CJ207" s="12"/>
      <c r="CK207" s="12"/>
      <c r="CL207" s="12"/>
      <c r="CM207" s="12"/>
      <c r="CN207" s="12"/>
      <c r="CO207" s="12"/>
      <c r="CP207" s="12"/>
      <c r="CQ207" s="12"/>
      <c r="CR207" s="12"/>
      <c r="CS207" s="12"/>
      <c r="CT207" s="12"/>
      <c r="CU207" s="12"/>
      <c r="CV207" s="12"/>
      <c r="CW207" s="12"/>
      <c r="CX207" s="12"/>
      <c r="CY207" s="12"/>
      <c r="CZ207" s="12"/>
      <c r="DA207" s="12"/>
      <c r="DB207" s="12"/>
      <c r="DC207" s="12"/>
      <c r="DD207" s="12"/>
      <c r="DE207" s="12"/>
      <c r="DF207" s="12"/>
      <c r="DG207" s="12"/>
      <c r="DH207" s="12"/>
      <c r="DI207" s="12"/>
      <c r="DJ207" s="12"/>
      <c r="DK207" s="12"/>
      <c r="DL207" s="12"/>
      <c r="DM207" s="12"/>
      <c r="DN207" s="12"/>
      <c r="DO207" s="12"/>
      <c r="DP207" s="12"/>
      <c r="DQ207" s="12"/>
      <c r="DR207" s="12"/>
      <c r="DS207" s="12"/>
      <c r="DT207" s="12"/>
      <c r="DU207" s="12"/>
      <c r="DV207" s="12"/>
      <c r="DW207" s="12"/>
      <c r="DX207" s="12"/>
      <c r="DY207" s="12"/>
      <c r="DZ207" s="12"/>
      <c r="EA207" s="12"/>
      <c r="EB207" s="12"/>
      <c r="EC207" s="12"/>
      <c r="ED207" s="12"/>
      <c r="EE207" s="12"/>
      <c r="EF207" s="12"/>
      <c r="EG207" s="12"/>
      <c r="EH207" s="12"/>
      <c r="EI207" s="12"/>
      <c r="EJ207" s="12"/>
      <c r="EK207" s="12"/>
      <c r="EL207" s="12"/>
      <c r="EM207" s="12"/>
      <c r="EN207" s="12"/>
      <c r="EO207" s="12"/>
      <c r="EP207" s="12"/>
      <c r="EQ207" s="12"/>
      <c r="ER207" s="12"/>
      <c r="ES207" s="12"/>
      <c r="ET207" s="12"/>
      <c r="EU207" s="12"/>
      <c r="EV207" s="12"/>
      <c r="EW207" s="12"/>
      <c r="EX207" s="12"/>
      <c r="EY207" s="12"/>
      <c r="EZ207" s="12"/>
      <c r="FA207" s="12"/>
      <c r="FB207" s="12"/>
      <c r="FC207" s="12"/>
      <c r="FD207" s="12"/>
      <c r="FE207" s="12"/>
      <c r="FF207" s="12"/>
      <c r="FG207" s="12"/>
      <c r="FH207" s="12"/>
      <c r="FI207" s="12"/>
      <c r="FJ207" s="12"/>
      <c r="FK207" s="12"/>
      <c r="FL207" s="12"/>
      <c r="FM207" s="12"/>
      <c r="FN207" s="12"/>
      <c r="FO207" s="12"/>
      <c r="FP207" s="12"/>
      <c r="FQ207" s="12"/>
      <c r="FR207" s="12"/>
      <c r="FS207" s="12"/>
      <c r="FT207" s="12"/>
      <c r="FU207" s="12"/>
      <c r="FV207" s="12"/>
      <c r="FW207" s="12"/>
      <c r="FX207" s="12"/>
      <c r="FY207" s="12"/>
      <c r="FZ207" s="12"/>
      <c r="GA207" s="12"/>
      <c r="GB207" s="12"/>
      <c r="GC207" s="12"/>
      <c r="GD207" s="12"/>
      <c r="GE207" s="12"/>
      <c r="GF207" s="12"/>
      <c r="GG207" s="12"/>
      <c r="GH207" s="12"/>
      <c r="GI207" s="12"/>
      <c r="GJ207" s="12"/>
      <c r="GK207" s="12"/>
      <c r="GL207" s="12"/>
      <c r="GM207" s="12"/>
      <c r="GN207" s="12"/>
      <c r="GO207" s="12"/>
      <c r="GP207" s="12"/>
      <c r="GQ207" s="12"/>
      <c r="GR207" s="12"/>
      <c r="GS207" s="12"/>
      <c r="GT207" s="12"/>
      <c r="GU207" s="12"/>
      <c r="GV207" s="12"/>
      <c r="GW207" s="12"/>
      <c r="GX207" s="12"/>
      <c r="GY207" s="12"/>
      <c r="GZ207" s="12"/>
      <c r="HA207" s="12"/>
      <c r="HB207" s="12"/>
      <c r="HC207" s="12"/>
      <c r="HD207" s="12"/>
      <c r="HE207" s="12"/>
      <c r="HF207" s="12"/>
    </row>
    <row r="208" spans="1:214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46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  <c r="BN208" s="12"/>
      <c r="BO208" s="12"/>
      <c r="BP208" s="12"/>
      <c r="BQ208" s="12"/>
      <c r="BR208" s="12"/>
      <c r="BS208" s="12"/>
      <c r="BT208" s="12"/>
      <c r="BU208" s="12"/>
      <c r="BV208" s="12"/>
      <c r="BW208" s="12"/>
      <c r="BX208" s="12"/>
      <c r="BY208" s="12"/>
      <c r="BZ208" s="12"/>
      <c r="CA208" s="12"/>
      <c r="CB208" s="12"/>
      <c r="CC208" s="12"/>
      <c r="CD208" s="12"/>
      <c r="CE208" s="12"/>
      <c r="CF208" s="12"/>
      <c r="CG208" s="12"/>
      <c r="CH208" s="12"/>
      <c r="CI208" s="12"/>
      <c r="CJ208" s="12"/>
      <c r="CK208" s="12"/>
      <c r="CL208" s="12"/>
      <c r="CM208" s="12"/>
      <c r="CN208" s="12"/>
      <c r="CO208" s="12"/>
      <c r="CP208" s="12"/>
      <c r="CQ208" s="12"/>
      <c r="CR208" s="12"/>
      <c r="CS208" s="12"/>
      <c r="CT208" s="12"/>
      <c r="CU208" s="12"/>
      <c r="CV208" s="12"/>
      <c r="CW208" s="12"/>
      <c r="CX208" s="12"/>
      <c r="CY208" s="12"/>
      <c r="CZ208" s="12"/>
      <c r="DA208" s="12"/>
      <c r="DB208" s="12"/>
      <c r="DC208" s="12"/>
      <c r="DD208" s="12"/>
      <c r="DE208" s="12"/>
      <c r="DF208" s="12"/>
      <c r="DG208" s="12"/>
      <c r="DH208" s="12"/>
      <c r="DI208" s="12"/>
      <c r="DJ208" s="12"/>
      <c r="DK208" s="12"/>
      <c r="DL208" s="12"/>
      <c r="DM208" s="12"/>
      <c r="DN208" s="12"/>
      <c r="DO208" s="12"/>
      <c r="DP208" s="12"/>
      <c r="DQ208" s="12"/>
      <c r="DR208" s="12"/>
      <c r="DS208" s="12"/>
      <c r="DT208" s="12"/>
      <c r="DU208" s="12"/>
      <c r="DV208" s="12"/>
      <c r="DW208" s="12"/>
      <c r="DX208" s="12"/>
      <c r="DY208" s="12"/>
      <c r="DZ208" s="12"/>
      <c r="EA208" s="12"/>
      <c r="EB208" s="12"/>
      <c r="EC208" s="12"/>
      <c r="ED208" s="12"/>
      <c r="EE208" s="12"/>
      <c r="EF208" s="12"/>
      <c r="EG208" s="12"/>
      <c r="EH208" s="12"/>
      <c r="EI208" s="12"/>
      <c r="EJ208" s="12"/>
      <c r="EK208" s="12"/>
      <c r="EL208" s="12"/>
      <c r="EM208" s="12"/>
      <c r="EN208" s="12"/>
      <c r="EO208" s="12"/>
      <c r="EP208" s="12"/>
      <c r="EQ208" s="12"/>
      <c r="ER208" s="12"/>
      <c r="ES208" s="12"/>
      <c r="ET208" s="12"/>
      <c r="EU208" s="12"/>
      <c r="EV208" s="12"/>
      <c r="EW208" s="12"/>
      <c r="EX208" s="12"/>
      <c r="EY208" s="12"/>
      <c r="EZ208" s="12"/>
      <c r="FA208" s="12"/>
      <c r="FB208" s="12"/>
      <c r="FC208" s="12"/>
      <c r="FD208" s="12"/>
      <c r="FE208" s="12"/>
      <c r="FF208" s="12"/>
      <c r="FG208" s="12"/>
      <c r="FH208" s="12"/>
      <c r="FI208" s="12"/>
      <c r="FJ208" s="12"/>
      <c r="FK208" s="12"/>
      <c r="FL208" s="12"/>
      <c r="FM208" s="12"/>
      <c r="FN208" s="12"/>
      <c r="FO208" s="12"/>
      <c r="FP208" s="12"/>
      <c r="FQ208" s="12"/>
      <c r="FR208" s="12"/>
      <c r="FS208" s="12"/>
      <c r="FT208" s="12"/>
      <c r="FU208" s="12"/>
      <c r="FV208" s="12"/>
      <c r="FW208" s="12"/>
      <c r="FX208" s="12"/>
      <c r="FY208" s="12"/>
      <c r="FZ208" s="12"/>
      <c r="GA208" s="12"/>
      <c r="GB208" s="12"/>
      <c r="GC208" s="12"/>
      <c r="GD208" s="12"/>
      <c r="GE208" s="12"/>
      <c r="GF208" s="12"/>
      <c r="GG208" s="12"/>
      <c r="GH208" s="12"/>
      <c r="GI208" s="12"/>
      <c r="GJ208" s="12"/>
      <c r="GK208" s="12"/>
      <c r="GL208" s="12"/>
      <c r="GM208" s="12"/>
      <c r="GN208" s="12"/>
      <c r="GO208" s="12"/>
      <c r="GP208" s="12"/>
      <c r="GQ208" s="12"/>
      <c r="GR208" s="12"/>
      <c r="GS208" s="12"/>
      <c r="GT208" s="12"/>
      <c r="GU208" s="12"/>
      <c r="GV208" s="12"/>
      <c r="GW208" s="12"/>
      <c r="GX208" s="12"/>
      <c r="GY208" s="12"/>
      <c r="GZ208" s="12"/>
      <c r="HA208" s="12"/>
      <c r="HB208" s="12"/>
      <c r="HC208" s="12"/>
      <c r="HD208" s="12"/>
      <c r="HE208" s="12"/>
      <c r="HF208" s="12"/>
    </row>
    <row r="209" spans="1:214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46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  <c r="BN209" s="12"/>
      <c r="BO209" s="12"/>
      <c r="BP209" s="12"/>
      <c r="BQ209" s="12"/>
      <c r="BR209" s="12"/>
      <c r="BS209" s="12"/>
      <c r="BT209" s="12"/>
      <c r="BU209" s="12"/>
      <c r="BV209" s="12"/>
      <c r="BW209" s="12"/>
      <c r="BX209" s="12"/>
      <c r="BY209" s="12"/>
      <c r="BZ209" s="12"/>
      <c r="CA209" s="12"/>
      <c r="CB209" s="12"/>
      <c r="CC209" s="12"/>
      <c r="CD209" s="12"/>
      <c r="CE209" s="12"/>
      <c r="CF209" s="12"/>
      <c r="CG209" s="12"/>
      <c r="CH209" s="12"/>
      <c r="CI209" s="12"/>
      <c r="CJ209" s="12"/>
      <c r="CK209" s="12"/>
      <c r="CL209" s="12"/>
      <c r="CM209" s="12"/>
      <c r="CN209" s="12"/>
      <c r="CO209" s="12"/>
      <c r="CP209" s="12"/>
      <c r="CQ209" s="12"/>
      <c r="CR209" s="12"/>
      <c r="CS209" s="12"/>
      <c r="CT209" s="12"/>
      <c r="CU209" s="12"/>
      <c r="CV209" s="12"/>
      <c r="CW209" s="12"/>
      <c r="CX209" s="12"/>
      <c r="CY209" s="12"/>
      <c r="CZ209" s="12"/>
      <c r="DA209" s="12"/>
      <c r="DB209" s="12"/>
      <c r="DC209" s="12"/>
      <c r="DD209" s="12"/>
      <c r="DE209" s="12"/>
      <c r="DF209" s="12"/>
      <c r="DG209" s="12"/>
      <c r="DH209" s="12"/>
      <c r="DI209" s="12"/>
      <c r="DJ209" s="12"/>
      <c r="DK209" s="12"/>
      <c r="DL209" s="12"/>
      <c r="DM209" s="12"/>
      <c r="DN209" s="12"/>
      <c r="DO209" s="12"/>
      <c r="DP209" s="12"/>
      <c r="DQ209" s="12"/>
      <c r="DR209" s="12"/>
      <c r="DS209" s="12"/>
      <c r="DT209" s="12"/>
      <c r="DU209" s="12"/>
      <c r="DV209" s="12"/>
      <c r="DW209" s="12"/>
      <c r="DX209" s="12"/>
      <c r="DY209" s="12"/>
      <c r="DZ209" s="12"/>
      <c r="EA209" s="12"/>
      <c r="EB209" s="12"/>
      <c r="EC209" s="12"/>
      <c r="ED209" s="12"/>
      <c r="EE209" s="12"/>
      <c r="EF209" s="12"/>
      <c r="EG209" s="12"/>
      <c r="EH209" s="12"/>
      <c r="EI209" s="12"/>
      <c r="EJ209" s="12"/>
      <c r="EK209" s="12"/>
      <c r="EL209" s="12"/>
      <c r="EM209" s="12"/>
      <c r="EN209" s="12"/>
      <c r="EO209" s="12"/>
      <c r="EP209" s="12"/>
      <c r="EQ209" s="12"/>
      <c r="ER209" s="12"/>
      <c r="ES209" s="12"/>
      <c r="ET209" s="12"/>
      <c r="EU209" s="12"/>
      <c r="EV209" s="12"/>
      <c r="EW209" s="12"/>
      <c r="EX209" s="12"/>
      <c r="EY209" s="12"/>
      <c r="EZ209" s="12"/>
      <c r="FA209" s="12"/>
      <c r="FB209" s="12"/>
      <c r="FC209" s="12"/>
      <c r="FD209" s="12"/>
      <c r="FE209" s="12"/>
      <c r="FF209" s="12"/>
      <c r="FG209" s="12"/>
      <c r="FH209" s="12"/>
      <c r="FI209" s="12"/>
      <c r="FJ209" s="12"/>
      <c r="FK209" s="12"/>
      <c r="FL209" s="12"/>
      <c r="FM209" s="12"/>
      <c r="FN209" s="12"/>
      <c r="FO209" s="12"/>
      <c r="FP209" s="12"/>
      <c r="FQ209" s="12"/>
      <c r="FR209" s="12"/>
      <c r="FS209" s="12"/>
      <c r="FT209" s="12"/>
      <c r="FU209" s="12"/>
      <c r="FV209" s="12"/>
      <c r="FW209" s="12"/>
      <c r="FX209" s="12"/>
      <c r="FY209" s="12"/>
      <c r="FZ209" s="12"/>
      <c r="GA209" s="12"/>
      <c r="GB209" s="12"/>
      <c r="GC209" s="12"/>
      <c r="GD209" s="12"/>
      <c r="GE209" s="12"/>
      <c r="GF209" s="12"/>
      <c r="GG209" s="12"/>
      <c r="GH209" s="12"/>
      <c r="GI209" s="12"/>
      <c r="GJ209" s="12"/>
      <c r="GK209" s="12"/>
      <c r="GL209" s="12"/>
      <c r="GM209" s="12"/>
      <c r="GN209" s="12"/>
      <c r="GO209" s="12"/>
      <c r="GP209" s="12"/>
      <c r="GQ209" s="12"/>
      <c r="GR209" s="12"/>
      <c r="GS209" s="12"/>
      <c r="GT209" s="12"/>
      <c r="GU209" s="12"/>
      <c r="GV209" s="12"/>
      <c r="GW209" s="12"/>
      <c r="GX209" s="12"/>
      <c r="GY209" s="12"/>
      <c r="GZ209" s="12"/>
      <c r="HA209" s="12"/>
      <c r="HB209" s="12"/>
      <c r="HC209" s="12"/>
      <c r="HD209" s="12"/>
      <c r="HE209" s="12"/>
      <c r="HF209" s="12"/>
    </row>
    <row r="210" spans="1:214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46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2"/>
      <c r="BR210" s="12"/>
      <c r="BS210" s="12"/>
      <c r="BT210" s="12"/>
      <c r="BU210" s="12"/>
      <c r="BV210" s="12"/>
      <c r="BW210" s="12"/>
      <c r="BX210" s="12"/>
      <c r="BY210" s="12"/>
      <c r="BZ210" s="12"/>
      <c r="CA210" s="12"/>
      <c r="CB210" s="12"/>
      <c r="CC210" s="12"/>
      <c r="CD210" s="12"/>
      <c r="CE210" s="12"/>
      <c r="CF210" s="12"/>
      <c r="CG210" s="12"/>
      <c r="CH210" s="12"/>
      <c r="CI210" s="12"/>
      <c r="CJ210" s="12"/>
      <c r="CK210" s="12"/>
      <c r="CL210" s="12"/>
      <c r="CM210" s="12"/>
      <c r="CN210" s="12"/>
      <c r="CO210" s="12"/>
      <c r="CP210" s="12"/>
      <c r="CQ210" s="12"/>
      <c r="CR210" s="12"/>
      <c r="CS210" s="12"/>
      <c r="CT210" s="12"/>
      <c r="CU210" s="12"/>
      <c r="CV210" s="12"/>
      <c r="CW210" s="12"/>
      <c r="CX210" s="12"/>
      <c r="CY210" s="12"/>
      <c r="CZ210" s="12"/>
      <c r="DA210" s="12"/>
      <c r="DB210" s="12"/>
      <c r="DC210" s="12"/>
      <c r="DD210" s="12"/>
      <c r="DE210" s="12"/>
      <c r="DF210" s="12"/>
      <c r="DG210" s="12"/>
      <c r="DH210" s="12"/>
      <c r="DI210" s="12"/>
      <c r="DJ210" s="12"/>
      <c r="DK210" s="12"/>
      <c r="DL210" s="12"/>
      <c r="DM210" s="12"/>
      <c r="DN210" s="12"/>
      <c r="DO210" s="12"/>
      <c r="DP210" s="12"/>
      <c r="DQ210" s="12"/>
      <c r="DR210" s="12"/>
      <c r="DS210" s="12"/>
      <c r="DT210" s="12"/>
      <c r="DU210" s="12"/>
      <c r="DV210" s="12"/>
      <c r="DW210" s="12"/>
      <c r="DX210" s="12"/>
      <c r="DY210" s="12"/>
      <c r="DZ210" s="12"/>
      <c r="EA210" s="12"/>
      <c r="EB210" s="12"/>
      <c r="EC210" s="12"/>
      <c r="ED210" s="12"/>
      <c r="EE210" s="12"/>
      <c r="EF210" s="12"/>
      <c r="EG210" s="12"/>
      <c r="EH210" s="12"/>
      <c r="EI210" s="12"/>
      <c r="EJ210" s="12"/>
      <c r="EK210" s="12"/>
      <c r="EL210" s="12"/>
      <c r="EM210" s="12"/>
      <c r="EN210" s="12"/>
      <c r="EO210" s="12"/>
      <c r="EP210" s="12"/>
      <c r="EQ210" s="12"/>
      <c r="ER210" s="12"/>
      <c r="ES210" s="12"/>
      <c r="ET210" s="12"/>
      <c r="EU210" s="12"/>
      <c r="EV210" s="12"/>
      <c r="EW210" s="12"/>
      <c r="EX210" s="12"/>
      <c r="EY210" s="12"/>
      <c r="EZ210" s="12"/>
      <c r="FA210" s="12"/>
      <c r="FB210" s="12"/>
      <c r="FC210" s="12"/>
      <c r="FD210" s="12"/>
      <c r="FE210" s="12"/>
      <c r="FF210" s="12"/>
      <c r="FG210" s="12"/>
      <c r="FH210" s="12"/>
      <c r="FI210" s="12"/>
      <c r="FJ210" s="12"/>
      <c r="FK210" s="12"/>
      <c r="FL210" s="12"/>
      <c r="FM210" s="12"/>
      <c r="FN210" s="12"/>
      <c r="FO210" s="12"/>
      <c r="FP210" s="12"/>
      <c r="FQ210" s="12"/>
      <c r="FR210" s="12"/>
      <c r="FS210" s="12"/>
      <c r="FT210" s="12"/>
      <c r="FU210" s="12"/>
      <c r="FV210" s="12"/>
      <c r="FW210" s="12"/>
      <c r="FX210" s="12"/>
      <c r="FY210" s="12"/>
      <c r="FZ210" s="12"/>
      <c r="GA210" s="12"/>
      <c r="GB210" s="12"/>
      <c r="GC210" s="12"/>
      <c r="GD210" s="12"/>
      <c r="GE210" s="12"/>
      <c r="GF210" s="12"/>
      <c r="GG210" s="12"/>
      <c r="GH210" s="12"/>
      <c r="GI210" s="12"/>
      <c r="GJ210" s="12"/>
      <c r="GK210" s="12"/>
      <c r="GL210" s="12"/>
      <c r="GM210" s="12"/>
      <c r="GN210" s="12"/>
      <c r="GO210" s="12"/>
      <c r="GP210" s="12"/>
      <c r="GQ210" s="12"/>
      <c r="GR210" s="12"/>
      <c r="GS210" s="12"/>
      <c r="GT210" s="12"/>
      <c r="GU210" s="12"/>
      <c r="GV210" s="12"/>
      <c r="GW210" s="12"/>
      <c r="GX210" s="12"/>
      <c r="GY210" s="12"/>
      <c r="GZ210" s="12"/>
      <c r="HA210" s="12"/>
      <c r="HB210" s="12"/>
      <c r="HC210" s="12"/>
      <c r="HD210" s="12"/>
      <c r="HE210" s="12"/>
      <c r="HF210" s="12"/>
    </row>
    <row r="211" spans="1:214" x14ac:dyDescent="0.2">
      <c r="A211" s="65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46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  <c r="BN211" s="12"/>
      <c r="BO211" s="12"/>
      <c r="BP211" s="12"/>
      <c r="BQ211" s="12"/>
      <c r="BR211" s="12"/>
      <c r="BS211" s="12"/>
      <c r="BT211" s="12"/>
      <c r="BU211" s="12"/>
      <c r="BV211" s="12"/>
      <c r="BW211" s="12"/>
      <c r="BX211" s="12"/>
      <c r="BY211" s="12"/>
      <c r="BZ211" s="12"/>
      <c r="CA211" s="12"/>
      <c r="CB211" s="12"/>
      <c r="CC211" s="12"/>
      <c r="CD211" s="12"/>
      <c r="CE211" s="12"/>
      <c r="CF211" s="12"/>
      <c r="CG211" s="12"/>
      <c r="CH211" s="12"/>
      <c r="CI211" s="12"/>
      <c r="CJ211" s="12"/>
      <c r="CK211" s="12"/>
      <c r="CL211" s="12"/>
      <c r="CM211" s="12"/>
      <c r="CN211" s="12"/>
      <c r="CO211" s="12"/>
      <c r="CP211" s="12"/>
      <c r="CQ211" s="12"/>
      <c r="CR211" s="12"/>
      <c r="CS211" s="12"/>
      <c r="CT211" s="12"/>
      <c r="CU211" s="12"/>
      <c r="CV211" s="12"/>
      <c r="CW211" s="12"/>
      <c r="CX211" s="12"/>
      <c r="CY211" s="12"/>
      <c r="CZ211" s="12"/>
      <c r="DA211" s="12"/>
      <c r="DB211" s="12"/>
      <c r="DC211" s="12"/>
      <c r="DD211" s="12"/>
      <c r="DE211" s="12"/>
      <c r="DF211" s="12"/>
      <c r="DG211" s="12"/>
      <c r="DH211" s="12"/>
      <c r="DI211" s="12"/>
      <c r="DJ211" s="12"/>
      <c r="DK211" s="12"/>
      <c r="DL211" s="12"/>
      <c r="DM211" s="12"/>
      <c r="DN211" s="12"/>
      <c r="DO211" s="12"/>
      <c r="DP211" s="12"/>
      <c r="DQ211" s="12"/>
      <c r="DR211" s="12"/>
      <c r="DS211" s="12"/>
      <c r="DT211" s="12"/>
      <c r="DU211" s="12"/>
      <c r="DV211" s="12"/>
      <c r="DW211" s="12"/>
      <c r="DX211" s="12"/>
      <c r="DY211" s="12"/>
      <c r="DZ211" s="12"/>
      <c r="EA211" s="12"/>
      <c r="EB211" s="12"/>
      <c r="EC211" s="12"/>
      <c r="ED211" s="12"/>
      <c r="EE211" s="12"/>
      <c r="EF211" s="12"/>
      <c r="EG211" s="12"/>
      <c r="EH211" s="12"/>
      <c r="EI211" s="12"/>
      <c r="EJ211" s="12"/>
      <c r="EK211" s="12"/>
      <c r="EL211" s="12"/>
      <c r="EM211" s="12"/>
      <c r="EN211" s="12"/>
      <c r="EO211" s="12"/>
      <c r="EP211" s="12"/>
      <c r="EQ211" s="12"/>
      <c r="ER211" s="12"/>
      <c r="ES211" s="12"/>
      <c r="ET211" s="12"/>
      <c r="EU211" s="12"/>
      <c r="EV211" s="12"/>
      <c r="EW211" s="12"/>
      <c r="EX211" s="12"/>
      <c r="EY211" s="12"/>
      <c r="EZ211" s="12"/>
      <c r="FA211" s="12"/>
      <c r="FB211" s="12"/>
      <c r="FC211" s="12"/>
      <c r="FD211" s="12"/>
      <c r="FE211" s="12"/>
      <c r="FF211" s="12"/>
      <c r="FG211" s="12"/>
      <c r="FH211" s="12"/>
      <c r="FI211" s="12"/>
      <c r="FJ211" s="12"/>
      <c r="FK211" s="12"/>
      <c r="FL211" s="12"/>
      <c r="FM211" s="12"/>
      <c r="FN211" s="12"/>
      <c r="FO211" s="12"/>
      <c r="FP211" s="12"/>
      <c r="FQ211" s="12"/>
      <c r="FR211" s="12"/>
      <c r="FS211" s="12"/>
      <c r="FT211" s="12"/>
      <c r="FU211" s="12"/>
      <c r="FV211" s="12"/>
      <c r="FW211" s="12"/>
      <c r="FX211" s="12"/>
      <c r="FY211" s="12"/>
      <c r="FZ211" s="12"/>
      <c r="GA211" s="12"/>
      <c r="GB211" s="12"/>
      <c r="GC211" s="12"/>
      <c r="GD211" s="12"/>
      <c r="GE211" s="12"/>
      <c r="GF211" s="12"/>
      <c r="GG211" s="12"/>
      <c r="GH211" s="12"/>
      <c r="GI211" s="12"/>
      <c r="GJ211" s="12"/>
      <c r="GK211" s="12"/>
      <c r="GL211" s="12"/>
      <c r="GM211" s="12"/>
      <c r="GN211" s="12"/>
      <c r="GO211" s="12"/>
      <c r="GP211" s="12"/>
      <c r="GQ211" s="12"/>
      <c r="GR211" s="12"/>
      <c r="GS211" s="12"/>
      <c r="GT211" s="12"/>
      <c r="GU211" s="12"/>
      <c r="GV211" s="12"/>
      <c r="GW211" s="12"/>
      <c r="GX211" s="12"/>
      <c r="GY211" s="12"/>
      <c r="GZ211" s="12"/>
      <c r="HA211" s="12"/>
      <c r="HB211" s="12"/>
      <c r="HC211" s="12"/>
      <c r="HD211" s="12"/>
      <c r="HE211" s="12"/>
      <c r="HF211" s="12"/>
    </row>
    <row r="212" spans="1:214" x14ac:dyDescent="0.2">
      <c r="A212" s="65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46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  <c r="BN212" s="12"/>
      <c r="BO212" s="12"/>
      <c r="BP212" s="12"/>
      <c r="BQ212" s="12"/>
      <c r="BR212" s="12"/>
      <c r="BS212" s="12"/>
      <c r="BT212" s="12"/>
      <c r="BU212" s="12"/>
      <c r="BV212" s="12"/>
      <c r="BW212" s="12"/>
      <c r="BX212" s="12"/>
      <c r="BY212" s="12"/>
      <c r="BZ212" s="12"/>
      <c r="CA212" s="12"/>
      <c r="CB212" s="12"/>
      <c r="CC212" s="12"/>
      <c r="CD212" s="12"/>
      <c r="CE212" s="12"/>
      <c r="CF212" s="12"/>
      <c r="CG212" s="12"/>
      <c r="CH212" s="12"/>
      <c r="CI212" s="12"/>
      <c r="CJ212" s="12"/>
      <c r="CK212" s="12"/>
      <c r="CL212" s="12"/>
      <c r="CM212" s="12"/>
      <c r="CN212" s="12"/>
      <c r="CO212" s="12"/>
      <c r="CP212" s="12"/>
      <c r="CQ212" s="12"/>
      <c r="CR212" s="12"/>
      <c r="CS212" s="12"/>
      <c r="CT212" s="12"/>
      <c r="CU212" s="12"/>
      <c r="CV212" s="12"/>
      <c r="CW212" s="12"/>
      <c r="CX212" s="12"/>
      <c r="CY212" s="12"/>
      <c r="CZ212" s="12"/>
      <c r="DA212" s="12"/>
      <c r="DB212" s="12"/>
      <c r="DC212" s="12"/>
      <c r="DD212" s="12"/>
      <c r="DE212" s="12"/>
      <c r="DF212" s="12"/>
      <c r="DG212" s="12"/>
      <c r="DH212" s="12"/>
      <c r="DI212" s="12"/>
      <c r="DJ212" s="12"/>
      <c r="DK212" s="12"/>
      <c r="DL212" s="12"/>
      <c r="DM212" s="12"/>
      <c r="DN212" s="12"/>
      <c r="DO212" s="12"/>
      <c r="DP212" s="12"/>
      <c r="DQ212" s="12"/>
      <c r="DR212" s="12"/>
      <c r="DS212" s="12"/>
      <c r="DT212" s="12"/>
      <c r="DU212" s="12"/>
      <c r="DV212" s="12"/>
      <c r="DW212" s="12"/>
      <c r="DX212" s="12"/>
      <c r="DY212" s="12"/>
      <c r="DZ212" s="12"/>
      <c r="EA212" s="12"/>
      <c r="EB212" s="12"/>
      <c r="EC212" s="12"/>
      <c r="ED212" s="12"/>
      <c r="EE212" s="12"/>
      <c r="EF212" s="12"/>
      <c r="EG212" s="12"/>
      <c r="EH212" s="12"/>
      <c r="EI212" s="12"/>
      <c r="EJ212" s="12"/>
      <c r="EK212" s="12"/>
      <c r="EL212" s="12"/>
      <c r="EM212" s="12"/>
      <c r="EN212" s="12"/>
      <c r="EO212" s="12"/>
      <c r="EP212" s="12"/>
      <c r="EQ212" s="12"/>
      <c r="ER212" s="12"/>
      <c r="ES212" s="12"/>
      <c r="ET212" s="12"/>
      <c r="EU212" s="12"/>
      <c r="EV212" s="12"/>
      <c r="EW212" s="12"/>
      <c r="EX212" s="12"/>
      <c r="EY212" s="12"/>
      <c r="EZ212" s="12"/>
      <c r="FA212" s="12"/>
      <c r="FB212" s="12"/>
      <c r="FC212" s="12"/>
      <c r="FD212" s="12"/>
      <c r="FE212" s="12"/>
      <c r="FF212" s="12"/>
      <c r="FG212" s="12"/>
      <c r="FH212" s="12"/>
      <c r="FI212" s="12"/>
      <c r="FJ212" s="12"/>
      <c r="FK212" s="12"/>
      <c r="FL212" s="12"/>
      <c r="FM212" s="12"/>
      <c r="FN212" s="12"/>
      <c r="FO212" s="12"/>
      <c r="FP212" s="12"/>
      <c r="FQ212" s="12"/>
      <c r="FR212" s="12"/>
      <c r="FS212" s="12"/>
      <c r="FT212" s="12"/>
      <c r="FU212" s="12"/>
      <c r="FV212" s="12"/>
      <c r="FW212" s="12"/>
      <c r="FX212" s="12"/>
      <c r="FY212" s="12"/>
      <c r="FZ212" s="12"/>
      <c r="GA212" s="12"/>
      <c r="GB212" s="12"/>
      <c r="GC212" s="12"/>
      <c r="GD212" s="12"/>
      <c r="GE212" s="12"/>
      <c r="GF212" s="12"/>
      <c r="GG212" s="12"/>
      <c r="GH212" s="12"/>
      <c r="GI212" s="12"/>
      <c r="GJ212" s="12"/>
      <c r="GK212" s="12"/>
      <c r="GL212" s="12"/>
      <c r="GM212" s="12"/>
      <c r="GN212" s="12"/>
      <c r="GO212" s="12"/>
      <c r="GP212" s="12"/>
      <c r="GQ212" s="12"/>
      <c r="GR212" s="12"/>
      <c r="GS212" s="12"/>
      <c r="GT212" s="12"/>
      <c r="GU212" s="12"/>
      <c r="GV212" s="12"/>
      <c r="GW212" s="12"/>
      <c r="GX212" s="12"/>
      <c r="GY212" s="12"/>
      <c r="GZ212" s="12"/>
      <c r="HA212" s="12"/>
      <c r="HB212" s="12"/>
      <c r="HC212" s="12"/>
      <c r="HD212" s="12"/>
      <c r="HE212" s="12"/>
      <c r="HF212" s="12"/>
    </row>
    <row r="213" spans="1:214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46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  <c r="BV213" s="12"/>
      <c r="BW213" s="12"/>
      <c r="BX213" s="12"/>
      <c r="BY213" s="12"/>
      <c r="BZ213" s="12"/>
      <c r="CA213" s="12"/>
      <c r="CB213" s="12"/>
      <c r="CC213" s="12"/>
      <c r="CD213" s="12"/>
      <c r="CE213" s="12"/>
      <c r="CF213" s="12"/>
      <c r="CG213" s="12"/>
      <c r="CH213" s="12"/>
      <c r="CI213" s="12"/>
      <c r="CJ213" s="12"/>
      <c r="CK213" s="12"/>
      <c r="CL213" s="12"/>
      <c r="CM213" s="12"/>
      <c r="CN213" s="12"/>
      <c r="CO213" s="12"/>
      <c r="CP213" s="12"/>
      <c r="CQ213" s="12"/>
      <c r="CR213" s="12"/>
      <c r="CS213" s="12"/>
      <c r="CT213" s="12"/>
      <c r="CU213" s="12"/>
      <c r="CV213" s="12"/>
      <c r="CW213" s="12"/>
      <c r="CX213" s="12"/>
      <c r="CY213" s="12"/>
      <c r="CZ213" s="12"/>
      <c r="DA213" s="12"/>
      <c r="DB213" s="12"/>
      <c r="DC213" s="12"/>
      <c r="DD213" s="12"/>
      <c r="DE213" s="12"/>
      <c r="DF213" s="12"/>
      <c r="DG213" s="12"/>
      <c r="DH213" s="12"/>
      <c r="DI213" s="12"/>
      <c r="DJ213" s="12"/>
      <c r="DK213" s="12"/>
      <c r="DL213" s="12"/>
      <c r="DM213" s="12"/>
      <c r="DN213" s="12"/>
      <c r="DO213" s="12"/>
      <c r="DP213" s="12"/>
      <c r="DQ213" s="12"/>
      <c r="DR213" s="12"/>
      <c r="DS213" s="12"/>
      <c r="DT213" s="12"/>
      <c r="DU213" s="12"/>
      <c r="DV213" s="12"/>
      <c r="DW213" s="12"/>
      <c r="DX213" s="12"/>
      <c r="DY213" s="12"/>
      <c r="DZ213" s="12"/>
      <c r="EA213" s="12"/>
      <c r="EB213" s="12"/>
      <c r="EC213" s="12"/>
      <c r="ED213" s="12"/>
      <c r="EE213" s="12"/>
      <c r="EF213" s="12"/>
      <c r="EG213" s="12"/>
      <c r="EH213" s="12"/>
      <c r="EI213" s="12"/>
      <c r="EJ213" s="12"/>
      <c r="EK213" s="12"/>
      <c r="EL213" s="12"/>
      <c r="EM213" s="12"/>
      <c r="EN213" s="12"/>
      <c r="EO213" s="12"/>
      <c r="EP213" s="12"/>
      <c r="EQ213" s="12"/>
      <c r="ER213" s="12"/>
      <c r="ES213" s="12"/>
      <c r="ET213" s="12"/>
      <c r="EU213" s="12"/>
      <c r="EV213" s="12"/>
      <c r="EW213" s="12"/>
      <c r="EX213" s="12"/>
      <c r="EY213" s="12"/>
      <c r="EZ213" s="12"/>
      <c r="FA213" s="12"/>
      <c r="FB213" s="12"/>
      <c r="FC213" s="12"/>
      <c r="FD213" s="12"/>
      <c r="FE213" s="12"/>
      <c r="FF213" s="12"/>
      <c r="FG213" s="12"/>
      <c r="FH213" s="12"/>
      <c r="FI213" s="12"/>
      <c r="FJ213" s="12"/>
      <c r="FK213" s="12"/>
      <c r="FL213" s="12"/>
      <c r="FM213" s="12"/>
      <c r="FN213" s="12"/>
      <c r="FO213" s="12"/>
      <c r="FP213" s="12"/>
      <c r="FQ213" s="12"/>
      <c r="FR213" s="12"/>
      <c r="FS213" s="12"/>
      <c r="FT213" s="12"/>
      <c r="FU213" s="12"/>
      <c r="FV213" s="12"/>
      <c r="FW213" s="12"/>
      <c r="FX213" s="12"/>
      <c r="FY213" s="12"/>
      <c r="FZ213" s="12"/>
      <c r="GA213" s="12"/>
      <c r="GB213" s="12"/>
      <c r="GC213" s="12"/>
      <c r="GD213" s="12"/>
      <c r="GE213" s="12"/>
      <c r="GF213" s="12"/>
      <c r="GG213" s="12"/>
      <c r="GH213" s="12"/>
      <c r="GI213" s="12"/>
      <c r="GJ213" s="12"/>
      <c r="GK213" s="12"/>
      <c r="GL213" s="12"/>
      <c r="GM213" s="12"/>
      <c r="GN213" s="12"/>
      <c r="GO213" s="12"/>
      <c r="GP213" s="12"/>
      <c r="GQ213" s="12"/>
      <c r="GR213" s="12"/>
      <c r="GS213" s="12"/>
      <c r="GT213" s="12"/>
      <c r="GU213" s="12"/>
      <c r="GV213" s="12"/>
      <c r="GW213" s="12"/>
      <c r="GX213" s="12"/>
      <c r="GY213" s="12"/>
      <c r="GZ213" s="12"/>
      <c r="HA213" s="12"/>
      <c r="HB213" s="12"/>
      <c r="HC213" s="12"/>
      <c r="HD213" s="12"/>
      <c r="HE213" s="12"/>
      <c r="HF213" s="12"/>
    </row>
    <row r="214" spans="1:214" x14ac:dyDescent="0.2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46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  <c r="BN214" s="12"/>
      <c r="BO214" s="12"/>
      <c r="BP214" s="12"/>
      <c r="BQ214" s="12"/>
      <c r="BR214" s="12"/>
      <c r="BS214" s="12"/>
      <c r="BT214" s="12"/>
      <c r="BU214" s="12"/>
      <c r="BV214" s="12"/>
      <c r="BW214" s="12"/>
      <c r="BX214" s="12"/>
      <c r="BY214" s="12"/>
      <c r="BZ214" s="12"/>
      <c r="CA214" s="12"/>
      <c r="CB214" s="12"/>
      <c r="CC214" s="12"/>
      <c r="CD214" s="12"/>
      <c r="CE214" s="12"/>
      <c r="CF214" s="12"/>
      <c r="CG214" s="12"/>
      <c r="CH214" s="12"/>
      <c r="CI214" s="12"/>
      <c r="CJ214" s="12"/>
      <c r="CK214" s="12"/>
      <c r="CL214" s="12"/>
      <c r="CM214" s="12"/>
      <c r="CN214" s="12"/>
      <c r="CO214" s="12"/>
      <c r="CP214" s="12"/>
      <c r="CQ214" s="12"/>
      <c r="CR214" s="12"/>
      <c r="CS214" s="12"/>
      <c r="CT214" s="12"/>
      <c r="CU214" s="12"/>
      <c r="CV214" s="12"/>
      <c r="CW214" s="12"/>
      <c r="CX214" s="12"/>
      <c r="CY214" s="12"/>
      <c r="CZ214" s="12"/>
      <c r="DA214" s="12"/>
      <c r="DB214" s="12"/>
      <c r="DC214" s="12"/>
      <c r="DD214" s="12"/>
      <c r="DE214" s="12"/>
      <c r="DF214" s="12"/>
      <c r="DG214" s="12"/>
      <c r="DH214" s="12"/>
      <c r="DI214" s="12"/>
      <c r="DJ214" s="12"/>
      <c r="DK214" s="12"/>
      <c r="DL214" s="12"/>
      <c r="DM214" s="12"/>
      <c r="DN214" s="12"/>
      <c r="DO214" s="12"/>
      <c r="DP214" s="12"/>
      <c r="DQ214" s="12"/>
      <c r="DR214" s="12"/>
      <c r="DS214" s="12"/>
      <c r="DT214" s="12"/>
      <c r="DU214" s="12"/>
      <c r="DV214" s="12"/>
      <c r="DW214" s="12"/>
      <c r="DX214" s="12"/>
      <c r="DY214" s="12"/>
      <c r="DZ214" s="12"/>
      <c r="EA214" s="12"/>
      <c r="EB214" s="12"/>
      <c r="EC214" s="12"/>
      <c r="ED214" s="12"/>
      <c r="EE214" s="12"/>
      <c r="EF214" s="12"/>
      <c r="EG214" s="12"/>
      <c r="EH214" s="12"/>
      <c r="EI214" s="12"/>
      <c r="EJ214" s="12"/>
      <c r="EK214" s="12"/>
      <c r="EL214" s="12"/>
      <c r="EM214" s="12"/>
      <c r="EN214" s="12"/>
      <c r="EO214" s="12"/>
      <c r="EP214" s="12"/>
      <c r="EQ214" s="12"/>
      <c r="ER214" s="12"/>
      <c r="ES214" s="12"/>
      <c r="ET214" s="12"/>
      <c r="EU214" s="12"/>
      <c r="EV214" s="12"/>
      <c r="EW214" s="12"/>
      <c r="EX214" s="12"/>
      <c r="EY214" s="12"/>
      <c r="EZ214" s="12"/>
      <c r="FA214" s="12"/>
      <c r="FB214" s="12"/>
      <c r="FC214" s="12"/>
      <c r="FD214" s="12"/>
      <c r="FE214" s="12"/>
      <c r="FF214" s="12"/>
      <c r="FG214" s="12"/>
      <c r="FH214" s="12"/>
      <c r="FI214" s="12"/>
      <c r="FJ214" s="12"/>
      <c r="FK214" s="12"/>
      <c r="FL214" s="12"/>
      <c r="FM214" s="12"/>
      <c r="FN214" s="12"/>
      <c r="FO214" s="12"/>
      <c r="FP214" s="12"/>
      <c r="FQ214" s="12"/>
      <c r="FR214" s="12"/>
      <c r="FS214" s="12"/>
      <c r="FT214" s="12"/>
      <c r="FU214" s="12"/>
      <c r="FV214" s="12"/>
      <c r="FW214" s="12"/>
      <c r="FX214" s="12"/>
      <c r="FY214" s="12"/>
      <c r="FZ214" s="12"/>
      <c r="GA214" s="12"/>
      <c r="GB214" s="12"/>
      <c r="GC214" s="12"/>
      <c r="GD214" s="12"/>
      <c r="GE214" s="12"/>
      <c r="GF214" s="12"/>
      <c r="GG214" s="12"/>
      <c r="GH214" s="12"/>
      <c r="GI214" s="12"/>
      <c r="GJ214" s="12"/>
      <c r="GK214" s="12"/>
      <c r="GL214" s="12"/>
      <c r="GM214" s="12"/>
      <c r="GN214" s="12"/>
      <c r="GO214" s="12"/>
      <c r="GP214" s="12"/>
      <c r="GQ214" s="12"/>
      <c r="GR214" s="12"/>
      <c r="GS214" s="12"/>
      <c r="GT214" s="12"/>
      <c r="GU214" s="12"/>
      <c r="GV214" s="12"/>
      <c r="GW214" s="12"/>
      <c r="GX214" s="12"/>
      <c r="GY214" s="12"/>
      <c r="GZ214" s="12"/>
      <c r="HA214" s="12"/>
      <c r="HB214" s="12"/>
      <c r="HC214" s="12"/>
      <c r="HD214" s="12"/>
      <c r="HE214" s="12"/>
      <c r="HF214" s="12"/>
    </row>
    <row r="215" spans="1:214" x14ac:dyDescent="0.2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46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  <c r="BN215" s="12"/>
      <c r="BO215" s="12"/>
      <c r="BP215" s="12"/>
      <c r="BQ215" s="12"/>
      <c r="BR215" s="12"/>
      <c r="BS215" s="12"/>
      <c r="BT215" s="12"/>
      <c r="BU215" s="12"/>
      <c r="BV215" s="12"/>
      <c r="BW215" s="12"/>
      <c r="BX215" s="12"/>
      <c r="BY215" s="12"/>
      <c r="BZ215" s="12"/>
      <c r="CA215" s="12"/>
      <c r="CB215" s="12"/>
      <c r="CC215" s="12"/>
      <c r="CD215" s="12"/>
      <c r="CE215" s="12"/>
      <c r="CF215" s="12"/>
      <c r="CG215" s="12"/>
      <c r="CH215" s="12"/>
      <c r="CI215" s="12"/>
      <c r="CJ215" s="12"/>
      <c r="CK215" s="12"/>
      <c r="CL215" s="12"/>
      <c r="CM215" s="12"/>
      <c r="CN215" s="12"/>
      <c r="CO215" s="12"/>
      <c r="CP215" s="12"/>
      <c r="CQ215" s="12"/>
      <c r="CR215" s="12"/>
      <c r="CS215" s="12"/>
      <c r="CT215" s="12"/>
      <c r="CU215" s="12"/>
      <c r="CV215" s="12"/>
      <c r="CW215" s="12"/>
      <c r="CX215" s="12"/>
      <c r="CY215" s="12"/>
      <c r="CZ215" s="12"/>
      <c r="DA215" s="12"/>
      <c r="DB215" s="12"/>
      <c r="DC215" s="12"/>
      <c r="DD215" s="12"/>
      <c r="DE215" s="12"/>
      <c r="DF215" s="12"/>
      <c r="DG215" s="12"/>
      <c r="DH215" s="12"/>
      <c r="DI215" s="12"/>
      <c r="DJ215" s="12"/>
      <c r="DK215" s="12"/>
      <c r="DL215" s="12"/>
      <c r="DM215" s="12"/>
      <c r="DN215" s="12"/>
      <c r="DO215" s="12"/>
      <c r="DP215" s="12"/>
      <c r="DQ215" s="12"/>
      <c r="DR215" s="12"/>
      <c r="DS215" s="12"/>
      <c r="DT215" s="12"/>
      <c r="DU215" s="12"/>
      <c r="DV215" s="12"/>
      <c r="DW215" s="12"/>
      <c r="DX215" s="12"/>
      <c r="DY215" s="12"/>
      <c r="DZ215" s="12"/>
      <c r="EA215" s="12"/>
      <c r="EB215" s="12"/>
      <c r="EC215" s="12"/>
      <c r="ED215" s="12"/>
      <c r="EE215" s="12"/>
      <c r="EF215" s="12"/>
      <c r="EG215" s="12"/>
      <c r="EH215" s="12"/>
      <c r="EI215" s="12"/>
      <c r="EJ215" s="12"/>
      <c r="EK215" s="12"/>
      <c r="EL215" s="12"/>
      <c r="EM215" s="12"/>
      <c r="EN215" s="12"/>
      <c r="EO215" s="12"/>
      <c r="EP215" s="12"/>
      <c r="EQ215" s="12"/>
      <c r="ER215" s="12"/>
      <c r="ES215" s="12"/>
      <c r="ET215" s="12"/>
      <c r="EU215" s="12"/>
      <c r="EV215" s="12"/>
      <c r="EW215" s="12"/>
      <c r="EX215" s="12"/>
      <c r="EY215" s="12"/>
      <c r="EZ215" s="12"/>
      <c r="FA215" s="12"/>
      <c r="FB215" s="12"/>
      <c r="FC215" s="12"/>
      <c r="FD215" s="12"/>
      <c r="FE215" s="12"/>
      <c r="FF215" s="12"/>
      <c r="FG215" s="12"/>
      <c r="FH215" s="12"/>
      <c r="FI215" s="12"/>
      <c r="FJ215" s="12"/>
      <c r="FK215" s="12"/>
      <c r="FL215" s="12"/>
      <c r="FM215" s="12"/>
      <c r="FN215" s="12"/>
      <c r="FO215" s="12"/>
      <c r="FP215" s="12"/>
      <c r="FQ215" s="12"/>
      <c r="FR215" s="12"/>
      <c r="FS215" s="12"/>
      <c r="FT215" s="12"/>
      <c r="FU215" s="12"/>
      <c r="FV215" s="12"/>
      <c r="FW215" s="12"/>
      <c r="FX215" s="12"/>
      <c r="FY215" s="12"/>
      <c r="FZ215" s="12"/>
      <c r="GA215" s="12"/>
      <c r="GB215" s="12"/>
      <c r="GC215" s="12"/>
      <c r="GD215" s="12"/>
      <c r="GE215" s="12"/>
      <c r="GF215" s="12"/>
      <c r="GG215" s="12"/>
      <c r="GH215" s="12"/>
      <c r="GI215" s="12"/>
      <c r="GJ215" s="12"/>
      <c r="GK215" s="12"/>
      <c r="GL215" s="12"/>
      <c r="GM215" s="12"/>
      <c r="GN215" s="12"/>
      <c r="GO215" s="12"/>
      <c r="GP215" s="12"/>
      <c r="GQ215" s="12"/>
      <c r="GR215" s="12"/>
      <c r="GS215" s="12"/>
      <c r="GT215" s="12"/>
      <c r="GU215" s="12"/>
      <c r="GV215" s="12"/>
      <c r="GW215" s="12"/>
      <c r="GX215" s="12"/>
      <c r="GY215" s="12"/>
      <c r="GZ215" s="12"/>
      <c r="HA215" s="12"/>
      <c r="HB215" s="12"/>
      <c r="HC215" s="12"/>
      <c r="HD215" s="12"/>
      <c r="HE215" s="12"/>
      <c r="HF215" s="12"/>
    </row>
    <row r="216" spans="1:214" x14ac:dyDescent="0.2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46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  <c r="BN216" s="12"/>
      <c r="BO216" s="12"/>
      <c r="BP216" s="12"/>
      <c r="BQ216" s="12"/>
      <c r="BR216" s="12"/>
      <c r="BS216" s="12"/>
      <c r="BT216" s="12"/>
      <c r="BU216" s="12"/>
      <c r="BV216" s="12"/>
      <c r="BW216" s="12"/>
      <c r="BX216" s="12"/>
      <c r="BY216" s="12"/>
      <c r="BZ216" s="12"/>
      <c r="CA216" s="12"/>
      <c r="CB216" s="12"/>
      <c r="CC216" s="12"/>
      <c r="CD216" s="12"/>
      <c r="CE216" s="12"/>
      <c r="CF216" s="12"/>
      <c r="CG216" s="12"/>
      <c r="CH216" s="12"/>
      <c r="CI216" s="12"/>
      <c r="CJ216" s="12"/>
      <c r="CK216" s="12"/>
      <c r="CL216" s="12"/>
      <c r="CM216" s="12"/>
      <c r="CN216" s="12"/>
      <c r="CO216" s="12"/>
      <c r="CP216" s="12"/>
      <c r="CQ216" s="12"/>
      <c r="CR216" s="12"/>
      <c r="CS216" s="12"/>
      <c r="CT216" s="12"/>
      <c r="CU216" s="12"/>
      <c r="CV216" s="12"/>
      <c r="CW216" s="12"/>
      <c r="CX216" s="12"/>
      <c r="CY216" s="12"/>
      <c r="CZ216" s="12"/>
      <c r="DA216" s="12"/>
      <c r="DB216" s="12"/>
      <c r="DC216" s="12"/>
      <c r="DD216" s="12"/>
      <c r="DE216" s="12"/>
      <c r="DF216" s="12"/>
      <c r="DG216" s="12"/>
      <c r="DH216" s="12"/>
      <c r="DI216" s="12"/>
      <c r="DJ216" s="12"/>
      <c r="DK216" s="12"/>
      <c r="DL216" s="12"/>
      <c r="DM216" s="12"/>
      <c r="DN216" s="12"/>
      <c r="DO216" s="12"/>
      <c r="DP216" s="12"/>
      <c r="DQ216" s="12"/>
      <c r="DR216" s="12"/>
      <c r="DS216" s="12"/>
      <c r="DT216" s="12"/>
      <c r="DU216" s="12"/>
      <c r="DV216" s="12"/>
      <c r="DW216" s="12"/>
      <c r="DX216" s="12"/>
      <c r="DY216" s="12"/>
      <c r="DZ216" s="12"/>
      <c r="EA216" s="12"/>
      <c r="EB216" s="12"/>
      <c r="EC216" s="12"/>
      <c r="ED216" s="12"/>
      <c r="EE216" s="12"/>
      <c r="EF216" s="12"/>
      <c r="EG216" s="12"/>
      <c r="EH216" s="12"/>
      <c r="EI216" s="12"/>
      <c r="EJ216" s="12"/>
      <c r="EK216" s="12"/>
      <c r="EL216" s="12"/>
      <c r="EM216" s="12"/>
      <c r="EN216" s="12"/>
      <c r="EO216" s="12"/>
      <c r="EP216" s="12"/>
      <c r="EQ216" s="12"/>
      <c r="ER216" s="12"/>
      <c r="ES216" s="12"/>
      <c r="ET216" s="12"/>
      <c r="EU216" s="12"/>
      <c r="EV216" s="12"/>
      <c r="EW216" s="12"/>
      <c r="EX216" s="12"/>
      <c r="EY216" s="12"/>
      <c r="EZ216" s="12"/>
      <c r="FA216" s="12"/>
      <c r="FB216" s="12"/>
      <c r="FC216" s="12"/>
      <c r="FD216" s="12"/>
      <c r="FE216" s="12"/>
      <c r="FF216" s="12"/>
      <c r="FG216" s="12"/>
      <c r="FH216" s="12"/>
      <c r="FI216" s="12"/>
      <c r="FJ216" s="12"/>
      <c r="FK216" s="12"/>
      <c r="FL216" s="12"/>
      <c r="FM216" s="12"/>
      <c r="FN216" s="12"/>
      <c r="FO216" s="12"/>
      <c r="FP216" s="12"/>
      <c r="FQ216" s="12"/>
      <c r="FR216" s="12"/>
      <c r="FS216" s="12"/>
      <c r="FT216" s="12"/>
      <c r="FU216" s="12"/>
      <c r="FV216" s="12"/>
      <c r="FW216" s="12"/>
      <c r="FX216" s="12"/>
      <c r="FY216" s="12"/>
      <c r="FZ216" s="12"/>
      <c r="GA216" s="12"/>
      <c r="GB216" s="12"/>
      <c r="GC216" s="12"/>
      <c r="GD216" s="12"/>
      <c r="GE216" s="12"/>
      <c r="GF216" s="12"/>
      <c r="GG216" s="12"/>
      <c r="GH216" s="12"/>
      <c r="GI216" s="12"/>
      <c r="GJ216" s="12"/>
      <c r="GK216" s="12"/>
      <c r="GL216" s="12"/>
      <c r="GM216" s="12"/>
      <c r="GN216" s="12"/>
      <c r="GO216" s="12"/>
      <c r="GP216" s="12"/>
      <c r="GQ216" s="12"/>
      <c r="GR216" s="12"/>
      <c r="GS216" s="12"/>
      <c r="GT216" s="12"/>
      <c r="GU216" s="12"/>
      <c r="GV216" s="12"/>
      <c r="GW216" s="12"/>
      <c r="GX216" s="12"/>
      <c r="GY216" s="12"/>
      <c r="GZ216" s="12"/>
      <c r="HA216" s="12"/>
      <c r="HB216" s="12"/>
      <c r="HC216" s="12"/>
      <c r="HD216" s="12"/>
      <c r="HE216" s="12"/>
      <c r="HF216" s="12"/>
    </row>
    <row r="217" spans="1:214" x14ac:dyDescent="0.2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46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  <c r="BN217" s="12"/>
      <c r="BO217" s="12"/>
      <c r="BP217" s="12"/>
      <c r="BQ217" s="12"/>
      <c r="BR217" s="12"/>
      <c r="BS217" s="12"/>
      <c r="BT217" s="12"/>
      <c r="BU217" s="12"/>
      <c r="BV217" s="12"/>
      <c r="BW217" s="12"/>
      <c r="BX217" s="12"/>
      <c r="BY217" s="12"/>
      <c r="BZ217" s="12"/>
      <c r="CA217" s="12"/>
      <c r="CB217" s="12"/>
      <c r="CC217" s="12"/>
      <c r="CD217" s="12"/>
      <c r="CE217" s="12"/>
      <c r="CF217" s="12"/>
      <c r="CG217" s="12"/>
      <c r="CH217" s="12"/>
      <c r="CI217" s="12"/>
      <c r="CJ217" s="12"/>
      <c r="CK217" s="12"/>
      <c r="CL217" s="12"/>
      <c r="CM217" s="12"/>
      <c r="CN217" s="12"/>
      <c r="CO217" s="12"/>
      <c r="CP217" s="12"/>
      <c r="CQ217" s="12"/>
      <c r="CR217" s="12"/>
      <c r="CS217" s="12"/>
      <c r="CT217" s="12"/>
      <c r="CU217" s="12"/>
      <c r="CV217" s="12"/>
      <c r="CW217" s="12"/>
      <c r="CX217" s="12"/>
      <c r="CY217" s="12"/>
      <c r="CZ217" s="12"/>
      <c r="DA217" s="12"/>
      <c r="DB217" s="12"/>
      <c r="DC217" s="12"/>
      <c r="DD217" s="12"/>
      <c r="DE217" s="12"/>
      <c r="DF217" s="12"/>
      <c r="DG217" s="12"/>
      <c r="DH217" s="12"/>
      <c r="DI217" s="12"/>
      <c r="DJ217" s="12"/>
      <c r="DK217" s="12"/>
      <c r="DL217" s="12"/>
      <c r="DM217" s="12"/>
      <c r="DN217" s="12"/>
      <c r="DO217" s="12"/>
      <c r="DP217" s="12"/>
      <c r="DQ217" s="12"/>
      <c r="DR217" s="12"/>
      <c r="DS217" s="12"/>
      <c r="DT217" s="12"/>
      <c r="DU217" s="12"/>
      <c r="DV217" s="12"/>
      <c r="DW217" s="12"/>
      <c r="DX217" s="12"/>
      <c r="DY217" s="12"/>
      <c r="DZ217" s="12"/>
      <c r="EA217" s="12"/>
      <c r="EB217" s="12"/>
      <c r="EC217" s="12"/>
      <c r="ED217" s="12"/>
      <c r="EE217" s="12"/>
      <c r="EF217" s="12"/>
      <c r="EG217" s="12"/>
      <c r="EH217" s="12"/>
      <c r="EI217" s="12"/>
      <c r="EJ217" s="12"/>
      <c r="EK217" s="12"/>
      <c r="EL217" s="12"/>
      <c r="EM217" s="12"/>
      <c r="EN217" s="12"/>
      <c r="EO217" s="12"/>
      <c r="EP217" s="12"/>
      <c r="EQ217" s="12"/>
      <c r="ER217" s="12"/>
      <c r="ES217" s="12"/>
      <c r="ET217" s="12"/>
      <c r="EU217" s="12"/>
      <c r="EV217" s="12"/>
      <c r="EW217" s="12"/>
      <c r="EX217" s="12"/>
      <c r="EY217" s="12"/>
      <c r="EZ217" s="12"/>
      <c r="FA217" s="12"/>
      <c r="FB217" s="12"/>
      <c r="FC217" s="12"/>
      <c r="FD217" s="12"/>
      <c r="FE217" s="12"/>
      <c r="FF217" s="12"/>
      <c r="FG217" s="12"/>
      <c r="FH217" s="12"/>
      <c r="FI217" s="12"/>
      <c r="FJ217" s="12"/>
      <c r="FK217" s="12"/>
      <c r="FL217" s="12"/>
      <c r="FM217" s="12"/>
      <c r="FN217" s="12"/>
      <c r="FO217" s="12"/>
      <c r="FP217" s="12"/>
      <c r="FQ217" s="12"/>
      <c r="FR217" s="12"/>
      <c r="FS217" s="12"/>
      <c r="FT217" s="12"/>
      <c r="FU217" s="12"/>
      <c r="FV217" s="12"/>
      <c r="FW217" s="12"/>
      <c r="FX217" s="12"/>
      <c r="FY217" s="12"/>
      <c r="FZ217" s="12"/>
      <c r="GA217" s="12"/>
      <c r="GB217" s="12"/>
      <c r="GC217" s="12"/>
      <c r="GD217" s="12"/>
      <c r="GE217" s="12"/>
      <c r="GF217" s="12"/>
      <c r="GG217" s="12"/>
      <c r="GH217" s="12"/>
      <c r="GI217" s="12"/>
      <c r="GJ217" s="12"/>
      <c r="GK217" s="12"/>
      <c r="GL217" s="12"/>
      <c r="GM217" s="12"/>
      <c r="GN217" s="12"/>
      <c r="GO217" s="12"/>
      <c r="GP217" s="12"/>
      <c r="GQ217" s="12"/>
      <c r="GR217" s="12"/>
      <c r="GS217" s="12"/>
      <c r="GT217" s="12"/>
      <c r="GU217" s="12"/>
      <c r="GV217" s="12"/>
      <c r="GW217" s="12"/>
      <c r="GX217" s="12"/>
      <c r="GY217" s="12"/>
      <c r="GZ217" s="12"/>
      <c r="HA217" s="12"/>
      <c r="HB217" s="12"/>
      <c r="HC217" s="12"/>
      <c r="HD217" s="12"/>
      <c r="HE217" s="12"/>
      <c r="HF217" s="12"/>
    </row>
    <row r="218" spans="1:214" x14ac:dyDescent="0.2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46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  <c r="BN218" s="12"/>
      <c r="BO218" s="12"/>
      <c r="BP218" s="12"/>
      <c r="BQ218" s="12"/>
      <c r="BR218" s="12"/>
      <c r="BS218" s="12"/>
      <c r="BT218" s="12"/>
      <c r="BU218" s="12"/>
      <c r="BV218" s="12"/>
      <c r="BW218" s="12"/>
      <c r="BX218" s="12"/>
      <c r="BY218" s="12"/>
      <c r="BZ218" s="12"/>
      <c r="CA218" s="12"/>
      <c r="CB218" s="12"/>
      <c r="CC218" s="12"/>
      <c r="CD218" s="12"/>
      <c r="CE218" s="12"/>
      <c r="CF218" s="12"/>
      <c r="CG218" s="12"/>
      <c r="CH218" s="12"/>
      <c r="CI218" s="12"/>
      <c r="CJ218" s="12"/>
      <c r="CK218" s="12"/>
      <c r="CL218" s="12"/>
      <c r="CM218" s="12"/>
      <c r="CN218" s="12"/>
      <c r="CO218" s="12"/>
      <c r="CP218" s="12"/>
      <c r="CQ218" s="12"/>
      <c r="CR218" s="12"/>
      <c r="CS218" s="12"/>
      <c r="CT218" s="12"/>
      <c r="CU218" s="12"/>
      <c r="CV218" s="12"/>
      <c r="CW218" s="12"/>
      <c r="CX218" s="12"/>
      <c r="CY218" s="12"/>
      <c r="CZ218" s="12"/>
      <c r="DA218" s="12"/>
      <c r="DB218" s="12"/>
      <c r="DC218" s="12"/>
      <c r="DD218" s="12"/>
      <c r="DE218" s="12"/>
      <c r="DF218" s="12"/>
      <c r="DG218" s="12"/>
      <c r="DH218" s="12"/>
      <c r="DI218" s="12"/>
      <c r="DJ218" s="12"/>
      <c r="DK218" s="12"/>
      <c r="DL218" s="12"/>
      <c r="DM218" s="12"/>
      <c r="DN218" s="12"/>
      <c r="DO218" s="12"/>
      <c r="DP218" s="12"/>
      <c r="DQ218" s="12"/>
      <c r="DR218" s="12"/>
      <c r="DS218" s="12"/>
      <c r="DT218" s="12"/>
      <c r="DU218" s="12"/>
      <c r="DV218" s="12"/>
      <c r="DW218" s="12"/>
      <c r="DX218" s="12"/>
      <c r="DY218" s="12"/>
      <c r="DZ218" s="12"/>
      <c r="EA218" s="12"/>
      <c r="EB218" s="12"/>
      <c r="EC218" s="12"/>
      <c r="ED218" s="12"/>
      <c r="EE218" s="12"/>
      <c r="EF218" s="12"/>
      <c r="EG218" s="12"/>
      <c r="EH218" s="12"/>
      <c r="EI218" s="12"/>
      <c r="EJ218" s="12"/>
      <c r="EK218" s="12"/>
      <c r="EL218" s="12"/>
      <c r="EM218" s="12"/>
      <c r="EN218" s="12"/>
      <c r="EO218" s="12"/>
      <c r="EP218" s="12"/>
      <c r="EQ218" s="12"/>
      <c r="ER218" s="12"/>
      <c r="ES218" s="12"/>
      <c r="ET218" s="12"/>
      <c r="EU218" s="12"/>
      <c r="EV218" s="12"/>
      <c r="EW218" s="12"/>
      <c r="EX218" s="12"/>
      <c r="EY218" s="12"/>
      <c r="EZ218" s="12"/>
      <c r="FA218" s="12"/>
      <c r="FB218" s="12"/>
      <c r="FC218" s="12"/>
      <c r="FD218" s="12"/>
      <c r="FE218" s="12"/>
      <c r="FF218" s="12"/>
      <c r="FG218" s="12"/>
      <c r="FH218" s="12"/>
      <c r="FI218" s="12"/>
      <c r="FJ218" s="12"/>
      <c r="FK218" s="12"/>
      <c r="FL218" s="12"/>
      <c r="FM218" s="12"/>
      <c r="FN218" s="12"/>
      <c r="FO218" s="12"/>
      <c r="FP218" s="12"/>
      <c r="FQ218" s="12"/>
      <c r="FR218" s="12"/>
      <c r="FS218" s="12"/>
      <c r="FT218" s="12"/>
      <c r="FU218" s="12"/>
      <c r="FV218" s="12"/>
      <c r="FW218" s="12"/>
      <c r="FX218" s="12"/>
      <c r="FY218" s="12"/>
      <c r="FZ218" s="12"/>
      <c r="GA218" s="12"/>
      <c r="GB218" s="12"/>
      <c r="GC218" s="12"/>
      <c r="GD218" s="12"/>
      <c r="GE218" s="12"/>
      <c r="GF218" s="12"/>
      <c r="GG218" s="12"/>
      <c r="GH218" s="12"/>
      <c r="GI218" s="12"/>
      <c r="GJ218" s="12"/>
      <c r="GK218" s="12"/>
      <c r="GL218" s="12"/>
      <c r="GM218" s="12"/>
      <c r="GN218" s="12"/>
      <c r="GO218" s="12"/>
      <c r="GP218" s="12"/>
      <c r="GQ218" s="12"/>
      <c r="GR218" s="12"/>
      <c r="GS218" s="12"/>
      <c r="GT218" s="12"/>
      <c r="GU218" s="12"/>
      <c r="GV218" s="12"/>
      <c r="GW218" s="12"/>
      <c r="GX218" s="12"/>
      <c r="GY218" s="12"/>
      <c r="GZ218" s="12"/>
      <c r="HA218" s="12"/>
      <c r="HB218" s="12"/>
      <c r="HC218" s="12"/>
      <c r="HD218" s="12"/>
      <c r="HE218" s="12"/>
      <c r="HF218" s="12"/>
    </row>
    <row r="219" spans="1:214" x14ac:dyDescent="0.2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46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  <c r="BN219" s="12"/>
      <c r="BO219" s="12"/>
      <c r="BP219" s="12"/>
      <c r="BQ219" s="12"/>
      <c r="BR219" s="12"/>
      <c r="BS219" s="12"/>
      <c r="BT219" s="12"/>
      <c r="BU219" s="12"/>
      <c r="BV219" s="12"/>
      <c r="BW219" s="12"/>
      <c r="BX219" s="12"/>
      <c r="BY219" s="12"/>
      <c r="BZ219" s="12"/>
      <c r="CA219" s="12"/>
      <c r="CB219" s="12"/>
      <c r="CC219" s="12"/>
      <c r="CD219" s="12"/>
      <c r="CE219" s="12"/>
      <c r="CF219" s="12"/>
      <c r="CG219" s="12"/>
      <c r="CH219" s="12"/>
      <c r="CI219" s="12"/>
      <c r="CJ219" s="12"/>
      <c r="CK219" s="12"/>
      <c r="CL219" s="12"/>
      <c r="CM219" s="12"/>
      <c r="CN219" s="12"/>
      <c r="CO219" s="12"/>
      <c r="CP219" s="12"/>
      <c r="CQ219" s="12"/>
      <c r="CR219" s="12"/>
      <c r="CS219" s="12"/>
      <c r="CT219" s="12"/>
      <c r="CU219" s="12"/>
      <c r="CV219" s="12"/>
      <c r="CW219" s="12"/>
      <c r="CX219" s="12"/>
      <c r="CY219" s="12"/>
      <c r="CZ219" s="12"/>
      <c r="DA219" s="12"/>
      <c r="DB219" s="12"/>
      <c r="DC219" s="12"/>
      <c r="DD219" s="12"/>
      <c r="DE219" s="12"/>
      <c r="DF219" s="12"/>
      <c r="DG219" s="12"/>
      <c r="DH219" s="12"/>
      <c r="DI219" s="12"/>
      <c r="DJ219" s="12"/>
      <c r="DK219" s="12"/>
      <c r="DL219" s="12"/>
      <c r="DM219" s="12"/>
      <c r="DN219" s="12"/>
      <c r="DO219" s="12"/>
      <c r="DP219" s="12"/>
      <c r="DQ219" s="12"/>
      <c r="DR219" s="12"/>
      <c r="DS219" s="12"/>
      <c r="DT219" s="12"/>
      <c r="DU219" s="12"/>
      <c r="DV219" s="12"/>
      <c r="DW219" s="12"/>
      <c r="DX219" s="12"/>
      <c r="DY219" s="12"/>
      <c r="DZ219" s="12"/>
      <c r="EA219" s="12"/>
      <c r="EB219" s="12"/>
      <c r="EC219" s="12"/>
      <c r="ED219" s="12"/>
      <c r="EE219" s="12"/>
      <c r="EF219" s="12"/>
      <c r="EG219" s="12"/>
      <c r="EH219" s="12"/>
      <c r="EI219" s="12"/>
      <c r="EJ219" s="12"/>
      <c r="EK219" s="12"/>
      <c r="EL219" s="12"/>
      <c r="EM219" s="12"/>
      <c r="EN219" s="12"/>
      <c r="EO219" s="12"/>
      <c r="EP219" s="12"/>
      <c r="EQ219" s="12"/>
      <c r="ER219" s="12"/>
      <c r="ES219" s="12"/>
      <c r="ET219" s="12"/>
      <c r="EU219" s="12"/>
      <c r="EV219" s="12"/>
      <c r="EW219" s="12"/>
      <c r="EX219" s="12"/>
      <c r="EY219" s="12"/>
      <c r="EZ219" s="12"/>
      <c r="FA219" s="12"/>
      <c r="FB219" s="12"/>
      <c r="FC219" s="12"/>
      <c r="FD219" s="12"/>
      <c r="FE219" s="12"/>
      <c r="FF219" s="12"/>
      <c r="FG219" s="12"/>
      <c r="FH219" s="12"/>
      <c r="FI219" s="12"/>
      <c r="FJ219" s="12"/>
      <c r="FK219" s="12"/>
      <c r="FL219" s="12"/>
      <c r="FM219" s="12"/>
      <c r="FN219" s="12"/>
      <c r="FO219" s="12"/>
      <c r="FP219" s="12"/>
      <c r="FQ219" s="12"/>
      <c r="FR219" s="12"/>
      <c r="FS219" s="12"/>
      <c r="FT219" s="12"/>
      <c r="FU219" s="12"/>
      <c r="FV219" s="12"/>
      <c r="FW219" s="12"/>
      <c r="FX219" s="12"/>
      <c r="FY219" s="12"/>
      <c r="FZ219" s="12"/>
      <c r="GA219" s="12"/>
      <c r="GB219" s="12"/>
      <c r="GC219" s="12"/>
      <c r="GD219" s="12"/>
      <c r="GE219" s="12"/>
      <c r="GF219" s="12"/>
      <c r="GG219" s="12"/>
      <c r="GH219" s="12"/>
      <c r="GI219" s="12"/>
      <c r="GJ219" s="12"/>
      <c r="GK219" s="12"/>
      <c r="GL219" s="12"/>
      <c r="GM219" s="12"/>
      <c r="GN219" s="12"/>
      <c r="GO219" s="12"/>
      <c r="GP219" s="12"/>
      <c r="GQ219" s="12"/>
      <c r="GR219" s="12"/>
      <c r="GS219" s="12"/>
      <c r="GT219" s="12"/>
      <c r="GU219" s="12"/>
      <c r="GV219" s="12"/>
      <c r="GW219" s="12"/>
      <c r="GX219" s="12"/>
      <c r="GY219" s="12"/>
      <c r="GZ219" s="12"/>
      <c r="HA219" s="12"/>
      <c r="HB219" s="12"/>
      <c r="HC219" s="12"/>
      <c r="HD219" s="12"/>
      <c r="HE219" s="12"/>
      <c r="HF219" s="12"/>
    </row>
    <row r="220" spans="1:214" x14ac:dyDescent="0.2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46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12"/>
      <c r="BV220" s="12"/>
      <c r="BW220" s="12"/>
      <c r="BX220" s="12"/>
      <c r="BY220" s="12"/>
      <c r="BZ220" s="12"/>
      <c r="CA220" s="12"/>
      <c r="CB220" s="12"/>
      <c r="CC220" s="12"/>
      <c r="CD220" s="12"/>
      <c r="CE220" s="12"/>
      <c r="CF220" s="12"/>
      <c r="CG220" s="12"/>
      <c r="CH220" s="12"/>
      <c r="CI220" s="12"/>
      <c r="CJ220" s="12"/>
      <c r="CK220" s="12"/>
      <c r="CL220" s="12"/>
      <c r="CM220" s="12"/>
      <c r="CN220" s="12"/>
      <c r="CO220" s="12"/>
      <c r="CP220" s="12"/>
      <c r="CQ220" s="12"/>
      <c r="CR220" s="12"/>
      <c r="CS220" s="12"/>
      <c r="CT220" s="12"/>
      <c r="CU220" s="12"/>
      <c r="CV220" s="12"/>
      <c r="CW220" s="12"/>
      <c r="CX220" s="12"/>
      <c r="CY220" s="12"/>
      <c r="CZ220" s="12"/>
      <c r="DA220" s="12"/>
      <c r="DB220" s="12"/>
      <c r="DC220" s="12"/>
      <c r="DD220" s="12"/>
      <c r="DE220" s="12"/>
      <c r="DF220" s="12"/>
      <c r="DG220" s="12"/>
      <c r="DH220" s="12"/>
      <c r="DI220" s="12"/>
      <c r="DJ220" s="12"/>
      <c r="DK220" s="12"/>
      <c r="DL220" s="12"/>
      <c r="DM220" s="12"/>
      <c r="DN220" s="12"/>
      <c r="DO220" s="12"/>
      <c r="DP220" s="12"/>
      <c r="DQ220" s="12"/>
      <c r="DR220" s="12"/>
      <c r="DS220" s="12"/>
      <c r="DT220" s="12"/>
      <c r="DU220" s="12"/>
      <c r="DV220" s="12"/>
      <c r="DW220" s="12"/>
      <c r="DX220" s="12"/>
      <c r="DY220" s="12"/>
      <c r="DZ220" s="12"/>
      <c r="EA220" s="12"/>
      <c r="EB220" s="12"/>
      <c r="EC220" s="12"/>
      <c r="ED220" s="12"/>
      <c r="EE220" s="12"/>
      <c r="EF220" s="12"/>
      <c r="EG220" s="12"/>
      <c r="EH220" s="12"/>
      <c r="EI220" s="12"/>
      <c r="EJ220" s="12"/>
      <c r="EK220" s="12"/>
      <c r="EL220" s="12"/>
      <c r="EM220" s="12"/>
      <c r="EN220" s="12"/>
      <c r="EO220" s="12"/>
      <c r="EP220" s="12"/>
      <c r="EQ220" s="12"/>
      <c r="ER220" s="12"/>
      <c r="ES220" s="12"/>
      <c r="ET220" s="12"/>
      <c r="EU220" s="12"/>
      <c r="EV220" s="12"/>
      <c r="EW220" s="12"/>
      <c r="EX220" s="12"/>
      <c r="EY220" s="12"/>
      <c r="EZ220" s="12"/>
      <c r="FA220" s="12"/>
      <c r="FB220" s="12"/>
      <c r="FC220" s="12"/>
      <c r="FD220" s="12"/>
      <c r="FE220" s="12"/>
      <c r="FF220" s="12"/>
      <c r="FG220" s="12"/>
      <c r="FH220" s="12"/>
      <c r="FI220" s="12"/>
      <c r="FJ220" s="12"/>
      <c r="FK220" s="12"/>
      <c r="FL220" s="12"/>
      <c r="FM220" s="12"/>
      <c r="FN220" s="12"/>
      <c r="FO220" s="12"/>
      <c r="FP220" s="12"/>
      <c r="FQ220" s="12"/>
      <c r="FR220" s="12"/>
      <c r="FS220" s="12"/>
      <c r="FT220" s="12"/>
      <c r="FU220" s="12"/>
      <c r="FV220" s="12"/>
      <c r="FW220" s="12"/>
      <c r="FX220" s="12"/>
      <c r="FY220" s="12"/>
      <c r="FZ220" s="12"/>
      <c r="GA220" s="12"/>
      <c r="GB220" s="12"/>
      <c r="GC220" s="12"/>
      <c r="GD220" s="12"/>
      <c r="GE220" s="12"/>
      <c r="GF220" s="12"/>
      <c r="GG220" s="12"/>
      <c r="GH220" s="12"/>
      <c r="GI220" s="12"/>
      <c r="GJ220" s="12"/>
      <c r="GK220" s="12"/>
      <c r="GL220" s="12"/>
      <c r="GM220" s="12"/>
      <c r="GN220" s="12"/>
      <c r="GO220" s="12"/>
      <c r="GP220" s="12"/>
      <c r="GQ220" s="12"/>
      <c r="GR220" s="12"/>
      <c r="GS220" s="12"/>
      <c r="GT220" s="12"/>
      <c r="GU220" s="12"/>
      <c r="GV220" s="12"/>
      <c r="GW220" s="12"/>
      <c r="GX220" s="12"/>
      <c r="GY220" s="12"/>
      <c r="GZ220" s="12"/>
      <c r="HA220" s="12"/>
      <c r="HB220" s="12"/>
      <c r="HC220" s="12"/>
      <c r="HD220" s="12"/>
      <c r="HE220" s="12"/>
      <c r="HF220" s="12"/>
    </row>
    <row r="221" spans="1:214" x14ac:dyDescent="0.2">
      <c r="A221" s="65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46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2"/>
      <c r="BQ221" s="12"/>
      <c r="BR221" s="12"/>
      <c r="BS221" s="12"/>
      <c r="BT221" s="12"/>
      <c r="BU221" s="12"/>
      <c r="BV221" s="12"/>
      <c r="BW221" s="12"/>
      <c r="BX221" s="12"/>
      <c r="BY221" s="12"/>
      <c r="BZ221" s="12"/>
      <c r="CA221" s="12"/>
      <c r="CB221" s="12"/>
      <c r="CC221" s="12"/>
      <c r="CD221" s="12"/>
      <c r="CE221" s="12"/>
      <c r="CF221" s="12"/>
      <c r="CG221" s="12"/>
      <c r="CH221" s="12"/>
      <c r="CI221" s="12"/>
      <c r="CJ221" s="12"/>
      <c r="CK221" s="12"/>
      <c r="CL221" s="12"/>
      <c r="CM221" s="12"/>
      <c r="CN221" s="12"/>
      <c r="CO221" s="12"/>
      <c r="CP221" s="12"/>
      <c r="CQ221" s="12"/>
      <c r="CR221" s="12"/>
      <c r="CS221" s="12"/>
      <c r="CT221" s="12"/>
      <c r="CU221" s="12"/>
      <c r="CV221" s="12"/>
      <c r="CW221" s="12"/>
      <c r="CX221" s="12"/>
      <c r="CY221" s="12"/>
      <c r="CZ221" s="12"/>
      <c r="DA221" s="12"/>
      <c r="DB221" s="12"/>
      <c r="DC221" s="12"/>
      <c r="DD221" s="12"/>
      <c r="DE221" s="12"/>
      <c r="DF221" s="12"/>
      <c r="DG221" s="12"/>
      <c r="DH221" s="12"/>
      <c r="DI221" s="12"/>
      <c r="DJ221" s="12"/>
      <c r="DK221" s="12"/>
      <c r="DL221" s="12"/>
      <c r="DM221" s="12"/>
      <c r="DN221" s="12"/>
      <c r="DO221" s="12"/>
      <c r="DP221" s="12"/>
      <c r="DQ221" s="12"/>
      <c r="DR221" s="12"/>
      <c r="DS221" s="12"/>
      <c r="DT221" s="12"/>
      <c r="DU221" s="12"/>
      <c r="DV221" s="12"/>
      <c r="DW221" s="12"/>
      <c r="DX221" s="12"/>
      <c r="DY221" s="12"/>
      <c r="DZ221" s="12"/>
      <c r="EA221" s="12"/>
      <c r="EB221" s="12"/>
      <c r="EC221" s="12"/>
      <c r="ED221" s="12"/>
      <c r="EE221" s="12"/>
      <c r="EF221" s="12"/>
      <c r="EG221" s="12"/>
      <c r="EH221" s="12"/>
      <c r="EI221" s="12"/>
      <c r="EJ221" s="12"/>
      <c r="EK221" s="12"/>
      <c r="EL221" s="12"/>
      <c r="EM221" s="12"/>
      <c r="EN221" s="12"/>
      <c r="EO221" s="12"/>
      <c r="EP221" s="12"/>
      <c r="EQ221" s="12"/>
      <c r="ER221" s="12"/>
      <c r="ES221" s="12"/>
      <c r="ET221" s="12"/>
      <c r="EU221" s="12"/>
      <c r="EV221" s="12"/>
      <c r="EW221" s="12"/>
      <c r="EX221" s="12"/>
      <c r="EY221" s="12"/>
      <c r="EZ221" s="12"/>
      <c r="FA221" s="12"/>
      <c r="FB221" s="12"/>
      <c r="FC221" s="12"/>
      <c r="FD221" s="12"/>
      <c r="FE221" s="12"/>
      <c r="FF221" s="12"/>
      <c r="FG221" s="12"/>
      <c r="FH221" s="12"/>
      <c r="FI221" s="12"/>
      <c r="FJ221" s="12"/>
      <c r="FK221" s="12"/>
      <c r="FL221" s="12"/>
      <c r="FM221" s="12"/>
      <c r="FN221" s="12"/>
      <c r="FO221" s="12"/>
      <c r="FP221" s="12"/>
      <c r="FQ221" s="12"/>
      <c r="FR221" s="12"/>
      <c r="FS221" s="12"/>
      <c r="FT221" s="12"/>
      <c r="FU221" s="12"/>
      <c r="FV221" s="12"/>
      <c r="FW221" s="12"/>
      <c r="FX221" s="12"/>
      <c r="FY221" s="12"/>
      <c r="FZ221" s="12"/>
      <c r="GA221" s="12"/>
      <c r="GB221" s="12"/>
      <c r="GC221" s="12"/>
      <c r="GD221" s="12"/>
      <c r="GE221" s="12"/>
      <c r="GF221" s="12"/>
      <c r="GG221" s="12"/>
      <c r="GH221" s="12"/>
      <c r="GI221" s="12"/>
      <c r="GJ221" s="12"/>
      <c r="GK221" s="12"/>
      <c r="GL221" s="12"/>
      <c r="GM221" s="12"/>
      <c r="GN221" s="12"/>
      <c r="GO221" s="12"/>
      <c r="GP221" s="12"/>
      <c r="GQ221" s="12"/>
      <c r="GR221" s="12"/>
      <c r="GS221" s="12"/>
      <c r="GT221" s="12"/>
      <c r="GU221" s="12"/>
      <c r="GV221" s="12"/>
      <c r="GW221" s="12"/>
      <c r="GX221" s="12"/>
      <c r="GY221" s="12"/>
      <c r="GZ221" s="12"/>
      <c r="HA221" s="12"/>
      <c r="HB221" s="12"/>
      <c r="HC221" s="12"/>
      <c r="HD221" s="12"/>
      <c r="HE221" s="12"/>
      <c r="HF221" s="12"/>
    </row>
    <row r="222" spans="1:214" x14ac:dyDescent="0.2">
      <c r="A222" s="65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46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/>
      <c r="BS222" s="12"/>
      <c r="BT222" s="12"/>
      <c r="BU222" s="12"/>
      <c r="BV222" s="12"/>
      <c r="BW222" s="12"/>
      <c r="BX222" s="12"/>
      <c r="BY222" s="12"/>
      <c r="BZ222" s="12"/>
      <c r="CA222" s="12"/>
      <c r="CB222" s="12"/>
      <c r="CC222" s="12"/>
      <c r="CD222" s="12"/>
      <c r="CE222" s="12"/>
      <c r="CF222" s="12"/>
      <c r="CG222" s="12"/>
      <c r="CH222" s="12"/>
      <c r="CI222" s="12"/>
      <c r="CJ222" s="12"/>
      <c r="CK222" s="12"/>
      <c r="CL222" s="12"/>
      <c r="CM222" s="12"/>
      <c r="CN222" s="12"/>
      <c r="CO222" s="12"/>
      <c r="CP222" s="12"/>
      <c r="CQ222" s="12"/>
      <c r="CR222" s="12"/>
      <c r="CS222" s="12"/>
      <c r="CT222" s="12"/>
      <c r="CU222" s="12"/>
      <c r="CV222" s="12"/>
      <c r="CW222" s="12"/>
      <c r="CX222" s="12"/>
      <c r="CY222" s="12"/>
      <c r="CZ222" s="12"/>
      <c r="DA222" s="12"/>
      <c r="DB222" s="12"/>
      <c r="DC222" s="12"/>
      <c r="DD222" s="12"/>
      <c r="DE222" s="12"/>
      <c r="DF222" s="12"/>
      <c r="DG222" s="12"/>
      <c r="DH222" s="12"/>
      <c r="DI222" s="12"/>
      <c r="DJ222" s="12"/>
      <c r="DK222" s="12"/>
      <c r="DL222" s="12"/>
      <c r="DM222" s="12"/>
      <c r="DN222" s="12"/>
      <c r="DO222" s="12"/>
      <c r="DP222" s="12"/>
      <c r="DQ222" s="12"/>
      <c r="DR222" s="12"/>
      <c r="DS222" s="12"/>
      <c r="DT222" s="12"/>
      <c r="DU222" s="12"/>
      <c r="DV222" s="12"/>
      <c r="DW222" s="12"/>
      <c r="DX222" s="12"/>
      <c r="DY222" s="12"/>
      <c r="DZ222" s="12"/>
      <c r="EA222" s="12"/>
      <c r="EB222" s="12"/>
      <c r="EC222" s="12"/>
      <c r="ED222" s="12"/>
      <c r="EE222" s="12"/>
      <c r="EF222" s="12"/>
      <c r="EG222" s="12"/>
      <c r="EH222" s="12"/>
      <c r="EI222" s="12"/>
      <c r="EJ222" s="12"/>
      <c r="EK222" s="12"/>
      <c r="EL222" s="12"/>
      <c r="EM222" s="12"/>
      <c r="EN222" s="12"/>
      <c r="EO222" s="12"/>
      <c r="EP222" s="12"/>
      <c r="EQ222" s="12"/>
      <c r="ER222" s="12"/>
      <c r="ES222" s="12"/>
      <c r="ET222" s="12"/>
      <c r="EU222" s="12"/>
      <c r="EV222" s="12"/>
      <c r="EW222" s="12"/>
      <c r="EX222" s="12"/>
      <c r="EY222" s="12"/>
      <c r="EZ222" s="12"/>
      <c r="FA222" s="12"/>
      <c r="FB222" s="12"/>
      <c r="FC222" s="12"/>
      <c r="FD222" s="12"/>
      <c r="FE222" s="12"/>
      <c r="FF222" s="12"/>
      <c r="FG222" s="12"/>
      <c r="FH222" s="12"/>
      <c r="FI222" s="12"/>
      <c r="FJ222" s="12"/>
      <c r="FK222" s="12"/>
      <c r="FL222" s="12"/>
      <c r="FM222" s="12"/>
      <c r="FN222" s="12"/>
      <c r="FO222" s="12"/>
      <c r="FP222" s="12"/>
      <c r="FQ222" s="12"/>
      <c r="FR222" s="12"/>
      <c r="FS222" s="12"/>
      <c r="FT222" s="12"/>
      <c r="FU222" s="12"/>
      <c r="FV222" s="12"/>
      <c r="FW222" s="12"/>
      <c r="FX222" s="12"/>
      <c r="FY222" s="12"/>
      <c r="FZ222" s="12"/>
      <c r="GA222" s="12"/>
      <c r="GB222" s="12"/>
      <c r="GC222" s="12"/>
      <c r="GD222" s="12"/>
      <c r="GE222" s="12"/>
      <c r="GF222" s="12"/>
      <c r="GG222" s="12"/>
      <c r="GH222" s="12"/>
      <c r="GI222" s="12"/>
      <c r="GJ222" s="12"/>
      <c r="GK222" s="12"/>
      <c r="GL222" s="12"/>
      <c r="GM222" s="12"/>
      <c r="GN222" s="12"/>
      <c r="GO222" s="12"/>
      <c r="GP222" s="12"/>
      <c r="GQ222" s="12"/>
      <c r="GR222" s="12"/>
      <c r="GS222" s="12"/>
      <c r="GT222" s="12"/>
      <c r="GU222" s="12"/>
      <c r="GV222" s="12"/>
      <c r="GW222" s="12"/>
      <c r="GX222" s="12"/>
      <c r="GY222" s="12"/>
      <c r="GZ222" s="12"/>
      <c r="HA222" s="12"/>
      <c r="HB222" s="12"/>
      <c r="HC222" s="12"/>
      <c r="HD222" s="12"/>
      <c r="HE222" s="12"/>
      <c r="HF222" s="12"/>
    </row>
    <row r="223" spans="1:214" x14ac:dyDescent="0.2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46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  <c r="BO223" s="12"/>
      <c r="BP223" s="12"/>
      <c r="BQ223" s="12"/>
      <c r="BR223" s="12"/>
      <c r="BS223" s="12"/>
      <c r="BT223" s="12"/>
      <c r="BU223" s="12"/>
      <c r="BV223" s="12"/>
      <c r="BW223" s="12"/>
      <c r="BX223" s="12"/>
      <c r="BY223" s="12"/>
      <c r="BZ223" s="12"/>
      <c r="CA223" s="12"/>
      <c r="CB223" s="12"/>
      <c r="CC223" s="12"/>
      <c r="CD223" s="12"/>
      <c r="CE223" s="12"/>
      <c r="CF223" s="12"/>
      <c r="CG223" s="12"/>
      <c r="CH223" s="12"/>
      <c r="CI223" s="12"/>
      <c r="CJ223" s="12"/>
      <c r="CK223" s="12"/>
      <c r="CL223" s="12"/>
      <c r="CM223" s="12"/>
      <c r="CN223" s="12"/>
      <c r="CO223" s="12"/>
      <c r="CP223" s="12"/>
      <c r="CQ223" s="12"/>
      <c r="CR223" s="12"/>
      <c r="CS223" s="12"/>
      <c r="CT223" s="12"/>
      <c r="CU223" s="12"/>
      <c r="CV223" s="12"/>
      <c r="CW223" s="12"/>
      <c r="CX223" s="12"/>
      <c r="CY223" s="12"/>
      <c r="CZ223" s="12"/>
      <c r="DA223" s="12"/>
      <c r="DB223" s="12"/>
      <c r="DC223" s="12"/>
      <c r="DD223" s="12"/>
      <c r="DE223" s="12"/>
      <c r="DF223" s="12"/>
      <c r="DG223" s="12"/>
      <c r="DH223" s="12"/>
      <c r="DI223" s="12"/>
      <c r="DJ223" s="12"/>
      <c r="DK223" s="12"/>
      <c r="DL223" s="12"/>
      <c r="DM223" s="12"/>
      <c r="DN223" s="12"/>
      <c r="DO223" s="12"/>
      <c r="DP223" s="12"/>
      <c r="DQ223" s="12"/>
      <c r="DR223" s="12"/>
      <c r="DS223" s="12"/>
      <c r="DT223" s="12"/>
      <c r="DU223" s="12"/>
      <c r="DV223" s="12"/>
      <c r="DW223" s="12"/>
      <c r="DX223" s="12"/>
      <c r="DY223" s="12"/>
      <c r="DZ223" s="12"/>
      <c r="EA223" s="12"/>
      <c r="EB223" s="12"/>
      <c r="EC223" s="12"/>
      <c r="ED223" s="12"/>
      <c r="EE223" s="12"/>
      <c r="EF223" s="12"/>
      <c r="EG223" s="12"/>
      <c r="EH223" s="12"/>
      <c r="EI223" s="12"/>
      <c r="EJ223" s="12"/>
      <c r="EK223" s="12"/>
      <c r="EL223" s="12"/>
      <c r="EM223" s="12"/>
      <c r="EN223" s="12"/>
      <c r="EO223" s="12"/>
      <c r="EP223" s="12"/>
      <c r="EQ223" s="12"/>
      <c r="ER223" s="12"/>
      <c r="ES223" s="12"/>
      <c r="ET223" s="12"/>
      <c r="EU223" s="12"/>
      <c r="EV223" s="12"/>
      <c r="EW223" s="12"/>
      <c r="EX223" s="12"/>
      <c r="EY223" s="12"/>
      <c r="EZ223" s="12"/>
      <c r="FA223" s="12"/>
      <c r="FB223" s="12"/>
      <c r="FC223" s="12"/>
      <c r="FD223" s="12"/>
      <c r="FE223" s="12"/>
      <c r="FF223" s="12"/>
      <c r="FG223" s="12"/>
      <c r="FH223" s="12"/>
      <c r="FI223" s="12"/>
      <c r="FJ223" s="12"/>
      <c r="FK223" s="12"/>
      <c r="FL223" s="12"/>
      <c r="FM223" s="12"/>
      <c r="FN223" s="12"/>
      <c r="FO223" s="12"/>
      <c r="FP223" s="12"/>
      <c r="FQ223" s="12"/>
      <c r="FR223" s="12"/>
      <c r="FS223" s="12"/>
      <c r="FT223" s="12"/>
      <c r="FU223" s="12"/>
      <c r="FV223" s="12"/>
      <c r="FW223" s="12"/>
      <c r="FX223" s="12"/>
      <c r="FY223" s="12"/>
      <c r="FZ223" s="12"/>
      <c r="GA223" s="12"/>
      <c r="GB223" s="12"/>
      <c r="GC223" s="12"/>
      <c r="GD223" s="12"/>
      <c r="GE223" s="12"/>
      <c r="GF223" s="12"/>
      <c r="GG223" s="12"/>
      <c r="GH223" s="12"/>
      <c r="GI223" s="12"/>
      <c r="GJ223" s="12"/>
      <c r="GK223" s="12"/>
      <c r="GL223" s="12"/>
      <c r="GM223" s="12"/>
      <c r="GN223" s="12"/>
      <c r="GO223" s="12"/>
      <c r="GP223" s="12"/>
      <c r="GQ223" s="12"/>
      <c r="GR223" s="12"/>
      <c r="GS223" s="12"/>
      <c r="GT223" s="12"/>
      <c r="GU223" s="12"/>
      <c r="GV223" s="12"/>
      <c r="GW223" s="12"/>
      <c r="GX223" s="12"/>
      <c r="GY223" s="12"/>
      <c r="GZ223" s="12"/>
      <c r="HA223" s="12"/>
      <c r="HB223" s="12"/>
      <c r="HC223" s="12"/>
      <c r="HD223" s="12"/>
      <c r="HE223" s="12"/>
      <c r="HF223" s="12"/>
    </row>
    <row r="224" spans="1:214" x14ac:dyDescent="0.2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46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  <c r="BN224" s="12"/>
      <c r="BO224" s="12"/>
      <c r="BP224" s="12"/>
      <c r="BQ224" s="12"/>
      <c r="BR224" s="12"/>
      <c r="BS224" s="12"/>
      <c r="BT224" s="12"/>
      <c r="BU224" s="12"/>
      <c r="BV224" s="12"/>
      <c r="BW224" s="12"/>
      <c r="BX224" s="12"/>
      <c r="BY224" s="12"/>
      <c r="BZ224" s="12"/>
      <c r="CA224" s="12"/>
      <c r="CB224" s="12"/>
      <c r="CC224" s="12"/>
      <c r="CD224" s="12"/>
      <c r="CE224" s="12"/>
      <c r="CF224" s="12"/>
      <c r="CG224" s="12"/>
      <c r="CH224" s="12"/>
      <c r="CI224" s="12"/>
      <c r="CJ224" s="12"/>
      <c r="CK224" s="12"/>
      <c r="CL224" s="12"/>
      <c r="CM224" s="12"/>
      <c r="CN224" s="12"/>
      <c r="CO224" s="12"/>
      <c r="CP224" s="12"/>
      <c r="CQ224" s="12"/>
      <c r="CR224" s="12"/>
      <c r="CS224" s="12"/>
      <c r="CT224" s="12"/>
      <c r="CU224" s="12"/>
      <c r="CV224" s="12"/>
      <c r="CW224" s="12"/>
      <c r="CX224" s="12"/>
      <c r="CY224" s="12"/>
      <c r="CZ224" s="12"/>
      <c r="DA224" s="12"/>
      <c r="DB224" s="12"/>
      <c r="DC224" s="12"/>
      <c r="DD224" s="12"/>
      <c r="DE224" s="12"/>
      <c r="DF224" s="12"/>
      <c r="DG224" s="12"/>
      <c r="DH224" s="12"/>
      <c r="DI224" s="12"/>
      <c r="DJ224" s="12"/>
      <c r="DK224" s="12"/>
      <c r="DL224" s="12"/>
      <c r="DM224" s="12"/>
      <c r="DN224" s="12"/>
      <c r="DO224" s="12"/>
      <c r="DP224" s="12"/>
      <c r="DQ224" s="12"/>
      <c r="DR224" s="12"/>
      <c r="DS224" s="12"/>
      <c r="DT224" s="12"/>
      <c r="DU224" s="12"/>
      <c r="DV224" s="12"/>
      <c r="DW224" s="12"/>
      <c r="DX224" s="12"/>
      <c r="DY224" s="12"/>
      <c r="DZ224" s="12"/>
      <c r="EA224" s="12"/>
      <c r="EB224" s="12"/>
      <c r="EC224" s="12"/>
      <c r="ED224" s="12"/>
      <c r="EE224" s="12"/>
      <c r="EF224" s="12"/>
      <c r="EG224" s="12"/>
      <c r="EH224" s="12"/>
      <c r="EI224" s="12"/>
      <c r="EJ224" s="12"/>
      <c r="EK224" s="12"/>
      <c r="EL224" s="12"/>
      <c r="EM224" s="12"/>
      <c r="EN224" s="12"/>
      <c r="EO224" s="12"/>
      <c r="EP224" s="12"/>
      <c r="EQ224" s="12"/>
      <c r="ER224" s="12"/>
      <c r="ES224" s="12"/>
      <c r="ET224" s="12"/>
      <c r="EU224" s="12"/>
      <c r="EV224" s="12"/>
      <c r="EW224" s="12"/>
      <c r="EX224" s="12"/>
      <c r="EY224" s="12"/>
      <c r="EZ224" s="12"/>
      <c r="FA224" s="12"/>
      <c r="FB224" s="12"/>
      <c r="FC224" s="12"/>
      <c r="FD224" s="12"/>
      <c r="FE224" s="12"/>
      <c r="FF224" s="12"/>
      <c r="FG224" s="12"/>
      <c r="FH224" s="12"/>
      <c r="FI224" s="12"/>
      <c r="FJ224" s="12"/>
      <c r="FK224" s="12"/>
      <c r="FL224" s="12"/>
      <c r="FM224" s="12"/>
      <c r="FN224" s="12"/>
      <c r="FO224" s="12"/>
      <c r="FP224" s="12"/>
      <c r="FQ224" s="12"/>
      <c r="FR224" s="12"/>
      <c r="FS224" s="12"/>
      <c r="FT224" s="12"/>
      <c r="FU224" s="12"/>
      <c r="FV224" s="12"/>
      <c r="FW224" s="12"/>
      <c r="FX224" s="12"/>
      <c r="FY224" s="12"/>
      <c r="FZ224" s="12"/>
      <c r="GA224" s="12"/>
      <c r="GB224" s="12"/>
      <c r="GC224" s="12"/>
      <c r="GD224" s="12"/>
      <c r="GE224" s="12"/>
      <c r="GF224" s="12"/>
      <c r="GG224" s="12"/>
      <c r="GH224" s="12"/>
      <c r="GI224" s="12"/>
      <c r="GJ224" s="12"/>
      <c r="GK224" s="12"/>
      <c r="GL224" s="12"/>
      <c r="GM224" s="12"/>
      <c r="GN224" s="12"/>
      <c r="GO224" s="12"/>
      <c r="GP224" s="12"/>
      <c r="GQ224" s="12"/>
      <c r="GR224" s="12"/>
      <c r="GS224" s="12"/>
      <c r="GT224" s="12"/>
      <c r="GU224" s="12"/>
      <c r="GV224" s="12"/>
      <c r="GW224" s="12"/>
      <c r="GX224" s="12"/>
      <c r="GY224" s="12"/>
      <c r="GZ224" s="12"/>
      <c r="HA224" s="12"/>
      <c r="HB224" s="12"/>
      <c r="HC224" s="12"/>
      <c r="HD224" s="12"/>
      <c r="HE224" s="12"/>
      <c r="HF224" s="12"/>
    </row>
    <row r="225" spans="1:214" x14ac:dyDescent="0.2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46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  <c r="BN225" s="12"/>
      <c r="BO225" s="12"/>
      <c r="BP225" s="12"/>
      <c r="BQ225" s="12"/>
      <c r="BR225" s="12"/>
      <c r="BS225" s="12"/>
      <c r="BT225" s="12"/>
      <c r="BU225" s="12"/>
      <c r="BV225" s="12"/>
      <c r="BW225" s="12"/>
      <c r="BX225" s="12"/>
      <c r="BY225" s="12"/>
      <c r="BZ225" s="12"/>
      <c r="CA225" s="12"/>
      <c r="CB225" s="12"/>
      <c r="CC225" s="12"/>
      <c r="CD225" s="12"/>
      <c r="CE225" s="12"/>
      <c r="CF225" s="12"/>
      <c r="CG225" s="12"/>
      <c r="CH225" s="12"/>
      <c r="CI225" s="12"/>
      <c r="CJ225" s="12"/>
      <c r="CK225" s="12"/>
      <c r="CL225" s="12"/>
      <c r="CM225" s="12"/>
      <c r="CN225" s="12"/>
      <c r="CO225" s="12"/>
      <c r="CP225" s="12"/>
      <c r="CQ225" s="12"/>
      <c r="CR225" s="12"/>
      <c r="CS225" s="12"/>
      <c r="CT225" s="12"/>
      <c r="CU225" s="12"/>
      <c r="CV225" s="12"/>
      <c r="CW225" s="12"/>
      <c r="CX225" s="12"/>
      <c r="CY225" s="12"/>
      <c r="CZ225" s="12"/>
      <c r="DA225" s="12"/>
      <c r="DB225" s="12"/>
      <c r="DC225" s="12"/>
      <c r="DD225" s="12"/>
      <c r="DE225" s="12"/>
      <c r="DF225" s="12"/>
      <c r="DG225" s="12"/>
      <c r="DH225" s="12"/>
      <c r="DI225" s="12"/>
      <c r="DJ225" s="12"/>
      <c r="DK225" s="12"/>
      <c r="DL225" s="12"/>
      <c r="DM225" s="12"/>
      <c r="DN225" s="12"/>
      <c r="DO225" s="12"/>
      <c r="DP225" s="12"/>
      <c r="DQ225" s="12"/>
      <c r="DR225" s="12"/>
      <c r="DS225" s="12"/>
      <c r="DT225" s="12"/>
      <c r="DU225" s="12"/>
      <c r="DV225" s="12"/>
      <c r="DW225" s="12"/>
      <c r="DX225" s="12"/>
      <c r="DY225" s="12"/>
      <c r="DZ225" s="12"/>
      <c r="EA225" s="12"/>
      <c r="EB225" s="12"/>
      <c r="EC225" s="12"/>
      <c r="ED225" s="12"/>
      <c r="EE225" s="12"/>
      <c r="EF225" s="12"/>
      <c r="EG225" s="12"/>
      <c r="EH225" s="12"/>
      <c r="EI225" s="12"/>
      <c r="EJ225" s="12"/>
      <c r="EK225" s="12"/>
      <c r="EL225" s="12"/>
      <c r="EM225" s="12"/>
      <c r="EN225" s="12"/>
      <c r="EO225" s="12"/>
      <c r="EP225" s="12"/>
      <c r="EQ225" s="12"/>
      <c r="ER225" s="12"/>
      <c r="ES225" s="12"/>
      <c r="ET225" s="12"/>
      <c r="EU225" s="12"/>
      <c r="EV225" s="12"/>
      <c r="EW225" s="12"/>
      <c r="EX225" s="12"/>
      <c r="EY225" s="12"/>
      <c r="EZ225" s="12"/>
      <c r="FA225" s="12"/>
      <c r="FB225" s="12"/>
      <c r="FC225" s="12"/>
      <c r="FD225" s="12"/>
      <c r="FE225" s="12"/>
      <c r="FF225" s="12"/>
      <c r="FG225" s="12"/>
      <c r="FH225" s="12"/>
      <c r="FI225" s="12"/>
      <c r="FJ225" s="12"/>
      <c r="FK225" s="12"/>
      <c r="FL225" s="12"/>
      <c r="FM225" s="12"/>
      <c r="FN225" s="12"/>
      <c r="FO225" s="12"/>
      <c r="FP225" s="12"/>
      <c r="FQ225" s="12"/>
      <c r="FR225" s="12"/>
      <c r="FS225" s="12"/>
      <c r="FT225" s="12"/>
      <c r="FU225" s="12"/>
      <c r="FV225" s="12"/>
      <c r="FW225" s="12"/>
      <c r="FX225" s="12"/>
      <c r="FY225" s="12"/>
      <c r="FZ225" s="12"/>
      <c r="GA225" s="12"/>
      <c r="GB225" s="12"/>
      <c r="GC225" s="12"/>
      <c r="GD225" s="12"/>
      <c r="GE225" s="12"/>
      <c r="GF225" s="12"/>
      <c r="GG225" s="12"/>
      <c r="GH225" s="12"/>
      <c r="GI225" s="12"/>
      <c r="GJ225" s="12"/>
      <c r="GK225" s="12"/>
      <c r="GL225" s="12"/>
      <c r="GM225" s="12"/>
      <c r="GN225" s="12"/>
      <c r="GO225" s="12"/>
      <c r="GP225" s="12"/>
      <c r="GQ225" s="12"/>
      <c r="GR225" s="12"/>
      <c r="GS225" s="12"/>
      <c r="GT225" s="12"/>
      <c r="GU225" s="12"/>
      <c r="GV225" s="12"/>
      <c r="GW225" s="12"/>
      <c r="GX225" s="12"/>
      <c r="GY225" s="12"/>
      <c r="GZ225" s="12"/>
      <c r="HA225" s="12"/>
      <c r="HB225" s="12"/>
      <c r="HC225" s="12"/>
      <c r="HD225" s="12"/>
      <c r="HE225" s="12"/>
      <c r="HF225" s="12"/>
    </row>
    <row r="226" spans="1:214" x14ac:dyDescent="0.2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46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  <c r="BO226" s="12"/>
      <c r="BP226" s="12"/>
      <c r="BQ226" s="12"/>
      <c r="BR226" s="12"/>
      <c r="BS226" s="12"/>
      <c r="BT226" s="12"/>
      <c r="BU226" s="12"/>
      <c r="BV226" s="12"/>
      <c r="BW226" s="12"/>
      <c r="BX226" s="12"/>
      <c r="BY226" s="12"/>
      <c r="BZ226" s="12"/>
      <c r="CA226" s="12"/>
      <c r="CB226" s="12"/>
      <c r="CC226" s="12"/>
      <c r="CD226" s="12"/>
      <c r="CE226" s="12"/>
      <c r="CF226" s="12"/>
      <c r="CG226" s="12"/>
      <c r="CH226" s="12"/>
      <c r="CI226" s="12"/>
      <c r="CJ226" s="12"/>
      <c r="CK226" s="12"/>
      <c r="CL226" s="12"/>
      <c r="CM226" s="12"/>
      <c r="CN226" s="12"/>
      <c r="CO226" s="12"/>
      <c r="CP226" s="12"/>
      <c r="CQ226" s="12"/>
      <c r="CR226" s="12"/>
      <c r="CS226" s="12"/>
      <c r="CT226" s="12"/>
      <c r="CU226" s="12"/>
      <c r="CV226" s="12"/>
      <c r="CW226" s="12"/>
      <c r="CX226" s="12"/>
      <c r="CY226" s="12"/>
      <c r="CZ226" s="12"/>
      <c r="DA226" s="12"/>
      <c r="DB226" s="12"/>
      <c r="DC226" s="12"/>
      <c r="DD226" s="12"/>
      <c r="DE226" s="12"/>
      <c r="DF226" s="12"/>
      <c r="DG226" s="12"/>
      <c r="DH226" s="12"/>
      <c r="DI226" s="12"/>
      <c r="DJ226" s="12"/>
      <c r="DK226" s="12"/>
      <c r="DL226" s="12"/>
      <c r="DM226" s="12"/>
      <c r="DN226" s="12"/>
      <c r="DO226" s="12"/>
      <c r="DP226" s="12"/>
      <c r="DQ226" s="12"/>
      <c r="DR226" s="12"/>
      <c r="DS226" s="12"/>
      <c r="DT226" s="12"/>
      <c r="DU226" s="12"/>
      <c r="DV226" s="12"/>
      <c r="DW226" s="12"/>
      <c r="DX226" s="12"/>
      <c r="DY226" s="12"/>
      <c r="DZ226" s="12"/>
      <c r="EA226" s="12"/>
      <c r="EB226" s="12"/>
      <c r="EC226" s="12"/>
      <c r="ED226" s="12"/>
      <c r="EE226" s="12"/>
      <c r="EF226" s="12"/>
      <c r="EG226" s="12"/>
      <c r="EH226" s="12"/>
      <c r="EI226" s="12"/>
      <c r="EJ226" s="12"/>
      <c r="EK226" s="12"/>
      <c r="EL226" s="12"/>
      <c r="EM226" s="12"/>
      <c r="EN226" s="12"/>
      <c r="EO226" s="12"/>
      <c r="EP226" s="12"/>
      <c r="EQ226" s="12"/>
      <c r="ER226" s="12"/>
      <c r="ES226" s="12"/>
      <c r="ET226" s="12"/>
      <c r="EU226" s="12"/>
      <c r="EV226" s="12"/>
      <c r="EW226" s="12"/>
      <c r="EX226" s="12"/>
      <c r="EY226" s="12"/>
      <c r="EZ226" s="12"/>
      <c r="FA226" s="12"/>
      <c r="FB226" s="12"/>
      <c r="FC226" s="12"/>
      <c r="FD226" s="12"/>
      <c r="FE226" s="12"/>
      <c r="FF226" s="12"/>
      <c r="FG226" s="12"/>
      <c r="FH226" s="12"/>
      <c r="FI226" s="12"/>
      <c r="FJ226" s="12"/>
      <c r="FK226" s="12"/>
      <c r="FL226" s="12"/>
      <c r="FM226" s="12"/>
      <c r="FN226" s="12"/>
      <c r="FO226" s="12"/>
      <c r="FP226" s="12"/>
      <c r="FQ226" s="12"/>
      <c r="FR226" s="12"/>
      <c r="FS226" s="12"/>
      <c r="FT226" s="12"/>
      <c r="FU226" s="12"/>
      <c r="FV226" s="12"/>
      <c r="FW226" s="12"/>
      <c r="FX226" s="12"/>
      <c r="FY226" s="12"/>
      <c r="FZ226" s="12"/>
      <c r="GA226" s="12"/>
      <c r="GB226" s="12"/>
      <c r="GC226" s="12"/>
      <c r="GD226" s="12"/>
      <c r="GE226" s="12"/>
      <c r="GF226" s="12"/>
      <c r="GG226" s="12"/>
      <c r="GH226" s="12"/>
      <c r="GI226" s="12"/>
      <c r="GJ226" s="12"/>
      <c r="GK226" s="12"/>
      <c r="GL226" s="12"/>
      <c r="GM226" s="12"/>
      <c r="GN226" s="12"/>
      <c r="GO226" s="12"/>
      <c r="GP226" s="12"/>
      <c r="GQ226" s="12"/>
      <c r="GR226" s="12"/>
      <c r="GS226" s="12"/>
      <c r="GT226" s="12"/>
      <c r="GU226" s="12"/>
      <c r="GV226" s="12"/>
      <c r="GW226" s="12"/>
      <c r="GX226" s="12"/>
      <c r="GY226" s="12"/>
      <c r="GZ226" s="12"/>
      <c r="HA226" s="12"/>
      <c r="HB226" s="12"/>
      <c r="HC226" s="12"/>
      <c r="HD226" s="12"/>
      <c r="HE226" s="12"/>
      <c r="HF226" s="12"/>
    </row>
    <row r="227" spans="1:214" x14ac:dyDescent="0.2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46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  <c r="BN227" s="12"/>
      <c r="BO227" s="12"/>
      <c r="BP227" s="12"/>
      <c r="BQ227" s="12"/>
      <c r="BR227" s="12"/>
      <c r="BS227" s="12"/>
      <c r="BT227" s="12"/>
      <c r="BU227" s="12"/>
      <c r="BV227" s="12"/>
      <c r="BW227" s="12"/>
      <c r="BX227" s="12"/>
      <c r="BY227" s="12"/>
      <c r="BZ227" s="12"/>
      <c r="CA227" s="12"/>
      <c r="CB227" s="12"/>
      <c r="CC227" s="12"/>
      <c r="CD227" s="12"/>
      <c r="CE227" s="12"/>
      <c r="CF227" s="12"/>
      <c r="CG227" s="12"/>
      <c r="CH227" s="12"/>
      <c r="CI227" s="12"/>
      <c r="CJ227" s="12"/>
      <c r="CK227" s="12"/>
      <c r="CL227" s="12"/>
      <c r="CM227" s="12"/>
      <c r="CN227" s="12"/>
      <c r="CO227" s="12"/>
      <c r="CP227" s="12"/>
      <c r="CQ227" s="12"/>
      <c r="CR227" s="12"/>
      <c r="CS227" s="12"/>
      <c r="CT227" s="12"/>
      <c r="CU227" s="12"/>
      <c r="CV227" s="12"/>
      <c r="CW227" s="12"/>
      <c r="CX227" s="12"/>
      <c r="CY227" s="12"/>
      <c r="CZ227" s="12"/>
      <c r="DA227" s="12"/>
      <c r="DB227" s="12"/>
      <c r="DC227" s="12"/>
      <c r="DD227" s="12"/>
      <c r="DE227" s="12"/>
      <c r="DF227" s="12"/>
      <c r="DG227" s="12"/>
      <c r="DH227" s="12"/>
      <c r="DI227" s="12"/>
      <c r="DJ227" s="12"/>
      <c r="DK227" s="12"/>
      <c r="DL227" s="12"/>
      <c r="DM227" s="12"/>
      <c r="DN227" s="12"/>
      <c r="DO227" s="12"/>
      <c r="DP227" s="12"/>
      <c r="DQ227" s="12"/>
      <c r="DR227" s="12"/>
      <c r="DS227" s="12"/>
      <c r="DT227" s="12"/>
      <c r="DU227" s="12"/>
      <c r="DV227" s="12"/>
      <c r="DW227" s="12"/>
      <c r="DX227" s="12"/>
      <c r="DY227" s="12"/>
      <c r="DZ227" s="12"/>
      <c r="EA227" s="12"/>
      <c r="EB227" s="12"/>
      <c r="EC227" s="12"/>
      <c r="ED227" s="12"/>
      <c r="EE227" s="12"/>
      <c r="EF227" s="12"/>
      <c r="EG227" s="12"/>
      <c r="EH227" s="12"/>
      <c r="EI227" s="12"/>
      <c r="EJ227" s="12"/>
      <c r="EK227" s="12"/>
      <c r="EL227" s="12"/>
      <c r="EM227" s="12"/>
      <c r="EN227" s="12"/>
      <c r="EO227" s="12"/>
      <c r="EP227" s="12"/>
      <c r="EQ227" s="12"/>
      <c r="ER227" s="12"/>
      <c r="ES227" s="12"/>
      <c r="ET227" s="12"/>
      <c r="EU227" s="12"/>
      <c r="EV227" s="12"/>
      <c r="EW227" s="12"/>
      <c r="EX227" s="12"/>
      <c r="EY227" s="12"/>
      <c r="EZ227" s="12"/>
      <c r="FA227" s="12"/>
      <c r="FB227" s="12"/>
      <c r="FC227" s="12"/>
      <c r="FD227" s="12"/>
      <c r="FE227" s="12"/>
      <c r="FF227" s="12"/>
      <c r="FG227" s="12"/>
      <c r="FH227" s="12"/>
      <c r="FI227" s="12"/>
      <c r="FJ227" s="12"/>
      <c r="FK227" s="12"/>
      <c r="FL227" s="12"/>
      <c r="FM227" s="12"/>
      <c r="FN227" s="12"/>
      <c r="FO227" s="12"/>
      <c r="FP227" s="12"/>
      <c r="FQ227" s="12"/>
      <c r="FR227" s="12"/>
      <c r="FS227" s="12"/>
      <c r="FT227" s="12"/>
      <c r="FU227" s="12"/>
      <c r="FV227" s="12"/>
      <c r="FW227" s="12"/>
      <c r="FX227" s="12"/>
      <c r="FY227" s="12"/>
      <c r="FZ227" s="12"/>
      <c r="GA227" s="12"/>
      <c r="GB227" s="12"/>
      <c r="GC227" s="12"/>
      <c r="GD227" s="12"/>
      <c r="GE227" s="12"/>
      <c r="GF227" s="12"/>
      <c r="GG227" s="12"/>
      <c r="GH227" s="12"/>
      <c r="GI227" s="12"/>
      <c r="GJ227" s="12"/>
      <c r="GK227" s="12"/>
      <c r="GL227" s="12"/>
      <c r="GM227" s="12"/>
      <c r="GN227" s="12"/>
      <c r="GO227" s="12"/>
      <c r="GP227" s="12"/>
      <c r="GQ227" s="12"/>
      <c r="GR227" s="12"/>
      <c r="GS227" s="12"/>
      <c r="GT227" s="12"/>
      <c r="GU227" s="12"/>
      <c r="GV227" s="12"/>
      <c r="GW227" s="12"/>
      <c r="GX227" s="12"/>
      <c r="GY227" s="12"/>
      <c r="GZ227" s="12"/>
      <c r="HA227" s="12"/>
      <c r="HB227" s="12"/>
      <c r="HC227" s="12"/>
      <c r="HD227" s="12"/>
      <c r="HE227" s="12"/>
      <c r="HF227" s="12"/>
    </row>
    <row r="228" spans="1:214" x14ac:dyDescent="0.2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46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  <c r="BO228" s="12"/>
      <c r="BP228" s="12"/>
      <c r="BQ228" s="12"/>
      <c r="BR228" s="12"/>
      <c r="BS228" s="12"/>
      <c r="BT228" s="12"/>
      <c r="BU228" s="12"/>
      <c r="BV228" s="12"/>
      <c r="BW228" s="12"/>
      <c r="BX228" s="12"/>
      <c r="BY228" s="12"/>
      <c r="BZ228" s="12"/>
      <c r="CA228" s="12"/>
      <c r="CB228" s="12"/>
      <c r="CC228" s="12"/>
      <c r="CD228" s="12"/>
      <c r="CE228" s="12"/>
      <c r="CF228" s="12"/>
      <c r="CG228" s="12"/>
      <c r="CH228" s="12"/>
      <c r="CI228" s="12"/>
      <c r="CJ228" s="12"/>
      <c r="CK228" s="12"/>
      <c r="CL228" s="12"/>
      <c r="CM228" s="12"/>
      <c r="CN228" s="12"/>
      <c r="CO228" s="12"/>
      <c r="CP228" s="12"/>
      <c r="CQ228" s="12"/>
      <c r="CR228" s="12"/>
      <c r="CS228" s="12"/>
      <c r="CT228" s="12"/>
      <c r="CU228" s="12"/>
      <c r="CV228" s="12"/>
      <c r="CW228" s="12"/>
      <c r="CX228" s="12"/>
      <c r="CY228" s="12"/>
      <c r="CZ228" s="12"/>
      <c r="DA228" s="12"/>
      <c r="DB228" s="12"/>
      <c r="DC228" s="12"/>
      <c r="DD228" s="12"/>
      <c r="DE228" s="12"/>
      <c r="DF228" s="12"/>
      <c r="DG228" s="12"/>
      <c r="DH228" s="12"/>
      <c r="DI228" s="12"/>
      <c r="DJ228" s="12"/>
      <c r="DK228" s="12"/>
      <c r="DL228" s="12"/>
      <c r="DM228" s="12"/>
      <c r="DN228" s="12"/>
      <c r="DO228" s="12"/>
      <c r="DP228" s="12"/>
      <c r="DQ228" s="12"/>
      <c r="DR228" s="12"/>
      <c r="DS228" s="12"/>
      <c r="DT228" s="12"/>
      <c r="DU228" s="12"/>
      <c r="DV228" s="12"/>
      <c r="DW228" s="12"/>
      <c r="DX228" s="12"/>
      <c r="DY228" s="12"/>
      <c r="DZ228" s="12"/>
      <c r="EA228" s="12"/>
      <c r="EB228" s="12"/>
      <c r="EC228" s="12"/>
      <c r="ED228" s="12"/>
      <c r="EE228" s="12"/>
      <c r="EF228" s="12"/>
      <c r="EG228" s="12"/>
      <c r="EH228" s="12"/>
      <c r="EI228" s="12"/>
      <c r="EJ228" s="12"/>
      <c r="EK228" s="12"/>
      <c r="EL228" s="12"/>
      <c r="EM228" s="12"/>
      <c r="EN228" s="12"/>
      <c r="EO228" s="12"/>
      <c r="EP228" s="12"/>
      <c r="EQ228" s="12"/>
      <c r="ER228" s="12"/>
      <c r="ES228" s="12"/>
      <c r="ET228" s="12"/>
      <c r="EU228" s="12"/>
      <c r="EV228" s="12"/>
      <c r="EW228" s="12"/>
      <c r="EX228" s="12"/>
      <c r="EY228" s="12"/>
      <c r="EZ228" s="12"/>
      <c r="FA228" s="12"/>
      <c r="FB228" s="12"/>
      <c r="FC228" s="12"/>
      <c r="FD228" s="12"/>
      <c r="FE228" s="12"/>
      <c r="FF228" s="12"/>
      <c r="FG228" s="12"/>
      <c r="FH228" s="12"/>
      <c r="FI228" s="12"/>
      <c r="FJ228" s="12"/>
      <c r="FK228" s="12"/>
      <c r="FL228" s="12"/>
      <c r="FM228" s="12"/>
      <c r="FN228" s="12"/>
      <c r="FO228" s="12"/>
      <c r="FP228" s="12"/>
      <c r="FQ228" s="12"/>
      <c r="FR228" s="12"/>
      <c r="FS228" s="12"/>
      <c r="FT228" s="12"/>
      <c r="FU228" s="12"/>
      <c r="FV228" s="12"/>
      <c r="FW228" s="12"/>
      <c r="FX228" s="12"/>
      <c r="FY228" s="12"/>
      <c r="FZ228" s="12"/>
      <c r="GA228" s="12"/>
      <c r="GB228" s="12"/>
      <c r="GC228" s="12"/>
      <c r="GD228" s="12"/>
      <c r="GE228" s="12"/>
      <c r="GF228" s="12"/>
      <c r="GG228" s="12"/>
      <c r="GH228" s="12"/>
      <c r="GI228" s="12"/>
      <c r="GJ228" s="12"/>
      <c r="GK228" s="12"/>
      <c r="GL228" s="12"/>
      <c r="GM228" s="12"/>
      <c r="GN228" s="12"/>
      <c r="GO228" s="12"/>
      <c r="GP228" s="12"/>
      <c r="GQ228" s="12"/>
      <c r="GR228" s="12"/>
      <c r="GS228" s="12"/>
      <c r="GT228" s="12"/>
      <c r="GU228" s="12"/>
      <c r="GV228" s="12"/>
      <c r="GW228" s="12"/>
      <c r="GX228" s="12"/>
      <c r="GY228" s="12"/>
      <c r="GZ228" s="12"/>
      <c r="HA228" s="12"/>
      <c r="HB228" s="12"/>
      <c r="HC228" s="12"/>
      <c r="HD228" s="12"/>
      <c r="HE228" s="12"/>
      <c r="HF228" s="12"/>
    </row>
    <row r="229" spans="1:214" x14ac:dyDescent="0.2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46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  <c r="BN229" s="12"/>
      <c r="BO229" s="12"/>
      <c r="BP229" s="12"/>
      <c r="BQ229" s="12"/>
      <c r="BR229" s="12"/>
      <c r="BS229" s="12"/>
      <c r="BT229" s="12"/>
      <c r="BU229" s="12"/>
      <c r="BV229" s="12"/>
      <c r="BW229" s="12"/>
      <c r="BX229" s="12"/>
      <c r="BY229" s="12"/>
      <c r="BZ229" s="12"/>
      <c r="CA229" s="12"/>
      <c r="CB229" s="12"/>
      <c r="CC229" s="12"/>
      <c r="CD229" s="12"/>
      <c r="CE229" s="12"/>
      <c r="CF229" s="12"/>
      <c r="CG229" s="12"/>
      <c r="CH229" s="12"/>
      <c r="CI229" s="12"/>
      <c r="CJ229" s="12"/>
      <c r="CK229" s="12"/>
      <c r="CL229" s="12"/>
      <c r="CM229" s="12"/>
      <c r="CN229" s="12"/>
      <c r="CO229" s="12"/>
      <c r="CP229" s="12"/>
      <c r="CQ229" s="12"/>
      <c r="CR229" s="12"/>
      <c r="CS229" s="12"/>
      <c r="CT229" s="12"/>
      <c r="CU229" s="12"/>
      <c r="CV229" s="12"/>
      <c r="CW229" s="12"/>
      <c r="CX229" s="12"/>
      <c r="CY229" s="12"/>
      <c r="CZ229" s="12"/>
      <c r="DA229" s="12"/>
      <c r="DB229" s="12"/>
      <c r="DC229" s="12"/>
      <c r="DD229" s="12"/>
      <c r="DE229" s="12"/>
      <c r="DF229" s="12"/>
      <c r="DG229" s="12"/>
      <c r="DH229" s="12"/>
      <c r="DI229" s="12"/>
      <c r="DJ229" s="12"/>
      <c r="DK229" s="12"/>
      <c r="DL229" s="12"/>
      <c r="DM229" s="12"/>
      <c r="DN229" s="12"/>
      <c r="DO229" s="12"/>
      <c r="DP229" s="12"/>
      <c r="DQ229" s="12"/>
      <c r="DR229" s="12"/>
      <c r="DS229" s="12"/>
      <c r="DT229" s="12"/>
      <c r="DU229" s="12"/>
      <c r="DV229" s="12"/>
      <c r="DW229" s="12"/>
      <c r="DX229" s="12"/>
      <c r="DY229" s="12"/>
      <c r="DZ229" s="12"/>
      <c r="EA229" s="12"/>
      <c r="EB229" s="12"/>
      <c r="EC229" s="12"/>
      <c r="ED229" s="12"/>
      <c r="EE229" s="12"/>
      <c r="EF229" s="12"/>
      <c r="EG229" s="12"/>
      <c r="EH229" s="12"/>
      <c r="EI229" s="12"/>
      <c r="EJ229" s="12"/>
      <c r="EK229" s="12"/>
      <c r="EL229" s="12"/>
      <c r="EM229" s="12"/>
      <c r="EN229" s="12"/>
      <c r="EO229" s="12"/>
      <c r="EP229" s="12"/>
      <c r="EQ229" s="12"/>
      <c r="ER229" s="12"/>
      <c r="ES229" s="12"/>
      <c r="ET229" s="12"/>
      <c r="EU229" s="12"/>
      <c r="EV229" s="12"/>
      <c r="EW229" s="12"/>
      <c r="EX229" s="12"/>
      <c r="EY229" s="12"/>
      <c r="EZ229" s="12"/>
      <c r="FA229" s="12"/>
      <c r="FB229" s="12"/>
      <c r="FC229" s="12"/>
      <c r="FD229" s="12"/>
      <c r="FE229" s="12"/>
      <c r="FF229" s="12"/>
      <c r="FG229" s="12"/>
      <c r="FH229" s="12"/>
      <c r="FI229" s="12"/>
      <c r="FJ229" s="12"/>
      <c r="FK229" s="12"/>
      <c r="FL229" s="12"/>
      <c r="FM229" s="12"/>
      <c r="FN229" s="12"/>
      <c r="FO229" s="12"/>
      <c r="FP229" s="12"/>
      <c r="FQ229" s="12"/>
      <c r="FR229" s="12"/>
      <c r="FS229" s="12"/>
      <c r="FT229" s="12"/>
      <c r="FU229" s="12"/>
      <c r="FV229" s="12"/>
      <c r="FW229" s="12"/>
      <c r="FX229" s="12"/>
      <c r="FY229" s="12"/>
      <c r="FZ229" s="12"/>
      <c r="GA229" s="12"/>
      <c r="GB229" s="12"/>
      <c r="GC229" s="12"/>
      <c r="GD229" s="12"/>
      <c r="GE229" s="12"/>
      <c r="GF229" s="12"/>
      <c r="GG229" s="12"/>
      <c r="GH229" s="12"/>
      <c r="GI229" s="12"/>
      <c r="GJ229" s="12"/>
      <c r="GK229" s="12"/>
      <c r="GL229" s="12"/>
      <c r="GM229" s="12"/>
      <c r="GN229" s="12"/>
      <c r="GO229" s="12"/>
      <c r="GP229" s="12"/>
      <c r="GQ229" s="12"/>
      <c r="GR229" s="12"/>
      <c r="GS229" s="12"/>
      <c r="GT229" s="12"/>
      <c r="GU229" s="12"/>
      <c r="GV229" s="12"/>
      <c r="GW229" s="12"/>
      <c r="GX229" s="12"/>
      <c r="GY229" s="12"/>
      <c r="GZ229" s="12"/>
      <c r="HA229" s="12"/>
      <c r="HB229" s="12"/>
      <c r="HC229" s="12"/>
      <c r="HD229" s="12"/>
      <c r="HE229" s="12"/>
      <c r="HF229" s="12"/>
    </row>
    <row r="230" spans="1:214" x14ac:dyDescent="0.2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46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2"/>
      <c r="BX230" s="12"/>
      <c r="BY230" s="12"/>
      <c r="BZ230" s="12"/>
      <c r="CA230" s="12"/>
      <c r="CB230" s="12"/>
      <c r="CC230" s="12"/>
      <c r="CD230" s="12"/>
      <c r="CE230" s="12"/>
      <c r="CF230" s="12"/>
      <c r="CG230" s="12"/>
      <c r="CH230" s="12"/>
      <c r="CI230" s="12"/>
      <c r="CJ230" s="12"/>
      <c r="CK230" s="12"/>
      <c r="CL230" s="12"/>
      <c r="CM230" s="12"/>
      <c r="CN230" s="12"/>
      <c r="CO230" s="12"/>
      <c r="CP230" s="12"/>
      <c r="CQ230" s="12"/>
      <c r="CR230" s="12"/>
      <c r="CS230" s="12"/>
      <c r="CT230" s="12"/>
      <c r="CU230" s="12"/>
      <c r="CV230" s="12"/>
      <c r="CW230" s="12"/>
      <c r="CX230" s="12"/>
      <c r="CY230" s="12"/>
      <c r="CZ230" s="12"/>
      <c r="DA230" s="12"/>
      <c r="DB230" s="12"/>
      <c r="DC230" s="12"/>
      <c r="DD230" s="12"/>
      <c r="DE230" s="12"/>
      <c r="DF230" s="12"/>
      <c r="DG230" s="12"/>
      <c r="DH230" s="12"/>
      <c r="DI230" s="12"/>
      <c r="DJ230" s="12"/>
      <c r="DK230" s="12"/>
      <c r="DL230" s="12"/>
      <c r="DM230" s="12"/>
      <c r="DN230" s="12"/>
      <c r="DO230" s="12"/>
      <c r="DP230" s="12"/>
      <c r="DQ230" s="12"/>
      <c r="DR230" s="12"/>
      <c r="DS230" s="12"/>
      <c r="DT230" s="12"/>
      <c r="DU230" s="12"/>
      <c r="DV230" s="12"/>
      <c r="DW230" s="12"/>
      <c r="DX230" s="12"/>
      <c r="DY230" s="12"/>
      <c r="DZ230" s="12"/>
      <c r="EA230" s="12"/>
      <c r="EB230" s="12"/>
      <c r="EC230" s="12"/>
      <c r="ED230" s="12"/>
      <c r="EE230" s="12"/>
      <c r="EF230" s="12"/>
      <c r="EG230" s="12"/>
      <c r="EH230" s="12"/>
      <c r="EI230" s="12"/>
      <c r="EJ230" s="12"/>
      <c r="EK230" s="12"/>
      <c r="EL230" s="12"/>
      <c r="EM230" s="12"/>
      <c r="EN230" s="12"/>
      <c r="EO230" s="12"/>
      <c r="EP230" s="12"/>
      <c r="EQ230" s="12"/>
      <c r="ER230" s="12"/>
      <c r="ES230" s="12"/>
      <c r="ET230" s="12"/>
      <c r="EU230" s="12"/>
      <c r="EV230" s="12"/>
      <c r="EW230" s="12"/>
      <c r="EX230" s="12"/>
      <c r="EY230" s="12"/>
      <c r="EZ230" s="12"/>
      <c r="FA230" s="12"/>
      <c r="FB230" s="12"/>
      <c r="FC230" s="12"/>
      <c r="FD230" s="12"/>
      <c r="FE230" s="12"/>
      <c r="FF230" s="12"/>
      <c r="FG230" s="12"/>
      <c r="FH230" s="12"/>
      <c r="FI230" s="12"/>
      <c r="FJ230" s="12"/>
      <c r="FK230" s="12"/>
      <c r="FL230" s="12"/>
      <c r="FM230" s="12"/>
      <c r="FN230" s="12"/>
      <c r="FO230" s="12"/>
      <c r="FP230" s="12"/>
      <c r="FQ230" s="12"/>
      <c r="FR230" s="12"/>
      <c r="FS230" s="12"/>
      <c r="FT230" s="12"/>
      <c r="FU230" s="12"/>
      <c r="FV230" s="12"/>
      <c r="FW230" s="12"/>
      <c r="FX230" s="12"/>
      <c r="FY230" s="12"/>
      <c r="FZ230" s="12"/>
      <c r="GA230" s="12"/>
      <c r="GB230" s="12"/>
      <c r="GC230" s="12"/>
      <c r="GD230" s="12"/>
      <c r="GE230" s="12"/>
      <c r="GF230" s="12"/>
      <c r="GG230" s="12"/>
      <c r="GH230" s="12"/>
      <c r="GI230" s="12"/>
      <c r="GJ230" s="12"/>
      <c r="GK230" s="12"/>
      <c r="GL230" s="12"/>
      <c r="GM230" s="12"/>
      <c r="GN230" s="12"/>
      <c r="GO230" s="12"/>
      <c r="GP230" s="12"/>
      <c r="GQ230" s="12"/>
      <c r="GR230" s="12"/>
      <c r="GS230" s="12"/>
      <c r="GT230" s="12"/>
      <c r="GU230" s="12"/>
      <c r="GV230" s="12"/>
      <c r="GW230" s="12"/>
      <c r="GX230" s="12"/>
      <c r="GY230" s="12"/>
      <c r="GZ230" s="12"/>
      <c r="HA230" s="12"/>
      <c r="HB230" s="12"/>
      <c r="HC230" s="12"/>
      <c r="HD230" s="12"/>
      <c r="HE230" s="12"/>
      <c r="HF230" s="12"/>
    </row>
    <row r="231" spans="1:214" x14ac:dyDescent="0.2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46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2"/>
      <c r="BO231" s="12"/>
      <c r="BP231" s="12"/>
      <c r="BQ231" s="12"/>
      <c r="BR231" s="12"/>
      <c r="BS231" s="12"/>
      <c r="BT231" s="12"/>
      <c r="BU231" s="12"/>
      <c r="BV231" s="12"/>
      <c r="BW231" s="12"/>
      <c r="BX231" s="12"/>
      <c r="BY231" s="12"/>
      <c r="BZ231" s="12"/>
      <c r="CA231" s="12"/>
      <c r="CB231" s="12"/>
      <c r="CC231" s="12"/>
      <c r="CD231" s="12"/>
      <c r="CE231" s="12"/>
      <c r="CF231" s="12"/>
      <c r="CG231" s="12"/>
      <c r="CH231" s="12"/>
      <c r="CI231" s="12"/>
      <c r="CJ231" s="12"/>
      <c r="CK231" s="12"/>
      <c r="CL231" s="12"/>
      <c r="CM231" s="12"/>
      <c r="CN231" s="12"/>
      <c r="CO231" s="12"/>
      <c r="CP231" s="12"/>
      <c r="CQ231" s="12"/>
      <c r="CR231" s="12"/>
      <c r="CS231" s="12"/>
      <c r="CT231" s="12"/>
      <c r="CU231" s="12"/>
      <c r="CV231" s="12"/>
      <c r="CW231" s="12"/>
      <c r="CX231" s="12"/>
      <c r="CY231" s="12"/>
      <c r="CZ231" s="12"/>
      <c r="DA231" s="12"/>
      <c r="DB231" s="12"/>
      <c r="DC231" s="12"/>
      <c r="DD231" s="12"/>
      <c r="DE231" s="12"/>
      <c r="DF231" s="12"/>
      <c r="DG231" s="12"/>
      <c r="DH231" s="12"/>
      <c r="DI231" s="12"/>
      <c r="DJ231" s="12"/>
      <c r="DK231" s="12"/>
      <c r="DL231" s="12"/>
      <c r="DM231" s="12"/>
      <c r="DN231" s="12"/>
      <c r="DO231" s="12"/>
      <c r="DP231" s="12"/>
      <c r="DQ231" s="12"/>
      <c r="DR231" s="12"/>
      <c r="DS231" s="12"/>
      <c r="DT231" s="12"/>
      <c r="DU231" s="12"/>
      <c r="DV231" s="12"/>
      <c r="DW231" s="12"/>
      <c r="DX231" s="12"/>
      <c r="DY231" s="12"/>
      <c r="DZ231" s="12"/>
      <c r="EA231" s="12"/>
      <c r="EB231" s="12"/>
      <c r="EC231" s="12"/>
      <c r="ED231" s="12"/>
      <c r="EE231" s="12"/>
      <c r="EF231" s="12"/>
      <c r="EG231" s="12"/>
      <c r="EH231" s="12"/>
      <c r="EI231" s="12"/>
      <c r="EJ231" s="12"/>
      <c r="EK231" s="12"/>
      <c r="EL231" s="12"/>
      <c r="EM231" s="12"/>
      <c r="EN231" s="12"/>
      <c r="EO231" s="12"/>
      <c r="EP231" s="12"/>
      <c r="EQ231" s="12"/>
      <c r="ER231" s="12"/>
      <c r="ES231" s="12"/>
      <c r="ET231" s="12"/>
      <c r="EU231" s="12"/>
      <c r="EV231" s="12"/>
      <c r="EW231" s="12"/>
      <c r="EX231" s="12"/>
      <c r="EY231" s="12"/>
      <c r="EZ231" s="12"/>
      <c r="FA231" s="12"/>
      <c r="FB231" s="12"/>
      <c r="FC231" s="12"/>
      <c r="FD231" s="12"/>
      <c r="FE231" s="12"/>
      <c r="FF231" s="12"/>
      <c r="FG231" s="12"/>
      <c r="FH231" s="12"/>
      <c r="FI231" s="12"/>
      <c r="FJ231" s="12"/>
      <c r="FK231" s="12"/>
      <c r="FL231" s="12"/>
      <c r="FM231" s="12"/>
      <c r="FN231" s="12"/>
      <c r="FO231" s="12"/>
      <c r="FP231" s="12"/>
      <c r="FQ231" s="12"/>
      <c r="FR231" s="12"/>
      <c r="FS231" s="12"/>
      <c r="FT231" s="12"/>
      <c r="FU231" s="12"/>
      <c r="FV231" s="12"/>
      <c r="FW231" s="12"/>
      <c r="FX231" s="12"/>
      <c r="FY231" s="12"/>
      <c r="FZ231" s="12"/>
      <c r="GA231" s="12"/>
      <c r="GB231" s="12"/>
      <c r="GC231" s="12"/>
      <c r="GD231" s="12"/>
      <c r="GE231" s="12"/>
      <c r="GF231" s="12"/>
      <c r="GG231" s="12"/>
      <c r="GH231" s="12"/>
      <c r="GI231" s="12"/>
      <c r="GJ231" s="12"/>
      <c r="GK231" s="12"/>
      <c r="GL231" s="12"/>
      <c r="GM231" s="12"/>
      <c r="GN231" s="12"/>
      <c r="GO231" s="12"/>
      <c r="GP231" s="12"/>
      <c r="GQ231" s="12"/>
      <c r="GR231" s="12"/>
      <c r="GS231" s="12"/>
      <c r="GT231" s="12"/>
      <c r="GU231" s="12"/>
      <c r="GV231" s="12"/>
      <c r="GW231" s="12"/>
      <c r="GX231" s="12"/>
      <c r="GY231" s="12"/>
      <c r="GZ231" s="12"/>
      <c r="HA231" s="12"/>
      <c r="HB231" s="12"/>
      <c r="HC231" s="12"/>
      <c r="HD231" s="12"/>
      <c r="HE231" s="12"/>
      <c r="HF231" s="12"/>
    </row>
    <row r="232" spans="1:214" x14ac:dyDescent="0.2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46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2"/>
      <c r="BO232" s="12"/>
      <c r="BP232" s="12"/>
      <c r="BQ232" s="12"/>
      <c r="BR232" s="12"/>
      <c r="BS232" s="12"/>
      <c r="BT232" s="12"/>
      <c r="BU232" s="12"/>
      <c r="BV232" s="12"/>
      <c r="BW232" s="12"/>
      <c r="BX232" s="12"/>
      <c r="BY232" s="12"/>
      <c r="BZ232" s="12"/>
      <c r="CA232" s="12"/>
      <c r="CB232" s="12"/>
      <c r="CC232" s="12"/>
      <c r="CD232" s="12"/>
      <c r="CE232" s="12"/>
      <c r="CF232" s="12"/>
      <c r="CG232" s="12"/>
      <c r="CH232" s="12"/>
      <c r="CI232" s="12"/>
      <c r="CJ232" s="12"/>
      <c r="CK232" s="12"/>
      <c r="CL232" s="12"/>
      <c r="CM232" s="12"/>
      <c r="CN232" s="12"/>
      <c r="CO232" s="12"/>
      <c r="CP232" s="12"/>
      <c r="CQ232" s="12"/>
      <c r="CR232" s="12"/>
      <c r="CS232" s="12"/>
      <c r="CT232" s="12"/>
      <c r="CU232" s="12"/>
      <c r="CV232" s="12"/>
      <c r="CW232" s="12"/>
      <c r="CX232" s="12"/>
      <c r="CY232" s="12"/>
      <c r="CZ232" s="12"/>
      <c r="DA232" s="12"/>
      <c r="DB232" s="12"/>
      <c r="DC232" s="12"/>
      <c r="DD232" s="12"/>
      <c r="DE232" s="12"/>
      <c r="DF232" s="12"/>
      <c r="DG232" s="12"/>
      <c r="DH232" s="12"/>
      <c r="DI232" s="12"/>
      <c r="DJ232" s="12"/>
      <c r="DK232" s="12"/>
      <c r="DL232" s="12"/>
      <c r="DM232" s="12"/>
      <c r="DN232" s="12"/>
      <c r="DO232" s="12"/>
      <c r="DP232" s="12"/>
      <c r="DQ232" s="12"/>
      <c r="DR232" s="12"/>
      <c r="DS232" s="12"/>
      <c r="DT232" s="12"/>
      <c r="DU232" s="12"/>
      <c r="DV232" s="12"/>
      <c r="DW232" s="12"/>
      <c r="DX232" s="12"/>
      <c r="DY232" s="12"/>
      <c r="DZ232" s="12"/>
      <c r="EA232" s="12"/>
      <c r="EB232" s="12"/>
      <c r="EC232" s="12"/>
      <c r="ED232" s="12"/>
      <c r="EE232" s="12"/>
      <c r="EF232" s="12"/>
      <c r="EG232" s="12"/>
      <c r="EH232" s="12"/>
      <c r="EI232" s="12"/>
      <c r="EJ232" s="12"/>
      <c r="EK232" s="12"/>
      <c r="EL232" s="12"/>
      <c r="EM232" s="12"/>
      <c r="EN232" s="12"/>
      <c r="EO232" s="12"/>
      <c r="EP232" s="12"/>
      <c r="EQ232" s="12"/>
      <c r="ER232" s="12"/>
      <c r="ES232" s="12"/>
      <c r="ET232" s="12"/>
      <c r="EU232" s="12"/>
      <c r="EV232" s="12"/>
      <c r="EW232" s="12"/>
      <c r="EX232" s="12"/>
      <c r="EY232" s="12"/>
      <c r="EZ232" s="12"/>
      <c r="FA232" s="12"/>
      <c r="FB232" s="12"/>
      <c r="FC232" s="12"/>
      <c r="FD232" s="12"/>
      <c r="FE232" s="12"/>
      <c r="FF232" s="12"/>
      <c r="FG232" s="12"/>
      <c r="FH232" s="12"/>
      <c r="FI232" s="12"/>
      <c r="FJ232" s="12"/>
      <c r="FK232" s="12"/>
      <c r="FL232" s="12"/>
      <c r="FM232" s="12"/>
      <c r="FN232" s="12"/>
      <c r="FO232" s="12"/>
      <c r="FP232" s="12"/>
      <c r="FQ232" s="12"/>
      <c r="FR232" s="12"/>
      <c r="FS232" s="12"/>
      <c r="FT232" s="12"/>
      <c r="FU232" s="12"/>
      <c r="FV232" s="12"/>
      <c r="FW232" s="12"/>
      <c r="FX232" s="12"/>
      <c r="FY232" s="12"/>
      <c r="FZ232" s="12"/>
      <c r="GA232" s="12"/>
      <c r="GB232" s="12"/>
      <c r="GC232" s="12"/>
      <c r="GD232" s="12"/>
      <c r="GE232" s="12"/>
      <c r="GF232" s="12"/>
      <c r="GG232" s="12"/>
      <c r="GH232" s="12"/>
      <c r="GI232" s="12"/>
      <c r="GJ232" s="12"/>
      <c r="GK232" s="12"/>
      <c r="GL232" s="12"/>
      <c r="GM232" s="12"/>
      <c r="GN232" s="12"/>
      <c r="GO232" s="12"/>
      <c r="GP232" s="12"/>
      <c r="GQ232" s="12"/>
      <c r="GR232" s="12"/>
      <c r="GS232" s="12"/>
      <c r="GT232" s="12"/>
      <c r="GU232" s="12"/>
      <c r="GV232" s="12"/>
      <c r="GW232" s="12"/>
      <c r="GX232" s="12"/>
      <c r="GY232" s="12"/>
      <c r="GZ232" s="12"/>
      <c r="HA232" s="12"/>
      <c r="HB232" s="12"/>
      <c r="HC232" s="12"/>
      <c r="HD232" s="12"/>
      <c r="HE232" s="12"/>
      <c r="HF232" s="12"/>
    </row>
    <row r="233" spans="1:214" x14ac:dyDescent="0.2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46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  <c r="BN233" s="12"/>
      <c r="BO233" s="12"/>
      <c r="BP233" s="12"/>
      <c r="BQ233" s="12"/>
      <c r="BR233" s="12"/>
      <c r="BS233" s="12"/>
      <c r="BT233" s="12"/>
      <c r="BU233" s="12"/>
      <c r="BV233" s="12"/>
      <c r="BW233" s="12"/>
      <c r="BX233" s="12"/>
      <c r="BY233" s="12"/>
      <c r="BZ233" s="12"/>
      <c r="CA233" s="12"/>
      <c r="CB233" s="12"/>
      <c r="CC233" s="12"/>
      <c r="CD233" s="12"/>
      <c r="CE233" s="12"/>
      <c r="CF233" s="12"/>
      <c r="CG233" s="12"/>
      <c r="CH233" s="12"/>
      <c r="CI233" s="12"/>
      <c r="CJ233" s="12"/>
      <c r="CK233" s="12"/>
      <c r="CL233" s="12"/>
      <c r="CM233" s="12"/>
      <c r="CN233" s="12"/>
      <c r="CO233" s="12"/>
      <c r="CP233" s="12"/>
      <c r="CQ233" s="12"/>
      <c r="CR233" s="12"/>
      <c r="CS233" s="12"/>
      <c r="CT233" s="12"/>
      <c r="CU233" s="12"/>
      <c r="CV233" s="12"/>
      <c r="CW233" s="12"/>
      <c r="CX233" s="12"/>
      <c r="CY233" s="12"/>
      <c r="CZ233" s="12"/>
      <c r="DA233" s="12"/>
      <c r="DB233" s="12"/>
      <c r="DC233" s="12"/>
      <c r="DD233" s="12"/>
      <c r="DE233" s="12"/>
      <c r="DF233" s="12"/>
      <c r="DG233" s="12"/>
      <c r="DH233" s="12"/>
      <c r="DI233" s="12"/>
      <c r="DJ233" s="12"/>
      <c r="DK233" s="12"/>
      <c r="DL233" s="12"/>
      <c r="DM233" s="12"/>
      <c r="DN233" s="12"/>
      <c r="DO233" s="12"/>
      <c r="DP233" s="12"/>
      <c r="DQ233" s="12"/>
      <c r="DR233" s="12"/>
      <c r="DS233" s="12"/>
      <c r="DT233" s="12"/>
      <c r="DU233" s="12"/>
      <c r="DV233" s="12"/>
      <c r="DW233" s="12"/>
      <c r="DX233" s="12"/>
      <c r="DY233" s="12"/>
      <c r="DZ233" s="12"/>
      <c r="EA233" s="12"/>
      <c r="EB233" s="12"/>
      <c r="EC233" s="12"/>
      <c r="ED233" s="12"/>
      <c r="EE233" s="12"/>
      <c r="EF233" s="12"/>
      <c r="EG233" s="12"/>
      <c r="EH233" s="12"/>
      <c r="EI233" s="12"/>
      <c r="EJ233" s="12"/>
      <c r="EK233" s="12"/>
      <c r="EL233" s="12"/>
      <c r="EM233" s="12"/>
      <c r="EN233" s="12"/>
      <c r="EO233" s="12"/>
      <c r="EP233" s="12"/>
      <c r="EQ233" s="12"/>
      <c r="ER233" s="12"/>
      <c r="ES233" s="12"/>
      <c r="ET233" s="12"/>
      <c r="EU233" s="12"/>
      <c r="EV233" s="12"/>
      <c r="EW233" s="12"/>
      <c r="EX233" s="12"/>
      <c r="EY233" s="12"/>
      <c r="EZ233" s="12"/>
      <c r="FA233" s="12"/>
      <c r="FB233" s="12"/>
      <c r="FC233" s="12"/>
      <c r="FD233" s="12"/>
      <c r="FE233" s="12"/>
      <c r="FF233" s="12"/>
      <c r="FG233" s="12"/>
      <c r="FH233" s="12"/>
      <c r="FI233" s="12"/>
      <c r="FJ233" s="12"/>
      <c r="FK233" s="12"/>
      <c r="FL233" s="12"/>
      <c r="FM233" s="12"/>
      <c r="FN233" s="12"/>
      <c r="FO233" s="12"/>
      <c r="FP233" s="12"/>
      <c r="FQ233" s="12"/>
      <c r="FR233" s="12"/>
      <c r="FS233" s="12"/>
      <c r="FT233" s="12"/>
      <c r="FU233" s="12"/>
      <c r="FV233" s="12"/>
      <c r="FW233" s="12"/>
      <c r="FX233" s="12"/>
      <c r="FY233" s="12"/>
      <c r="FZ233" s="12"/>
      <c r="GA233" s="12"/>
      <c r="GB233" s="12"/>
      <c r="GC233" s="12"/>
      <c r="GD233" s="12"/>
      <c r="GE233" s="12"/>
      <c r="GF233" s="12"/>
      <c r="GG233" s="12"/>
      <c r="GH233" s="12"/>
      <c r="GI233" s="12"/>
      <c r="GJ233" s="12"/>
      <c r="GK233" s="12"/>
      <c r="GL233" s="12"/>
      <c r="GM233" s="12"/>
      <c r="GN233" s="12"/>
      <c r="GO233" s="12"/>
      <c r="GP233" s="12"/>
      <c r="GQ233" s="12"/>
      <c r="GR233" s="12"/>
      <c r="GS233" s="12"/>
      <c r="GT233" s="12"/>
      <c r="GU233" s="12"/>
      <c r="GV233" s="12"/>
      <c r="GW233" s="12"/>
      <c r="GX233" s="12"/>
      <c r="GY233" s="12"/>
      <c r="GZ233" s="12"/>
      <c r="HA233" s="12"/>
      <c r="HB233" s="12"/>
      <c r="HC233" s="12"/>
      <c r="HD233" s="12"/>
      <c r="HE233" s="12"/>
      <c r="HF233" s="12"/>
    </row>
    <row r="234" spans="1:214" x14ac:dyDescent="0.2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46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  <c r="BN234" s="12"/>
      <c r="BO234" s="12"/>
      <c r="BP234" s="12"/>
      <c r="BQ234" s="12"/>
      <c r="BR234" s="12"/>
      <c r="BS234" s="12"/>
      <c r="BT234" s="12"/>
      <c r="BU234" s="12"/>
      <c r="BV234" s="12"/>
      <c r="BW234" s="12"/>
      <c r="BX234" s="12"/>
      <c r="BY234" s="12"/>
      <c r="BZ234" s="12"/>
      <c r="CA234" s="12"/>
      <c r="CB234" s="12"/>
      <c r="CC234" s="12"/>
      <c r="CD234" s="12"/>
      <c r="CE234" s="12"/>
      <c r="CF234" s="12"/>
      <c r="CG234" s="12"/>
      <c r="CH234" s="12"/>
      <c r="CI234" s="12"/>
      <c r="CJ234" s="12"/>
      <c r="CK234" s="12"/>
      <c r="CL234" s="12"/>
      <c r="CM234" s="12"/>
      <c r="CN234" s="12"/>
      <c r="CO234" s="12"/>
      <c r="CP234" s="12"/>
      <c r="CQ234" s="12"/>
      <c r="CR234" s="12"/>
      <c r="CS234" s="12"/>
      <c r="CT234" s="12"/>
      <c r="CU234" s="12"/>
      <c r="CV234" s="12"/>
      <c r="CW234" s="12"/>
      <c r="CX234" s="12"/>
      <c r="CY234" s="12"/>
      <c r="CZ234" s="12"/>
      <c r="DA234" s="12"/>
      <c r="DB234" s="12"/>
      <c r="DC234" s="12"/>
      <c r="DD234" s="12"/>
      <c r="DE234" s="12"/>
      <c r="DF234" s="12"/>
      <c r="DG234" s="12"/>
      <c r="DH234" s="12"/>
      <c r="DI234" s="12"/>
      <c r="DJ234" s="12"/>
      <c r="DK234" s="12"/>
      <c r="DL234" s="12"/>
      <c r="DM234" s="12"/>
      <c r="DN234" s="12"/>
      <c r="DO234" s="12"/>
      <c r="DP234" s="12"/>
      <c r="DQ234" s="12"/>
      <c r="DR234" s="12"/>
      <c r="DS234" s="12"/>
      <c r="DT234" s="12"/>
      <c r="DU234" s="12"/>
      <c r="DV234" s="12"/>
      <c r="DW234" s="12"/>
      <c r="DX234" s="12"/>
      <c r="DY234" s="12"/>
      <c r="DZ234" s="12"/>
      <c r="EA234" s="12"/>
      <c r="EB234" s="12"/>
      <c r="EC234" s="12"/>
      <c r="ED234" s="12"/>
      <c r="EE234" s="12"/>
      <c r="EF234" s="12"/>
      <c r="EG234" s="12"/>
      <c r="EH234" s="12"/>
      <c r="EI234" s="12"/>
      <c r="EJ234" s="12"/>
      <c r="EK234" s="12"/>
      <c r="EL234" s="12"/>
      <c r="EM234" s="12"/>
      <c r="EN234" s="12"/>
      <c r="EO234" s="12"/>
      <c r="EP234" s="12"/>
      <c r="EQ234" s="12"/>
      <c r="ER234" s="12"/>
      <c r="ES234" s="12"/>
      <c r="ET234" s="12"/>
      <c r="EU234" s="12"/>
      <c r="EV234" s="12"/>
      <c r="EW234" s="12"/>
      <c r="EX234" s="12"/>
      <c r="EY234" s="12"/>
      <c r="EZ234" s="12"/>
      <c r="FA234" s="12"/>
      <c r="FB234" s="12"/>
      <c r="FC234" s="12"/>
      <c r="FD234" s="12"/>
      <c r="FE234" s="12"/>
      <c r="FF234" s="12"/>
      <c r="FG234" s="12"/>
      <c r="FH234" s="12"/>
      <c r="FI234" s="12"/>
      <c r="FJ234" s="12"/>
      <c r="FK234" s="12"/>
      <c r="FL234" s="12"/>
      <c r="FM234" s="12"/>
      <c r="FN234" s="12"/>
      <c r="FO234" s="12"/>
      <c r="FP234" s="12"/>
      <c r="FQ234" s="12"/>
      <c r="FR234" s="12"/>
      <c r="FS234" s="12"/>
      <c r="FT234" s="12"/>
      <c r="FU234" s="12"/>
      <c r="FV234" s="12"/>
      <c r="FW234" s="12"/>
      <c r="FX234" s="12"/>
      <c r="FY234" s="12"/>
      <c r="FZ234" s="12"/>
      <c r="GA234" s="12"/>
      <c r="GB234" s="12"/>
      <c r="GC234" s="12"/>
      <c r="GD234" s="12"/>
      <c r="GE234" s="12"/>
      <c r="GF234" s="12"/>
      <c r="GG234" s="12"/>
      <c r="GH234" s="12"/>
      <c r="GI234" s="12"/>
      <c r="GJ234" s="12"/>
      <c r="GK234" s="12"/>
      <c r="GL234" s="12"/>
      <c r="GM234" s="12"/>
      <c r="GN234" s="12"/>
      <c r="GO234" s="12"/>
      <c r="GP234" s="12"/>
      <c r="GQ234" s="12"/>
      <c r="GR234" s="12"/>
      <c r="GS234" s="12"/>
      <c r="GT234" s="12"/>
      <c r="GU234" s="12"/>
      <c r="GV234" s="12"/>
      <c r="GW234" s="12"/>
      <c r="GX234" s="12"/>
      <c r="GY234" s="12"/>
      <c r="GZ234" s="12"/>
      <c r="HA234" s="12"/>
      <c r="HB234" s="12"/>
      <c r="HC234" s="12"/>
      <c r="HD234" s="12"/>
      <c r="HE234" s="12"/>
      <c r="HF234" s="12"/>
    </row>
    <row r="235" spans="1:214" x14ac:dyDescent="0.2">
      <c r="A235" s="65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46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  <c r="BN235" s="12"/>
      <c r="BO235" s="12"/>
      <c r="BP235" s="12"/>
      <c r="BQ235" s="12"/>
      <c r="BR235" s="12"/>
      <c r="BS235" s="12"/>
      <c r="BT235" s="12"/>
      <c r="BU235" s="12"/>
      <c r="BV235" s="12"/>
      <c r="BW235" s="12"/>
      <c r="BX235" s="12"/>
      <c r="BY235" s="12"/>
      <c r="BZ235" s="12"/>
      <c r="CA235" s="12"/>
      <c r="CB235" s="12"/>
      <c r="CC235" s="12"/>
      <c r="CD235" s="12"/>
      <c r="CE235" s="12"/>
      <c r="CF235" s="12"/>
      <c r="CG235" s="12"/>
      <c r="CH235" s="12"/>
      <c r="CI235" s="12"/>
      <c r="CJ235" s="12"/>
      <c r="CK235" s="12"/>
      <c r="CL235" s="12"/>
      <c r="CM235" s="12"/>
      <c r="CN235" s="12"/>
      <c r="CO235" s="12"/>
      <c r="CP235" s="12"/>
      <c r="CQ235" s="12"/>
      <c r="CR235" s="12"/>
      <c r="CS235" s="12"/>
      <c r="CT235" s="12"/>
      <c r="CU235" s="12"/>
      <c r="CV235" s="12"/>
      <c r="CW235" s="12"/>
      <c r="CX235" s="12"/>
      <c r="CY235" s="12"/>
      <c r="CZ235" s="12"/>
      <c r="DA235" s="12"/>
      <c r="DB235" s="12"/>
      <c r="DC235" s="12"/>
      <c r="DD235" s="12"/>
      <c r="DE235" s="12"/>
      <c r="DF235" s="12"/>
      <c r="DG235" s="12"/>
      <c r="DH235" s="12"/>
      <c r="DI235" s="12"/>
      <c r="DJ235" s="12"/>
      <c r="DK235" s="12"/>
      <c r="DL235" s="12"/>
      <c r="DM235" s="12"/>
      <c r="DN235" s="12"/>
      <c r="DO235" s="12"/>
      <c r="DP235" s="12"/>
      <c r="DQ235" s="12"/>
      <c r="DR235" s="12"/>
      <c r="DS235" s="12"/>
      <c r="DT235" s="12"/>
      <c r="DU235" s="12"/>
      <c r="DV235" s="12"/>
      <c r="DW235" s="12"/>
      <c r="DX235" s="12"/>
      <c r="DY235" s="12"/>
      <c r="DZ235" s="12"/>
      <c r="EA235" s="12"/>
      <c r="EB235" s="12"/>
      <c r="EC235" s="12"/>
      <c r="ED235" s="12"/>
      <c r="EE235" s="12"/>
      <c r="EF235" s="12"/>
      <c r="EG235" s="12"/>
      <c r="EH235" s="12"/>
      <c r="EI235" s="12"/>
      <c r="EJ235" s="12"/>
      <c r="EK235" s="12"/>
      <c r="EL235" s="12"/>
      <c r="EM235" s="12"/>
      <c r="EN235" s="12"/>
      <c r="EO235" s="12"/>
      <c r="EP235" s="12"/>
      <c r="EQ235" s="12"/>
      <c r="ER235" s="12"/>
      <c r="ES235" s="12"/>
      <c r="ET235" s="12"/>
      <c r="EU235" s="12"/>
      <c r="EV235" s="12"/>
      <c r="EW235" s="12"/>
      <c r="EX235" s="12"/>
      <c r="EY235" s="12"/>
      <c r="EZ235" s="12"/>
      <c r="FA235" s="12"/>
      <c r="FB235" s="12"/>
      <c r="FC235" s="12"/>
      <c r="FD235" s="12"/>
      <c r="FE235" s="12"/>
      <c r="FF235" s="12"/>
      <c r="FG235" s="12"/>
      <c r="FH235" s="12"/>
      <c r="FI235" s="12"/>
      <c r="FJ235" s="12"/>
      <c r="FK235" s="12"/>
      <c r="FL235" s="12"/>
      <c r="FM235" s="12"/>
      <c r="FN235" s="12"/>
      <c r="FO235" s="12"/>
      <c r="FP235" s="12"/>
      <c r="FQ235" s="12"/>
      <c r="FR235" s="12"/>
      <c r="FS235" s="12"/>
      <c r="FT235" s="12"/>
      <c r="FU235" s="12"/>
      <c r="FV235" s="12"/>
      <c r="FW235" s="12"/>
      <c r="FX235" s="12"/>
      <c r="FY235" s="12"/>
      <c r="FZ235" s="12"/>
      <c r="GA235" s="12"/>
      <c r="GB235" s="12"/>
      <c r="GC235" s="12"/>
      <c r="GD235" s="12"/>
      <c r="GE235" s="12"/>
      <c r="GF235" s="12"/>
      <c r="GG235" s="12"/>
      <c r="GH235" s="12"/>
      <c r="GI235" s="12"/>
      <c r="GJ235" s="12"/>
      <c r="GK235" s="12"/>
      <c r="GL235" s="12"/>
      <c r="GM235" s="12"/>
      <c r="GN235" s="12"/>
      <c r="GO235" s="12"/>
      <c r="GP235" s="12"/>
      <c r="GQ235" s="12"/>
      <c r="GR235" s="12"/>
      <c r="GS235" s="12"/>
      <c r="GT235" s="12"/>
      <c r="GU235" s="12"/>
      <c r="GV235" s="12"/>
      <c r="GW235" s="12"/>
      <c r="GX235" s="12"/>
      <c r="GY235" s="12"/>
      <c r="GZ235" s="12"/>
      <c r="HA235" s="12"/>
      <c r="HB235" s="12"/>
      <c r="HC235" s="12"/>
      <c r="HD235" s="12"/>
      <c r="HE235" s="12"/>
      <c r="HF235" s="12"/>
    </row>
    <row r="236" spans="1:214" x14ac:dyDescent="0.2">
      <c r="A236" s="65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46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  <c r="BN236" s="12"/>
      <c r="BO236" s="12"/>
      <c r="BP236" s="12"/>
      <c r="BQ236" s="12"/>
      <c r="BR236" s="12"/>
      <c r="BS236" s="12"/>
      <c r="BT236" s="12"/>
      <c r="BU236" s="12"/>
      <c r="BV236" s="12"/>
      <c r="BW236" s="12"/>
      <c r="BX236" s="12"/>
      <c r="BY236" s="12"/>
      <c r="BZ236" s="12"/>
      <c r="CA236" s="12"/>
      <c r="CB236" s="12"/>
      <c r="CC236" s="12"/>
      <c r="CD236" s="12"/>
      <c r="CE236" s="12"/>
      <c r="CF236" s="12"/>
      <c r="CG236" s="12"/>
      <c r="CH236" s="12"/>
      <c r="CI236" s="12"/>
      <c r="CJ236" s="12"/>
      <c r="CK236" s="12"/>
      <c r="CL236" s="12"/>
      <c r="CM236" s="12"/>
      <c r="CN236" s="12"/>
      <c r="CO236" s="12"/>
      <c r="CP236" s="12"/>
      <c r="CQ236" s="12"/>
      <c r="CR236" s="12"/>
      <c r="CS236" s="12"/>
      <c r="CT236" s="12"/>
      <c r="CU236" s="12"/>
      <c r="CV236" s="12"/>
      <c r="CW236" s="12"/>
      <c r="CX236" s="12"/>
      <c r="CY236" s="12"/>
      <c r="CZ236" s="12"/>
      <c r="DA236" s="12"/>
      <c r="DB236" s="12"/>
      <c r="DC236" s="12"/>
      <c r="DD236" s="12"/>
      <c r="DE236" s="12"/>
      <c r="DF236" s="12"/>
      <c r="DG236" s="12"/>
      <c r="DH236" s="12"/>
      <c r="DI236" s="12"/>
      <c r="DJ236" s="12"/>
      <c r="DK236" s="12"/>
      <c r="DL236" s="12"/>
      <c r="DM236" s="12"/>
      <c r="DN236" s="12"/>
      <c r="DO236" s="12"/>
      <c r="DP236" s="12"/>
      <c r="DQ236" s="12"/>
      <c r="DR236" s="12"/>
      <c r="DS236" s="12"/>
      <c r="DT236" s="12"/>
      <c r="DU236" s="12"/>
      <c r="DV236" s="12"/>
      <c r="DW236" s="12"/>
      <c r="DX236" s="12"/>
      <c r="DY236" s="12"/>
      <c r="DZ236" s="12"/>
      <c r="EA236" s="12"/>
      <c r="EB236" s="12"/>
      <c r="EC236" s="12"/>
      <c r="ED236" s="12"/>
      <c r="EE236" s="12"/>
      <c r="EF236" s="12"/>
      <c r="EG236" s="12"/>
      <c r="EH236" s="12"/>
      <c r="EI236" s="12"/>
      <c r="EJ236" s="12"/>
      <c r="EK236" s="12"/>
      <c r="EL236" s="12"/>
      <c r="EM236" s="12"/>
      <c r="EN236" s="12"/>
      <c r="EO236" s="12"/>
      <c r="EP236" s="12"/>
      <c r="EQ236" s="12"/>
      <c r="ER236" s="12"/>
      <c r="ES236" s="12"/>
      <c r="ET236" s="12"/>
      <c r="EU236" s="12"/>
      <c r="EV236" s="12"/>
      <c r="EW236" s="12"/>
      <c r="EX236" s="12"/>
      <c r="EY236" s="12"/>
      <c r="EZ236" s="12"/>
      <c r="FA236" s="12"/>
      <c r="FB236" s="12"/>
      <c r="FC236" s="12"/>
      <c r="FD236" s="12"/>
      <c r="FE236" s="12"/>
      <c r="FF236" s="12"/>
      <c r="FG236" s="12"/>
      <c r="FH236" s="12"/>
      <c r="FI236" s="12"/>
      <c r="FJ236" s="12"/>
      <c r="FK236" s="12"/>
      <c r="FL236" s="12"/>
      <c r="FM236" s="12"/>
      <c r="FN236" s="12"/>
      <c r="FO236" s="12"/>
      <c r="FP236" s="12"/>
      <c r="FQ236" s="12"/>
      <c r="FR236" s="12"/>
      <c r="FS236" s="12"/>
      <c r="FT236" s="12"/>
      <c r="FU236" s="12"/>
      <c r="FV236" s="12"/>
      <c r="FW236" s="12"/>
      <c r="FX236" s="12"/>
      <c r="FY236" s="12"/>
      <c r="FZ236" s="12"/>
      <c r="GA236" s="12"/>
      <c r="GB236" s="12"/>
      <c r="GC236" s="12"/>
      <c r="GD236" s="12"/>
      <c r="GE236" s="12"/>
      <c r="GF236" s="12"/>
      <c r="GG236" s="12"/>
      <c r="GH236" s="12"/>
      <c r="GI236" s="12"/>
      <c r="GJ236" s="12"/>
      <c r="GK236" s="12"/>
      <c r="GL236" s="12"/>
      <c r="GM236" s="12"/>
      <c r="GN236" s="12"/>
      <c r="GO236" s="12"/>
      <c r="GP236" s="12"/>
      <c r="GQ236" s="12"/>
      <c r="GR236" s="12"/>
      <c r="GS236" s="12"/>
      <c r="GT236" s="12"/>
      <c r="GU236" s="12"/>
      <c r="GV236" s="12"/>
      <c r="GW236" s="12"/>
      <c r="GX236" s="12"/>
      <c r="GY236" s="12"/>
      <c r="GZ236" s="12"/>
      <c r="HA236" s="12"/>
      <c r="HB236" s="12"/>
      <c r="HC236" s="12"/>
      <c r="HD236" s="12"/>
      <c r="HE236" s="12"/>
      <c r="HF236" s="12"/>
    </row>
    <row r="237" spans="1:214" x14ac:dyDescent="0.2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46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  <c r="BN237" s="12"/>
      <c r="BO237" s="12"/>
      <c r="BP237" s="12"/>
      <c r="BQ237" s="12"/>
      <c r="BR237" s="12"/>
      <c r="BS237" s="12"/>
      <c r="BT237" s="12"/>
      <c r="BU237" s="12"/>
      <c r="BV237" s="12"/>
      <c r="BW237" s="12"/>
      <c r="BX237" s="12"/>
      <c r="BY237" s="12"/>
      <c r="BZ237" s="12"/>
      <c r="CA237" s="12"/>
      <c r="CB237" s="12"/>
      <c r="CC237" s="12"/>
      <c r="CD237" s="12"/>
      <c r="CE237" s="12"/>
      <c r="CF237" s="12"/>
      <c r="CG237" s="12"/>
      <c r="CH237" s="12"/>
      <c r="CI237" s="12"/>
      <c r="CJ237" s="12"/>
      <c r="CK237" s="12"/>
      <c r="CL237" s="12"/>
      <c r="CM237" s="12"/>
      <c r="CN237" s="12"/>
      <c r="CO237" s="12"/>
      <c r="CP237" s="12"/>
      <c r="CQ237" s="12"/>
      <c r="CR237" s="12"/>
      <c r="CS237" s="12"/>
      <c r="CT237" s="12"/>
      <c r="CU237" s="12"/>
      <c r="CV237" s="12"/>
      <c r="CW237" s="12"/>
      <c r="CX237" s="12"/>
      <c r="CY237" s="12"/>
      <c r="CZ237" s="12"/>
      <c r="DA237" s="12"/>
      <c r="DB237" s="12"/>
      <c r="DC237" s="12"/>
      <c r="DD237" s="12"/>
      <c r="DE237" s="12"/>
      <c r="DF237" s="12"/>
      <c r="DG237" s="12"/>
      <c r="DH237" s="12"/>
      <c r="DI237" s="12"/>
      <c r="DJ237" s="12"/>
      <c r="DK237" s="12"/>
      <c r="DL237" s="12"/>
      <c r="DM237" s="12"/>
      <c r="DN237" s="12"/>
      <c r="DO237" s="12"/>
      <c r="DP237" s="12"/>
      <c r="DQ237" s="12"/>
      <c r="DR237" s="12"/>
      <c r="DS237" s="12"/>
      <c r="DT237" s="12"/>
      <c r="DU237" s="12"/>
      <c r="DV237" s="12"/>
      <c r="DW237" s="12"/>
      <c r="DX237" s="12"/>
      <c r="DY237" s="12"/>
      <c r="DZ237" s="12"/>
      <c r="EA237" s="12"/>
      <c r="EB237" s="12"/>
      <c r="EC237" s="12"/>
      <c r="ED237" s="12"/>
      <c r="EE237" s="12"/>
      <c r="EF237" s="12"/>
      <c r="EG237" s="12"/>
      <c r="EH237" s="12"/>
      <c r="EI237" s="12"/>
      <c r="EJ237" s="12"/>
      <c r="EK237" s="12"/>
      <c r="EL237" s="12"/>
      <c r="EM237" s="12"/>
      <c r="EN237" s="12"/>
      <c r="EO237" s="12"/>
      <c r="EP237" s="12"/>
      <c r="EQ237" s="12"/>
      <c r="ER237" s="12"/>
      <c r="ES237" s="12"/>
      <c r="ET237" s="12"/>
      <c r="EU237" s="12"/>
      <c r="EV237" s="12"/>
      <c r="EW237" s="12"/>
      <c r="EX237" s="12"/>
      <c r="EY237" s="12"/>
      <c r="EZ237" s="12"/>
      <c r="FA237" s="12"/>
      <c r="FB237" s="12"/>
      <c r="FC237" s="12"/>
      <c r="FD237" s="12"/>
      <c r="FE237" s="12"/>
      <c r="FF237" s="12"/>
      <c r="FG237" s="12"/>
      <c r="FH237" s="12"/>
      <c r="FI237" s="12"/>
      <c r="FJ237" s="12"/>
      <c r="FK237" s="12"/>
      <c r="FL237" s="12"/>
      <c r="FM237" s="12"/>
      <c r="FN237" s="12"/>
      <c r="FO237" s="12"/>
      <c r="FP237" s="12"/>
      <c r="FQ237" s="12"/>
      <c r="FR237" s="12"/>
      <c r="FS237" s="12"/>
      <c r="FT237" s="12"/>
      <c r="FU237" s="12"/>
      <c r="FV237" s="12"/>
      <c r="FW237" s="12"/>
      <c r="FX237" s="12"/>
      <c r="FY237" s="12"/>
      <c r="FZ237" s="12"/>
      <c r="GA237" s="12"/>
      <c r="GB237" s="12"/>
      <c r="GC237" s="12"/>
      <c r="GD237" s="12"/>
      <c r="GE237" s="12"/>
      <c r="GF237" s="12"/>
      <c r="GG237" s="12"/>
      <c r="GH237" s="12"/>
      <c r="GI237" s="12"/>
      <c r="GJ237" s="12"/>
      <c r="GK237" s="12"/>
      <c r="GL237" s="12"/>
      <c r="GM237" s="12"/>
      <c r="GN237" s="12"/>
      <c r="GO237" s="12"/>
      <c r="GP237" s="12"/>
      <c r="GQ237" s="12"/>
      <c r="GR237" s="12"/>
      <c r="GS237" s="12"/>
      <c r="GT237" s="12"/>
      <c r="GU237" s="12"/>
      <c r="GV237" s="12"/>
      <c r="GW237" s="12"/>
      <c r="GX237" s="12"/>
      <c r="GY237" s="12"/>
      <c r="GZ237" s="12"/>
      <c r="HA237" s="12"/>
      <c r="HB237" s="12"/>
      <c r="HC237" s="12"/>
      <c r="HD237" s="12"/>
      <c r="HE237" s="12"/>
      <c r="HF237" s="12"/>
    </row>
    <row r="238" spans="1:214" x14ac:dyDescent="0.2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46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  <c r="BN238" s="12"/>
      <c r="BO238" s="12"/>
      <c r="BP238" s="12"/>
      <c r="BQ238" s="12"/>
      <c r="BR238" s="12"/>
      <c r="BS238" s="12"/>
      <c r="BT238" s="12"/>
      <c r="BU238" s="12"/>
      <c r="BV238" s="12"/>
      <c r="BW238" s="12"/>
      <c r="BX238" s="12"/>
      <c r="BY238" s="12"/>
      <c r="BZ238" s="12"/>
      <c r="CA238" s="12"/>
      <c r="CB238" s="12"/>
      <c r="CC238" s="12"/>
      <c r="CD238" s="12"/>
      <c r="CE238" s="12"/>
      <c r="CF238" s="12"/>
      <c r="CG238" s="12"/>
      <c r="CH238" s="12"/>
      <c r="CI238" s="12"/>
      <c r="CJ238" s="12"/>
      <c r="CK238" s="12"/>
      <c r="CL238" s="12"/>
      <c r="CM238" s="12"/>
      <c r="CN238" s="12"/>
      <c r="CO238" s="12"/>
      <c r="CP238" s="12"/>
      <c r="CQ238" s="12"/>
      <c r="CR238" s="12"/>
      <c r="CS238" s="12"/>
      <c r="CT238" s="12"/>
      <c r="CU238" s="12"/>
      <c r="CV238" s="12"/>
      <c r="CW238" s="12"/>
      <c r="CX238" s="12"/>
      <c r="CY238" s="12"/>
      <c r="CZ238" s="12"/>
      <c r="DA238" s="12"/>
      <c r="DB238" s="12"/>
      <c r="DC238" s="12"/>
      <c r="DD238" s="12"/>
      <c r="DE238" s="12"/>
      <c r="DF238" s="12"/>
      <c r="DG238" s="12"/>
      <c r="DH238" s="12"/>
      <c r="DI238" s="12"/>
      <c r="DJ238" s="12"/>
      <c r="DK238" s="12"/>
      <c r="DL238" s="12"/>
      <c r="DM238" s="12"/>
      <c r="DN238" s="12"/>
      <c r="DO238" s="12"/>
      <c r="DP238" s="12"/>
      <c r="DQ238" s="12"/>
      <c r="DR238" s="12"/>
      <c r="DS238" s="12"/>
      <c r="DT238" s="12"/>
      <c r="DU238" s="12"/>
      <c r="DV238" s="12"/>
      <c r="DW238" s="12"/>
      <c r="DX238" s="12"/>
      <c r="DY238" s="12"/>
      <c r="DZ238" s="12"/>
      <c r="EA238" s="12"/>
      <c r="EB238" s="12"/>
      <c r="EC238" s="12"/>
      <c r="ED238" s="12"/>
      <c r="EE238" s="12"/>
      <c r="EF238" s="12"/>
      <c r="EG238" s="12"/>
      <c r="EH238" s="12"/>
      <c r="EI238" s="12"/>
      <c r="EJ238" s="12"/>
      <c r="EK238" s="12"/>
      <c r="EL238" s="12"/>
      <c r="EM238" s="12"/>
      <c r="EN238" s="12"/>
      <c r="EO238" s="12"/>
      <c r="EP238" s="12"/>
      <c r="EQ238" s="12"/>
      <c r="ER238" s="12"/>
      <c r="ES238" s="12"/>
      <c r="ET238" s="12"/>
      <c r="EU238" s="12"/>
      <c r="EV238" s="12"/>
      <c r="EW238" s="12"/>
      <c r="EX238" s="12"/>
      <c r="EY238" s="12"/>
      <c r="EZ238" s="12"/>
      <c r="FA238" s="12"/>
      <c r="FB238" s="12"/>
      <c r="FC238" s="12"/>
      <c r="FD238" s="12"/>
      <c r="FE238" s="12"/>
      <c r="FF238" s="12"/>
      <c r="FG238" s="12"/>
      <c r="FH238" s="12"/>
      <c r="FI238" s="12"/>
      <c r="FJ238" s="12"/>
      <c r="FK238" s="12"/>
      <c r="FL238" s="12"/>
      <c r="FM238" s="12"/>
      <c r="FN238" s="12"/>
      <c r="FO238" s="12"/>
      <c r="FP238" s="12"/>
      <c r="FQ238" s="12"/>
      <c r="FR238" s="12"/>
      <c r="FS238" s="12"/>
      <c r="FT238" s="12"/>
      <c r="FU238" s="12"/>
      <c r="FV238" s="12"/>
      <c r="FW238" s="12"/>
      <c r="FX238" s="12"/>
      <c r="FY238" s="12"/>
      <c r="FZ238" s="12"/>
      <c r="GA238" s="12"/>
      <c r="GB238" s="12"/>
      <c r="GC238" s="12"/>
      <c r="GD238" s="12"/>
      <c r="GE238" s="12"/>
      <c r="GF238" s="12"/>
      <c r="GG238" s="12"/>
      <c r="GH238" s="12"/>
      <c r="GI238" s="12"/>
      <c r="GJ238" s="12"/>
      <c r="GK238" s="12"/>
      <c r="GL238" s="12"/>
      <c r="GM238" s="12"/>
      <c r="GN238" s="12"/>
      <c r="GO238" s="12"/>
      <c r="GP238" s="12"/>
      <c r="GQ238" s="12"/>
      <c r="GR238" s="12"/>
      <c r="GS238" s="12"/>
      <c r="GT238" s="12"/>
      <c r="GU238" s="12"/>
      <c r="GV238" s="12"/>
      <c r="GW238" s="12"/>
      <c r="GX238" s="12"/>
      <c r="GY238" s="12"/>
      <c r="GZ238" s="12"/>
      <c r="HA238" s="12"/>
      <c r="HB238" s="12"/>
      <c r="HC238" s="12"/>
      <c r="HD238" s="12"/>
      <c r="HE238" s="12"/>
      <c r="HF238" s="12"/>
    </row>
    <row r="239" spans="1:214" x14ac:dyDescent="0.2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46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  <c r="BN239" s="12"/>
      <c r="BO239" s="12"/>
      <c r="BP239" s="12"/>
      <c r="BQ239" s="12"/>
      <c r="BR239" s="12"/>
      <c r="BS239" s="12"/>
      <c r="BT239" s="12"/>
      <c r="BU239" s="12"/>
      <c r="BV239" s="12"/>
      <c r="BW239" s="12"/>
      <c r="BX239" s="12"/>
      <c r="BY239" s="12"/>
      <c r="BZ239" s="12"/>
      <c r="CA239" s="12"/>
      <c r="CB239" s="12"/>
      <c r="CC239" s="12"/>
      <c r="CD239" s="12"/>
      <c r="CE239" s="12"/>
      <c r="CF239" s="12"/>
      <c r="CG239" s="12"/>
      <c r="CH239" s="12"/>
      <c r="CI239" s="12"/>
      <c r="CJ239" s="12"/>
      <c r="CK239" s="12"/>
      <c r="CL239" s="12"/>
      <c r="CM239" s="12"/>
      <c r="CN239" s="12"/>
      <c r="CO239" s="12"/>
      <c r="CP239" s="12"/>
      <c r="CQ239" s="12"/>
      <c r="CR239" s="12"/>
      <c r="CS239" s="12"/>
      <c r="CT239" s="12"/>
      <c r="CU239" s="12"/>
      <c r="CV239" s="12"/>
      <c r="CW239" s="12"/>
      <c r="CX239" s="12"/>
      <c r="CY239" s="12"/>
      <c r="CZ239" s="12"/>
      <c r="DA239" s="12"/>
      <c r="DB239" s="12"/>
      <c r="DC239" s="12"/>
      <c r="DD239" s="12"/>
      <c r="DE239" s="12"/>
      <c r="DF239" s="12"/>
      <c r="DG239" s="12"/>
      <c r="DH239" s="12"/>
      <c r="DI239" s="12"/>
      <c r="DJ239" s="12"/>
      <c r="DK239" s="12"/>
      <c r="DL239" s="12"/>
      <c r="DM239" s="12"/>
      <c r="DN239" s="12"/>
      <c r="DO239" s="12"/>
      <c r="DP239" s="12"/>
      <c r="DQ239" s="12"/>
      <c r="DR239" s="12"/>
      <c r="DS239" s="12"/>
      <c r="DT239" s="12"/>
      <c r="DU239" s="12"/>
      <c r="DV239" s="12"/>
      <c r="DW239" s="12"/>
      <c r="DX239" s="12"/>
      <c r="DY239" s="12"/>
      <c r="DZ239" s="12"/>
      <c r="EA239" s="12"/>
      <c r="EB239" s="12"/>
      <c r="EC239" s="12"/>
      <c r="ED239" s="12"/>
      <c r="EE239" s="12"/>
      <c r="EF239" s="12"/>
      <c r="EG239" s="12"/>
      <c r="EH239" s="12"/>
      <c r="EI239" s="12"/>
      <c r="EJ239" s="12"/>
      <c r="EK239" s="12"/>
      <c r="EL239" s="12"/>
      <c r="EM239" s="12"/>
      <c r="EN239" s="12"/>
      <c r="EO239" s="12"/>
      <c r="EP239" s="12"/>
      <c r="EQ239" s="12"/>
      <c r="ER239" s="12"/>
      <c r="ES239" s="12"/>
      <c r="ET239" s="12"/>
      <c r="EU239" s="12"/>
      <c r="EV239" s="12"/>
      <c r="EW239" s="12"/>
      <c r="EX239" s="12"/>
      <c r="EY239" s="12"/>
      <c r="EZ239" s="12"/>
      <c r="FA239" s="12"/>
      <c r="FB239" s="12"/>
      <c r="FC239" s="12"/>
      <c r="FD239" s="12"/>
      <c r="FE239" s="12"/>
      <c r="FF239" s="12"/>
      <c r="FG239" s="12"/>
      <c r="FH239" s="12"/>
      <c r="FI239" s="12"/>
      <c r="FJ239" s="12"/>
      <c r="FK239" s="12"/>
      <c r="FL239" s="12"/>
      <c r="FM239" s="12"/>
      <c r="FN239" s="12"/>
      <c r="FO239" s="12"/>
      <c r="FP239" s="12"/>
      <c r="FQ239" s="12"/>
      <c r="FR239" s="12"/>
      <c r="FS239" s="12"/>
      <c r="FT239" s="12"/>
      <c r="FU239" s="12"/>
      <c r="FV239" s="12"/>
      <c r="FW239" s="12"/>
      <c r="FX239" s="12"/>
      <c r="FY239" s="12"/>
      <c r="FZ239" s="12"/>
      <c r="GA239" s="12"/>
      <c r="GB239" s="12"/>
      <c r="GC239" s="12"/>
      <c r="GD239" s="12"/>
      <c r="GE239" s="12"/>
      <c r="GF239" s="12"/>
      <c r="GG239" s="12"/>
      <c r="GH239" s="12"/>
      <c r="GI239" s="12"/>
      <c r="GJ239" s="12"/>
      <c r="GK239" s="12"/>
      <c r="GL239" s="12"/>
      <c r="GM239" s="12"/>
      <c r="GN239" s="12"/>
      <c r="GO239" s="12"/>
      <c r="GP239" s="12"/>
      <c r="GQ239" s="12"/>
      <c r="GR239" s="12"/>
      <c r="GS239" s="12"/>
      <c r="GT239" s="12"/>
      <c r="GU239" s="12"/>
      <c r="GV239" s="12"/>
      <c r="GW239" s="12"/>
      <c r="GX239" s="12"/>
      <c r="GY239" s="12"/>
      <c r="GZ239" s="12"/>
      <c r="HA239" s="12"/>
      <c r="HB239" s="12"/>
      <c r="HC239" s="12"/>
      <c r="HD239" s="12"/>
      <c r="HE239" s="12"/>
      <c r="HF239" s="12"/>
    </row>
    <row r="240" spans="1:214" x14ac:dyDescent="0.2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46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  <c r="BN240" s="12"/>
      <c r="BO240" s="12"/>
      <c r="BP240" s="12"/>
      <c r="BQ240" s="12"/>
      <c r="BR240" s="12"/>
      <c r="BS240" s="12"/>
      <c r="BT240" s="12"/>
      <c r="BU240" s="12"/>
      <c r="BV240" s="12"/>
      <c r="BW240" s="12"/>
      <c r="BX240" s="12"/>
      <c r="BY240" s="12"/>
      <c r="BZ240" s="12"/>
      <c r="CA240" s="12"/>
      <c r="CB240" s="12"/>
      <c r="CC240" s="12"/>
      <c r="CD240" s="12"/>
      <c r="CE240" s="12"/>
      <c r="CF240" s="12"/>
      <c r="CG240" s="12"/>
      <c r="CH240" s="12"/>
      <c r="CI240" s="12"/>
      <c r="CJ240" s="12"/>
      <c r="CK240" s="12"/>
      <c r="CL240" s="12"/>
      <c r="CM240" s="12"/>
      <c r="CN240" s="12"/>
      <c r="CO240" s="12"/>
      <c r="CP240" s="12"/>
      <c r="CQ240" s="12"/>
      <c r="CR240" s="12"/>
      <c r="CS240" s="12"/>
      <c r="CT240" s="12"/>
      <c r="CU240" s="12"/>
      <c r="CV240" s="12"/>
      <c r="CW240" s="12"/>
      <c r="CX240" s="12"/>
      <c r="CY240" s="12"/>
      <c r="CZ240" s="12"/>
      <c r="DA240" s="12"/>
      <c r="DB240" s="12"/>
      <c r="DC240" s="12"/>
      <c r="DD240" s="12"/>
      <c r="DE240" s="12"/>
      <c r="DF240" s="12"/>
      <c r="DG240" s="12"/>
      <c r="DH240" s="12"/>
      <c r="DI240" s="12"/>
      <c r="DJ240" s="12"/>
      <c r="DK240" s="12"/>
      <c r="DL240" s="12"/>
      <c r="DM240" s="12"/>
      <c r="DN240" s="12"/>
      <c r="DO240" s="12"/>
      <c r="DP240" s="12"/>
      <c r="DQ240" s="12"/>
      <c r="DR240" s="12"/>
      <c r="DS240" s="12"/>
      <c r="DT240" s="12"/>
      <c r="DU240" s="12"/>
      <c r="DV240" s="12"/>
      <c r="DW240" s="12"/>
      <c r="DX240" s="12"/>
      <c r="DY240" s="12"/>
      <c r="DZ240" s="12"/>
      <c r="EA240" s="12"/>
      <c r="EB240" s="12"/>
      <c r="EC240" s="12"/>
      <c r="ED240" s="12"/>
      <c r="EE240" s="12"/>
      <c r="EF240" s="12"/>
      <c r="EG240" s="12"/>
      <c r="EH240" s="12"/>
      <c r="EI240" s="12"/>
      <c r="EJ240" s="12"/>
      <c r="EK240" s="12"/>
      <c r="EL240" s="12"/>
      <c r="EM240" s="12"/>
      <c r="EN240" s="12"/>
      <c r="EO240" s="12"/>
      <c r="EP240" s="12"/>
      <c r="EQ240" s="12"/>
      <c r="ER240" s="12"/>
      <c r="ES240" s="12"/>
      <c r="ET240" s="12"/>
      <c r="EU240" s="12"/>
      <c r="EV240" s="12"/>
      <c r="EW240" s="12"/>
      <c r="EX240" s="12"/>
      <c r="EY240" s="12"/>
      <c r="EZ240" s="12"/>
      <c r="FA240" s="12"/>
      <c r="FB240" s="12"/>
      <c r="FC240" s="12"/>
      <c r="FD240" s="12"/>
      <c r="FE240" s="12"/>
      <c r="FF240" s="12"/>
      <c r="FG240" s="12"/>
      <c r="FH240" s="12"/>
      <c r="FI240" s="12"/>
      <c r="FJ240" s="12"/>
      <c r="FK240" s="12"/>
      <c r="FL240" s="12"/>
      <c r="FM240" s="12"/>
      <c r="FN240" s="12"/>
      <c r="FO240" s="12"/>
      <c r="FP240" s="12"/>
      <c r="FQ240" s="12"/>
      <c r="FR240" s="12"/>
      <c r="FS240" s="12"/>
      <c r="FT240" s="12"/>
      <c r="FU240" s="12"/>
      <c r="FV240" s="12"/>
      <c r="FW240" s="12"/>
      <c r="FX240" s="12"/>
      <c r="FY240" s="12"/>
      <c r="FZ240" s="12"/>
      <c r="GA240" s="12"/>
      <c r="GB240" s="12"/>
      <c r="GC240" s="12"/>
      <c r="GD240" s="12"/>
      <c r="GE240" s="12"/>
      <c r="GF240" s="12"/>
      <c r="GG240" s="12"/>
      <c r="GH240" s="12"/>
      <c r="GI240" s="12"/>
      <c r="GJ240" s="12"/>
      <c r="GK240" s="12"/>
      <c r="GL240" s="12"/>
      <c r="GM240" s="12"/>
      <c r="GN240" s="12"/>
      <c r="GO240" s="12"/>
      <c r="GP240" s="12"/>
      <c r="GQ240" s="12"/>
      <c r="GR240" s="12"/>
      <c r="GS240" s="12"/>
      <c r="GT240" s="12"/>
      <c r="GU240" s="12"/>
      <c r="GV240" s="12"/>
      <c r="GW240" s="12"/>
      <c r="GX240" s="12"/>
      <c r="GY240" s="12"/>
      <c r="GZ240" s="12"/>
      <c r="HA240" s="12"/>
      <c r="HB240" s="12"/>
      <c r="HC240" s="12"/>
      <c r="HD240" s="12"/>
      <c r="HE240" s="12"/>
      <c r="HF240" s="12"/>
    </row>
    <row r="241" spans="1:214" x14ac:dyDescent="0.2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46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  <c r="BN241" s="12"/>
      <c r="BO241" s="12"/>
      <c r="BP241" s="12"/>
      <c r="BQ241" s="12"/>
      <c r="BR241" s="12"/>
      <c r="BS241" s="12"/>
      <c r="BT241" s="12"/>
      <c r="BU241" s="12"/>
      <c r="BV241" s="12"/>
      <c r="BW241" s="12"/>
      <c r="BX241" s="12"/>
      <c r="BY241" s="12"/>
      <c r="BZ241" s="12"/>
      <c r="CA241" s="12"/>
      <c r="CB241" s="12"/>
      <c r="CC241" s="12"/>
      <c r="CD241" s="12"/>
      <c r="CE241" s="12"/>
      <c r="CF241" s="12"/>
      <c r="CG241" s="12"/>
      <c r="CH241" s="12"/>
      <c r="CI241" s="12"/>
      <c r="CJ241" s="12"/>
      <c r="CK241" s="12"/>
      <c r="CL241" s="12"/>
      <c r="CM241" s="12"/>
      <c r="CN241" s="12"/>
      <c r="CO241" s="12"/>
      <c r="CP241" s="12"/>
      <c r="CQ241" s="12"/>
      <c r="CR241" s="12"/>
      <c r="CS241" s="12"/>
      <c r="CT241" s="12"/>
      <c r="CU241" s="12"/>
      <c r="CV241" s="12"/>
      <c r="CW241" s="12"/>
      <c r="CX241" s="12"/>
      <c r="CY241" s="12"/>
      <c r="CZ241" s="12"/>
      <c r="DA241" s="12"/>
      <c r="DB241" s="12"/>
      <c r="DC241" s="12"/>
      <c r="DD241" s="12"/>
      <c r="DE241" s="12"/>
      <c r="DF241" s="12"/>
      <c r="DG241" s="12"/>
      <c r="DH241" s="12"/>
      <c r="DI241" s="12"/>
      <c r="DJ241" s="12"/>
      <c r="DK241" s="12"/>
      <c r="DL241" s="12"/>
      <c r="DM241" s="12"/>
      <c r="DN241" s="12"/>
      <c r="DO241" s="12"/>
      <c r="DP241" s="12"/>
      <c r="DQ241" s="12"/>
      <c r="DR241" s="12"/>
      <c r="DS241" s="12"/>
      <c r="DT241" s="12"/>
      <c r="DU241" s="12"/>
      <c r="DV241" s="12"/>
      <c r="DW241" s="12"/>
      <c r="DX241" s="12"/>
      <c r="DY241" s="12"/>
      <c r="DZ241" s="12"/>
      <c r="EA241" s="12"/>
      <c r="EB241" s="12"/>
      <c r="EC241" s="12"/>
      <c r="ED241" s="12"/>
      <c r="EE241" s="12"/>
      <c r="EF241" s="12"/>
      <c r="EG241" s="12"/>
      <c r="EH241" s="12"/>
      <c r="EI241" s="12"/>
      <c r="EJ241" s="12"/>
      <c r="EK241" s="12"/>
      <c r="EL241" s="12"/>
      <c r="EM241" s="12"/>
      <c r="EN241" s="12"/>
      <c r="EO241" s="12"/>
      <c r="EP241" s="12"/>
      <c r="EQ241" s="12"/>
      <c r="ER241" s="12"/>
      <c r="ES241" s="12"/>
      <c r="ET241" s="12"/>
      <c r="EU241" s="12"/>
      <c r="EV241" s="12"/>
      <c r="EW241" s="12"/>
      <c r="EX241" s="12"/>
      <c r="EY241" s="12"/>
      <c r="EZ241" s="12"/>
      <c r="FA241" s="12"/>
      <c r="FB241" s="12"/>
      <c r="FC241" s="12"/>
      <c r="FD241" s="12"/>
      <c r="FE241" s="12"/>
      <c r="FF241" s="12"/>
      <c r="FG241" s="12"/>
      <c r="FH241" s="12"/>
      <c r="FI241" s="12"/>
      <c r="FJ241" s="12"/>
      <c r="FK241" s="12"/>
      <c r="FL241" s="12"/>
      <c r="FM241" s="12"/>
      <c r="FN241" s="12"/>
      <c r="FO241" s="12"/>
      <c r="FP241" s="12"/>
      <c r="FQ241" s="12"/>
      <c r="FR241" s="12"/>
      <c r="FS241" s="12"/>
      <c r="FT241" s="12"/>
      <c r="FU241" s="12"/>
      <c r="FV241" s="12"/>
      <c r="FW241" s="12"/>
      <c r="FX241" s="12"/>
      <c r="FY241" s="12"/>
      <c r="FZ241" s="12"/>
      <c r="GA241" s="12"/>
      <c r="GB241" s="12"/>
      <c r="GC241" s="12"/>
      <c r="GD241" s="12"/>
      <c r="GE241" s="12"/>
      <c r="GF241" s="12"/>
      <c r="GG241" s="12"/>
      <c r="GH241" s="12"/>
      <c r="GI241" s="12"/>
      <c r="GJ241" s="12"/>
      <c r="GK241" s="12"/>
      <c r="GL241" s="12"/>
      <c r="GM241" s="12"/>
      <c r="GN241" s="12"/>
      <c r="GO241" s="12"/>
      <c r="GP241" s="12"/>
      <c r="GQ241" s="12"/>
      <c r="GR241" s="12"/>
      <c r="GS241" s="12"/>
      <c r="GT241" s="12"/>
      <c r="GU241" s="12"/>
      <c r="GV241" s="12"/>
      <c r="GW241" s="12"/>
      <c r="GX241" s="12"/>
      <c r="GY241" s="12"/>
      <c r="GZ241" s="12"/>
      <c r="HA241" s="12"/>
      <c r="HB241" s="12"/>
      <c r="HC241" s="12"/>
      <c r="HD241" s="12"/>
      <c r="HE241" s="12"/>
      <c r="HF241" s="12"/>
    </row>
    <row r="247" spans="1:214" x14ac:dyDescent="0.2">
      <c r="A247" s="156"/>
    </row>
    <row r="254" spans="1:214" x14ac:dyDescent="0.2">
      <c r="A254" s="156"/>
    </row>
    <row r="258" spans="1:1" x14ac:dyDescent="0.2">
      <c r="A258" s="156"/>
    </row>
    <row r="262" spans="1:1" x14ac:dyDescent="0.2">
      <c r="A262" s="156"/>
    </row>
  </sheetData>
  <conditionalFormatting sqref="AS9:AS156">
    <cfRule type="cellIs" dxfId="20" priority="30" operator="greaterThan">
      <formula>10000</formula>
    </cfRule>
    <cfRule type="cellIs" dxfId="19" priority="40" operator="greaterThan">
      <formula>5000</formula>
    </cfRule>
    <cfRule type="cellIs" dxfId="18" priority="41" operator="greaterThan">
      <formula>0</formula>
    </cfRule>
  </conditionalFormatting>
  <conditionalFormatting sqref="AZ9:AZ154">
    <cfRule type="cellIs" dxfId="17" priority="24" operator="lessThan">
      <formula>$AZ$4</formula>
    </cfRule>
  </conditionalFormatting>
  <conditionalFormatting sqref="CX9:CX154">
    <cfRule type="cellIs" dxfId="16" priority="22" operator="lessThan">
      <formula>$CX$4</formula>
    </cfRule>
  </conditionalFormatting>
  <conditionalFormatting sqref="FG9:FG154 FR9:FR154">
    <cfRule type="cellIs" dxfId="15" priority="21" operator="lessThan">
      <formula>$FG$4</formula>
    </cfRule>
  </conditionalFormatting>
  <conditionalFormatting sqref="FT9:FT154">
    <cfRule type="cellIs" dxfId="14" priority="19" operator="lessThan">
      <formula>$FT$4</formula>
    </cfRule>
  </conditionalFormatting>
  <conditionalFormatting sqref="EJ9:EJ154 EW9:EW154 FJ9:FJ154">
    <cfRule type="cellIs" dxfId="13" priority="18" operator="lessThan">
      <formula>$FJ$4</formula>
    </cfRule>
  </conditionalFormatting>
  <conditionalFormatting sqref="BA9:BA154">
    <cfRule type="cellIs" dxfId="12" priority="5" operator="lessThan">
      <formula>nl_hydrogen_price</formula>
    </cfRule>
  </conditionalFormatting>
  <conditionalFormatting sqref="EG9:EG154">
    <cfRule type="cellIs" dxfId="11" priority="4" operator="lessThan">
      <formula>$EG$4</formula>
    </cfRule>
  </conditionalFormatting>
  <conditionalFormatting sqref="ET9:ET154">
    <cfRule type="cellIs" dxfId="10" priority="2" operator="lessThan">
      <formula>$ET$4</formula>
    </cfRule>
  </conditionalFormatting>
  <conditionalFormatting sqref="S9:U154 AI9:AK154">
    <cfRule type="cellIs" dxfId="9" priority="48" operator="lessThan">
      <formula>$T$102</formula>
    </cfRule>
    <cfRule type="cellIs" dxfId="8" priority="49" operator="lessThan">
      <formula>$S$102</formula>
    </cfRule>
    <cfRule type="cellIs" dxfId="7" priority="50" operator="lessThan">
      <formula>$U$102</formula>
    </cfRule>
  </conditionalFormatting>
  <conditionalFormatting sqref="BY9:BY154">
    <cfRule type="cellIs" dxfId="6" priority="60" operator="lessThan">
      <formula>$BY$102</formula>
    </cfRule>
  </conditionalFormatting>
  <conditionalFormatting sqref="CA9:CA154 DL9:DL154 DW9:DW154 BG9:BG154">
    <cfRule type="cellIs" dxfId="5" priority="62" operator="lessThan">
      <formula>$BG$102</formula>
    </cfRule>
  </conditionalFormatting>
  <conditionalFormatting sqref="CK9:CK154">
    <cfRule type="cellIs" dxfId="4" priority="70" operator="lessThan">
      <formula>$CK$102</formula>
    </cfRule>
  </conditionalFormatting>
  <conditionalFormatting sqref="AA9:AC154">
    <cfRule type="cellIs" dxfId="3" priority="88" operator="lessThan">
      <formula>$AB$102</formula>
    </cfRule>
    <cfRule type="cellIs" dxfId="2" priority="89" operator="lessThan">
      <formula>$AA$102</formula>
    </cfRule>
    <cfRule type="cellIs" dxfId="1" priority="90" operator="lessThan">
      <formula>$AC$102</formula>
    </cfRule>
  </conditionalFormatting>
  <pageMargins left="0.7" right="0.7" top="0.75" bottom="0.75" header="0.3" footer="0.3"/>
  <pageSetup paperSize="9" orientation="portrait" horizontalDpi="0" verticalDpi="0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74"/>
  <sheetViews>
    <sheetView zoomScaleNormal="100" workbookViewId="0">
      <selection activeCell="A2" sqref="A2:XFD2"/>
    </sheetView>
  </sheetViews>
  <sheetFormatPr defaultColWidth="11" defaultRowHeight="12.75" x14ac:dyDescent="0.2"/>
  <cols>
    <col min="1" max="1" width="21" style="26" customWidth="1"/>
    <col min="2" max="16384" width="11" style="26"/>
  </cols>
  <sheetData>
    <row r="1" spans="1:80" s="215" customFormat="1" ht="23.25" x14ac:dyDescent="0.35">
      <c r="A1" s="252" t="s">
        <v>1614</v>
      </c>
    </row>
    <row r="2" spans="1:80" s="237" customFormat="1" ht="23.25" x14ac:dyDescent="0.35">
      <c r="A2" s="7"/>
    </row>
    <row r="3" spans="1:80" x14ac:dyDescent="0.2">
      <c r="A3" s="25"/>
      <c r="B3" s="25"/>
      <c r="C3" s="40" t="s">
        <v>982</v>
      </c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40" t="s">
        <v>1058</v>
      </c>
      <c r="P3" s="40" t="s">
        <v>1184</v>
      </c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</row>
    <row r="4" spans="1:80" x14ac:dyDescent="0.2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</row>
    <row r="5" spans="1:80" ht="36" x14ac:dyDescent="0.2">
      <c r="A5" s="40" t="str">
        <f>Country_details!A6</f>
        <v>Country</v>
      </c>
      <c r="B5" s="251" t="s">
        <v>142</v>
      </c>
      <c r="C5" s="40" t="s">
        <v>1252</v>
      </c>
      <c r="D5" s="40" t="s">
        <v>1120</v>
      </c>
      <c r="E5" s="40" t="s">
        <v>7</v>
      </c>
      <c r="F5" s="40" t="s">
        <v>1177</v>
      </c>
      <c r="G5" s="40" t="s">
        <v>1178</v>
      </c>
      <c r="H5" s="40" t="s">
        <v>1179</v>
      </c>
      <c r="I5" s="40" t="s">
        <v>1180</v>
      </c>
      <c r="J5" s="40" t="s">
        <v>1181</v>
      </c>
      <c r="K5" s="40" t="s">
        <v>1499</v>
      </c>
      <c r="L5" s="40" t="s">
        <v>1500</v>
      </c>
      <c r="M5" s="40" t="s">
        <v>1182</v>
      </c>
      <c r="N5" s="40" t="s">
        <v>1183</v>
      </c>
      <c r="O5" s="40" t="s">
        <v>1120</v>
      </c>
      <c r="P5" s="40" t="s">
        <v>973</v>
      </c>
      <c r="Q5" s="40" t="s">
        <v>1247</v>
      </c>
      <c r="R5" s="40" t="s">
        <v>1248</v>
      </c>
      <c r="S5" s="40" t="s">
        <v>964</v>
      </c>
      <c r="T5" s="40" t="s">
        <v>1411</v>
      </c>
      <c r="U5" s="40" t="s">
        <v>806</v>
      </c>
      <c r="V5" s="40" t="str">
        <f>Country_details!FY6</f>
        <v>Min w. Electricity  cost</v>
      </c>
      <c r="W5" s="40" t="str">
        <f>Country_details!FZ6</f>
        <v>Hydrogen cost</v>
      </c>
      <c r="X5" s="40" t="str">
        <f>Country_details!GA6</f>
        <v>Ammonia cost</v>
      </c>
      <c r="Y5" s="40" t="str">
        <f>Country_details!GB6</f>
        <v>Formic Acid cost</v>
      </c>
      <c r="Z5" s="40" t="str">
        <f>Country_details!GC6</f>
        <v>Methanol cost</v>
      </c>
      <c r="AA5" s="40" t="s">
        <v>1495</v>
      </c>
      <c r="AB5" s="40" t="s">
        <v>1496</v>
      </c>
      <c r="AC5" s="40" t="str">
        <f>Country_details!GF6</f>
        <v>LNG cost</v>
      </c>
      <c r="AD5" s="8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</row>
    <row r="6" spans="1:80" x14ac:dyDescent="0.2">
      <c r="A6" s="25"/>
      <c r="B6" s="25" t="s">
        <v>678</v>
      </c>
      <c r="C6" s="25" t="s">
        <v>913</v>
      </c>
      <c r="D6" s="25" t="s">
        <v>913</v>
      </c>
      <c r="E6" s="25" t="s">
        <v>913</v>
      </c>
      <c r="F6" s="25" t="s">
        <v>913</v>
      </c>
      <c r="G6" s="25" t="s">
        <v>913</v>
      </c>
      <c r="H6" s="25" t="s">
        <v>913</v>
      </c>
      <c r="I6" s="25" t="s">
        <v>913</v>
      </c>
      <c r="J6" s="25" t="s">
        <v>913</v>
      </c>
      <c r="K6" s="25" t="s">
        <v>913</v>
      </c>
      <c r="L6" s="25" t="s">
        <v>913</v>
      </c>
      <c r="M6" s="25" t="s">
        <v>913</v>
      </c>
      <c r="N6" s="25" t="s">
        <v>913</v>
      </c>
      <c r="O6" s="25" t="s">
        <v>1031</v>
      </c>
      <c r="P6" s="25" t="s">
        <v>913</v>
      </c>
      <c r="Q6" s="25" t="s">
        <v>913</v>
      </c>
      <c r="R6" s="25" t="s">
        <v>913</v>
      </c>
      <c r="S6" s="25" t="s">
        <v>913</v>
      </c>
      <c r="T6" s="25" t="s">
        <v>913</v>
      </c>
      <c r="U6" s="25" t="s">
        <v>913</v>
      </c>
      <c r="V6" s="25" t="s">
        <v>1031</v>
      </c>
      <c r="W6" s="25" t="s">
        <v>913</v>
      </c>
      <c r="X6" s="25" t="s">
        <v>913</v>
      </c>
      <c r="Y6" s="25" t="s">
        <v>913</v>
      </c>
      <c r="Z6" s="25" t="s">
        <v>913</v>
      </c>
      <c r="AA6" s="25" t="s">
        <v>913</v>
      </c>
      <c r="AB6" s="25" t="s">
        <v>913</v>
      </c>
      <c r="AC6" s="25" t="s">
        <v>913</v>
      </c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</row>
    <row r="7" spans="1:80" ht="36" x14ac:dyDescent="0.2">
      <c r="A7" s="40" t="s">
        <v>9</v>
      </c>
      <c r="B7" s="251" t="s">
        <v>142</v>
      </c>
      <c r="C7" s="40" t="s">
        <v>1252</v>
      </c>
      <c r="D7" s="40" t="s">
        <v>1120</v>
      </c>
      <c r="E7" s="40" t="s">
        <v>7</v>
      </c>
      <c r="F7" s="40" t="s">
        <v>1177</v>
      </c>
      <c r="G7" s="40" t="s">
        <v>1178</v>
      </c>
      <c r="H7" s="40" t="s">
        <v>1179</v>
      </c>
      <c r="I7" s="40" t="s">
        <v>1180</v>
      </c>
      <c r="J7" s="40" t="s">
        <v>1181</v>
      </c>
      <c r="K7" s="40" t="s">
        <v>1499</v>
      </c>
      <c r="L7" s="40" t="s">
        <v>1500</v>
      </c>
      <c r="M7" s="40" t="s">
        <v>1182</v>
      </c>
      <c r="N7" s="40" t="s">
        <v>1183</v>
      </c>
      <c r="O7" s="40" t="s">
        <v>1120</v>
      </c>
      <c r="P7" s="40" t="s">
        <v>973</v>
      </c>
      <c r="Q7" s="40" t="s">
        <v>1247</v>
      </c>
      <c r="R7" s="40" t="s">
        <v>1248</v>
      </c>
      <c r="S7" s="40" t="s">
        <v>964</v>
      </c>
      <c r="T7" s="40" t="s">
        <v>1411</v>
      </c>
      <c r="U7" s="40" t="s">
        <v>806</v>
      </c>
      <c r="V7" s="40" t="s">
        <v>1347</v>
      </c>
      <c r="W7" s="40" t="s">
        <v>1348</v>
      </c>
      <c r="X7" s="40" t="s">
        <v>1349</v>
      </c>
      <c r="Y7" s="40" t="s">
        <v>1350</v>
      </c>
      <c r="Z7" s="40" t="s">
        <v>1351</v>
      </c>
      <c r="AA7" s="40" t="s">
        <v>1497</v>
      </c>
      <c r="AB7" s="40" t="s">
        <v>1498</v>
      </c>
      <c r="AC7" s="40" t="s">
        <v>1352</v>
      </c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</row>
    <row r="8" spans="1:80" x14ac:dyDescent="0.2">
      <c r="A8" s="8" t="str">
        <f>Country_details!A9</f>
        <v>Afghanistan</v>
      </c>
      <c r="B8" s="28">
        <f>INDEX(Country_details!$A$9:$AS$156,MATCH(Country_results!A8,Country_details!$A$9:$A$156,0),MATCH(Country_results!$B$5,Country_details!$A$6:$AS$6,0))</f>
        <v>2857.5364891400604</v>
      </c>
      <c r="C8" s="28">
        <f>MIN(D8:N8)</f>
        <v>3907.3010404646056</v>
      </c>
      <c r="D8" s="28">
        <f>Country_details!BA9</f>
        <v>5671.81732991437</v>
      </c>
      <c r="E8" s="28">
        <f>Country_details!BG9</f>
        <v>3907.3010404646056</v>
      </c>
      <c r="F8" s="28" t="str">
        <f>Country_details!CA9</f>
        <v/>
      </c>
      <c r="G8" s="28" t="str">
        <f>Country_details!CN9</f>
        <v/>
      </c>
      <c r="H8" s="28" t="str">
        <f>Country_details!DA9</f>
        <v/>
      </c>
      <c r="I8" s="28" t="str">
        <f>Country_details!DL9</f>
        <v/>
      </c>
      <c r="J8" s="28" t="str">
        <f>Country_details!DW9</f>
        <v/>
      </c>
      <c r="K8" s="28" t="str">
        <f>Country_details!EJ9</f>
        <v/>
      </c>
      <c r="L8" s="28" t="str">
        <f>Country_details!EW9</f>
        <v/>
      </c>
      <c r="M8" s="28" t="str">
        <f>Country_details!FJ9</f>
        <v/>
      </c>
      <c r="N8" s="28" t="str">
        <f>Country_details!FT9</f>
        <v/>
      </c>
      <c r="O8" s="100">
        <f>Country_details!AZ9</f>
        <v>10.410299630226255</v>
      </c>
      <c r="P8" s="28" t="str">
        <f>Country_details!BY9</f>
        <v/>
      </c>
      <c r="Q8" s="28" t="str">
        <f>Country_details!CK9</f>
        <v/>
      </c>
      <c r="R8" s="28" t="str">
        <f>Country_details!CX9</f>
        <v/>
      </c>
      <c r="S8" s="28" t="str">
        <f>Country_details!EG9</f>
        <v/>
      </c>
      <c r="T8" s="28" t="str">
        <f>Country_details!ET9</f>
        <v/>
      </c>
      <c r="U8" s="28" t="str">
        <f>Country_details!FG9</f>
        <v/>
      </c>
      <c r="V8" s="100">
        <f>Country_details!FY9</f>
        <v>2.8367088617348855</v>
      </c>
      <c r="W8" s="28">
        <f>Country_details!FZ9</f>
        <v>2918.0856827912239</v>
      </c>
      <c r="X8" s="28">
        <f>Country_details!GA9</f>
        <v>689.5977802331787</v>
      </c>
      <c r="Y8" s="28">
        <f>Country_details!GB9</f>
        <v>502.50540641010235</v>
      </c>
      <c r="Z8" s="28">
        <f>Country_details!GC9</f>
        <v>778.61165707505143</v>
      </c>
      <c r="AA8" s="28">
        <f>Country_details!GD9</f>
        <v>1140.2093041637506</v>
      </c>
      <c r="AB8" s="28">
        <f>Country_details!GE9</f>
        <v>2001.1010123219862</v>
      </c>
      <c r="AC8" s="28">
        <f>Country_details!GF9</f>
        <v>2067.1060444240366</v>
      </c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158"/>
      <c r="BE8" s="158"/>
      <c r="BF8" s="158"/>
      <c r="BG8" s="158"/>
      <c r="BH8" s="158"/>
      <c r="BI8" s="158"/>
      <c r="BJ8" s="158"/>
      <c r="BK8" s="158"/>
      <c r="BL8" s="158"/>
      <c r="BM8" s="158"/>
      <c r="BN8" s="158"/>
      <c r="BO8" s="158"/>
      <c r="BP8" s="158"/>
      <c r="BQ8" s="158"/>
      <c r="BR8" s="158"/>
      <c r="BS8" s="158"/>
      <c r="BT8" s="158"/>
      <c r="BU8" s="158"/>
      <c r="BV8" s="158"/>
      <c r="BW8" s="158"/>
      <c r="BX8" s="158"/>
      <c r="BY8" s="158"/>
      <c r="BZ8" s="158"/>
      <c r="CA8" s="158"/>
      <c r="CB8" s="158"/>
    </row>
    <row r="9" spans="1:80" x14ac:dyDescent="0.2">
      <c r="A9" s="8" t="str">
        <f>Country_details!A10</f>
        <v>Albania</v>
      </c>
      <c r="B9" s="28">
        <f>INDEX(Country_details!$A$9:$AS$156,MATCH(Country_results!A9,Country_details!$A$9:$A$156,0),MATCH(Country_results!$B$5,Country_details!$A$6:$AS$6,0))</f>
        <v>160.25076768618806</v>
      </c>
      <c r="C9" s="28">
        <f t="shared" ref="C9:C64" si="0">MIN(D9:N9)</f>
        <v>2782.4379861969055</v>
      </c>
      <c r="D9" s="28">
        <f>Country_details!BA10</f>
        <v>2782.4379861969055</v>
      </c>
      <c r="E9" s="28">
        <f>Country_details!BG10</f>
        <v>3736.9382582311291</v>
      </c>
      <c r="F9" s="28">
        <f>Country_details!CA10</f>
        <v>5225.1396876906529</v>
      </c>
      <c r="G9" s="28">
        <f>Country_details!CN10</f>
        <v>10253.347332703872</v>
      </c>
      <c r="H9" s="28">
        <f>Country_details!DA10</f>
        <v>7310.1775185123342</v>
      </c>
      <c r="I9" s="28">
        <f>Country_details!DL10</f>
        <v>5214.1427328834407</v>
      </c>
      <c r="J9" s="28">
        <f>Country_details!DW10</f>
        <v>4241.2866271254288</v>
      </c>
      <c r="K9" s="28">
        <f>Country_details!EJ10</f>
        <v>9594.3901427516048</v>
      </c>
      <c r="L9" s="28">
        <f>Country_details!EW10</f>
        <v>18570.256985012184</v>
      </c>
      <c r="M9" s="28">
        <f>Country_details!FJ10</f>
        <v>7656.5566445861805</v>
      </c>
      <c r="N9" s="28">
        <f>Country_details!FT10</f>
        <v>8867.034876764028</v>
      </c>
      <c r="O9" s="100">
        <f>Country_details!AZ10</f>
        <v>4.7856561735054735</v>
      </c>
      <c r="P9" s="28">
        <f>Country_details!BY10</f>
        <v>855.45835603464968</v>
      </c>
      <c r="Q9" s="28">
        <f>Country_details!CK10</f>
        <v>514.90833134037837</v>
      </c>
      <c r="R9" s="28">
        <f>Country_details!CX10</f>
        <v>900.18999935167415</v>
      </c>
      <c r="S9" s="28">
        <f>Country_details!EG10</f>
        <v>1297.0698034850516</v>
      </c>
      <c r="T9" s="28">
        <f>Country_details!ET10</f>
        <v>2190.7019848983468</v>
      </c>
      <c r="U9" s="28">
        <f>Country_details!FG10</f>
        <v>2442.0542734005153</v>
      </c>
      <c r="V9" s="100">
        <f>Country_details!FY10</f>
        <v>2.7339377089900689</v>
      </c>
      <c r="W9" s="28">
        <f>Country_details!FZ10</f>
        <v>3444.8218156678972</v>
      </c>
      <c r="X9" s="28">
        <f>Country_details!GA10</f>
        <v>762.19863168464951</v>
      </c>
      <c r="Y9" s="28">
        <f>Country_details!GB10</f>
        <v>467.2403317045011</v>
      </c>
      <c r="Z9" s="28">
        <f>Country_details!GC10</f>
        <v>849.80935658752423</v>
      </c>
      <c r="AA9" s="28">
        <f>Country_details!GD10</f>
        <v>1234.5456457846149</v>
      </c>
      <c r="AB9" s="28">
        <f>Country_details!GE10</f>
        <v>2147.0200948626348</v>
      </c>
      <c r="AC9" s="28">
        <f>Country_details!GF10</f>
        <v>2259.8928448156885</v>
      </c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</row>
    <row r="10" spans="1:80" x14ac:dyDescent="0.2">
      <c r="A10" s="8" t="str">
        <f>Country_details!A11</f>
        <v>Algeria</v>
      </c>
      <c r="B10" s="28">
        <f>INDEX(Country_details!$A$9:$AS$156,MATCH(Country_results!A10,Country_details!$A$9:$A$156,0),MATCH(Country_results!$B$5,Country_details!$A$6:$AS$6,0))</f>
        <v>15511.583660693541</v>
      </c>
      <c r="C10" s="28">
        <f t="shared" si="0"/>
        <v>2890.0558020629569</v>
      </c>
      <c r="D10" s="28">
        <f>Country_details!BA11</f>
        <v>3048.7454887733179</v>
      </c>
      <c r="E10" s="28">
        <f>Country_details!BG11</f>
        <v>2890.0558020629569</v>
      </c>
      <c r="F10" s="28">
        <f>Country_details!CA11</f>
        <v>4192.3404160228911</v>
      </c>
      <c r="G10" s="28">
        <f>Country_details!CN11</f>
        <v>8203.0090794957832</v>
      </c>
      <c r="H10" s="28">
        <f>Country_details!DA11</f>
        <v>5816.254456891993</v>
      </c>
      <c r="I10" s="28">
        <f>Country_details!DL11</f>
        <v>4112.7867442017314</v>
      </c>
      <c r="J10" s="28">
        <f>Country_details!DW11</f>
        <v>3792.6224991477661</v>
      </c>
      <c r="K10" s="28">
        <f>Country_details!EJ11</f>
        <v>7528.0103910328853</v>
      </c>
      <c r="L10" s="28">
        <f>Country_details!EW11</f>
        <v>14107.427419383774</v>
      </c>
      <c r="M10" s="28">
        <f>Country_details!FJ11</f>
        <v>6178.8091651560489</v>
      </c>
      <c r="N10" s="28">
        <f>Country_details!FT11</f>
        <v>7595.0452960785215</v>
      </c>
      <c r="O10" s="100">
        <f>Country_details!AZ11</f>
        <v>5.3040667294260748</v>
      </c>
      <c r="P10" s="28">
        <f>Country_details!BY11</f>
        <v>672.00059067261304</v>
      </c>
      <c r="Q10" s="28">
        <f>Country_details!CK11</f>
        <v>416.61701903764521</v>
      </c>
      <c r="R10" s="28">
        <f>Country_details!CX11</f>
        <v>696.82397123707142</v>
      </c>
      <c r="S10" s="28">
        <f>Country_details!EG11</f>
        <v>1003.3585364074989</v>
      </c>
      <c r="T10" s="28">
        <f>Country_details!ET11</f>
        <v>1678.6845394563434</v>
      </c>
      <c r="U10" s="28">
        <f>Country_details!FG11</f>
        <v>1914.1526236532457</v>
      </c>
      <c r="V10" s="100">
        <f>Country_details!FY11</f>
        <v>2.1527060076320712</v>
      </c>
      <c r="W10" s="28">
        <f>Country_details!FZ11</f>
        <v>2462.7231909650122</v>
      </c>
      <c r="X10" s="28">
        <f>Country_details!GA11</f>
        <v>572.49805862259166</v>
      </c>
      <c r="Y10" s="28">
        <f>Country_details!GB11</f>
        <v>374.63892984874303</v>
      </c>
      <c r="Z10" s="28">
        <f>Country_details!GC11</f>
        <v>640.17704406998519</v>
      </c>
      <c r="AA10" s="28">
        <f>Country_details!GD11</f>
        <v>934.08099382634009</v>
      </c>
      <c r="AB10" s="28">
        <f>Country_details!GE11</f>
        <v>1630.6978299071125</v>
      </c>
      <c r="AC10" s="28">
        <f>Country_details!GF11</f>
        <v>1712.8918888253143</v>
      </c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</row>
    <row r="11" spans="1:80" x14ac:dyDescent="0.2">
      <c r="A11" s="8" t="str">
        <f>Country_details!A12</f>
        <v>Angola</v>
      </c>
      <c r="B11" s="28">
        <f>INDEX(Country_details!$A$9:$AS$156,MATCH(Country_results!A11,Country_details!$A$9:$A$156,0),MATCH(Country_results!$B$5,Country_details!$A$6:$AS$6,0))</f>
        <v>5599.9478904854059</v>
      </c>
      <c r="C11" s="28">
        <f t="shared" si="0"/>
        <v>4618.6122573121993</v>
      </c>
      <c r="D11" s="28">
        <f>Country_details!BA12</f>
        <v>6631.0177382194479</v>
      </c>
      <c r="E11" s="28">
        <f>Country_details!BG12</f>
        <v>4618.6122573121993</v>
      </c>
      <c r="F11" s="28">
        <f>Country_details!CA12</f>
        <v>5436.2741850847633</v>
      </c>
      <c r="G11" s="28">
        <f>Country_details!CN12</f>
        <v>10877.671460292206</v>
      </c>
      <c r="H11" s="28">
        <f>Country_details!DA12</f>
        <v>7364.7993497925918</v>
      </c>
      <c r="I11" s="28">
        <f>Country_details!DL12</f>
        <v>5698.9898778497827</v>
      </c>
      <c r="J11" s="28">
        <f>Country_details!DW12</f>
        <v>4623.4113912554703</v>
      </c>
      <c r="K11" s="28">
        <f>Country_details!EJ12</f>
        <v>9579.2807137333493</v>
      </c>
      <c r="L11" s="28">
        <f>Country_details!EW12</f>
        <v>18257.142841903173</v>
      </c>
      <c r="M11" s="28">
        <f>Country_details!FJ12</f>
        <v>7700.8148553732381</v>
      </c>
      <c r="N11" s="28">
        <f>Country_details!FT12</f>
        <v>9310.3218473181678</v>
      </c>
      <c r="O11" s="100">
        <f>Country_details!AZ12</f>
        <v>12.277538112424187</v>
      </c>
      <c r="P11" s="28">
        <f>Country_details!BY12</f>
        <v>892.96251017702468</v>
      </c>
      <c r="Q11" s="28">
        <f>Country_details!CK12</f>
        <v>548.42758004073949</v>
      </c>
      <c r="R11" s="28">
        <f>Country_details!CX12</f>
        <v>918.2763171805617</v>
      </c>
      <c r="S11" s="28">
        <f>Country_details!EG12</f>
        <v>1311.4228483739098</v>
      </c>
      <c r="T11" s="28">
        <f>Country_details!ET12</f>
        <v>2186.0850254759785</v>
      </c>
      <c r="U11" s="28">
        <f>Country_details!FG12</f>
        <v>2483.0145929281944</v>
      </c>
      <c r="V11" s="100">
        <f>Country_details!FY12</f>
        <v>2.8038257586242801</v>
      </c>
      <c r="W11" s="28">
        <f>Country_details!FZ12</f>
        <v>3280.7012922975837</v>
      </c>
      <c r="X11" s="28">
        <f>Country_details!GA12</f>
        <v>743.9095025836051</v>
      </c>
      <c r="Y11" s="28">
        <f>Country_details!GB12</f>
        <v>473.43083545998576</v>
      </c>
      <c r="Z11" s="28">
        <f>Country_details!GC12</f>
        <v>831.46313092817331</v>
      </c>
      <c r="AA11" s="28">
        <f>Country_details!GD12</f>
        <v>1210.6296027165592</v>
      </c>
      <c r="AB11" s="28">
        <f>Country_details!GE12</f>
        <v>2109.7880582601019</v>
      </c>
      <c r="AC11" s="28">
        <f>Country_details!GF12</f>
        <v>2215.5642531101971</v>
      </c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</row>
    <row r="12" spans="1:80" x14ac:dyDescent="0.2">
      <c r="A12" s="8" t="str">
        <f>Country_details!A13</f>
        <v>Antarctica</v>
      </c>
      <c r="B12" s="28">
        <f>INDEX(Country_details!$A$9:$AS$156,MATCH(Country_results!A12,Country_details!$A$9:$A$156,0),MATCH(Country_results!$B$5,Country_details!$A$6:$AS$6,0))</f>
        <v>75987.557650087314</v>
      </c>
      <c r="C12" s="28">
        <f t="shared" si="0"/>
        <v>5312.9532877756228</v>
      </c>
      <c r="D12" s="28">
        <f>Country_details!BA13</f>
        <v>20223.020403405841</v>
      </c>
      <c r="E12" s="28">
        <f>Country_details!BG13</f>
        <v>5312.9532877756228</v>
      </c>
      <c r="F12" s="28" t="str">
        <f>Country_details!CA13</f>
        <v/>
      </c>
      <c r="G12" s="28" t="str">
        <f>Country_details!CN13</f>
        <v/>
      </c>
      <c r="H12" s="28" t="str">
        <f>Country_details!DA13</f>
        <v/>
      </c>
      <c r="I12" s="28" t="str">
        <f>Country_details!DL13</f>
        <v/>
      </c>
      <c r="J12" s="28" t="str">
        <f>Country_details!DW13</f>
        <v/>
      </c>
      <c r="K12" s="28" t="str">
        <f>Country_details!EJ13</f>
        <v/>
      </c>
      <c r="L12" s="28" t="str">
        <f>Country_details!EW13</f>
        <v/>
      </c>
      <c r="M12" s="28" t="str">
        <f>Country_details!FJ13</f>
        <v/>
      </c>
      <c r="N12" s="28" t="str">
        <f>Country_details!FT13</f>
        <v/>
      </c>
      <c r="O12" s="100">
        <f>Country_details!AZ13</f>
        <v>39.494497356067711</v>
      </c>
      <c r="P12" s="28" t="str">
        <f>Country_details!BY13</f>
        <v/>
      </c>
      <c r="Q12" s="28" t="str">
        <f>Country_details!CK13</f>
        <v/>
      </c>
      <c r="R12" s="28" t="str">
        <f>Country_details!CX13</f>
        <v/>
      </c>
      <c r="S12" s="28" t="str">
        <f>Country_details!EG13</f>
        <v/>
      </c>
      <c r="T12" s="28" t="str">
        <f>Country_details!ET13</f>
        <v/>
      </c>
      <c r="U12" s="28" t="str">
        <f>Country_details!FG13</f>
        <v/>
      </c>
      <c r="V12" s="100" t="e">
        <f>Country_details!FY13</f>
        <v>#N/A</v>
      </c>
      <c r="W12" s="28">
        <f>Country_details!FZ13</f>
        <v>2996.905847899427</v>
      </c>
      <c r="X12" s="28">
        <f>Country_details!GA13</f>
        <v>658.59527314413583</v>
      </c>
      <c r="Y12" s="28">
        <f>Country_details!GB13</f>
        <v>401.57206891665152</v>
      </c>
      <c r="Z12" s="28">
        <f>Country_details!GC13</f>
        <v>733.50115303389828</v>
      </c>
      <c r="AA12" s="28">
        <f>Country_details!GD13</f>
        <v>1065.0907515964382</v>
      </c>
      <c r="AB12" s="28">
        <f>Country_details!GE13</f>
        <v>1851.7589821871402</v>
      </c>
      <c r="AC12" s="28">
        <f>Country_details!GF13</f>
        <v>1950.2655050956964</v>
      </c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</row>
    <row r="13" spans="1:80" x14ac:dyDescent="0.2">
      <c r="A13" s="8" t="str">
        <f>Country_details!A14</f>
        <v>Argentina</v>
      </c>
      <c r="B13" s="28">
        <f>INDEX(Country_details!$A$9:$AS$156,MATCH(Country_results!A13,Country_details!$A$9:$A$156,0),MATCH(Country_results!$B$5,Country_details!$A$6:$AS$6,0))</f>
        <v>33465.577249690519</v>
      </c>
      <c r="C13" s="28">
        <f t="shared" si="0"/>
        <v>4977.4936546584768</v>
      </c>
      <c r="D13" s="28">
        <f>Country_details!BA14</f>
        <v>17399.71153233933</v>
      </c>
      <c r="E13" s="28">
        <f>Country_details!BG14</f>
        <v>4977.4936546584768</v>
      </c>
      <c r="F13" s="28">
        <f>Country_details!CA14</f>
        <v>5109.0009883964967</v>
      </c>
      <c r="G13" s="28">
        <f>Country_details!CN14</f>
        <v>11323.569082893382</v>
      </c>
      <c r="H13" s="28">
        <f>Country_details!DA14</f>
        <v>6816.620784864971</v>
      </c>
      <c r="I13" s="28">
        <f>Country_details!DL14</f>
        <v>5474.5374789758534</v>
      </c>
      <c r="J13" s="28">
        <f>Country_details!DW14</f>
        <v>5625.5807380405895</v>
      </c>
      <c r="K13" s="28">
        <f>Country_details!EJ14</f>
        <v>8836.6104332078048</v>
      </c>
      <c r="L13" s="28">
        <f>Country_details!EW14</f>
        <v>16659.365865301344</v>
      </c>
      <c r="M13" s="28">
        <f>Country_details!FJ14</f>
        <v>7112.4564220551965</v>
      </c>
      <c r="N13" s="28">
        <f>Country_details!FT14</f>
        <v>8889.6284289057949</v>
      </c>
      <c r="O13" s="100">
        <f>Country_details!AZ14</f>
        <v>33.82975243017183</v>
      </c>
      <c r="P13" s="28">
        <f>Country_details!BY14</f>
        <v>834.82845550213517</v>
      </c>
      <c r="Q13" s="28">
        <f>Country_details!CK14</f>
        <v>568.65759518985703</v>
      </c>
      <c r="R13" s="28">
        <f>Country_details!CX14</f>
        <v>852.21759023509549</v>
      </c>
      <c r="S13" s="28">
        <f>Country_details!EG14</f>
        <v>1216.9079727053495</v>
      </c>
      <c r="T13" s="28">
        <f>Country_details!ET14</f>
        <v>2022.5555757405375</v>
      </c>
      <c r="U13" s="28">
        <f>Country_details!FG14</f>
        <v>2291.9422875354048</v>
      </c>
      <c r="V13" s="100">
        <f>Country_details!FY14</f>
        <v>3.0522721120115612</v>
      </c>
      <c r="W13" s="28">
        <f>Country_details!FZ14</f>
        <v>2831.2412431098792</v>
      </c>
      <c r="X13" s="28">
        <f>Country_details!GA14</f>
        <v>667.26162577617458</v>
      </c>
      <c r="Y13" s="28">
        <f>Country_details!GB14</f>
        <v>485.62151315857716</v>
      </c>
      <c r="Z13" s="28">
        <f>Country_details!GC14</f>
        <v>753.22078883719371</v>
      </c>
      <c r="AA13" s="28">
        <f>Country_details!GD14</f>
        <v>1102.8512429525927</v>
      </c>
      <c r="AB13" s="28">
        <f>Country_details!GE14</f>
        <v>1935.359704753944</v>
      </c>
      <c r="AC13" s="28">
        <f>Country_details!GF14</f>
        <v>1999.2388216380962</v>
      </c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</row>
    <row r="14" spans="1:80" x14ac:dyDescent="0.2">
      <c r="A14" s="8" t="str">
        <f>Country_details!A15</f>
        <v>Armenia</v>
      </c>
      <c r="B14" s="28">
        <f>INDEX(Country_details!$A$9:$AS$156,MATCH(Country_results!A14,Country_details!$A$9:$A$156,0),MATCH(Country_results!$B$5,Country_details!$A$6:$AS$6,0))</f>
        <v>101.49477081949692</v>
      </c>
      <c r="C14" s="28">
        <f t="shared" si="0"/>
        <v>3723.2206881685311</v>
      </c>
      <c r="D14" s="28">
        <f>Country_details!BA15</f>
        <v>4709.6458042346603</v>
      </c>
      <c r="E14" s="28">
        <f>Country_details!BG15</f>
        <v>3723.2206881685311</v>
      </c>
      <c r="F14" s="28" t="str">
        <f>Country_details!CA15</f>
        <v/>
      </c>
      <c r="G14" s="28" t="str">
        <f>Country_details!CN15</f>
        <v/>
      </c>
      <c r="H14" s="28" t="str">
        <f>Country_details!DA15</f>
        <v/>
      </c>
      <c r="I14" s="28" t="str">
        <f>Country_details!DL15</f>
        <v/>
      </c>
      <c r="J14" s="28" t="str">
        <f>Country_details!DW15</f>
        <v/>
      </c>
      <c r="K14" s="28" t="str">
        <f>Country_details!EJ15</f>
        <v/>
      </c>
      <c r="L14" s="28" t="str">
        <f>Country_details!EW15</f>
        <v/>
      </c>
      <c r="M14" s="28" t="str">
        <f>Country_details!FJ15</f>
        <v/>
      </c>
      <c r="N14" s="28" t="str">
        <f>Country_details!FT15</f>
        <v/>
      </c>
      <c r="O14" s="100">
        <f>Country_details!AZ15</f>
        <v>8.5372773882957311</v>
      </c>
      <c r="P14" s="28" t="str">
        <f>Country_details!BY15</f>
        <v/>
      </c>
      <c r="Q14" s="28" t="str">
        <f>Country_details!CK15</f>
        <v/>
      </c>
      <c r="R14" s="28" t="str">
        <f>Country_details!CX15</f>
        <v/>
      </c>
      <c r="S14" s="28" t="str">
        <f>Country_details!EG15</f>
        <v/>
      </c>
      <c r="T14" s="28" t="str">
        <f>Country_details!ET15</f>
        <v/>
      </c>
      <c r="U14" s="28" t="str">
        <f>Country_details!FG15</f>
        <v/>
      </c>
      <c r="V14" s="100">
        <f>Country_details!FY15</f>
        <v>3.1459680952779476</v>
      </c>
      <c r="W14" s="28">
        <f>Country_details!FZ15</f>
        <v>3103.2212136038415</v>
      </c>
      <c r="X14" s="28">
        <f>Country_details!GA15</f>
        <v>723.80655000438185</v>
      </c>
      <c r="Y14" s="28">
        <f>Country_details!GB15</f>
        <v>521.21125996676437</v>
      </c>
      <c r="Z14" s="28">
        <f>Country_details!GC15</f>
        <v>816.69632827928672</v>
      </c>
      <c r="AA14" s="28">
        <f>Country_details!GD15</f>
        <v>1194.7728258506509</v>
      </c>
      <c r="AB14" s="28">
        <f>Country_details!GE15</f>
        <v>2095.1892752087588</v>
      </c>
      <c r="AC14" s="28">
        <f>Country_details!GF15</f>
        <v>2164.6087497159415</v>
      </c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</row>
    <row r="15" spans="1:80" x14ac:dyDescent="0.2">
      <c r="A15" s="8" t="str">
        <f>Country_details!A16</f>
        <v>Australia</v>
      </c>
      <c r="B15" s="28">
        <f>INDEX(Country_details!$A$9:$AS$156,MATCH(Country_results!A15,Country_details!$A$9:$A$156,0),MATCH(Country_results!$B$5,Country_details!$A$6:$AS$6,0))</f>
        <v>86029.997494464871</v>
      </c>
      <c r="C15" s="28">
        <f t="shared" si="0"/>
        <v>4381.0854877682386</v>
      </c>
      <c r="D15" s="28">
        <f>Country_details!BA16</f>
        <v>10452.238869367595</v>
      </c>
      <c r="E15" s="28">
        <f>Country_details!BG16</f>
        <v>4381.0854877682386</v>
      </c>
      <c r="F15" s="28">
        <f>Country_details!CA16</f>
        <v>4741.7182309925065</v>
      </c>
      <c r="G15" s="28">
        <f>Country_details!CN16</f>
        <v>10482.573523284262</v>
      </c>
      <c r="H15" s="28">
        <f>Country_details!DA16</f>
        <v>6219.9612525871935</v>
      </c>
      <c r="I15" s="28">
        <f>Country_details!DL16</f>
        <v>5950.1903307683924</v>
      </c>
      <c r="J15" s="28">
        <f>Country_details!DW16</f>
        <v>4979.4072917730591</v>
      </c>
      <c r="K15" s="28">
        <f>Country_details!EJ16</f>
        <v>7872.2074666213302</v>
      </c>
      <c r="L15" s="28">
        <f>Country_details!EW16</f>
        <v>14173.864762718043</v>
      </c>
      <c r="M15" s="28">
        <f>Country_details!FJ16</f>
        <v>6329.0600824747962</v>
      </c>
      <c r="N15" s="28">
        <f>Country_details!FT16</f>
        <v>8021.6824917841595</v>
      </c>
      <c r="O15" s="100">
        <f>Country_details!AZ16</f>
        <v>19.890200538173954</v>
      </c>
      <c r="P15" s="28">
        <f>Country_details!BY16</f>
        <v>769.5874393843211</v>
      </c>
      <c r="Q15" s="28">
        <f>Country_details!CK16</f>
        <v>513.32563360115398</v>
      </c>
      <c r="R15" s="28">
        <f>Country_details!CX16</f>
        <v>744.84392029354137</v>
      </c>
      <c r="S15" s="28">
        <f>Country_details!EG16</f>
        <v>1043.3981406266478</v>
      </c>
      <c r="T15" s="28">
        <f>Country_details!ET16</f>
        <v>1678.5520948752414</v>
      </c>
      <c r="U15" s="28">
        <f>Country_details!FG16</f>
        <v>1968.0273828572424</v>
      </c>
      <c r="V15" s="100">
        <f>Country_details!FY16</f>
        <v>1.9729100600722784</v>
      </c>
      <c r="W15" s="28">
        <f>Country_details!FZ16</f>
        <v>2260.5465030993951</v>
      </c>
      <c r="X15" s="28">
        <f>Country_details!GA16</f>
        <v>535.24870488395607</v>
      </c>
      <c r="Y15" s="28">
        <f>Country_details!GB16</f>
        <v>390.228386677321</v>
      </c>
      <c r="Z15" s="28">
        <f>Country_details!GC16</f>
        <v>603.4950096689879</v>
      </c>
      <c r="AA15" s="28">
        <f>Country_details!GD16</f>
        <v>883.95859086337305</v>
      </c>
      <c r="AB15" s="28">
        <f>Country_details!GE16</f>
        <v>1551.6160512564834</v>
      </c>
      <c r="AC15" s="28">
        <f>Country_details!GF16</f>
        <v>1605.254823786237</v>
      </c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</row>
    <row r="16" spans="1:80" x14ac:dyDescent="0.2">
      <c r="A16" s="8" t="str">
        <f>Country_details!A17</f>
        <v>Azerbaijan</v>
      </c>
      <c r="B16" s="28">
        <f>INDEX(Country_details!$A$9:$AS$156,MATCH(Country_results!A16,Country_details!$A$9:$A$156,0),MATCH(Country_results!$B$5,Country_details!$A$6:$AS$6,0))</f>
        <v>547.66840565040684</v>
      </c>
      <c r="C16" s="28">
        <f t="shared" si="0"/>
        <v>4056.2800588858845</v>
      </c>
      <c r="D16" s="28">
        <f>Country_details!BA17</f>
        <v>4056.2800588858845</v>
      </c>
      <c r="E16" s="28">
        <f>Country_details!BG17</f>
        <v>4579.0545383316885</v>
      </c>
      <c r="F16" s="28" t="str">
        <f>Country_details!CA17</f>
        <v/>
      </c>
      <c r="G16" s="28" t="str">
        <f>Country_details!CN17</f>
        <v/>
      </c>
      <c r="H16" s="28" t="str">
        <f>Country_details!DA17</f>
        <v/>
      </c>
      <c r="I16" s="28" t="str">
        <f>Country_details!DL17</f>
        <v/>
      </c>
      <c r="J16" s="28" t="str">
        <f>Country_details!DW17</f>
        <v/>
      </c>
      <c r="K16" s="28" t="str">
        <f>Country_details!EJ17</f>
        <v/>
      </c>
      <c r="L16" s="28" t="str">
        <f>Country_details!EW17</f>
        <v/>
      </c>
      <c r="M16" s="28" t="str">
        <f>Country_details!FJ17</f>
        <v/>
      </c>
      <c r="N16" s="28" t="str">
        <f>Country_details!FT17</f>
        <v/>
      </c>
      <c r="O16" s="100">
        <f>Country_details!AZ17</f>
        <v>7.2653954623685832</v>
      </c>
      <c r="P16" s="28" t="str">
        <f>Country_details!BY17</f>
        <v/>
      </c>
      <c r="Q16" s="28" t="str">
        <f>Country_details!CK17</f>
        <v/>
      </c>
      <c r="R16" s="28" t="str">
        <f>Country_details!CX17</f>
        <v/>
      </c>
      <c r="S16" s="28" t="str">
        <f>Country_details!EG17</f>
        <v/>
      </c>
      <c r="T16" s="28" t="str">
        <f>Country_details!ET17</f>
        <v/>
      </c>
      <c r="U16" s="28" t="str">
        <f>Country_details!FG17</f>
        <v/>
      </c>
      <c r="V16" s="100">
        <f>Country_details!FY17</f>
        <v>3.1369311072162192</v>
      </c>
      <c r="W16" s="28">
        <f>Country_details!FZ17</f>
        <v>3928.7820935154004</v>
      </c>
      <c r="X16" s="28">
        <f>Country_details!GA17</f>
        <v>861.16958679422453</v>
      </c>
      <c r="Y16" s="28">
        <f>Country_details!GB17</f>
        <v>522.96506469571909</v>
      </c>
      <c r="Z16" s="28">
        <f>Country_details!GC17</f>
        <v>960.08676076830102</v>
      </c>
      <c r="AA16" s="28">
        <f>Country_details!GD17</f>
        <v>1393.6605844107999</v>
      </c>
      <c r="AB16" s="28">
        <f>Country_details!GE17</f>
        <v>2422.2801680996126</v>
      </c>
      <c r="AC16" s="28">
        <f>Country_details!GF17</f>
        <v>2548.6376804438128</v>
      </c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</row>
    <row r="17" spans="1:55" x14ac:dyDescent="0.2">
      <c r="A17" s="8" t="str">
        <f>Country_details!A18</f>
        <v>Bangladesh</v>
      </c>
      <c r="B17" s="28">
        <f>INDEX(Country_details!$A$9:$AS$156,MATCH(Country_results!A17,Country_details!$A$9:$A$156,0),MATCH(Country_results!$B$5,Country_details!$A$6:$AS$6,0))</f>
        <v>-9068.8536941601415</v>
      </c>
      <c r="C17" s="28">
        <f t="shared" si="0"/>
        <v>4423.0056142787462</v>
      </c>
      <c r="D17" s="28">
        <f>Country_details!BA18</f>
        <v>5722.8490315613526</v>
      </c>
      <c r="E17" s="28">
        <f>Country_details!BG18</f>
        <v>4601.7909143288289</v>
      </c>
      <c r="F17" s="28">
        <f>Country_details!CA18</f>
        <v>5502.8449949668793</v>
      </c>
      <c r="G17" s="28">
        <f>Country_details!CN18</f>
        <v>11213.377949941474</v>
      </c>
      <c r="H17" s="28">
        <f>Country_details!DA18</f>
        <v>7451.8513762839057</v>
      </c>
      <c r="I17" s="28">
        <f>Country_details!DL18</f>
        <v>6258.3775529341438</v>
      </c>
      <c r="J17" s="28">
        <f>Country_details!DW18</f>
        <v>4423.0056142787462</v>
      </c>
      <c r="K17" s="28">
        <f>Country_details!EJ18</f>
        <v>9619.5151325074785</v>
      </c>
      <c r="L17" s="28">
        <f>Country_details!EW18</f>
        <v>18203.656711784108</v>
      </c>
      <c r="M17" s="28">
        <f>Country_details!FJ18</f>
        <v>7652.5415575419383</v>
      </c>
      <c r="N17" s="28">
        <f>Country_details!FT18</f>
        <v>9240.409148354478</v>
      </c>
      <c r="O17" s="100">
        <f>Country_details!AZ18</f>
        <v>10.509641077855187</v>
      </c>
      <c r="P17" s="28">
        <f>Country_details!BY18</f>
        <v>904.78758824818999</v>
      </c>
      <c r="Q17" s="28">
        <f>Country_details!CK18</f>
        <v>557.80198019723423</v>
      </c>
      <c r="R17" s="28">
        <f>Country_details!CX18</f>
        <v>919.97701692634735</v>
      </c>
      <c r="S17" s="28">
        <f>Country_details!EG18</f>
        <v>1303.4186332544723</v>
      </c>
      <c r="T17" s="28">
        <f>Country_details!ET18</f>
        <v>2157.7234291683885</v>
      </c>
      <c r="U17" s="28">
        <f>Country_details!FG18</f>
        <v>2450.9655029119381</v>
      </c>
      <c r="V17" s="100">
        <f>Country_details!FY18</f>
        <v>2.5848817491514664</v>
      </c>
      <c r="W17" s="28">
        <f>Country_details!FZ18</f>
        <v>3249.7762699655764</v>
      </c>
      <c r="X17" s="28">
        <f>Country_details!GA18</f>
        <v>729.87149185752571</v>
      </c>
      <c r="Y17" s="28">
        <f>Country_details!GB18</f>
        <v>454.91818723975194</v>
      </c>
      <c r="Z17" s="28">
        <f>Country_details!GC18</f>
        <v>814.50588393880605</v>
      </c>
      <c r="AA17" s="28">
        <f>Country_details!GD18</f>
        <v>1184.7226686946472</v>
      </c>
      <c r="AB17" s="28">
        <f>Country_details!GE18</f>
        <v>2062.4154650643632</v>
      </c>
      <c r="AC17" s="28">
        <f>Country_details!GF18</f>
        <v>2170.1671632700873</v>
      </c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</row>
    <row r="18" spans="1:55" x14ac:dyDescent="0.2">
      <c r="A18" s="8" t="str">
        <f>Country_details!A19</f>
        <v>Belgium</v>
      </c>
      <c r="B18" s="28">
        <f>INDEX(Country_details!$A$9:$AS$156,MATCH(Country_results!A18,Country_details!$A$9:$A$156,0),MATCH(Country_results!$B$5,Country_details!$A$6:$AS$6,0))</f>
        <v>-356.45430572165719</v>
      </c>
      <c r="C18" s="28">
        <f t="shared" si="0"/>
        <v>2558.6333078519951</v>
      </c>
      <c r="D18" s="28">
        <f>Country_details!BA19</f>
        <v>2558.6333078519951</v>
      </c>
      <c r="E18" s="28">
        <f>Country_details!BG19</f>
        <v>2678.7552635028469</v>
      </c>
      <c r="F18" s="28">
        <f>Country_details!CA19</f>
        <v>4112.2897585075671</v>
      </c>
      <c r="G18" s="28">
        <f>Country_details!CN19</f>
        <v>8996.2776659752053</v>
      </c>
      <c r="H18" s="28">
        <f>Country_details!DA19</f>
        <v>5899.0913681117408</v>
      </c>
      <c r="I18" s="28">
        <f>Country_details!DL19</f>
        <v>3817.7853558400407</v>
      </c>
      <c r="J18" s="28">
        <f>Country_details!DW19</f>
        <v>4676.284844677768</v>
      </c>
      <c r="K18" s="28">
        <f>Country_details!EJ19</f>
        <v>7750.4028123401349</v>
      </c>
      <c r="L18" s="28">
        <f>Country_details!EW19</f>
        <v>14926.843164811205</v>
      </c>
      <c r="M18" s="28">
        <f>Country_details!FJ19</f>
        <v>6226.6555459645615</v>
      </c>
      <c r="N18" s="28">
        <f>Country_details!FT19</f>
        <v>7287.1688196786963</v>
      </c>
      <c r="O18" s="100">
        <f>Country_details!AZ19</f>
        <v>4.3499842281192347</v>
      </c>
      <c r="P18" s="28">
        <f>Country_details!BY19</f>
        <v>657.78106598239106</v>
      </c>
      <c r="Q18" s="28">
        <f>Country_details!CK19</f>
        <v>449.93753737597734</v>
      </c>
      <c r="R18" s="28">
        <f>Country_details!CX19</f>
        <v>705.70923444885898</v>
      </c>
      <c r="S18" s="28">
        <f>Country_details!EG19</f>
        <v>1029.8362674247448</v>
      </c>
      <c r="T18" s="28">
        <f>Country_details!ET19</f>
        <v>1761.2149543663368</v>
      </c>
      <c r="U18" s="28">
        <f>Country_details!FG19</f>
        <v>1925.0915387134762</v>
      </c>
      <c r="V18" s="100">
        <f>Country_details!FY19</f>
        <v>3.2660498895352803</v>
      </c>
      <c r="W18" s="28">
        <f>Country_details!FZ19</f>
        <v>2643.251507149716</v>
      </c>
      <c r="X18" s="28">
        <f>Country_details!GA19</f>
        <v>604.14384293699322</v>
      </c>
      <c r="Y18" s="28">
        <f>Country_details!GB19</f>
        <v>427.4985255293164</v>
      </c>
      <c r="Z18" s="28">
        <f>Country_details!GC19</f>
        <v>680.12873947242406</v>
      </c>
      <c r="AA18" s="28">
        <f>Country_details!GD19</f>
        <v>993.52815137692198</v>
      </c>
      <c r="AB18" s="28">
        <f>Country_details!GE19</f>
        <v>1740.3690386199394</v>
      </c>
      <c r="AC18" s="28">
        <f>Country_details!GF19</f>
        <v>1800.3059249411135</v>
      </c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</row>
    <row r="19" spans="1:55" x14ac:dyDescent="0.2">
      <c r="A19" s="8" t="str">
        <f>Country_details!A20</f>
        <v>Belize</v>
      </c>
      <c r="B19" s="28">
        <f>INDEX(Country_details!$A$9:$AS$156,MATCH(Country_results!A19,Country_details!$A$9:$A$156,0),MATCH(Country_results!$B$5,Country_details!$A$6:$AS$6,0))</f>
        <v>211.99870274641853</v>
      </c>
      <c r="C19" s="28">
        <f t="shared" si="0"/>
        <v>4537.5127672340486</v>
      </c>
      <c r="D19" s="28">
        <f>Country_details!BA20</f>
        <v>16288.40307047555</v>
      </c>
      <c r="E19" s="28">
        <f>Country_details!BG20</f>
        <v>4537.5127672340486</v>
      </c>
      <c r="F19" s="28">
        <f>Country_details!CA20</f>
        <v>4972.9472121550316</v>
      </c>
      <c r="G19" s="28">
        <f>Country_details!CN20</f>
        <v>11173.117004773307</v>
      </c>
      <c r="H19" s="28">
        <f>Country_details!DA20</f>
        <v>6744.6508268213856</v>
      </c>
      <c r="I19" s="28">
        <f>Country_details!DL20</f>
        <v>5142.9472637273966</v>
      </c>
      <c r="J19" s="28">
        <f>Country_details!DW20</f>
        <v>5504.9656200110276</v>
      </c>
      <c r="K19" s="28">
        <f>Country_details!EJ20</f>
        <v>8842.5632339991389</v>
      </c>
      <c r="L19" s="28">
        <f>Country_details!EW20</f>
        <v>16966.095575320367</v>
      </c>
      <c r="M19" s="28">
        <f>Country_details!FJ20</f>
        <v>7077.6486816636025</v>
      </c>
      <c r="N19" s="28">
        <f>Country_details!FT20</f>
        <v>8783.2128041805681</v>
      </c>
      <c r="O19" s="100">
        <f>Country_details!AZ20</f>
        <v>31.600000299626519</v>
      </c>
      <c r="P19" s="28">
        <f>Country_details!BY20</f>
        <v>810.6610084066117</v>
      </c>
      <c r="Q19" s="28">
        <f>Country_details!CK20</f>
        <v>563.7754623383687</v>
      </c>
      <c r="R19" s="28">
        <f>Country_details!CX20</f>
        <v>846.60343171014665</v>
      </c>
      <c r="S19" s="28">
        <f>Country_details!EG20</f>
        <v>1221.881986768936</v>
      </c>
      <c r="T19" s="28">
        <f>Country_details!ET20</f>
        <v>2062.1785841770647</v>
      </c>
      <c r="U19" s="28">
        <f>Country_details!FG20</f>
        <v>2284.5014883385038</v>
      </c>
      <c r="V19" s="100">
        <f>Country_details!FY20</f>
        <v>2.6688210123229816</v>
      </c>
      <c r="W19" s="28">
        <f>Country_details!FZ20</f>
        <v>2954.8516757852312</v>
      </c>
      <c r="X19" s="28">
        <f>Country_details!GA20</f>
        <v>691.93139981987588</v>
      </c>
      <c r="Y19" s="28">
        <f>Country_details!GB20</f>
        <v>499.77580203259936</v>
      </c>
      <c r="Z19" s="28">
        <f>Country_details!GC20</f>
        <v>780.74811031597187</v>
      </c>
      <c r="AA19" s="28">
        <f>Country_details!GD20</f>
        <v>1142.5281156701224</v>
      </c>
      <c r="AB19" s="28">
        <f>Country_details!GE20</f>
        <v>2004.0203878938971</v>
      </c>
      <c r="AC19" s="28">
        <f>Country_details!GF20</f>
        <v>2070.8094662119779</v>
      </c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</row>
    <row r="20" spans="1:55" x14ac:dyDescent="0.2">
      <c r="A20" s="8" t="str">
        <f>Country_details!A21</f>
        <v>Benin</v>
      </c>
      <c r="B20" s="28">
        <f>INDEX(Country_details!$A$9:$AS$156,MATCH(Country_results!A20,Country_details!$A$9:$A$156,0),MATCH(Country_results!$B$5,Country_details!$A$6:$AS$6,0))</f>
        <v>-297.95633603558736</v>
      </c>
      <c r="C20" s="28">
        <f t="shared" si="0"/>
        <v>4174.9719247408639</v>
      </c>
      <c r="D20" s="28">
        <f>Country_details!BA21</f>
        <v>4999.503397249413</v>
      </c>
      <c r="E20" s="28">
        <f>Country_details!BG21</f>
        <v>4174.9719247408639</v>
      </c>
      <c r="F20" s="28">
        <f>Country_details!CA21</f>
        <v>5257.5335985641959</v>
      </c>
      <c r="G20" s="28">
        <f>Country_details!CN21</f>
        <v>10494.962465498671</v>
      </c>
      <c r="H20" s="28">
        <f>Country_details!DA21</f>
        <v>7207.7382445674975</v>
      </c>
      <c r="I20" s="28">
        <f>Country_details!DL21</f>
        <v>5401.0225922383925</v>
      </c>
      <c r="J20" s="28">
        <f>Country_details!DW21</f>
        <v>4398.6060170864257</v>
      </c>
      <c r="K20" s="28">
        <f>Country_details!EJ21</f>
        <v>9422.3201568726727</v>
      </c>
      <c r="L20" s="28">
        <f>Country_details!EW21</f>
        <v>18094.047489809815</v>
      </c>
      <c r="M20" s="28">
        <f>Country_details!FJ21</f>
        <v>7560.3018450843529</v>
      </c>
      <c r="N20" s="28">
        <f>Country_details!FT21</f>
        <v>9087.6757739140121</v>
      </c>
      <c r="O20" s="100">
        <f>Country_details!AZ21</f>
        <v>9.1015319980188227</v>
      </c>
      <c r="P20" s="28">
        <f>Country_details!BY21</f>
        <v>861.21253757139755</v>
      </c>
      <c r="Q20" s="28">
        <f>Country_details!CK21</f>
        <v>530.43580218181887</v>
      </c>
      <c r="R20" s="28">
        <f>Country_details!CX21</f>
        <v>896.20133673120222</v>
      </c>
      <c r="S20" s="28">
        <f>Country_details!EG21</f>
        <v>1287.4088050543796</v>
      </c>
      <c r="T20" s="28">
        <f>Country_details!ET21</f>
        <v>2162.7627775941191</v>
      </c>
      <c r="U20" s="28">
        <f>Country_details!FG21</f>
        <v>2429.8853893424812</v>
      </c>
      <c r="V20" s="100">
        <f>Country_details!FY21</f>
        <v>2.7149275122216259</v>
      </c>
      <c r="W20" s="28">
        <f>Country_details!FZ21</f>
        <v>3291.1789035065913</v>
      </c>
      <c r="X20" s="28">
        <f>Country_details!GA21</f>
        <v>743.3943722050758</v>
      </c>
      <c r="Y20" s="28">
        <f>Country_details!GB21</f>
        <v>468.67369943620093</v>
      </c>
      <c r="Z20" s="28">
        <f>Country_details!GC21</f>
        <v>830.32135109446881</v>
      </c>
      <c r="AA20" s="28">
        <f>Country_details!GD21</f>
        <v>1208.4321120027937</v>
      </c>
      <c r="AB20" s="28">
        <f>Country_details!GE21</f>
        <v>2104.9419638406048</v>
      </c>
      <c r="AC20" s="28">
        <f>Country_details!GF21</f>
        <v>2212.5568613714158</v>
      </c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</row>
    <row r="21" spans="1:55" x14ac:dyDescent="0.2">
      <c r="A21" s="8" t="str">
        <f>Country_details!A22</f>
        <v>Bolivia</v>
      </c>
      <c r="B21" s="28">
        <f>INDEX(Country_details!$A$9:$AS$156,MATCH(Country_results!A21,Country_details!$A$9:$A$156,0),MATCH(Country_results!$B$5,Country_details!$A$6:$AS$6,0))</f>
        <v>6842.0828683284744</v>
      </c>
      <c r="C21" s="28">
        <f t="shared" si="0"/>
        <v>4572.8383933495334</v>
      </c>
      <c r="D21" s="28">
        <f>Country_details!BA22</f>
        <v>14480.272038967831</v>
      </c>
      <c r="E21" s="28">
        <f>Country_details!BG22</f>
        <v>4572.8383933495334</v>
      </c>
      <c r="F21" s="28" t="str">
        <f>Country_details!CA22</f>
        <v/>
      </c>
      <c r="G21" s="28" t="str">
        <f>Country_details!CN22</f>
        <v/>
      </c>
      <c r="H21" s="28" t="str">
        <f>Country_details!DA22</f>
        <v/>
      </c>
      <c r="I21" s="28" t="str">
        <f>Country_details!DL22</f>
        <v/>
      </c>
      <c r="J21" s="28" t="str">
        <f>Country_details!DW22</f>
        <v/>
      </c>
      <c r="K21" s="28" t="str">
        <f>Country_details!EJ22</f>
        <v/>
      </c>
      <c r="L21" s="28" t="str">
        <f>Country_details!EW22</f>
        <v/>
      </c>
      <c r="M21" s="28" t="str">
        <f>Country_details!FJ22</f>
        <v/>
      </c>
      <c r="N21" s="28" t="str">
        <f>Country_details!FT22</f>
        <v/>
      </c>
      <c r="O21" s="100">
        <f>Country_details!AZ22</f>
        <v>27.972129048607819</v>
      </c>
      <c r="P21" s="28" t="str">
        <f>Country_details!BY22</f>
        <v/>
      </c>
      <c r="Q21" s="28" t="str">
        <f>Country_details!CK22</f>
        <v/>
      </c>
      <c r="R21" s="28" t="str">
        <f>Country_details!CX22</f>
        <v/>
      </c>
      <c r="S21" s="28" t="str">
        <f>Country_details!EG22</f>
        <v/>
      </c>
      <c r="T21" s="28" t="str">
        <f>Country_details!ET22</f>
        <v/>
      </c>
      <c r="U21" s="28" t="str">
        <f>Country_details!FG22</f>
        <v/>
      </c>
      <c r="V21" s="100">
        <f>Country_details!FY22</f>
        <v>2.7875456376764625</v>
      </c>
      <c r="W21" s="28">
        <f>Country_details!FZ22</f>
        <v>2842.2261683249521</v>
      </c>
      <c r="X21" s="28">
        <f>Country_details!GA22</f>
        <v>665.01104594208334</v>
      </c>
      <c r="Y21" s="28">
        <f>Country_details!GB22</f>
        <v>481.17906288424314</v>
      </c>
      <c r="Z21" s="28">
        <f>Country_details!GC22</f>
        <v>750.31656620891988</v>
      </c>
      <c r="AA21" s="28">
        <f>Country_details!GD22</f>
        <v>1098.0180854320258</v>
      </c>
      <c r="AB21" s="28">
        <f>Country_details!GE22</f>
        <v>1926.1210438301084</v>
      </c>
      <c r="AC21" s="28">
        <f>Country_details!GF22</f>
        <v>1989.9115183342144</v>
      </c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</row>
    <row r="22" spans="1:55" x14ac:dyDescent="0.2">
      <c r="A22" s="8" t="str">
        <f>Country_details!A23</f>
        <v>Bosnia &amp; Herzegovina</v>
      </c>
      <c r="B22" s="28">
        <f>INDEX(Country_details!$A$9:$AS$156,MATCH(Country_results!A22,Country_details!$A$9:$A$156,0),MATCH(Country_results!$B$5,Country_details!$A$6:$AS$6,0))</f>
        <v>170.42113783448355</v>
      </c>
      <c r="C22" s="28">
        <f t="shared" si="0"/>
        <v>2532.3980998158604</v>
      </c>
      <c r="D22" s="28">
        <f>Country_details!BA23</f>
        <v>2532.3980998158604</v>
      </c>
      <c r="E22" s="28">
        <f>Country_details!BG23</f>
        <v>3698.0177658613111</v>
      </c>
      <c r="F22" s="28" t="str">
        <f>Country_details!CA23</f>
        <v/>
      </c>
      <c r="G22" s="28" t="str">
        <f>Country_details!CN23</f>
        <v/>
      </c>
      <c r="H22" s="28" t="str">
        <f>Country_details!DA23</f>
        <v/>
      </c>
      <c r="I22" s="28" t="str">
        <f>Country_details!DL23</f>
        <v/>
      </c>
      <c r="J22" s="28" t="str">
        <f>Country_details!DW23</f>
        <v/>
      </c>
      <c r="K22" s="28" t="str">
        <f>Country_details!EJ23</f>
        <v/>
      </c>
      <c r="L22" s="28" t="str">
        <f>Country_details!EW23</f>
        <v/>
      </c>
      <c r="M22" s="28" t="str">
        <f>Country_details!FJ23</f>
        <v/>
      </c>
      <c r="N22" s="28" t="str">
        <f>Country_details!FT23</f>
        <v/>
      </c>
      <c r="O22" s="100">
        <f>Country_details!AZ23</f>
        <v>4.298913159331744</v>
      </c>
      <c r="P22" s="28" t="str">
        <f>Country_details!BY23</f>
        <v/>
      </c>
      <c r="Q22" s="28" t="str">
        <f>Country_details!CK23</f>
        <v/>
      </c>
      <c r="R22" s="28" t="str">
        <f>Country_details!CX23</f>
        <v/>
      </c>
      <c r="S22" s="28" t="str">
        <f>Country_details!EG23</f>
        <v/>
      </c>
      <c r="T22" s="28" t="str">
        <f>Country_details!ET23</f>
        <v/>
      </c>
      <c r="U22" s="28" t="str">
        <f>Country_details!FG23</f>
        <v/>
      </c>
      <c r="V22" s="100">
        <f>Country_details!FY23</f>
        <v>2.7475103894496677</v>
      </c>
      <c r="W22" s="28">
        <f>Country_details!FZ23</f>
        <v>3487.1067070016966</v>
      </c>
      <c r="X22" s="28">
        <f>Country_details!GA23</f>
        <v>759.86821889004409</v>
      </c>
      <c r="Y22" s="28">
        <f>Country_details!GB23</f>
        <v>457.34926189748188</v>
      </c>
      <c r="Z22" s="28">
        <f>Country_details!GC23</f>
        <v>846.1793762187051</v>
      </c>
      <c r="AA22" s="28">
        <f>Country_details!GD23</f>
        <v>1227.6870012646223</v>
      </c>
      <c r="AB22" s="28">
        <f>Country_details!GE23</f>
        <v>2132.8422613721414</v>
      </c>
      <c r="AC22" s="28">
        <f>Country_details!GF23</f>
        <v>2246.4515662234126</v>
      </c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</row>
    <row r="23" spans="1:55" x14ac:dyDescent="0.2">
      <c r="A23" s="8" t="str">
        <f>Country_details!A24</f>
        <v>Botswana</v>
      </c>
      <c r="B23" s="28">
        <f>INDEX(Country_details!$A$9:$AS$156,MATCH(Country_results!A23,Country_details!$A$9:$A$156,0),MATCH(Country_results!$B$5,Country_details!$A$6:$AS$6,0))</f>
        <v>4840.4091855400029</v>
      </c>
      <c r="C23" s="28">
        <f t="shared" si="0"/>
        <v>3989.2993250461723</v>
      </c>
      <c r="D23" s="28">
        <f>Country_details!BA24</f>
        <v>6497.4161381936901</v>
      </c>
      <c r="E23" s="28">
        <f>Country_details!BG24</f>
        <v>3989.2993250461723</v>
      </c>
      <c r="F23" s="28" t="str">
        <f>Country_details!CA24</f>
        <v/>
      </c>
      <c r="G23" s="28" t="str">
        <f>Country_details!CN24</f>
        <v/>
      </c>
      <c r="H23" s="28" t="str">
        <f>Country_details!DA24</f>
        <v/>
      </c>
      <c r="I23" s="28" t="str">
        <f>Country_details!DL24</f>
        <v/>
      </c>
      <c r="J23" s="28" t="str">
        <f>Country_details!DW24</f>
        <v/>
      </c>
      <c r="K23" s="28" t="str">
        <f>Country_details!EJ24</f>
        <v/>
      </c>
      <c r="L23" s="28" t="str">
        <f>Country_details!EW24</f>
        <v/>
      </c>
      <c r="M23" s="28" t="str">
        <f>Country_details!FJ24</f>
        <v/>
      </c>
      <c r="N23" s="28" t="str">
        <f>Country_details!FT24</f>
        <v/>
      </c>
      <c r="O23" s="100">
        <f>Country_details!AZ24</f>
        <v>12.017461024579614</v>
      </c>
      <c r="P23" s="28" t="str">
        <f>Country_details!BY24</f>
        <v/>
      </c>
      <c r="Q23" s="28" t="str">
        <f>Country_details!CK24</f>
        <v/>
      </c>
      <c r="R23" s="28" t="str">
        <f>Country_details!CX24</f>
        <v/>
      </c>
      <c r="S23" s="28" t="str">
        <f>Country_details!EG24</f>
        <v/>
      </c>
      <c r="T23" s="28" t="str">
        <f>Country_details!ET24</f>
        <v/>
      </c>
      <c r="U23" s="28" t="str">
        <f>Country_details!FG24</f>
        <v/>
      </c>
      <c r="V23" s="100">
        <f>Country_details!FY24</f>
        <v>2.1654955272287553</v>
      </c>
      <c r="W23" s="28">
        <f>Country_details!FZ24</f>
        <v>2552.5471013547326</v>
      </c>
      <c r="X23" s="28">
        <f>Country_details!GA24</f>
        <v>597.22879129977446</v>
      </c>
      <c r="Y23" s="28">
        <f>Country_details!GB24</f>
        <v>391.59606945016236</v>
      </c>
      <c r="Z23" s="28">
        <f>Country_details!GC24</f>
        <v>668.06609186893252</v>
      </c>
      <c r="AA23" s="28">
        <f>Country_details!GD24</f>
        <v>975.13212832098986</v>
      </c>
      <c r="AB23" s="28">
        <f>Country_details!GE24</f>
        <v>1702.6616396582003</v>
      </c>
      <c r="AC23" s="28">
        <f>Country_details!GF24</f>
        <v>1788.96468793382</v>
      </c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</row>
    <row r="24" spans="1:55" x14ac:dyDescent="0.2">
      <c r="A24" s="8" t="str">
        <f>Country_details!A25</f>
        <v>Brazil</v>
      </c>
      <c r="B24" s="28">
        <f>INDEX(Country_details!$A$9:$AS$156,MATCH(Country_results!A24,Country_details!$A$9:$A$156,0),MATCH(Country_results!$B$5,Country_details!$A$6:$AS$6,0))</f>
        <v>113613.01356229674</v>
      </c>
      <c r="C24" s="28">
        <f t="shared" si="0"/>
        <v>6595.6082028847377</v>
      </c>
      <c r="D24" s="28">
        <f>Country_details!BA25</f>
        <v>24711.669492432648</v>
      </c>
      <c r="E24" s="28">
        <f>Country_details!BG25</f>
        <v>6595.6082028847377</v>
      </c>
      <c r="F24" s="28">
        <f>Country_details!CA25</f>
        <v>7317.2402980139641</v>
      </c>
      <c r="G24" s="28">
        <f>Country_details!CN25</f>
        <v>16024.101974250485</v>
      </c>
      <c r="H24" s="28">
        <f>Country_details!DA25</f>
        <v>9389.1872812668662</v>
      </c>
      <c r="I24" s="28">
        <f>Country_details!DL25</f>
        <v>7306.5045499130665</v>
      </c>
      <c r="J24" s="28">
        <f>Country_details!DW25</f>
        <v>8058.5177198106376</v>
      </c>
      <c r="K24" s="28">
        <f>Country_details!EJ25</f>
        <v>12294.411146036064</v>
      </c>
      <c r="L24" s="28">
        <f>Country_details!EW25</f>
        <v>23692.196154171852</v>
      </c>
      <c r="M24" s="28">
        <f>Country_details!FJ25</f>
        <v>9887.2021987033859</v>
      </c>
      <c r="N24" s="28">
        <f>Country_details!FT25</f>
        <v>12447.770241904369</v>
      </c>
      <c r="O24" s="100">
        <f>Country_details!AZ25</f>
        <v>48.500615110936906</v>
      </c>
      <c r="P24" s="28">
        <f>Country_details!BY25</f>
        <v>1227.0814907631327</v>
      </c>
      <c r="Q24" s="28">
        <f>Country_details!CK25</f>
        <v>819.2683166159826</v>
      </c>
      <c r="R24" s="28">
        <f>Country_details!CX25</f>
        <v>1256.5063642536177</v>
      </c>
      <c r="S24" s="28">
        <f>Country_details!EG25</f>
        <v>1786.896232727079</v>
      </c>
      <c r="T24" s="28">
        <f>Country_details!ET25</f>
        <v>2968.9812140445547</v>
      </c>
      <c r="U24" s="28">
        <f>Country_details!FG25</f>
        <v>3387.405341900007</v>
      </c>
      <c r="V24" s="100">
        <f>Country_details!FY25</f>
        <v>4.3780494197704707</v>
      </c>
      <c r="W24" s="28">
        <f>Country_details!FZ25</f>
        <v>4139.2983926772558</v>
      </c>
      <c r="X24" s="28">
        <f>Country_details!GA25</f>
        <v>976.59610014284715</v>
      </c>
      <c r="Y24" s="28">
        <f>Country_details!GB25</f>
        <v>711.56321951041696</v>
      </c>
      <c r="Z24" s="28">
        <f>Country_details!GC25</f>
        <v>1104.3543362978428</v>
      </c>
      <c r="AA24" s="28">
        <f>Country_details!GD25</f>
        <v>1616.9229840646472</v>
      </c>
      <c r="AB24" s="28">
        <f>Country_details!GE25</f>
        <v>2837.3586290058929</v>
      </c>
      <c r="AC24" s="28">
        <f>Country_details!GF25</f>
        <v>2926.1804253779815</v>
      </c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</row>
    <row r="25" spans="1:55" x14ac:dyDescent="0.2">
      <c r="A25" s="8" t="str">
        <f>Country_details!A26</f>
        <v>Brunei</v>
      </c>
      <c r="B25" s="28">
        <f>INDEX(Country_details!$A$9:$AS$156,MATCH(Country_results!A25,Country_details!$A$9:$A$156,0),MATCH(Country_results!$B$5,Country_details!$A$6:$AS$6,0))</f>
        <v>21.545972512939009</v>
      </c>
      <c r="C25" s="28">
        <f t="shared" si="0"/>
        <v>4067.6088898257394</v>
      </c>
      <c r="D25" s="28">
        <f>Country_details!BA26</f>
        <v>5710.7548296696432</v>
      </c>
      <c r="E25" s="28">
        <f>Country_details!BG26</f>
        <v>4067.6088898257394</v>
      </c>
      <c r="F25" s="28" t="str">
        <f>Country_details!CA26</f>
        <v/>
      </c>
      <c r="G25" s="28" t="str">
        <f>Country_details!CN26</f>
        <v/>
      </c>
      <c r="H25" s="28" t="str">
        <f>Country_details!DA26</f>
        <v/>
      </c>
      <c r="I25" s="28" t="str">
        <f>Country_details!DL26</f>
        <v/>
      </c>
      <c r="J25" s="28" t="str">
        <f>Country_details!DW26</f>
        <v/>
      </c>
      <c r="K25" s="28" t="str">
        <f>Country_details!EJ26</f>
        <v/>
      </c>
      <c r="L25" s="28" t="str">
        <f>Country_details!EW26</f>
        <v/>
      </c>
      <c r="M25" s="28" t="str">
        <f>Country_details!FJ26</f>
        <v/>
      </c>
      <c r="N25" s="28" t="str">
        <f>Country_details!FT26</f>
        <v/>
      </c>
      <c r="O25" s="100">
        <f>Country_details!AZ26</f>
        <v>10.486097760954838</v>
      </c>
      <c r="P25" s="28" t="str">
        <f>Country_details!BY26</f>
        <v/>
      </c>
      <c r="Q25" s="28" t="str">
        <f>Country_details!CK26</f>
        <v/>
      </c>
      <c r="R25" s="28" t="str">
        <f>Country_details!CX26</f>
        <v/>
      </c>
      <c r="S25" s="28" t="str">
        <f>Country_details!EG26</f>
        <v/>
      </c>
      <c r="T25" s="28" t="str">
        <f>Country_details!ET26</f>
        <v/>
      </c>
      <c r="U25" s="28" t="str">
        <f>Country_details!FG26</f>
        <v/>
      </c>
      <c r="V25" s="100" t="e">
        <f>Country_details!FY26</f>
        <v>#N/A</v>
      </c>
      <c r="W25" s="28">
        <f>Country_details!FZ26</f>
        <v>2524.2427663672038</v>
      </c>
      <c r="X25" s="28">
        <f>Country_details!GA26</f>
        <v>571.26624934284325</v>
      </c>
      <c r="Y25" s="28">
        <f>Country_details!GB26</f>
        <v>357.76320865371423</v>
      </c>
      <c r="Z25" s="28">
        <f>Country_details!GC26</f>
        <v>636.79952485871991</v>
      </c>
      <c r="AA25" s="28">
        <f>Country_details!GD26</f>
        <v>926.81339855995759</v>
      </c>
      <c r="AB25" s="28">
        <f>Country_details!GE26</f>
        <v>1614.1221646241586</v>
      </c>
      <c r="AC25" s="28">
        <f>Country_details!GF26</f>
        <v>1701.1899903087751</v>
      </c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</row>
    <row r="26" spans="1:55" x14ac:dyDescent="0.2">
      <c r="A26" s="8" t="str">
        <f>Country_details!A27</f>
        <v>Burkina Faso</v>
      </c>
      <c r="B26" s="28">
        <f>INDEX(Country_details!$A$9:$AS$156,MATCH(Country_results!A26,Country_details!$A$9:$A$156,0),MATCH(Country_results!$B$5,Country_details!$A$6:$AS$6,0))</f>
        <v>113.13535073685853</v>
      </c>
      <c r="C26" s="28">
        <f t="shared" si="0"/>
        <v>3888.2852468695432</v>
      </c>
      <c r="D26" s="28">
        <f>Country_details!BA27</f>
        <v>4737.1283446361067</v>
      </c>
      <c r="E26" s="28">
        <f>Country_details!BG27</f>
        <v>3888.2852468695432</v>
      </c>
      <c r="F26" s="28" t="str">
        <f>Country_details!CA27</f>
        <v/>
      </c>
      <c r="G26" s="28" t="str">
        <f>Country_details!CN27</f>
        <v/>
      </c>
      <c r="H26" s="28" t="str">
        <f>Country_details!DA27</f>
        <v/>
      </c>
      <c r="I26" s="28" t="str">
        <f>Country_details!DL27</f>
        <v/>
      </c>
      <c r="J26" s="28" t="str">
        <f>Country_details!DW27</f>
        <v/>
      </c>
      <c r="K26" s="28" t="str">
        <f>Country_details!EJ27</f>
        <v/>
      </c>
      <c r="L26" s="28" t="str">
        <f>Country_details!EW27</f>
        <v/>
      </c>
      <c r="M26" s="28" t="str">
        <f>Country_details!FJ27</f>
        <v/>
      </c>
      <c r="N26" s="28" t="str">
        <f>Country_details!FT27</f>
        <v/>
      </c>
      <c r="O26" s="100">
        <f>Country_details!AZ27</f>
        <v>8.5907765909460068</v>
      </c>
      <c r="P26" s="28" t="str">
        <f>Country_details!BY27</f>
        <v/>
      </c>
      <c r="Q26" s="28" t="str">
        <f>Country_details!CK27</f>
        <v/>
      </c>
      <c r="R26" s="28" t="str">
        <f>Country_details!CX27</f>
        <v/>
      </c>
      <c r="S26" s="28" t="str">
        <f>Country_details!EG27</f>
        <v/>
      </c>
      <c r="T26" s="28" t="str">
        <f>Country_details!ET27</f>
        <v/>
      </c>
      <c r="U26" s="28" t="str">
        <f>Country_details!FG27</f>
        <v/>
      </c>
      <c r="V26" s="100">
        <f>Country_details!FY27</f>
        <v>2.5180425948868481</v>
      </c>
      <c r="W26" s="28">
        <f>Country_details!FZ27</f>
        <v>3050.3267835044044</v>
      </c>
      <c r="X26" s="28">
        <f>Country_details!GA27</f>
        <v>700.44271540086345</v>
      </c>
      <c r="Y26" s="28">
        <f>Country_details!GB27</f>
        <v>449.15543993542417</v>
      </c>
      <c r="Z26" s="28">
        <f>Country_details!GC27</f>
        <v>782.99444608576039</v>
      </c>
      <c r="AA26" s="28">
        <f>Country_details!GD27</f>
        <v>1141.0580317362374</v>
      </c>
      <c r="AB26" s="28">
        <f>Country_details!GE27</f>
        <v>1989.6652529067715</v>
      </c>
      <c r="AC26" s="28">
        <f>Country_details!GF27</f>
        <v>2091.0329564865979</v>
      </c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</row>
    <row r="27" spans="1:55" x14ac:dyDescent="0.2">
      <c r="A27" s="8" t="str">
        <f>Country_details!A28</f>
        <v>Burundi</v>
      </c>
      <c r="B27" s="28">
        <f>INDEX(Country_details!$A$9:$AS$156,MATCH(Country_results!A27,Country_details!$A$9:$A$156,0),MATCH(Country_results!$B$5,Country_details!$A$6:$AS$6,0))</f>
        <v>-1085.7721809711043</v>
      </c>
      <c r="C27" s="28">
        <f t="shared" si="0"/>
        <v>4632.8369653068967</v>
      </c>
      <c r="D27" s="28">
        <f>Country_details!BA28</f>
        <v>6131.3965202232739</v>
      </c>
      <c r="E27" s="28">
        <f>Country_details!BG28</f>
        <v>4632.8369653068967</v>
      </c>
      <c r="F27" s="28" t="str">
        <f>Country_details!CA28</f>
        <v/>
      </c>
      <c r="G27" s="28" t="str">
        <f>Country_details!CN28</f>
        <v/>
      </c>
      <c r="H27" s="28" t="str">
        <f>Country_details!DA28</f>
        <v/>
      </c>
      <c r="I27" s="28" t="str">
        <f>Country_details!DL28</f>
        <v/>
      </c>
      <c r="J27" s="28" t="str">
        <f>Country_details!DW28</f>
        <v/>
      </c>
      <c r="K27" s="28" t="str">
        <f>Country_details!EJ28</f>
        <v/>
      </c>
      <c r="L27" s="28" t="str">
        <f>Country_details!EW28</f>
        <v/>
      </c>
      <c r="M27" s="28" t="str">
        <f>Country_details!FJ28</f>
        <v/>
      </c>
      <c r="N27" s="28" t="str">
        <f>Country_details!FT28</f>
        <v/>
      </c>
      <c r="O27" s="100">
        <f>Country_details!AZ28</f>
        <v>11.304944734973974</v>
      </c>
      <c r="P27" s="28" t="str">
        <f>Country_details!BY28</f>
        <v/>
      </c>
      <c r="Q27" s="28" t="str">
        <f>Country_details!CK28</f>
        <v/>
      </c>
      <c r="R27" s="28" t="str">
        <f>Country_details!CX28</f>
        <v/>
      </c>
      <c r="S27" s="28" t="str">
        <f>Country_details!EG28</f>
        <v/>
      </c>
      <c r="T27" s="28" t="str">
        <f>Country_details!ET28</f>
        <v/>
      </c>
      <c r="U27" s="28" t="str">
        <f>Country_details!FG28</f>
        <v/>
      </c>
      <c r="V27" s="100">
        <f>Country_details!FY28</f>
        <v>2.7288574697010617</v>
      </c>
      <c r="W27" s="28">
        <f>Country_details!FZ28</f>
        <v>3421.8955977494006</v>
      </c>
      <c r="X27" s="28">
        <f>Country_details!GA28</f>
        <v>765.88931593552627</v>
      </c>
      <c r="Y27" s="28">
        <f>Country_details!GB28</f>
        <v>475.77815424119848</v>
      </c>
      <c r="Z27" s="28">
        <f>Country_details!GC28</f>
        <v>854.67991846911514</v>
      </c>
      <c r="AA27" s="28">
        <f>Country_details!GD28</f>
        <v>1242.8036386326728</v>
      </c>
      <c r="AB27" s="28">
        <f>Country_details!GE28</f>
        <v>2163.0544676730465</v>
      </c>
      <c r="AC27" s="28">
        <f>Country_details!GF28</f>
        <v>2275.7071745224348</v>
      </c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</row>
    <row r="28" spans="1:55" x14ac:dyDescent="0.2">
      <c r="A28" s="8" t="str">
        <f>Country_details!A29</f>
        <v>Cambodia</v>
      </c>
      <c r="B28" s="28">
        <f>INDEX(Country_details!$A$9:$AS$156,MATCH(Country_results!A28,Country_details!$A$9:$A$156,0),MATCH(Country_results!$B$5,Country_details!$A$6:$AS$6,0))</f>
        <v>371.72862454213418</v>
      </c>
      <c r="C28" s="28">
        <f t="shared" si="0"/>
        <v>4704.5336993578821</v>
      </c>
      <c r="D28" s="28">
        <f>Country_details!BA29</f>
        <v>6509.3530528088804</v>
      </c>
      <c r="E28" s="28">
        <f>Country_details!BG29</f>
        <v>4704.5336993578821</v>
      </c>
      <c r="F28" s="28" t="str">
        <f>Country_details!CA29</f>
        <v/>
      </c>
      <c r="G28" s="28" t="str">
        <f>Country_details!CN29</f>
        <v/>
      </c>
      <c r="H28" s="28" t="str">
        <f>Country_details!DA29</f>
        <v/>
      </c>
      <c r="I28" s="28" t="str">
        <f>Country_details!DL29</f>
        <v/>
      </c>
      <c r="J28" s="28" t="str">
        <f>Country_details!DW29</f>
        <v/>
      </c>
      <c r="K28" s="28" t="str">
        <f>Country_details!EJ29</f>
        <v/>
      </c>
      <c r="L28" s="28" t="str">
        <f>Country_details!EW29</f>
        <v/>
      </c>
      <c r="M28" s="28" t="str">
        <f>Country_details!FJ29</f>
        <v/>
      </c>
      <c r="N28" s="28" t="str">
        <f>Country_details!FT29</f>
        <v/>
      </c>
      <c r="O28" s="100">
        <f>Country_details!AZ29</f>
        <v>12.040698156398166</v>
      </c>
      <c r="P28" s="28" t="str">
        <f>Country_details!BY29</f>
        <v/>
      </c>
      <c r="Q28" s="28" t="str">
        <f>Country_details!CK29</f>
        <v/>
      </c>
      <c r="R28" s="28" t="str">
        <f>Country_details!CX29</f>
        <v/>
      </c>
      <c r="S28" s="28" t="str">
        <f>Country_details!EG29</f>
        <v/>
      </c>
      <c r="T28" s="28" t="str">
        <f>Country_details!ET29</f>
        <v/>
      </c>
      <c r="U28" s="28" t="str">
        <f>Country_details!FG29</f>
        <v/>
      </c>
      <c r="V28" s="100">
        <f>Country_details!FY29</f>
        <v>2.4117234315368345</v>
      </c>
      <c r="W28" s="28">
        <f>Country_details!FZ29</f>
        <v>3035.3969088836693</v>
      </c>
      <c r="X28" s="28">
        <f>Country_details!GA29</f>
        <v>688.78363169590091</v>
      </c>
      <c r="Y28" s="28">
        <f>Country_details!GB29</f>
        <v>433.88604296318465</v>
      </c>
      <c r="Z28" s="28">
        <f>Country_details!GC29</f>
        <v>768.93873558416919</v>
      </c>
      <c r="AA28" s="28">
        <f>Country_details!GD29</f>
        <v>1119.3767386901786</v>
      </c>
      <c r="AB28" s="28">
        <f>Country_details!GE29</f>
        <v>1949.9428770490192</v>
      </c>
      <c r="AC28" s="28">
        <f>Country_details!GF29</f>
        <v>2051.9086130565415</v>
      </c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</row>
    <row r="29" spans="1:55" x14ac:dyDescent="0.2">
      <c r="A29" s="8" t="str">
        <f>Country_details!A30</f>
        <v>Cameroon</v>
      </c>
      <c r="B29" s="28">
        <f>INDEX(Country_details!$A$9:$AS$156,MATCH(Country_results!A29,Country_details!$A$9:$A$156,0),MATCH(Country_results!$B$5,Country_details!$A$6:$AS$6,0))</f>
        <v>798.26690250983802</v>
      </c>
      <c r="C29" s="28">
        <f t="shared" si="0"/>
        <v>4296.1785965795116</v>
      </c>
      <c r="D29" s="28">
        <f>Country_details!BA30</f>
        <v>5087.0500042970179</v>
      </c>
      <c r="E29" s="28">
        <f>Country_details!BG30</f>
        <v>4296.1785965795116</v>
      </c>
      <c r="F29" s="28">
        <f>Country_details!CA30</f>
        <v>5416.0119237973022</v>
      </c>
      <c r="G29" s="28">
        <f>Country_details!CN30</f>
        <v>10770.220037047144</v>
      </c>
      <c r="H29" s="28">
        <f>Country_details!DA30</f>
        <v>7437.9440847305332</v>
      </c>
      <c r="I29" s="28">
        <f>Country_details!DL30</f>
        <v>5635.5639082558719</v>
      </c>
      <c r="J29" s="28">
        <f>Country_details!DW30</f>
        <v>4478.2959969310323</v>
      </c>
      <c r="K29" s="28">
        <f>Country_details!EJ30</f>
        <v>9703.3863560328482</v>
      </c>
      <c r="L29" s="28">
        <f>Country_details!EW30</f>
        <v>18611.262921108315</v>
      </c>
      <c r="M29" s="28">
        <f>Country_details!FJ30</f>
        <v>7759.3754199222676</v>
      </c>
      <c r="N29" s="28">
        <f>Country_details!FT30</f>
        <v>9167.7211499491423</v>
      </c>
      <c r="O29" s="100">
        <f>Country_details!AZ30</f>
        <v>9.2719556052752097</v>
      </c>
      <c r="P29" s="28">
        <f>Country_details!BY30</f>
        <v>889.36329271148873</v>
      </c>
      <c r="Q29" s="28">
        <f>Country_details!CK30</f>
        <v>540.37422135848738</v>
      </c>
      <c r="R29" s="28">
        <f>Country_details!CX30</f>
        <v>921.48847596784162</v>
      </c>
      <c r="S29" s="28">
        <f>Country_details!EG30</f>
        <v>1319.0289086156045</v>
      </c>
      <c r="T29" s="28">
        <f>Country_details!ET30</f>
        <v>2208.5226636254615</v>
      </c>
      <c r="U29" s="28">
        <f>Country_details!FG30</f>
        <v>2489.5357696158203</v>
      </c>
      <c r="V29" s="100">
        <f>Country_details!FY30</f>
        <v>2.7935860267036161</v>
      </c>
      <c r="W29" s="28">
        <f>Country_details!FZ30</f>
        <v>3394.120789855901</v>
      </c>
      <c r="X29" s="28">
        <f>Country_details!GA30</f>
        <v>758.37501988880308</v>
      </c>
      <c r="Y29" s="28">
        <f>Country_details!GB30</f>
        <v>472.50300588607041</v>
      </c>
      <c r="Z29" s="28">
        <f>Country_details!GC30</f>
        <v>846.47011860697262</v>
      </c>
      <c r="AA29" s="28">
        <f>Country_details!GD30</f>
        <v>1230.8457307481451</v>
      </c>
      <c r="AB29" s="28">
        <f>Country_details!GE30</f>
        <v>2142.4648559118973</v>
      </c>
      <c r="AC29" s="28">
        <f>Country_details!GF30</f>
        <v>2252.5969258629138</v>
      </c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</row>
    <row r="30" spans="1:55" x14ac:dyDescent="0.2">
      <c r="A30" s="8" t="str">
        <f>Country_details!A31</f>
        <v>Canada</v>
      </c>
      <c r="B30" s="28">
        <f>INDEX(Country_details!$A$9:$AS$156,MATCH(Country_results!A30,Country_details!$A$9:$A$156,0),MATCH(Country_results!$B$5,Country_details!$A$6:$AS$6,0))</f>
        <v>118778.19380131936</v>
      </c>
      <c r="C30" s="28">
        <f t="shared" si="0"/>
        <v>2877.2052845120766</v>
      </c>
      <c r="D30" s="28">
        <f>Country_details!BA31</f>
        <v>7865.3890357099008</v>
      </c>
      <c r="E30" s="28">
        <f>Country_details!BG31</f>
        <v>2877.2052845120766</v>
      </c>
      <c r="F30" s="28">
        <f>Country_details!CA31</f>
        <v>3806.031526577151</v>
      </c>
      <c r="G30" s="28">
        <f>Country_details!CN31</f>
        <v>8082.8943674427301</v>
      </c>
      <c r="H30" s="28">
        <f>Country_details!DA31</f>
        <v>5335.2424316619581</v>
      </c>
      <c r="I30" s="28">
        <f>Country_details!DL31</f>
        <v>3904.5056160805298</v>
      </c>
      <c r="J30" s="28">
        <f>Country_details!DW31</f>
        <v>4270.0106501793089</v>
      </c>
      <c r="K30" s="28">
        <f>Country_details!EJ31</f>
        <v>6833.0456497932018</v>
      </c>
      <c r="L30" s="28">
        <f>Country_details!EW31</f>
        <v>12548.817752317384</v>
      </c>
      <c r="M30" s="28">
        <f>Country_details!FJ31</f>
        <v>5592.0648314411756</v>
      </c>
      <c r="N30" s="28">
        <f>Country_details!FT31</f>
        <v>6749.0005588955619</v>
      </c>
      <c r="O30" s="100">
        <f>Country_details!AZ31</f>
        <v>14.699891883162532</v>
      </c>
      <c r="P30" s="28">
        <f>Country_details!BY31</f>
        <v>603.37993267896195</v>
      </c>
      <c r="Q30" s="28">
        <f>Country_details!CK31</f>
        <v>400.12122943946417</v>
      </c>
      <c r="R30" s="28">
        <f>Country_details!CX31</f>
        <v>617.52171585899021</v>
      </c>
      <c r="S30" s="28">
        <f>Country_details!EG31</f>
        <v>884.09569608889819</v>
      </c>
      <c r="T30" s="28">
        <f>Country_details!ET31</f>
        <v>1465.4808356791168</v>
      </c>
      <c r="U30" s="28">
        <f>Country_details!FG31</f>
        <v>1678.8547085327953</v>
      </c>
      <c r="V30" s="100">
        <f>Country_details!FY31</f>
        <v>2.2192544404716674</v>
      </c>
      <c r="W30" s="28">
        <f>Country_details!FZ31</f>
        <v>2074.4597569468783</v>
      </c>
      <c r="X30" s="28">
        <f>Country_details!GA31</f>
        <v>486.1421366796734</v>
      </c>
      <c r="Y30" s="28">
        <f>Country_details!GB31</f>
        <v>350.74409330512037</v>
      </c>
      <c r="Z30" s="28">
        <f>Country_details!GC31</f>
        <v>547.29258761338815</v>
      </c>
      <c r="AA30" s="28">
        <f>Country_details!GD31</f>
        <v>801.02227997067507</v>
      </c>
      <c r="AB30" s="28">
        <f>Country_details!GE31</f>
        <v>1405.1651752616756</v>
      </c>
      <c r="AC30" s="28">
        <f>Country_details!GF31</f>
        <v>1455.4117211214161</v>
      </c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</row>
    <row r="31" spans="1:55" x14ac:dyDescent="0.2">
      <c r="A31" s="8" t="str">
        <f>Country_details!A32</f>
        <v>Central African Republic</v>
      </c>
      <c r="B31" s="28">
        <f>INDEX(Country_details!$A$9:$AS$156,MATCH(Country_results!A31,Country_details!$A$9:$A$156,0),MATCH(Country_results!$B$5,Country_details!$A$6:$AS$6,0))</f>
        <v>4229.4319886480116</v>
      </c>
      <c r="C31" s="28">
        <f t="shared" si="0"/>
        <v>4257.0106901677837</v>
      </c>
      <c r="D31" s="28">
        <f>Country_details!BA32</f>
        <v>5282.2301087465848</v>
      </c>
      <c r="E31" s="28">
        <f>Country_details!BG32</f>
        <v>4257.0106901677837</v>
      </c>
      <c r="F31" s="28" t="str">
        <f>Country_details!CA32</f>
        <v/>
      </c>
      <c r="G31" s="28" t="str">
        <f>Country_details!CN32</f>
        <v/>
      </c>
      <c r="H31" s="28" t="str">
        <f>Country_details!DA32</f>
        <v/>
      </c>
      <c r="I31" s="28" t="str">
        <f>Country_details!DL32</f>
        <v/>
      </c>
      <c r="J31" s="28" t="str">
        <f>Country_details!DW32</f>
        <v/>
      </c>
      <c r="K31" s="28" t="str">
        <f>Country_details!EJ32</f>
        <v/>
      </c>
      <c r="L31" s="28" t="str">
        <f>Country_details!EW32</f>
        <v/>
      </c>
      <c r="M31" s="28" t="str">
        <f>Country_details!FJ32</f>
        <v/>
      </c>
      <c r="N31" s="28" t="str">
        <f>Country_details!FT32</f>
        <v/>
      </c>
      <c r="O31" s="100">
        <f>Country_details!AZ32</f>
        <v>9.6519051954047939</v>
      </c>
      <c r="P31" s="28" t="str">
        <f>Country_details!BY32</f>
        <v/>
      </c>
      <c r="Q31" s="28" t="str">
        <f>Country_details!CK32</f>
        <v/>
      </c>
      <c r="R31" s="28" t="str">
        <f>Country_details!CX32</f>
        <v/>
      </c>
      <c r="S31" s="28" t="str">
        <f>Country_details!EG32</f>
        <v/>
      </c>
      <c r="T31" s="28" t="str">
        <f>Country_details!ET32</f>
        <v/>
      </c>
      <c r="U31" s="28" t="str">
        <f>Country_details!FG32</f>
        <v/>
      </c>
      <c r="V31" s="100">
        <f>Country_details!FY32</f>
        <v>2.71217413736353</v>
      </c>
      <c r="W31" s="28">
        <f>Country_details!FZ32</f>
        <v>3289.4346258186565</v>
      </c>
      <c r="X31" s="28">
        <f>Country_details!GA32</f>
        <v>742.21390052897766</v>
      </c>
      <c r="Y31" s="28">
        <f>Country_details!GB32</f>
        <v>467.35407049221459</v>
      </c>
      <c r="Z31" s="28">
        <f>Country_details!GC32</f>
        <v>828.9114142319637</v>
      </c>
      <c r="AA31" s="28">
        <f>Country_details!GD32</f>
        <v>1206.2744918468265</v>
      </c>
      <c r="AB31" s="28">
        <f>Country_details!GE32</f>
        <v>2101.0345151324464</v>
      </c>
      <c r="AC31" s="28">
        <f>Country_details!GF32</f>
        <v>2208.5927005237904</v>
      </c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</row>
    <row r="32" spans="1:55" x14ac:dyDescent="0.2">
      <c r="A32" s="8" t="str">
        <f>Country_details!A33</f>
        <v>Chad</v>
      </c>
      <c r="B32" s="28">
        <f>INDEX(Country_details!$A$9:$AS$156,MATCH(Country_results!A32,Country_details!$A$9:$A$156,0),MATCH(Country_results!$B$5,Country_details!$A$6:$AS$6,0))</f>
        <v>8496.6534506222233</v>
      </c>
      <c r="C32" s="28">
        <f t="shared" si="0"/>
        <v>2346.9788066254682</v>
      </c>
      <c r="D32" s="28">
        <f>Country_details!BA33</f>
        <v>2859.5923603872502</v>
      </c>
      <c r="E32" s="28">
        <f>Country_details!BG33</f>
        <v>2346.9788066254682</v>
      </c>
      <c r="F32" s="28" t="str">
        <f>Country_details!CA33</f>
        <v/>
      </c>
      <c r="G32" s="28" t="str">
        <f>Country_details!CN33</f>
        <v/>
      </c>
      <c r="H32" s="28" t="str">
        <f>Country_details!DA33</f>
        <v/>
      </c>
      <c r="I32" s="28" t="str">
        <f>Country_details!DL33</f>
        <v/>
      </c>
      <c r="J32" s="28" t="str">
        <f>Country_details!DW33</f>
        <v/>
      </c>
      <c r="K32" s="28" t="str">
        <f>Country_details!EJ33</f>
        <v/>
      </c>
      <c r="L32" s="28" t="str">
        <f>Country_details!EW33</f>
        <v/>
      </c>
      <c r="M32" s="28" t="str">
        <f>Country_details!FJ33</f>
        <v/>
      </c>
      <c r="N32" s="28" t="str">
        <f>Country_details!FT33</f>
        <v/>
      </c>
      <c r="O32" s="100">
        <f>Country_details!AZ33</f>
        <v>4.9358496214134835</v>
      </c>
      <c r="P32" s="28" t="str">
        <f>Country_details!BY33</f>
        <v/>
      </c>
      <c r="Q32" s="28" t="str">
        <f>Country_details!CK33</f>
        <v/>
      </c>
      <c r="R32" s="28" t="str">
        <f>Country_details!CX33</f>
        <v/>
      </c>
      <c r="S32" s="28" t="str">
        <f>Country_details!EG33</f>
        <v/>
      </c>
      <c r="T32" s="28" t="str">
        <f>Country_details!ET33</f>
        <v/>
      </c>
      <c r="U32" s="28" t="str">
        <f>Country_details!FG33</f>
        <v/>
      </c>
      <c r="V32" s="100">
        <f>Country_details!FY33</f>
        <v>1.5616135380261003</v>
      </c>
      <c r="W32" s="28">
        <f>Country_details!FZ33</f>
        <v>1834.5678419542398</v>
      </c>
      <c r="X32" s="28">
        <f>Country_details!GA33</f>
        <v>430.5066736809315</v>
      </c>
      <c r="Y32" s="28">
        <f>Country_details!GB33</f>
        <v>283.0383697446847</v>
      </c>
      <c r="Z32" s="28">
        <f>Country_details!GC33</f>
        <v>480.54073071775775</v>
      </c>
      <c r="AA32" s="28">
        <f>Country_details!GD33</f>
        <v>701.67823588602334</v>
      </c>
      <c r="AB32" s="28">
        <f>Country_details!GE33</f>
        <v>1225.584707212518</v>
      </c>
      <c r="AC32" s="28">
        <f>Country_details!GF33</f>
        <v>1290.4853331581603</v>
      </c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</row>
    <row r="33" spans="1:55" x14ac:dyDescent="0.2">
      <c r="A33" s="8" t="str">
        <f>Country_details!A34</f>
        <v>Chile</v>
      </c>
      <c r="B33" s="28">
        <f>INDEX(Country_details!$A$9:$AS$156,MATCH(Country_results!A33,Country_details!$A$9:$A$156,0),MATCH(Country_results!$B$5,Country_details!$A$6:$AS$6,0))</f>
        <v>8139.9283339327903</v>
      </c>
      <c r="C33" s="28">
        <f t="shared" si="0"/>
        <v>4213.6362816263072</v>
      </c>
      <c r="D33" s="28">
        <f>Country_details!BA34</f>
        <v>14450.519608652598</v>
      </c>
      <c r="E33" s="28">
        <f>Country_details!BG34</f>
        <v>4213.6362816263072</v>
      </c>
      <c r="F33" s="28">
        <f>Country_details!CA34</f>
        <v>4438.940766205792</v>
      </c>
      <c r="G33" s="28">
        <f>Country_details!CN34</f>
        <v>9921.3650402250896</v>
      </c>
      <c r="H33" s="28">
        <f>Country_details!DA34</f>
        <v>5989.7633769205331</v>
      </c>
      <c r="I33" s="28">
        <f>Country_details!DL34</f>
        <v>5038.8164459259488</v>
      </c>
      <c r="J33" s="28">
        <f>Country_details!DW34</f>
        <v>4890.5382008165916</v>
      </c>
      <c r="K33" s="28">
        <f>Country_details!EJ34</f>
        <v>7701.9501935609187</v>
      </c>
      <c r="L33" s="28">
        <f>Country_details!EW34</f>
        <v>14287.563850545148</v>
      </c>
      <c r="M33" s="28" t="str">
        <f>Country_details!FJ34</f>
        <v/>
      </c>
      <c r="N33" s="28" t="str">
        <f>Country_details!FT34</f>
        <v/>
      </c>
      <c r="O33" s="100">
        <f>Country_details!AZ34</f>
        <v>27.91243316113745</v>
      </c>
      <c r="P33" s="28">
        <f>Country_details!BY34</f>
        <v>715.80460024457579</v>
      </c>
      <c r="Q33" s="28">
        <f>Country_details!CK34</f>
        <v>492.93397132048955</v>
      </c>
      <c r="R33" s="28">
        <f>Country_details!CX34</f>
        <v>722.56436619015096</v>
      </c>
      <c r="S33" s="28">
        <f>Country_details!EG34</f>
        <v>1030.9342677463408</v>
      </c>
      <c r="T33" s="28">
        <f>Country_details!ET34</f>
        <v>1707.1318678903976</v>
      </c>
      <c r="U33" s="28" t="str">
        <f>Country_details!FG34</f>
        <v/>
      </c>
      <c r="V33" s="100">
        <f>Country_details!FY34</f>
        <v>2.448392436138862</v>
      </c>
      <c r="W33" s="28">
        <f>Country_details!FZ34</f>
        <v>2371.3383477159332</v>
      </c>
      <c r="X33" s="28">
        <f>Country_details!GA34</f>
        <v>561.02626450317291</v>
      </c>
      <c r="Y33" s="28">
        <f>Country_details!GB34</f>
        <v>409.2215283271679</v>
      </c>
      <c r="Z33" s="28">
        <f>Country_details!GC34</f>
        <v>632.76776053647166</v>
      </c>
      <c r="AA33" s="28">
        <f>Country_details!GD34</f>
        <v>926.78959873341819</v>
      </c>
      <c r="AB33" s="28">
        <f>Country_details!GE34</f>
        <v>1626.7833981112983</v>
      </c>
      <c r="AC33" s="28">
        <f>Country_details!GF34</f>
        <v>1682.2398948473033</v>
      </c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</row>
    <row r="34" spans="1:55" x14ac:dyDescent="0.2">
      <c r="A34" s="8" t="str">
        <f>Country_details!A35</f>
        <v>China</v>
      </c>
      <c r="B34" s="28">
        <f>INDEX(Country_details!$A$9:$AS$156,MATCH(Country_results!A34,Country_details!$A$9:$A$156,0),MATCH(Country_results!$B$5,Country_details!$A$6:$AS$6,0))</f>
        <v>11899.6755981069</v>
      </c>
      <c r="C34" s="28">
        <f t="shared" si="0"/>
        <v>3359.0764577975751</v>
      </c>
      <c r="D34" s="28">
        <f>Country_details!BA35</f>
        <v>5258.9626200833081</v>
      </c>
      <c r="E34" s="28">
        <f>Country_details!BG35</f>
        <v>3359.0764577975751</v>
      </c>
      <c r="F34" s="28">
        <f>Country_details!CA35</f>
        <v>4696.899491881426</v>
      </c>
      <c r="G34" s="28">
        <f>Country_details!CN35</f>
        <v>10394.045769126837</v>
      </c>
      <c r="H34" s="28">
        <f>Country_details!DA35</f>
        <v>6234.4368341922627</v>
      </c>
      <c r="I34" s="28">
        <f>Country_details!DL35</f>
        <v>5734.2048814923228</v>
      </c>
      <c r="J34" s="28">
        <f>Country_details!DW35</f>
        <v>4994.6850160898402</v>
      </c>
      <c r="K34" s="28">
        <f>Country_details!EJ35</f>
        <v>7886.2884461717085</v>
      </c>
      <c r="L34" s="28">
        <f>Country_details!EW35</f>
        <v>14247.027587653134</v>
      </c>
      <c r="M34" s="28">
        <f>Country_details!FJ35</f>
        <v>6336.7108917573269</v>
      </c>
      <c r="N34" s="28">
        <f>Country_details!FT35</f>
        <v>7969.9101695512181</v>
      </c>
      <c r="O34" s="100">
        <f>Country_details!AZ35</f>
        <v>9.6066112715907437</v>
      </c>
      <c r="P34" s="28">
        <f>Country_details!BY35</f>
        <v>761.6262159895897</v>
      </c>
      <c r="Q34" s="28">
        <f>Country_details!CK35</f>
        <v>509.89954549786239</v>
      </c>
      <c r="R34" s="28">
        <f>Country_details!CX35</f>
        <v>746.98414141536307</v>
      </c>
      <c r="S34" s="28">
        <f>Country_details!EG35</f>
        <v>1046.0261353859748</v>
      </c>
      <c r="T34" s="28">
        <f>Country_details!ET35</f>
        <v>1687.3991463509924</v>
      </c>
      <c r="U34" s="28">
        <f>Country_details!FG35</f>
        <v>1969.5766572757598</v>
      </c>
      <c r="V34" s="100">
        <f>Country_details!FY35</f>
        <v>2.304028735049775</v>
      </c>
      <c r="W34" s="28">
        <f>Country_details!FZ35</f>
        <v>2281.8634201495665</v>
      </c>
      <c r="X34" s="28">
        <f>Country_details!GA35</f>
        <v>539.37496781345533</v>
      </c>
      <c r="Y34" s="28">
        <f>Country_details!GB35</f>
        <v>393.08430830038378</v>
      </c>
      <c r="Z34" s="28">
        <f>Country_details!GC35</f>
        <v>608.16037870198977</v>
      </c>
      <c r="AA34" s="28">
        <f>Country_details!GD35</f>
        <v>890.70247170591767</v>
      </c>
      <c r="AB34" s="28">
        <f>Country_details!GE35</f>
        <v>1563.3787473718435</v>
      </c>
      <c r="AC34" s="28">
        <f>Country_details!GF35</f>
        <v>1617.1139339695353</v>
      </c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</row>
    <row r="35" spans="1:55" x14ac:dyDescent="0.2">
      <c r="A35" s="8" t="str">
        <f>Country_details!A36</f>
        <v>Colombia</v>
      </c>
      <c r="B35" s="28">
        <f>INDEX(Country_details!$A$9:$AS$156,MATCH(Country_results!A35,Country_details!$A$9:$A$156,0),MATCH(Country_results!$B$5,Country_details!$A$6:$AS$6,0))</f>
        <v>5812.4957143368574</v>
      </c>
      <c r="C35" s="28">
        <f t="shared" si="0"/>
        <v>4233.4082078616475</v>
      </c>
      <c r="D35" s="28">
        <f>Country_details!BA36</f>
        <v>15355.198924165748</v>
      </c>
      <c r="E35" s="28">
        <f>Country_details!BG36</f>
        <v>4233.4082078616475</v>
      </c>
      <c r="F35" s="28">
        <f>Country_details!CA36</f>
        <v>4742.0455186127692</v>
      </c>
      <c r="G35" s="28">
        <f>Country_details!CN36</f>
        <v>10512.759819214074</v>
      </c>
      <c r="H35" s="28">
        <f>Country_details!DA36</f>
        <v>6435.0916927133012</v>
      </c>
      <c r="I35" s="28">
        <f>Country_details!DL36</f>
        <v>4913.6419273736492</v>
      </c>
      <c r="J35" s="28">
        <f>Country_details!DW36</f>
        <v>5283.0241268547743</v>
      </c>
      <c r="K35" s="28">
        <f>Country_details!EJ36</f>
        <v>8376.2217544370742</v>
      </c>
      <c r="L35" s="28">
        <f>Country_details!EW36</f>
        <v>15875.593317504781</v>
      </c>
      <c r="M35" s="28">
        <f>Country_details!FJ36</f>
        <v>6750.6020628512597</v>
      </c>
      <c r="N35" s="28">
        <f>Country_details!FT36</f>
        <v>8390.9962736293946</v>
      </c>
      <c r="O35" s="100">
        <f>Country_details!AZ36</f>
        <v>29.727600327094812</v>
      </c>
      <c r="P35" s="28">
        <f>Country_details!BY36</f>
        <v>769.64557600107833</v>
      </c>
      <c r="Q35" s="28">
        <f>Country_details!CK36</f>
        <v>529.33297710090324</v>
      </c>
      <c r="R35" s="28">
        <f>Country_details!CX36</f>
        <v>796.97640938873997</v>
      </c>
      <c r="S35" s="28">
        <f>Country_details!EG36</f>
        <v>1146.2165616613024</v>
      </c>
      <c r="T35" s="28">
        <f>Country_details!ET36</f>
        <v>1921.5047587342838</v>
      </c>
      <c r="U35" s="28">
        <f>Country_details!FG36</f>
        <v>2153.9193182925551</v>
      </c>
      <c r="V35" s="100">
        <f>Country_details!FY36</f>
        <v>3.0981844332270341</v>
      </c>
      <c r="W35" s="28">
        <f>Country_details!FZ36</f>
        <v>2719.3406262476324</v>
      </c>
      <c r="X35" s="28">
        <f>Country_details!GA36</f>
        <v>640.4033811782532</v>
      </c>
      <c r="Y35" s="28">
        <f>Country_details!GB36</f>
        <v>465.26557129152098</v>
      </c>
      <c r="Z35" s="28">
        <f>Country_details!GC36</f>
        <v>722.63284418729404</v>
      </c>
      <c r="AA35" s="28">
        <f>Country_details!GD36</f>
        <v>1057.9896615629239</v>
      </c>
      <c r="AB35" s="28">
        <f>Country_details!GE36</f>
        <v>1856.4831839858005</v>
      </c>
      <c r="AC35" s="28">
        <f>Country_details!GF36</f>
        <v>1918.5618708611707</v>
      </c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</row>
    <row r="36" spans="1:55" x14ac:dyDescent="0.2">
      <c r="A36" s="8" t="str">
        <f>Country_details!A37</f>
        <v>Congo</v>
      </c>
      <c r="B36" s="28">
        <f>INDEX(Country_details!$A$9:$AS$156,MATCH(Country_results!A36,Country_details!$A$9:$A$156,0),MATCH(Country_results!$B$5,Country_details!$A$6:$AS$6,0))</f>
        <v>-575</v>
      </c>
      <c r="C36" s="28">
        <f t="shared" si="0"/>
        <v>7047.9869060166702</v>
      </c>
      <c r="D36" s="28">
        <f>Country_details!BA37</f>
        <v>9414.1049906856315</v>
      </c>
      <c r="E36" s="28">
        <f>Country_details!BG37</f>
        <v>7447.9068500720423</v>
      </c>
      <c r="F36" s="28">
        <f>Country_details!CA37</f>
        <v>8806.9369499993227</v>
      </c>
      <c r="G36" s="28">
        <f>Country_details!CN37</f>
        <v>17440.393768896764</v>
      </c>
      <c r="H36" s="28">
        <f>Country_details!DA37</f>
        <v>11642.893626014176</v>
      </c>
      <c r="I36" s="28">
        <f>Country_details!DL37</f>
        <v>8794.5441902875518</v>
      </c>
      <c r="J36" s="28">
        <f>Country_details!DW37</f>
        <v>7047.9869060166702</v>
      </c>
      <c r="K36" s="28">
        <f>Country_details!EJ37</f>
        <v>15365.60110986608</v>
      </c>
      <c r="L36" s="28">
        <f>Country_details!EW37</f>
        <v>30279.685842142961</v>
      </c>
      <c r="M36" s="28">
        <f>Country_details!FJ37</f>
        <v>12159.14614459003</v>
      </c>
      <c r="N36" s="28">
        <f>Country_details!FT37</f>
        <v>14249.842782512102</v>
      </c>
      <c r="O36" s="100">
        <f>Country_details!AZ37</f>
        <v>17.807267394751079</v>
      </c>
      <c r="P36" s="28">
        <f>Country_details!BY37</f>
        <v>1491.6986592079004</v>
      </c>
      <c r="Q36" s="28">
        <f>Country_details!CK37</f>
        <v>886.93896969690309</v>
      </c>
      <c r="R36" s="28">
        <f>Country_details!CX37</f>
        <v>1547.9305583702562</v>
      </c>
      <c r="S36" s="28">
        <f>Country_details!EG37</f>
        <v>2203.5573223625274</v>
      </c>
      <c r="T36" s="28">
        <f>Country_details!ET37</f>
        <v>3689.7892774499587</v>
      </c>
      <c r="U36" s="28">
        <f>Country_details!FG37</f>
        <v>4166.6242971787779</v>
      </c>
      <c r="V36" s="100">
        <f>Country_details!FY37</f>
        <v>4.687185201530701</v>
      </c>
      <c r="W36" s="28">
        <f>Country_details!FZ37</f>
        <v>5722.6396897597851</v>
      </c>
      <c r="X36" s="28">
        <f>Country_details!GA37</f>
        <v>1265.488336167723</v>
      </c>
      <c r="Y36" s="28">
        <f>Country_details!GB37</f>
        <v>779.49717074836929</v>
      </c>
      <c r="Z36" s="28">
        <f>Country_details!GC37</f>
        <v>1414.1087349563768</v>
      </c>
      <c r="AA36" s="28">
        <f>Country_details!GD37</f>
        <v>2054.2603742712863</v>
      </c>
      <c r="AB36" s="28">
        <f>Country_details!GE37</f>
        <v>3572.8923435187066</v>
      </c>
      <c r="AC36" s="28">
        <f>Country_details!GF37</f>
        <v>3750.9725452442131</v>
      </c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</row>
    <row r="37" spans="1:55" x14ac:dyDescent="0.2">
      <c r="A37" s="8" t="str">
        <f>Country_details!A38</f>
        <v>Congo</v>
      </c>
      <c r="B37" s="28">
        <f>INDEX(Country_details!$A$9:$AS$156,MATCH(Country_results!A37,Country_details!$A$9:$A$156,0),MATCH(Country_results!$B$5,Country_details!$A$6:$AS$6,0))</f>
        <v>-575</v>
      </c>
      <c r="C37" s="28">
        <f t="shared" si="0"/>
        <v>4438.3858923124217</v>
      </c>
      <c r="D37" s="28">
        <f>Country_details!BA38</f>
        <v>5595.8398129088637</v>
      </c>
      <c r="E37" s="28">
        <f>Country_details!BG38</f>
        <v>4494.4328597604799</v>
      </c>
      <c r="F37" s="28">
        <f>Country_details!CA38</f>
        <v>5472.4002670717409</v>
      </c>
      <c r="G37" s="28">
        <f>Country_details!CN38</f>
        <v>10854.733512636623</v>
      </c>
      <c r="H37" s="28">
        <f>Country_details!DA38</f>
        <v>7512.986850202843</v>
      </c>
      <c r="I37" s="28">
        <f>Country_details!DL38</f>
        <v>5745.9576574616003</v>
      </c>
      <c r="J37" s="28">
        <f>Country_details!DW38</f>
        <v>4438.3858923124217</v>
      </c>
      <c r="K37" s="28">
        <f>Country_details!EJ38</f>
        <v>9797.5334379400902</v>
      </c>
      <c r="L37" s="28">
        <f>Country_details!EW38</f>
        <v>18793.363997225712</v>
      </c>
      <c r="M37" s="28">
        <f>Country_details!FJ38</f>
        <v>7824.6146670683056</v>
      </c>
      <c r="N37" s="28">
        <f>Country_details!FT38</f>
        <v>9224.0563049195061</v>
      </c>
      <c r="O37" s="100">
        <f>Country_details!AZ38</f>
        <v>10.262397124862215</v>
      </c>
      <c r="P37" s="28">
        <f>Country_details!BY38</f>
        <v>899.37964316155353</v>
      </c>
      <c r="Q37" s="28">
        <f>Country_details!CK38</f>
        <v>543.81458934898444</v>
      </c>
      <c r="R37" s="28">
        <f>Country_details!CX38</f>
        <v>930.48379690479157</v>
      </c>
      <c r="S37" s="28">
        <f>Country_details!EG38</f>
        <v>1330.747991662399</v>
      </c>
      <c r="T37" s="28">
        <f>Country_details!ET38</f>
        <v>2226.7363792677484</v>
      </c>
      <c r="U37" s="28">
        <f>Country_details!FG38</f>
        <v>2510.880566177636</v>
      </c>
      <c r="V37" s="100">
        <f>Country_details!FY38</f>
        <v>2.7340382828869325</v>
      </c>
      <c r="W37" s="28">
        <f>Country_details!FZ38</f>
        <v>3434.5542753199584</v>
      </c>
      <c r="X37" s="28">
        <f>Country_details!GA38</f>
        <v>765.12765758841169</v>
      </c>
      <c r="Y37" s="28">
        <f>Country_details!GB38</f>
        <v>472.7924375916466</v>
      </c>
      <c r="Z37" s="28">
        <f>Country_details!GC38</f>
        <v>853.54729882697222</v>
      </c>
      <c r="AA37" s="28">
        <f>Country_details!GD38</f>
        <v>1240.68005610603</v>
      </c>
      <c r="AB37" s="28">
        <f>Country_details!GE38</f>
        <v>2158.6859902793185</v>
      </c>
      <c r="AC37" s="28">
        <f>Country_details!GF38</f>
        <v>2271.4884541056076</v>
      </c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</row>
    <row r="38" spans="1:55" x14ac:dyDescent="0.2">
      <c r="A38" s="8" t="str">
        <f>Country_details!A39</f>
        <v>Costa Rica</v>
      </c>
      <c r="B38" s="28">
        <f>INDEX(Country_details!$A$9:$AS$156,MATCH(Country_results!A38,Country_details!$A$9:$A$156,0),MATCH(Country_results!$B$5,Country_details!$A$6:$AS$6,0))</f>
        <v>204.99648449094934</v>
      </c>
      <c r="C38" s="28">
        <f t="shared" si="0"/>
        <v>4396.7868767083191</v>
      </c>
      <c r="D38" s="28">
        <f>Country_details!BA39</f>
        <v>16782.381212994467</v>
      </c>
      <c r="E38" s="28">
        <f>Country_details!BG39</f>
        <v>4396.7868767083191</v>
      </c>
      <c r="F38" s="28">
        <f>Country_details!CA39</f>
        <v>4753.5621509806024</v>
      </c>
      <c r="G38" s="28">
        <f>Country_details!CN39</f>
        <v>10671.673250596987</v>
      </c>
      <c r="H38" s="28">
        <f>Country_details!DA39</f>
        <v>6407.558840863383</v>
      </c>
      <c r="I38" s="28">
        <f>Country_details!DL39</f>
        <v>4926.0997749952239</v>
      </c>
      <c r="J38" s="28">
        <f>Country_details!DW39</f>
        <v>5304.0289051725185</v>
      </c>
      <c r="K38" s="28">
        <f>Country_details!EJ39</f>
        <v>8377.6261447036595</v>
      </c>
      <c r="L38" s="28">
        <f>Country_details!EW39</f>
        <v>15965.27168223133</v>
      </c>
      <c r="M38" s="28">
        <f>Country_details!FJ39</f>
        <v>6753.1765530689072</v>
      </c>
      <c r="N38" s="28">
        <f>Country_details!FT39</f>
        <v>8586.3712332991272</v>
      </c>
      <c r="O38" s="100">
        <f>Country_details!AZ39</f>
        <v>32.59112819392611</v>
      </c>
      <c r="P38" s="28">
        <f>Country_details!BY39</f>
        <v>771.6912935927329</v>
      </c>
      <c r="Q38" s="28">
        <f>Country_details!CK39</f>
        <v>541.5202079015944</v>
      </c>
      <c r="R38" s="28">
        <f>Country_details!CX39</f>
        <v>803.09562853597458</v>
      </c>
      <c r="S38" s="28">
        <f>Country_details!EG39</f>
        <v>1159.8691716568326</v>
      </c>
      <c r="T38" s="28">
        <f>Country_details!ET39</f>
        <v>1954.3405182654983</v>
      </c>
      <c r="U38" s="28">
        <f>Country_details!FG39</f>
        <v>2174.4272025929818</v>
      </c>
      <c r="V38" s="100">
        <f>Country_details!FY39</f>
        <v>2.8351890352510791</v>
      </c>
      <c r="W38" s="28">
        <f>Country_details!FZ39</f>
        <v>2739.1749071558438</v>
      </c>
      <c r="X38" s="28">
        <f>Country_details!GA39</f>
        <v>652.709360363158</v>
      </c>
      <c r="Y38" s="28">
        <f>Country_details!GB39</f>
        <v>478.2130011573845</v>
      </c>
      <c r="Z38" s="28">
        <f>Country_details!GC39</f>
        <v>737.05888770124773</v>
      </c>
      <c r="AA38" s="28">
        <f>Country_details!GD39</f>
        <v>1079.9941285839666</v>
      </c>
      <c r="AB38" s="28">
        <f>Country_details!GE39</f>
        <v>1896.2011922701815</v>
      </c>
      <c r="AC38" s="28">
        <f>Country_details!GF39</f>
        <v>1959.4666331815258</v>
      </c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</row>
    <row r="39" spans="1:55" x14ac:dyDescent="0.2">
      <c r="A39" s="8" t="str">
        <f>Country_details!A40</f>
        <v>Cote d'Ivoire</v>
      </c>
      <c r="B39" s="28">
        <f>INDEX(Country_details!$A$9:$AS$156,MATCH(Country_results!A39,Country_details!$A$9:$A$156,0),MATCH(Country_results!$B$5,Country_details!$A$6:$AS$6,0))</f>
        <v>-150.43649015317806</v>
      </c>
      <c r="C39" s="28">
        <f t="shared" si="0"/>
        <v>4374.5182572616195</v>
      </c>
      <c r="D39" s="28">
        <f>Country_details!BA40</f>
        <v>5196.9608188910988</v>
      </c>
      <c r="E39" s="28">
        <f>Country_details!BG40</f>
        <v>4374.5182572616195</v>
      </c>
      <c r="F39" s="28" t="str">
        <f>Country_details!CA40</f>
        <v/>
      </c>
      <c r="G39" s="28" t="str">
        <f>Country_details!CN40</f>
        <v/>
      </c>
      <c r="H39" s="28" t="str">
        <f>Country_details!DA40</f>
        <v/>
      </c>
      <c r="I39" s="28" t="str">
        <f>Country_details!DL40</f>
        <v/>
      </c>
      <c r="J39" s="28" t="str">
        <f>Country_details!DW40</f>
        <v/>
      </c>
      <c r="K39" s="28" t="str">
        <f>Country_details!EJ40</f>
        <v/>
      </c>
      <c r="L39" s="28" t="str">
        <f>Country_details!EW40</f>
        <v/>
      </c>
      <c r="M39" s="28" t="str">
        <f>Country_details!FJ40</f>
        <v/>
      </c>
      <c r="N39" s="28" t="str">
        <f>Country_details!FT40</f>
        <v/>
      </c>
      <c r="O39" s="100">
        <f>Country_details!AZ40</f>
        <v>9.4859147537939581</v>
      </c>
      <c r="P39" s="28" t="str">
        <f>Country_details!BY40</f>
        <v/>
      </c>
      <c r="Q39" s="28" t="str">
        <f>Country_details!CK40</f>
        <v/>
      </c>
      <c r="R39" s="28" t="str">
        <f>Country_details!CX40</f>
        <v/>
      </c>
      <c r="S39" s="28" t="str">
        <f>Country_details!EG40</f>
        <v/>
      </c>
      <c r="T39" s="28" t="str">
        <f>Country_details!ET40</f>
        <v/>
      </c>
      <c r="U39" s="28" t="str">
        <f>Country_details!FG40</f>
        <v/>
      </c>
      <c r="V39" s="100">
        <f>Country_details!FY40</f>
        <v>2.7431492689129904</v>
      </c>
      <c r="W39" s="28">
        <f>Country_details!FZ40</f>
        <v>3438.1105192625892</v>
      </c>
      <c r="X39" s="28">
        <f>Country_details!GA40</f>
        <v>769.74305188261235</v>
      </c>
      <c r="Y39" s="28">
        <f>Country_details!GB40</f>
        <v>478.36106907508582</v>
      </c>
      <c r="Z39" s="28">
        <f>Country_details!GC40</f>
        <v>859.02345836701136</v>
      </c>
      <c r="AA39" s="28">
        <f>Country_details!GD40</f>
        <v>1249.1496938506789</v>
      </c>
      <c r="AB39" s="28">
        <f>Country_details!GE40</f>
        <v>2174.1446437027344</v>
      </c>
      <c r="AC39" s="28">
        <f>Country_details!GF40</f>
        <v>2287.2758542497936</v>
      </c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</row>
    <row r="40" spans="1:55" x14ac:dyDescent="0.2">
      <c r="A40" s="8" t="str">
        <f>Country_details!A41</f>
        <v>Cuba</v>
      </c>
      <c r="B40" s="28">
        <f>INDEX(Country_details!$A$9:$AS$156,MATCH(Country_results!A40,Country_details!$A$9:$A$156,0),MATCH(Country_results!$B$5,Country_details!$A$6:$AS$6,0))</f>
        <v>767.84252158275467</v>
      </c>
      <c r="C40" s="28">
        <f t="shared" si="0"/>
        <v>4688.5039054500221</v>
      </c>
      <c r="D40" s="28">
        <f>Country_details!BA41</f>
        <v>16055.129693028359</v>
      </c>
      <c r="E40" s="28">
        <f>Country_details!BG41</f>
        <v>4688.5039054500221</v>
      </c>
      <c r="F40" s="28">
        <f>Country_details!CA41</f>
        <v>5298.2581155526168</v>
      </c>
      <c r="G40" s="28">
        <f>Country_details!CN41</f>
        <v>11907.643973661536</v>
      </c>
      <c r="H40" s="28">
        <f>Country_details!DA41</f>
        <v>7137.131713734957</v>
      </c>
      <c r="I40" s="28">
        <f>Country_details!DL41</f>
        <v>5355.130698105344</v>
      </c>
      <c r="J40" s="28">
        <f>Country_details!DW41</f>
        <v>5906.5689785349159</v>
      </c>
      <c r="K40" s="28">
        <f>Country_details!EJ41</f>
        <v>9391.3880615239996</v>
      </c>
      <c r="L40" s="28">
        <f>Country_details!EW41</f>
        <v>18139.416041711618</v>
      </c>
      <c r="M40" s="28">
        <f>Country_details!FJ41</f>
        <v>7512.9488780826523</v>
      </c>
      <c r="N40" s="28">
        <f>Country_details!FT41</f>
        <v>9339.4630285684452</v>
      </c>
      <c r="O40" s="100">
        <f>Country_details!AZ41</f>
        <v>31.131955802340826</v>
      </c>
      <c r="P40" s="28">
        <f>Country_details!BY41</f>
        <v>868.44649782591966</v>
      </c>
      <c r="Q40" s="28">
        <f>Country_details!CK41</f>
        <v>603.84581826421413</v>
      </c>
      <c r="R40" s="28">
        <f>Country_details!CX41</f>
        <v>910.2244474736782</v>
      </c>
      <c r="S40" s="28">
        <f>Country_details!EG41</f>
        <v>1314.3807761415285</v>
      </c>
      <c r="T40" s="28">
        <f>Country_details!ET41</f>
        <v>2221.9332944712705</v>
      </c>
      <c r="U40" s="28">
        <f>Country_details!FG41</f>
        <v>2459.0429129339486</v>
      </c>
      <c r="V40" s="100">
        <f>Country_details!FY41</f>
        <v>2.9056286370558935</v>
      </c>
      <c r="W40" s="28">
        <f>Country_details!FZ41</f>
        <v>3183.0045512230681</v>
      </c>
      <c r="X40" s="28">
        <f>Country_details!GA41</f>
        <v>746.02190568083688</v>
      </c>
      <c r="Y40" s="28">
        <f>Country_details!GB41</f>
        <v>540.27973072799921</v>
      </c>
      <c r="Z40" s="28">
        <f>Country_details!GC41</f>
        <v>842.27659399353638</v>
      </c>
      <c r="AA40" s="28">
        <f>Country_details!GD41</f>
        <v>1232.6820495933671</v>
      </c>
      <c r="AB40" s="28">
        <f>Country_details!GE41</f>
        <v>2162.407649133037</v>
      </c>
      <c r="AC40" s="28">
        <f>Country_details!GF41</f>
        <v>2232.9242293168236</v>
      </c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</row>
    <row r="41" spans="1:55" x14ac:dyDescent="0.2">
      <c r="A41" s="8" t="str">
        <f>Country_details!A42</f>
        <v>Cyprus</v>
      </c>
      <c r="B41" s="28">
        <f>INDEX(Country_details!$A$9:$AS$156,MATCH(Country_results!A41,Country_details!$A$9:$A$156,0),MATCH(Country_results!$B$5,Country_details!$A$6:$AS$6,0))</f>
        <v>8.5355708701161745</v>
      </c>
      <c r="C41" s="28">
        <f t="shared" si="0"/>
        <v>2688.4642861179259</v>
      </c>
      <c r="D41" s="28">
        <f>Country_details!BA42</f>
        <v>2688.4642861179259</v>
      </c>
      <c r="E41" s="28">
        <f>Country_details!BG42</f>
        <v>2974.4047468730555</v>
      </c>
      <c r="F41" s="28">
        <f>Country_details!CA42</f>
        <v>4153.3954803774268</v>
      </c>
      <c r="G41" s="28">
        <f>Country_details!CN42</f>
        <v>8171.3630806369247</v>
      </c>
      <c r="H41" s="28">
        <f>Country_details!DA42</f>
        <v>5860.4307844399482</v>
      </c>
      <c r="I41" s="28">
        <f>Country_details!DL42</f>
        <v>4310.1019013695122</v>
      </c>
      <c r="J41" s="28">
        <f>Country_details!DW42</f>
        <v>3477.9176986583952</v>
      </c>
      <c r="K41" s="28">
        <f>Country_details!EJ42</f>
        <v>7598.7615732299691</v>
      </c>
      <c r="L41" s="28">
        <f>Country_details!EW42</f>
        <v>14322.932803738013</v>
      </c>
      <c r="M41" s="28">
        <f>Country_details!FJ42</f>
        <v>6153.5912841971376</v>
      </c>
      <c r="N41" s="28">
        <f>Country_details!FT42</f>
        <v>7379.2378411098016</v>
      </c>
      <c r="O41" s="100">
        <f>Country_details!AZ42</f>
        <v>4.6027211918450117</v>
      </c>
      <c r="P41" s="28">
        <f>Country_details!BY42</f>
        <v>665.08274026190566</v>
      </c>
      <c r="Q41" s="28">
        <f>Country_details!CK42</f>
        <v>409.24272573335259</v>
      </c>
      <c r="R41" s="28">
        <f>Country_details!CX42</f>
        <v>691.85345215984455</v>
      </c>
      <c r="S41" s="28">
        <f>Country_details!EG42</f>
        <v>997.46790069893143</v>
      </c>
      <c r="T41" s="28">
        <f>Country_details!ET42</f>
        <v>1675.4158265653671</v>
      </c>
      <c r="U41" s="28">
        <f>Country_details!FG42</f>
        <v>1885.5237129909367</v>
      </c>
      <c r="V41" s="100">
        <f>Country_details!FY42</f>
        <v>1.991228065759381</v>
      </c>
      <c r="W41" s="28">
        <f>Country_details!FZ42</f>
        <v>2548.6246926073768</v>
      </c>
      <c r="X41" s="28">
        <f>Country_details!GA42</f>
        <v>577.92727122567567</v>
      </c>
      <c r="Y41" s="28">
        <f>Country_details!GB42</f>
        <v>362.82683801580214</v>
      </c>
      <c r="Z41" s="28">
        <f>Country_details!GC42</f>
        <v>644.38900204146285</v>
      </c>
      <c r="AA41" s="28">
        <f>Country_details!GD42</f>
        <v>938.01210084449951</v>
      </c>
      <c r="AB41" s="28">
        <f>Country_details!GE42</f>
        <v>1633.8484747399696</v>
      </c>
      <c r="AC41" s="28">
        <f>Country_details!GF42</f>
        <v>1721.6497775394337</v>
      </c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</row>
    <row r="42" spans="1:55" x14ac:dyDescent="0.2">
      <c r="A42" s="8" t="str">
        <f>Country_details!A43</f>
        <v>Denmark</v>
      </c>
      <c r="B42" s="28">
        <f>INDEX(Country_details!$A$9:$AS$156,MATCH(Country_results!A42,Country_details!$A$9:$A$156,0),MATCH(Country_results!$B$5,Country_details!$A$6:$AS$6,0))</f>
        <v>1612.1956340009228</v>
      </c>
      <c r="C42" s="28">
        <f t="shared" si="0"/>
        <v>2375.008841484404</v>
      </c>
      <c r="D42" s="28">
        <f>Country_details!BA43</f>
        <v>2417.0516824202277</v>
      </c>
      <c r="E42" s="28">
        <f>Country_details!BG43</f>
        <v>2375.008841484404</v>
      </c>
      <c r="F42" s="28">
        <f>Country_details!CA43</f>
        <v>3750.110961168627</v>
      </c>
      <c r="G42" s="28">
        <f>Country_details!CN43</f>
        <v>8189.7338445550722</v>
      </c>
      <c r="H42" s="28">
        <f>Country_details!DA43</f>
        <v>5365.3973390508081</v>
      </c>
      <c r="I42" s="28">
        <f>Country_details!DL43</f>
        <v>3542.172106345507</v>
      </c>
      <c r="J42" s="28">
        <f>Country_details!DW43</f>
        <v>4293.4927016516167</v>
      </c>
      <c r="K42" s="28">
        <f>Country_details!EJ43</f>
        <v>7001.8593359517945</v>
      </c>
      <c r="L42" s="28">
        <f>Country_details!EW43</f>
        <v>13296.391706396391</v>
      </c>
      <c r="M42" s="28">
        <f>Country_details!FJ43</f>
        <v>5686.1204805750294</v>
      </c>
      <c r="N42" s="28">
        <f>Country_details!FT43</f>
        <v>6861.5600559853674</v>
      </c>
      <c r="O42" s="100">
        <f>Country_details!AZ43</f>
        <v>4.0743727322427175</v>
      </c>
      <c r="P42" s="28">
        <f>Country_details!BY43</f>
        <v>593.44667434981625</v>
      </c>
      <c r="Q42" s="28">
        <f>Country_details!CK43</f>
        <v>411.18436969000544</v>
      </c>
      <c r="R42" s="28">
        <f>Country_details!CX43</f>
        <v>632.0627841702966</v>
      </c>
      <c r="S42" s="28">
        <f>Country_details!EG43</f>
        <v>922.46361922349843</v>
      </c>
      <c r="T42" s="28">
        <f>Country_details!ET43</f>
        <v>1572.5798256527441</v>
      </c>
      <c r="U42" s="28">
        <f>Country_details!FG43</f>
        <v>1731.494564497069</v>
      </c>
      <c r="V42" s="100">
        <f>Country_details!FY43</f>
        <v>3.0241141706481822</v>
      </c>
      <c r="W42" s="28">
        <f>Country_details!FZ43</f>
        <v>2294.7224389120674</v>
      </c>
      <c r="X42" s="28">
        <f>Country_details!GA43</f>
        <v>535.89086545716646</v>
      </c>
      <c r="Y42" s="28">
        <f>Country_details!GB43</f>
        <v>385.7551599134224</v>
      </c>
      <c r="Z42" s="28">
        <f>Country_details!GC43</f>
        <v>603.60260080023238</v>
      </c>
      <c r="AA42" s="28">
        <f>Country_details!GD43</f>
        <v>883.18328299743428</v>
      </c>
      <c r="AB42" s="28">
        <f>Country_details!GE43</f>
        <v>1548.9646904365839</v>
      </c>
      <c r="AC42" s="28">
        <f>Country_details!GF43</f>
        <v>1603.2454204303558</v>
      </c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</row>
    <row r="43" spans="1:55" x14ac:dyDescent="0.2">
      <c r="A43" s="8" t="str">
        <f>Country_details!A44</f>
        <v>Djibouti</v>
      </c>
      <c r="B43" s="28">
        <f>INDEX(Country_details!$A$9:$AS$156,MATCH(Country_results!A43,Country_details!$A$9:$A$156,0),MATCH(Country_results!$B$5,Country_details!$A$6:$AS$6,0))</f>
        <v>114.60295179975122</v>
      </c>
      <c r="C43" s="28">
        <f t="shared" si="0"/>
        <v>3511.5856867154043</v>
      </c>
      <c r="D43" s="28">
        <f>Country_details!BA44</f>
        <v>4740.3268131405557</v>
      </c>
      <c r="E43" s="28">
        <f>Country_details!BG44</f>
        <v>3511.5856867154043</v>
      </c>
      <c r="F43" s="28">
        <f>Country_details!CA44</f>
        <v>4434.7552976980423</v>
      </c>
      <c r="G43" s="28">
        <f>Country_details!CN44</f>
        <v>9000.1777412656302</v>
      </c>
      <c r="H43" s="28">
        <f>Country_details!DA44</f>
        <v>6099.3962617827938</v>
      </c>
      <c r="I43" s="28">
        <f>Country_details!DL44</f>
        <v>4772.5592414491402</v>
      </c>
      <c r="J43" s="28">
        <f>Country_details!DW44</f>
        <v>3805.9413991686965</v>
      </c>
      <c r="K43" s="28">
        <f>Country_details!EJ44</f>
        <v>7880.0319460575274</v>
      </c>
      <c r="L43" s="28">
        <f>Country_details!EW44</f>
        <v>14788.111849708268</v>
      </c>
      <c r="M43" s="28">
        <f>Country_details!FJ44</f>
        <v>6377.4778879934547</v>
      </c>
      <c r="N43" s="28">
        <f>Country_details!FT44</f>
        <v>7987.843525783881</v>
      </c>
      <c r="O43" s="100">
        <f>Country_details!AZ44</f>
        <v>8.5970029263644392</v>
      </c>
      <c r="P43" s="28">
        <f>Country_details!BY44</f>
        <v>715.06112886490973</v>
      </c>
      <c r="Q43" s="28">
        <f>Country_details!CK44</f>
        <v>454.91903734847324</v>
      </c>
      <c r="R43" s="28">
        <f>Country_details!CX44</f>
        <v>738.72505713330327</v>
      </c>
      <c r="S43" s="28">
        <f>Country_details!EG44</f>
        <v>1058.7719841356568</v>
      </c>
      <c r="T43" s="28">
        <f>Country_details!ET44</f>
        <v>1767.0607594069545</v>
      </c>
      <c r="U43" s="28">
        <f>Country_details!FG44</f>
        <v>1996.6736142999353</v>
      </c>
      <c r="V43" s="100">
        <f>Country_details!FY44</f>
        <v>2.1125705914566999</v>
      </c>
      <c r="W43" s="28">
        <f>Country_details!FZ44</f>
        <v>2581.8050077209741</v>
      </c>
      <c r="X43" s="28">
        <f>Country_details!GA44</f>
        <v>599.86488951431465</v>
      </c>
      <c r="Y43" s="28">
        <f>Country_details!GB44</f>
        <v>388.66013895588958</v>
      </c>
      <c r="Z43" s="28">
        <f>Country_details!GC44</f>
        <v>670.46793334253505</v>
      </c>
      <c r="AA43" s="28">
        <f>Country_details!GD44</f>
        <v>977.98551825024208</v>
      </c>
      <c r="AB43" s="28">
        <f>Country_details!GE44</f>
        <v>1706.5256370212146</v>
      </c>
      <c r="AC43" s="28">
        <f>Country_details!GF44</f>
        <v>1794.7359098228051</v>
      </c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</row>
    <row r="44" spans="1:55" x14ac:dyDescent="0.2">
      <c r="A44" s="8" t="str">
        <f>Country_details!A45</f>
        <v>Dominican Republic</v>
      </c>
      <c r="B44" s="28">
        <f>INDEX(Country_details!$A$9:$AS$156,MATCH(Country_results!A44,Country_details!$A$9:$A$156,0),MATCH(Country_results!$B$5,Country_details!$A$6:$AS$6,0))</f>
        <v>25.602416324937167</v>
      </c>
      <c r="C44" s="28">
        <f t="shared" si="0"/>
        <v>4204.0152016562279</v>
      </c>
      <c r="D44" s="28">
        <f>Country_details!BA45</f>
        <v>7393.413066525346</v>
      </c>
      <c r="E44" s="28">
        <f>Country_details!BG45</f>
        <v>4204.0152016562279</v>
      </c>
      <c r="F44" s="28">
        <f>Country_details!CA45</f>
        <v>4876.3682473220888</v>
      </c>
      <c r="G44" s="28">
        <f>Country_details!CN45</f>
        <v>10932.983722038429</v>
      </c>
      <c r="H44" s="28">
        <f>Country_details!DA45</f>
        <v>6591.4562038882914</v>
      </c>
      <c r="I44" s="28">
        <f>Country_details!DL45</f>
        <v>4929.7809716802549</v>
      </c>
      <c r="J44" s="28">
        <f>Country_details!DW45</f>
        <v>5462.1273956609302</v>
      </c>
      <c r="K44" s="28">
        <f>Country_details!EJ45</f>
        <v>8654.3178605942358</v>
      </c>
      <c r="L44" s="28">
        <f>Country_details!EW45</f>
        <v>16606.105793873718</v>
      </c>
      <c r="M44" s="28">
        <f>Country_details!FJ45</f>
        <v>6963.5378715728475</v>
      </c>
      <c r="N44" s="28">
        <f>Country_details!FT45</f>
        <v>8771.140465849212</v>
      </c>
      <c r="O44" s="100">
        <f>Country_details!AZ45</f>
        <v>13.761663727191362</v>
      </c>
      <c r="P44" s="28">
        <f>Country_details!BY45</f>
        <v>793.50553439023383</v>
      </c>
      <c r="Q44" s="28">
        <f>Country_details!CK45</f>
        <v>555.63874123417861</v>
      </c>
      <c r="R44" s="28">
        <f>Country_details!CX45</f>
        <v>831.48999188953826</v>
      </c>
      <c r="S44" s="28">
        <f>Country_details!EG45</f>
        <v>1203.0535147058715</v>
      </c>
      <c r="T44" s="28">
        <f>Country_details!ET45</f>
        <v>2034.0788349182214</v>
      </c>
      <c r="U44" s="28">
        <f>Country_details!FG45</f>
        <v>2253.7332437442269</v>
      </c>
      <c r="V44" s="100">
        <f>Country_details!FY45</f>
        <v>2.5266037546061662</v>
      </c>
      <c r="W44" s="28">
        <f>Country_details!FZ45</f>
        <v>2880.6754222632053</v>
      </c>
      <c r="X44" s="28">
        <f>Country_details!GA45</f>
        <v>682.41205102797346</v>
      </c>
      <c r="Y44" s="28">
        <f>Country_details!GB45</f>
        <v>497.78483930237473</v>
      </c>
      <c r="Z44" s="28">
        <f>Country_details!GC45</f>
        <v>770.52485683706095</v>
      </c>
      <c r="AA44" s="28">
        <f>Country_details!GD45</f>
        <v>1128.5421798789471</v>
      </c>
      <c r="AB44" s="28">
        <f>Country_details!GE45</f>
        <v>1980.8041510043745</v>
      </c>
      <c r="AC44" s="28">
        <f>Country_details!GF45</f>
        <v>2046.4878155648878</v>
      </c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</row>
    <row r="45" spans="1:55" x14ac:dyDescent="0.2">
      <c r="A45" s="8" t="str">
        <f>Country_details!A46</f>
        <v>Ecuador</v>
      </c>
      <c r="B45" s="28">
        <f>INDEX(Country_details!$A$9:$AS$156,MATCH(Country_results!A45,Country_details!$A$9:$A$156,0),MATCH(Country_results!$B$5,Country_details!$A$6:$AS$6,0))</f>
        <v>4523.0767320283185</v>
      </c>
      <c r="C45" s="28">
        <f t="shared" si="0"/>
        <v>4608.9747675342051</v>
      </c>
      <c r="D45" s="28">
        <f>Country_details!BA46</f>
        <v>16915.356158263585</v>
      </c>
      <c r="E45" s="28">
        <f>Country_details!BG46</f>
        <v>4608.9747675342051</v>
      </c>
      <c r="F45" s="28">
        <f>Country_details!CA46</f>
        <v>4990.9138326828779</v>
      </c>
      <c r="G45" s="28">
        <f>Country_details!CN46</f>
        <v>11187.176767292773</v>
      </c>
      <c r="H45" s="28">
        <f>Country_details!DA46</f>
        <v>6678.4142191373921</v>
      </c>
      <c r="I45" s="28">
        <f>Country_details!DL46</f>
        <v>5280.3215735200611</v>
      </c>
      <c r="J45" s="28">
        <f>Country_details!DW46</f>
        <v>5547.7608186481539</v>
      </c>
      <c r="K45" s="28">
        <f>Country_details!EJ46</f>
        <v>8695.7797110270276</v>
      </c>
      <c r="L45" s="28">
        <f>Country_details!EW46</f>
        <v>16527.475896653974</v>
      </c>
      <c r="M45" s="28" t="str">
        <f>Country_details!FJ46</f>
        <v/>
      </c>
      <c r="N45" s="28" t="str">
        <f>Country_details!FT46</f>
        <v/>
      </c>
      <c r="O45" s="100">
        <f>Country_details!AZ46</f>
        <v>32.857931856183569</v>
      </c>
      <c r="P45" s="28">
        <f>Country_details!BY46</f>
        <v>813.85244757932128</v>
      </c>
      <c r="Q45" s="28">
        <f>Country_details!CK46</f>
        <v>564.72882344368202</v>
      </c>
      <c r="R45" s="28">
        <f>Country_details!CX46</f>
        <v>838.0499020884738</v>
      </c>
      <c r="S45" s="28">
        <f>Country_details!EG46</f>
        <v>1203.5064848806651</v>
      </c>
      <c r="T45" s="28">
        <f>Country_details!ET46</f>
        <v>2017.2877502443785</v>
      </c>
      <c r="U45" s="28" t="str">
        <f>Country_details!FG46</f>
        <v/>
      </c>
      <c r="V45" s="100">
        <f>Country_details!FY46</f>
        <v>3.3407621826758369</v>
      </c>
      <c r="W45" s="28">
        <f>Country_details!FZ46</f>
        <v>2829.825578440797</v>
      </c>
      <c r="X45" s="28">
        <f>Country_details!GA46</f>
        <v>670.22079836024216</v>
      </c>
      <c r="Y45" s="28">
        <f>Country_details!GB46</f>
        <v>488.78240298698324</v>
      </c>
      <c r="Z45" s="28">
        <f>Country_details!GC46</f>
        <v>756.68048227604561</v>
      </c>
      <c r="AA45" s="28">
        <f>Country_details!GD46</f>
        <v>1108.2537333851258</v>
      </c>
      <c r="AB45" s="28">
        <f>Country_details!GE46</f>
        <v>1945.1787183677166</v>
      </c>
      <c r="AC45" s="28">
        <f>Country_details!GF46</f>
        <v>2009.8765102040256</v>
      </c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</row>
    <row r="46" spans="1:55" x14ac:dyDescent="0.2">
      <c r="A46" s="8" t="str">
        <f>Country_details!A47</f>
        <v>Egypt</v>
      </c>
      <c r="B46" s="28">
        <f>INDEX(Country_details!$A$9:$AS$156,MATCH(Country_results!A46,Country_details!$A$9:$A$156,0),MATCH(Country_results!$B$5,Country_details!$A$6:$AS$6,0))</f>
        <v>881.59575290787325</v>
      </c>
      <c r="C46" s="28">
        <f t="shared" si="0"/>
        <v>3126.4039265215451</v>
      </c>
      <c r="D46" s="28">
        <f>Country_details!BA47</f>
        <v>3661.9179344827776</v>
      </c>
      <c r="E46" s="28">
        <f>Country_details!BG47</f>
        <v>3126.4039265215451</v>
      </c>
      <c r="F46" s="28">
        <f>Country_details!CA47</f>
        <v>4353.1171569411026</v>
      </c>
      <c r="G46" s="28">
        <f>Country_details!CN47</f>
        <v>8671.6593684044747</v>
      </c>
      <c r="H46" s="28">
        <f>Country_details!DA47</f>
        <v>5976.7420561225226</v>
      </c>
      <c r="I46" s="28">
        <f>Country_details!DL47</f>
        <v>4417.7861597219699</v>
      </c>
      <c r="J46" s="28">
        <f>Country_details!DW47</f>
        <v>3913.5769114432919</v>
      </c>
      <c r="K46" s="28">
        <f>Country_details!EJ47</f>
        <v>7744.0105669727063</v>
      </c>
      <c r="L46" s="28">
        <f>Country_details!EW47</f>
        <v>14541.599937785815</v>
      </c>
      <c r="M46" s="28">
        <f>Country_details!FJ47</f>
        <v>6332.3241747513557</v>
      </c>
      <c r="N46" s="28">
        <f>Country_details!FT47</f>
        <v>7899.8790178945264</v>
      </c>
      <c r="O46" s="100">
        <f>Country_details!AZ47</f>
        <v>6.4977059073693475</v>
      </c>
      <c r="P46" s="28">
        <f>Country_details!BY47</f>
        <v>700.55961701992703</v>
      </c>
      <c r="Q46" s="28">
        <f>Country_details!CK47</f>
        <v>441.1354697005678</v>
      </c>
      <c r="R46" s="28">
        <f>Country_details!CX47</f>
        <v>724.26243035503433</v>
      </c>
      <c r="S46" s="28">
        <f>Country_details!EG47</f>
        <v>1042.2715235523592</v>
      </c>
      <c r="T46" s="28">
        <f>Country_details!ET47</f>
        <v>1743.1410848056248</v>
      </c>
      <c r="U46" s="28">
        <f>Country_details!FG47</f>
        <v>1981.9843678748309</v>
      </c>
      <c r="V46" s="100">
        <f>Country_details!FY47</f>
        <v>2.2275422067593516</v>
      </c>
      <c r="W46" s="28">
        <f>Country_details!FZ47</f>
        <v>2536.6635685945944</v>
      </c>
      <c r="X46" s="28">
        <f>Country_details!GA47</f>
        <v>592.68343165840645</v>
      </c>
      <c r="Y46" s="28">
        <f>Country_details!GB47</f>
        <v>390.04886679490716</v>
      </c>
      <c r="Z46" s="28">
        <f>Country_details!GC47</f>
        <v>663.15828929783606</v>
      </c>
      <c r="AA46" s="28">
        <f>Country_details!GD47</f>
        <v>967.99341962730909</v>
      </c>
      <c r="AB46" s="28">
        <f>Country_details!GE47</f>
        <v>1690.4489479584608</v>
      </c>
      <c r="AC46" s="28">
        <f>Country_details!GF47</f>
        <v>1774.8448874143319</v>
      </c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</row>
    <row r="47" spans="1:55" x14ac:dyDescent="0.2">
      <c r="A47" s="8" t="str">
        <f>Country_details!A48</f>
        <v>El Salvador</v>
      </c>
      <c r="B47" s="28">
        <f>INDEX(Country_details!$A$9:$AS$156,MATCH(Country_results!A47,Country_details!$A$9:$A$156,0),MATCH(Country_results!$B$5,Country_details!$A$6:$AS$6,0))</f>
        <v>-141.13314325381438</v>
      </c>
      <c r="C47" s="28">
        <f t="shared" si="0"/>
        <v>4109.4063227595416</v>
      </c>
      <c r="D47" s="28">
        <f>Country_details!BA48</f>
        <v>15682.974626966683</v>
      </c>
      <c r="E47" s="28">
        <f>Country_details!BG48</f>
        <v>4109.4063227595416</v>
      </c>
      <c r="F47" s="28">
        <f>Country_details!CA48</f>
        <v>4561.6746750556858</v>
      </c>
      <c r="G47" s="28">
        <f>Country_details!CN48</f>
        <v>10252.667594680595</v>
      </c>
      <c r="H47" s="28">
        <f>Country_details!DA48</f>
        <v>6130.7618675049853</v>
      </c>
      <c r="I47" s="28">
        <f>Country_details!DL48</f>
        <v>4879.8459419858964</v>
      </c>
      <c r="J47" s="28">
        <f>Country_details!DW48</f>
        <v>5098.993990898477</v>
      </c>
      <c r="K47" s="28">
        <f>Country_details!EJ48</f>
        <v>7971.4787367308882</v>
      </c>
      <c r="L47" s="28">
        <f>Country_details!EW48</f>
        <v>15043.939240155805</v>
      </c>
      <c r="M47" s="28" t="str">
        <f>Country_details!FJ48</f>
        <v/>
      </c>
      <c r="N47" s="28" t="str">
        <f>Country_details!FT48</f>
        <v/>
      </c>
      <c r="O47" s="100">
        <f>Country_details!AZ48</f>
        <v>30.385256231591072</v>
      </c>
      <c r="P47" s="28">
        <f>Country_details!BY48</f>
        <v>737.60601826396476</v>
      </c>
      <c r="Q47" s="28">
        <f>Country_details!CK48</f>
        <v>517.86711768102737</v>
      </c>
      <c r="R47" s="28">
        <f>Country_details!CX48</f>
        <v>759.12498715496349</v>
      </c>
      <c r="S47" s="28">
        <f>Country_details!EG48</f>
        <v>1092.8760459414971</v>
      </c>
      <c r="T47" s="28">
        <f>Country_details!ET48</f>
        <v>1833.062133196137</v>
      </c>
      <c r="U47" s="28" t="str">
        <f>Country_details!FG48</f>
        <v/>
      </c>
      <c r="V47" s="100">
        <f>Country_details!FY48</f>
        <v>2.2503551717081112</v>
      </c>
      <c r="W47" s="28">
        <f>Country_details!FZ48</f>
        <v>2542.379577570835</v>
      </c>
      <c r="X47" s="28">
        <f>Country_details!GA48</f>
        <v>608.68243046841201</v>
      </c>
      <c r="Y47" s="28">
        <f>Country_details!GB48</f>
        <v>447.4565237836361</v>
      </c>
      <c r="Z47" s="28">
        <f>Country_details!GC48</f>
        <v>687.2480360792016</v>
      </c>
      <c r="AA47" s="28">
        <f>Country_details!GD48</f>
        <v>1007.3670640960232</v>
      </c>
      <c r="AB47" s="28">
        <f>Country_details!GE48</f>
        <v>1769.1527747475925</v>
      </c>
      <c r="AC47" s="28">
        <f>Country_details!GF48</f>
        <v>1828.8642694676721</v>
      </c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</row>
    <row r="48" spans="1:55" x14ac:dyDescent="0.2">
      <c r="A48" s="8" t="str">
        <f>Country_details!A49</f>
        <v>Eritrea</v>
      </c>
      <c r="B48" s="28">
        <f>INDEX(Country_details!$A$9:$AS$156,MATCH(Country_results!A48,Country_details!$A$9:$A$156,0),MATCH(Country_results!$B$5,Country_details!$A$6:$AS$6,0))</f>
        <v>649.91822141942612</v>
      </c>
      <c r="C48" s="28">
        <f t="shared" si="0"/>
        <v>3727.442056998575</v>
      </c>
      <c r="D48" s="28">
        <f>Country_details!BA49</f>
        <v>4949.13835731787</v>
      </c>
      <c r="E48" s="28">
        <f>Country_details!BG49</f>
        <v>3727.442056998575</v>
      </c>
      <c r="F48" s="28">
        <f>Country_details!CA49</f>
        <v>4755.3624400732642</v>
      </c>
      <c r="G48" s="28">
        <f>Country_details!CN49</f>
        <v>9682.7723942016146</v>
      </c>
      <c r="H48" s="28">
        <f>Country_details!DA49</f>
        <v>6483.561930130405</v>
      </c>
      <c r="I48" s="28">
        <f>Country_details!DL49</f>
        <v>5010.1544585395586</v>
      </c>
      <c r="J48" s="28">
        <f>Country_details!DW49</f>
        <v>4139.0170306063619</v>
      </c>
      <c r="K48" s="28">
        <f>Country_details!EJ49</f>
        <v>8409.7962490263835</v>
      </c>
      <c r="L48" s="28">
        <f>Country_details!EW49</f>
        <v>15905.986476293087</v>
      </c>
      <c r="M48" s="28">
        <f>Country_details!FJ49</f>
        <v>6798.6948935836681</v>
      </c>
      <c r="N48" s="28">
        <f>Country_details!FT49</f>
        <v>8529.3871887917558</v>
      </c>
      <c r="O48" s="100">
        <f>Country_details!AZ49</f>
        <v>9.0034883150685729</v>
      </c>
      <c r="P48" s="28">
        <f>Country_details!BY49</f>
        <v>772.01108178682409</v>
      </c>
      <c r="Q48" s="28">
        <f>Country_details!CK49</f>
        <v>492.09436927594402</v>
      </c>
      <c r="R48" s="28">
        <f>Country_details!CX49</f>
        <v>800.05136731170865</v>
      </c>
      <c r="S48" s="28">
        <f>Country_details!EG49</f>
        <v>1147.1429206284176</v>
      </c>
      <c r="T48" s="28">
        <f>Country_details!ET49</f>
        <v>1918.1192473987719</v>
      </c>
      <c r="U48" s="28">
        <f>Country_details!FG49</f>
        <v>2164.4392201321025</v>
      </c>
      <c r="V48" s="100">
        <f>Country_details!FY49</f>
        <v>2.3875610722848921</v>
      </c>
      <c r="W48" s="28">
        <f>Country_details!FZ49</f>
        <v>2800.24179992155</v>
      </c>
      <c r="X48" s="28">
        <f>Country_details!GA49</f>
        <v>651.10845962817586</v>
      </c>
      <c r="Y48" s="28">
        <f>Country_details!GB49</f>
        <v>424.719792225878</v>
      </c>
      <c r="Z48" s="28">
        <f>Country_details!GC49</f>
        <v>728.45751924893239</v>
      </c>
      <c r="AA48" s="28">
        <f>Country_details!GD49</f>
        <v>1062.7634421088264</v>
      </c>
      <c r="AB48" s="28">
        <f>Country_details!GE49</f>
        <v>1854.9915192306205</v>
      </c>
      <c r="AC48" s="28">
        <f>Country_details!GF49</f>
        <v>1948.1220098622528</v>
      </c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</row>
    <row r="49" spans="1:55" x14ac:dyDescent="0.2">
      <c r="A49" s="8" t="str">
        <f>Country_details!A50</f>
        <v>Ethiopia</v>
      </c>
      <c r="B49" s="28">
        <f>INDEX(Country_details!$A$9:$AS$156,MATCH(Country_results!A49,Country_details!$A$9:$A$156,0),MATCH(Country_results!$B$5,Country_details!$A$6:$AS$6,0))</f>
        <v>-425.83166220330531</v>
      </c>
      <c r="C49" s="28">
        <f t="shared" si="0"/>
        <v>3507.0596954091325</v>
      </c>
      <c r="D49" s="28">
        <f>Country_details!BA50</f>
        <v>4723.6106358874486</v>
      </c>
      <c r="E49" s="28">
        <f>Country_details!BG50</f>
        <v>3507.0596954091325</v>
      </c>
      <c r="F49" s="28" t="str">
        <f>Country_details!CA50</f>
        <v/>
      </c>
      <c r="G49" s="28" t="str">
        <f>Country_details!CN50</f>
        <v/>
      </c>
      <c r="H49" s="28" t="str">
        <f>Country_details!DA50</f>
        <v/>
      </c>
      <c r="I49" s="28" t="str">
        <f>Country_details!DL50</f>
        <v/>
      </c>
      <c r="J49" s="28" t="str">
        <f>Country_details!DW50</f>
        <v/>
      </c>
      <c r="K49" s="28" t="str">
        <f>Country_details!EJ50</f>
        <v/>
      </c>
      <c r="L49" s="28" t="str">
        <f>Country_details!EW50</f>
        <v/>
      </c>
      <c r="M49" s="28" t="str">
        <f>Country_details!FJ50</f>
        <v/>
      </c>
      <c r="N49" s="28" t="str">
        <f>Country_details!FT50</f>
        <v/>
      </c>
      <c r="O49" s="100">
        <f>Country_details!AZ50</f>
        <v>8.5644621880870258</v>
      </c>
      <c r="P49" s="28" t="str">
        <f>Country_details!BY50</f>
        <v/>
      </c>
      <c r="Q49" s="28" t="str">
        <f>Country_details!CK50</f>
        <v/>
      </c>
      <c r="R49" s="28" t="str">
        <f>Country_details!CX50</f>
        <v/>
      </c>
      <c r="S49" s="28" t="str">
        <f>Country_details!EG50</f>
        <v/>
      </c>
      <c r="T49" s="28" t="str">
        <f>Country_details!ET50</f>
        <v/>
      </c>
      <c r="U49" s="28" t="str">
        <f>Country_details!FG50</f>
        <v/>
      </c>
      <c r="V49" s="100">
        <f>Country_details!FY50</f>
        <v>2.1843551153571359</v>
      </c>
      <c r="W49" s="28">
        <f>Country_details!FZ50</f>
        <v>2586.4678828954002</v>
      </c>
      <c r="X49" s="28">
        <f>Country_details!GA50</f>
        <v>596.9033033610441</v>
      </c>
      <c r="Y49" s="28">
        <f>Country_details!GB50</f>
        <v>385.87391055535596</v>
      </c>
      <c r="Z49" s="28">
        <f>Country_details!GC50</f>
        <v>667.04513896545882</v>
      </c>
      <c r="AA49" s="28">
        <f>Country_details!GD50</f>
        <v>972.59601453509765</v>
      </c>
      <c r="AB49" s="28">
        <f>Country_details!GE50</f>
        <v>1696.7715443945724</v>
      </c>
      <c r="AC49" s="28">
        <f>Country_details!GF50</f>
        <v>1783.6252418440979</v>
      </c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</row>
    <row r="50" spans="1:55" x14ac:dyDescent="0.2">
      <c r="A50" s="8" t="str">
        <f>Country_details!A51</f>
        <v>Fiji</v>
      </c>
      <c r="B50" s="28">
        <f>INDEX(Country_details!$A$9:$AS$156,MATCH(Country_results!A50,Country_details!$A$9:$A$156,0),MATCH(Country_results!$B$5,Country_details!$A$6:$AS$6,0))</f>
        <v>1244.5341053535385</v>
      </c>
      <c r="C50" s="28">
        <f t="shared" si="0"/>
        <v>4056.7378280962294</v>
      </c>
      <c r="D50" s="28">
        <f>Country_details!BA51</f>
        <v>16799.026947570223</v>
      </c>
      <c r="E50" s="28">
        <f>Country_details!BG51</f>
        <v>5261.9317103962958</v>
      </c>
      <c r="F50" s="28">
        <f>Country_details!CA51</f>
        <v>5007.8123318678436</v>
      </c>
      <c r="G50" s="28">
        <f>Country_details!CN51</f>
        <v>10269.344249960446</v>
      </c>
      <c r="H50" s="28">
        <f>Country_details!DA51</f>
        <v>6705.7980450882651</v>
      </c>
      <c r="I50" s="28">
        <f>Country_details!DL51</f>
        <v>6120.1889893283796</v>
      </c>
      <c r="J50" s="28">
        <f>Country_details!DW51</f>
        <v>4056.7378280962294</v>
      </c>
      <c r="K50" s="28">
        <f>Country_details!EJ51</f>
        <v>8569.4340849033924</v>
      </c>
      <c r="L50" s="28">
        <f>Country_details!EW51</f>
        <v>15869.631272864413</v>
      </c>
      <c r="M50" s="28" t="str">
        <f>Country_details!FJ51</f>
        <v/>
      </c>
      <c r="N50" s="28" t="str">
        <f>Country_details!FT51</f>
        <v/>
      </c>
      <c r="O50" s="100">
        <f>Country_details!AZ51</f>
        <v>32.624526537777946</v>
      </c>
      <c r="P50" s="28">
        <f>Country_details!BY51</f>
        <v>816.85415467138762</v>
      </c>
      <c r="Q50" s="28">
        <f>Country_details!CK51</f>
        <v>505.6592665695274</v>
      </c>
      <c r="R50" s="28">
        <f>Country_details!CX51</f>
        <v>807.0877134651513</v>
      </c>
      <c r="S50" s="28">
        <f>Country_details!EG51</f>
        <v>1138.1232264990733</v>
      </c>
      <c r="T50" s="28">
        <f>Country_details!ET51</f>
        <v>1863.1881668714773</v>
      </c>
      <c r="U50" s="28" t="str">
        <f>Country_details!FG51</f>
        <v/>
      </c>
      <c r="V50" s="100">
        <f>Country_details!FY51</f>
        <v>2.1602184806158689</v>
      </c>
      <c r="W50" s="28">
        <f>Country_details!FZ51</f>
        <v>2744.6119665064616</v>
      </c>
      <c r="X50" s="28">
        <f>Country_details!GA51</f>
        <v>622.21397051925146</v>
      </c>
      <c r="Y50" s="28">
        <f>Country_details!GB51</f>
        <v>391.01833111831024</v>
      </c>
      <c r="Z50" s="28">
        <f>Country_details!GC51</f>
        <v>694.15337987215457</v>
      </c>
      <c r="AA50" s="28">
        <f>Country_details!GD51</f>
        <v>1010.435851273804</v>
      </c>
      <c r="AB50" s="28">
        <f>Country_details!GE51</f>
        <v>1760.015906181186</v>
      </c>
      <c r="AC50" s="28">
        <f>Country_details!GF51</f>
        <v>1853.4387362368063</v>
      </c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</row>
    <row r="51" spans="1:55" x14ac:dyDescent="0.2">
      <c r="A51" s="8" t="str">
        <f>Country_details!A52</f>
        <v>Finland</v>
      </c>
      <c r="B51" s="28">
        <f>INDEX(Country_details!$A$9:$AS$156,MATCH(Country_results!A51,Country_details!$A$9:$A$156,0),MATCH(Country_results!$B$5,Country_details!$A$6:$AS$6,0))</f>
        <v>1712.2245318409637</v>
      </c>
      <c r="C51" s="28">
        <f t="shared" si="0"/>
        <v>2627.8936158727083</v>
      </c>
      <c r="D51" s="28">
        <f>Country_details!BA52</f>
        <v>2961.9195233481155</v>
      </c>
      <c r="E51" s="28">
        <f>Country_details!BG52</f>
        <v>2627.8936158727083</v>
      </c>
      <c r="F51" s="28">
        <f>Country_details!CA52</f>
        <v>3890.4679887181005</v>
      </c>
      <c r="G51" s="28">
        <f>Country_details!CN52</f>
        <v>8476.0287498056587</v>
      </c>
      <c r="H51" s="28">
        <f>Country_details!DA52</f>
        <v>5602.522994646687</v>
      </c>
      <c r="I51" s="28">
        <f>Country_details!DL52</f>
        <v>3773.3158836583543</v>
      </c>
      <c r="J51" s="28">
        <f>Country_details!DW52</f>
        <v>4391.5473425328128</v>
      </c>
      <c r="K51" s="28">
        <f>Country_details!EJ52</f>
        <v>7299.4538503997255</v>
      </c>
      <c r="L51" s="28">
        <f>Country_details!EW52</f>
        <v>13867.3240119864</v>
      </c>
      <c r="M51" s="28">
        <f>Country_details!FJ52</f>
        <v>5878.6045054983297</v>
      </c>
      <c r="N51" s="28">
        <f>Country_details!FT52</f>
        <v>6865.0859757923527</v>
      </c>
      <c r="O51" s="100">
        <f>Country_details!AZ52</f>
        <v>5.1350459674537117</v>
      </c>
      <c r="P51" s="28">
        <f>Country_details!BY52</f>
        <v>618.37851476978847</v>
      </c>
      <c r="Q51" s="28">
        <f>Country_details!CK52</f>
        <v>420.09045284029452</v>
      </c>
      <c r="R51" s="28">
        <f>Country_details!CX52</f>
        <v>655.63803743150436</v>
      </c>
      <c r="S51" s="28">
        <f>Country_details!EG52</f>
        <v>952.45695511547433</v>
      </c>
      <c r="T51" s="28">
        <f>Country_details!ET52</f>
        <v>1617.5145028687664</v>
      </c>
      <c r="U51" s="28">
        <f>Country_details!FG52</f>
        <v>1783.6625440780842</v>
      </c>
      <c r="V51" s="100">
        <f>Country_details!FY52</f>
        <v>3.1313111931447049</v>
      </c>
      <c r="W51" s="28">
        <f>Country_details!FZ52</f>
        <v>2414.8591799611172</v>
      </c>
      <c r="X51" s="28">
        <f>Country_details!GA52</f>
        <v>551.55720739246181</v>
      </c>
      <c r="Y51" s="28">
        <f>Country_details!GB52</f>
        <v>389.86513817458996</v>
      </c>
      <c r="Z51" s="28">
        <f>Country_details!GC52</f>
        <v>620.53029967304815</v>
      </c>
      <c r="AA51" s="28">
        <f>Country_details!GD52</f>
        <v>906.4417630902085</v>
      </c>
      <c r="AB51" s="28">
        <f>Country_details!GE52</f>
        <v>1587.7798731755911</v>
      </c>
      <c r="AC51" s="28">
        <f>Country_details!GF52</f>
        <v>1643.4839166486995</v>
      </c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</row>
    <row r="52" spans="1:55" x14ac:dyDescent="0.2">
      <c r="A52" s="8" t="str">
        <f>Country_details!A53</f>
        <v>France</v>
      </c>
      <c r="B52" s="28">
        <f>INDEX(Country_details!$A$9:$AS$156,MATCH(Country_results!A52,Country_details!$A$9:$A$156,0),MATCH(Country_results!$B$5,Country_details!$A$6:$AS$6,0))</f>
        <v>3076.8598370655232</v>
      </c>
      <c r="C52" s="28">
        <f t="shared" si="0"/>
        <v>2340.1815250562054</v>
      </c>
      <c r="D52" s="28">
        <f>Country_details!BA53</f>
        <v>2419.2564168671952</v>
      </c>
      <c r="E52" s="28">
        <f>Country_details!BG53</f>
        <v>2340.1815250562054</v>
      </c>
      <c r="F52" s="28">
        <f>Country_details!CA53</f>
        <v>3799.5493309247854</v>
      </c>
      <c r="G52" s="28">
        <f>Country_details!CN53</f>
        <v>8289.7611702386621</v>
      </c>
      <c r="H52" s="28">
        <f>Country_details!DA53</f>
        <v>5392.6672109849897</v>
      </c>
      <c r="I52" s="28">
        <f>Country_details!DL53</f>
        <v>3783.190093593551</v>
      </c>
      <c r="J52" s="28">
        <f>Country_details!DW53</f>
        <v>4295.8033056994891</v>
      </c>
      <c r="K52" s="28">
        <f>Country_details!EJ53</f>
        <v>6998.8935696303542</v>
      </c>
      <c r="L52" s="28">
        <f>Country_details!EW53</f>
        <v>13154.656598023848</v>
      </c>
      <c r="M52" s="28">
        <f>Country_details!FJ53</f>
        <v>5677.9789435126604</v>
      </c>
      <c r="N52" s="28">
        <f>Country_details!FT53</f>
        <v>6852.6981761807001</v>
      </c>
      <c r="O52" s="100">
        <f>Country_details!AZ53</f>
        <v>4.0786646038544898</v>
      </c>
      <c r="P52" s="28">
        <f>Country_details!BY53</f>
        <v>602.22849003018644</v>
      </c>
      <c r="Q52" s="28">
        <f>Country_details!CK53</f>
        <v>413.27400632944716</v>
      </c>
      <c r="R52" s="28">
        <f>Country_details!CX53</f>
        <v>632.14337442089732</v>
      </c>
      <c r="S52" s="28">
        <f>Country_details!EG53</f>
        <v>916.41095774815358</v>
      </c>
      <c r="T52" s="28">
        <f>Country_details!ET53</f>
        <v>1547.914516939476</v>
      </c>
      <c r="U52" s="28">
        <f>Country_details!FG53</f>
        <v>1722.0316447310095</v>
      </c>
      <c r="V52" s="100">
        <f>Country_details!FY53</f>
        <v>2.3441255652022392</v>
      </c>
      <c r="W52" s="28">
        <f>Country_details!FZ53</f>
        <v>2241.7379399906949</v>
      </c>
      <c r="X52" s="28">
        <f>Country_details!GA53</f>
        <v>522.86488974151428</v>
      </c>
      <c r="Y52" s="28">
        <f>Country_details!GB53</f>
        <v>375.95296042485609</v>
      </c>
      <c r="Z52" s="28">
        <f>Country_details!GC53</f>
        <v>588.787036115462</v>
      </c>
      <c r="AA52" s="28">
        <f>Country_details!GD53</f>
        <v>861.43345191332469</v>
      </c>
      <c r="AB52" s="28">
        <f>Country_details!GE53</f>
        <v>1510.7235521802338</v>
      </c>
      <c r="AC52" s="28">
        <f>Country_details!GF53</f>
        <v>1563.9572341136891</v>
      </c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</row>
    <row r="53" spans="1:55" x14ac:dyDescent="0.2">
      <c r="A53" s="8" t="str">
        <f>Country_details!A54</f>
        <v>Gabon</v>
      </c>
      <c r="B53" s="28">
        <f>INDEX(Country_details!$A$9:$AS$156,MATCH(Country_results!A53,Country_details!$A$9:$A$156,0),MATCH(Country_results!$B$5,Country_details!$A$6:$AS$6,0))</f>
        <v>1543.9945879763222</v>
      </c>
      <c r="C53" s="28">
        <f t="shared" si="0"/>
        <v>4575.7680821045587</v>
      </c>
      <c r="D53" s="28">
        <f>Country_details!BA54</f>
        <v>5656.2368957125209</v>
      </c>
      <c r="E53" s="28">
        <f>Country_details!BG54</f>
        <v>4788.5829455771045</v>
      </c>
      <c r="F53" s="28">
        <f>Country_details!CA54</f>
        <v>5757.4929041047735</v>
      </c>
      <c r="G53" s="28">
        <f>Country_details!CN54</f>
        <v>11371.199289378124</v>
      </c>
      <c r="H53" s="28">
        <f>Country_details!DA54</f>
        <v>7980.186384259986</v>
      </c>
      <c r="I53" s="28">
        <f>Country_details!DL54</f>
        <v>5996.4851226012652</v>
      </c>
      <c r="J53" s="28">
        <f>Country_details!DW54</f>
        <v>4575.7680821045587</v>
      </c>
      <c r="K53" s="28">
        <f>Country_details!EJ54</f>
        <v>10437.741998721969</v>
      </c>
      <c r="L53" s="28">
        <f>Country_details!EW54</f>
        <v>20177.525612780904</v>
      </c>
      <c r="M53" s="28">
        <f>Country_details!FJ54</f>
        <v>8274.8370885449531</v>
      </c>
      <c r="N53" s="28">
        <f>Country_details!FT54</f>
        <v>9456.0910962492908</v>
      </c>
      <c r="O53" s="100">
        <f>Country_details!AZ54</f>
        <v>10.379969799192871</v>
      </c>
      <c r="P53" s="28">
        <f>Country_details!BY54</f>
        <v>950.02109842400012</v>
      </c>
      <c r="Q53" s="28">
        <f>Country_details!CK54</f>
        <v>565.80406563902307</v>
      </c>
      <c r="R53" s="28">
        <f>Country_details!CX54</f>
        <v>988.21455546557138</v>
      </c>
      <c r="S53" s="28">
        <f>Country_details!EG54</f>
        <v>1413.3102820203508</v>
      </c>
      <c r="T53" s="28">
        <f>Country_details!ET54</f>
        <v>2370.8833768258824</v>
      </c>
      <c r="U53" s="28">
        <f>Country_details!FG54</f>
        <v>2659.1838263285604</v>
      </c>
      <c r="V53" s="100">
        <f>Country_details!FY54</f>
        <v>2.9787129497989606</v>
      </c>
      <c r="W53" s="28">
        <f>Country_details!FZ54</f>
        <v>3747.9730739398224</v>
      </c>
      <c r="X53" s="28">
        <f>Country_details!GA54</f>
        <v>820.04917213078613</v>
      </c>
      <c r="Y53" s="28">
        <f>Country_details!GB54</f>
        <v>496.61129056867753</v>
      </c>
      <c r="Z53" s="28">
        <f>Country_details!GC54</f>
        <v>913.90305761053719</v>
      </c>
      <c r="AA53" s="28">
        <f>Country_details!GD54</f>
        <v>1326.4154981551926</v>
      </c>
      <c r="AB53" s="28">
        <f>Country_details!GE54</f>
        <v>2305.0831735977063</v>
      </c>
      <c r="AC53" s="28">
        <f>Country_details!GF54</f>
        <v>2426.1886334228325</v>
      </c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</row>
    <row r="54" spans="1:55" x14ac:dyDescent="0.2">
      <c r="A54" s="8" t="str">
        <f>Country_details!A55</f>
        <v>Gambia</v>
      </c>
      <c r="B54" s="28">
        <f>INDEX(Country_details!$A$9:$AS$156,MATCH(Country_results!A54,Country_details!$A$9:$A$156,0),MATCH(Country_results!$B$5,Country_details!$A$6:$AS$6,0))</f>
        <v>-146.75780118671327</v>
      </c>
      <c r="C54" s="28">
        <f t="shared" si="0"/>
        <v>4725.7068630492113</v>
      </c>
      <c r="D54" s="28">
        <f>Country_details!BA55</f>
        <v>5790.6071516760876</v>
      </c>
      <c r="E54" s="28">
        <f>Country_details!BG55</f>
        <v>4725.7068630492113</v>
      </c>
      <c r="F54" s="28">
        <f>Country_details!CA55</f>
        <v>5733.0417778564497</v>
      </c>
      <c r="G54" s="28">
        <f>Country_details!CN55</f>
        <v>11398.456535630025</v>
      </c>
      <c r="H54" s="28">
        <f>Country_details!DA55</f>
        <v>7775.9299851432788</v>
      </c>
      <c r="I54" s="28">
        <f>Country_details!DL55</f>
        <v>5583.5053319605722</v>
      </c>
      <c r="J54" s="28">
        <f>Country_details!DW55</f>
        <v>4787.1576489637191</v>
      </c>
      <c r="K54" s="28">
        <f>Country_details!EJ55</f>
        <v>10262.794443552497</v>
      </c>
      <c r="L54" s="28">
        <f>Country_details!EW55</f>
        <v>19992.257311363344</v>
      </c>
      <c r="M54" s="28">
        <f>Country_details!FJ55</f>
        <v>8246.4350271766689</v>
      </c>
      <c r="N54" s="28">
        <f>Country_details!FT55</f>
        <v>10082.170540261959</v>
      </c>
      <c r="O54" s="100">
        <f>Country_details!AZ55</f>
        <v>10.641543199939544</v>
      </c>
      <c r="P54" s="28">
        <f>Country_details!BY55</f>
        <v>945.67780626146896</v>
      </c>
      <c r="Q54" s="28">
        <f>Country_details!CK55</f>
        <v>586.25763356703658</v>
      </c>
      <c r="R54" s="28">
        <f>Country_details!CX55</f>
        <v>996.48814211611182</v>
      </c>
      <c r="S54" s="28">
        <f>Country_details!EG55</f>
        <v>1439.3654057513081</v>
      </c>
      <c r="T54" s="28">
        <f>Country_details!ET55</f>
        <v>2435.7847970330854</v>
      </c>
      <c r="U54" s="28">
        <f>Country_details!FG55</f>
        <v>2717.346375109018</v>
      </c>
      <c r="V54" s="100">
        <f>Country_details!FY55</f>
        <v>2.9807921690029193</v>
      </c>
      <c r="W54" s="28">
        <f>Country_details!FZ55</f>
        <v>3692.1669486982032</v>
      </c>
      <c r="X54" s="28">
        <f>Country_details!GA55</f>
        <v>841.75768453596902</v>
      </c>
      <c r="Y54" s="28">
        <f>Country_details!GB55</f>
        <v>534.2364255882236</v>
      </c>
      <c r="Z54" s="28">
        <f>Country_details!GC55</f>
        <v>941.10689539767213</v>
      </c>
      <c r="AA54" s="28">
        <f>Country_details!GD55</f>
        <v>1370.5239024483546</v>
      </c>
      <c r="AB54" s="28">
        <f>Country_details!GE55</f>
        <v>2388.2708364577957</v>
      </c>
      <c r="AC54" s="28">
        <f>Country_details!GF55</f>
        <v>2509.5287105748253</v>
      </c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</row>
    <row r="55" spans="1:55" x14ac:dyDescent="0.2">
      <c r="A55" s="8" t="str">
        <f>Country_details!A56</f>
        <v>Georgia</v>
      </c>
      <c r="B55" s="28">
        <f>INDEX(Country_details!$A$9:$AS$156,MATCH(Country_results!A55,Country_details!$A$9:$A$156,0),MATCH(Country_results!$B$5,Country_details!$A$6:$AS$6,0))</f>
        <v>245.99667655335179</v>
      </c>
      <c r="C55" s="28">
        <f t="shared" si="0"/>
        <v>4406.7670149306059</v>
      </c>
      <c r="D55" s="28">
        <f>Country_details!BA56</f>
        <v>4406.7670149306059</v>
      </c>
      <c r="E55" s="28">
        <f>Country_details!BG56</f>
        <v>5448.534169646493</v>
      </c>
      <c r="F55" s="28">
        <f>Country_details!CA56</f>
        <v>6985.9934270003068</v>
      </c>
      <c r="G55" s="28">
        <f>Country_details!CN56</f>
        <v>13780.774106744348</v>
      </c>
      <c r="H55" s="28">
        <f>Country_details!DA56</f>
        <v>9690.1462553713682</v>
      </c>
      <c r="I55" s="28">
        <f>Country_details!DL56</f>
        <v>7052.149137374462</v>
      </c>
      <c r="J55" s="28">
        <f>Country_details!DW56</f>
        <v>5413.4604287942157</v>
      </c>
      <c r="K55" s="28">
        <f>Country_details!EJ56</f>
        <v>12797.315236812903</v>
      </c>
      <c r="L55" s="28">
        <f>Country_details!EW56</f>
        <v>25234.946293963723</v>
      </c>
      <c r="M55" s="28">
        <f>Country_details!FJ56</f>
        <v>10027.263675217489</v>
      </c>
      <c r="N55" s="28">
        <f>Country_details!FT56</f>
        <v>11085.090295226448</v>
      </c>
      <c r="O55" s="100">
        <f>Country_details!AZ56</f>
        <v>7.9476749173904278</v>
      </c>
      <c r="P55" s="28">
        <f>Country_details!BY56</f>
        <v>1168.2415860436015</v>
      </c>
      <c r="Q55" s="28">
        <f>Country_details!CK56</f>
        <v>685.8703042188564</v>
      </c>
      <c r="R55" s="28">
        <f>Country_details!CX56</f>
        <v>1229.4405695770454</v>
      </c>
      <c r="S55" s="28">
        <f>Country_details!EG56</f>
        <v>1760.9379036632922</v>
      </c>
      <c r="T55" s="28">
        <f>Country_details!ET56</f>
        <v>2972.4846262030023</v>
      </c>
      <c r="U55" s="28">
        <f>Country_details!FG56</f>
        <v>3299.6168990494398</v>
      </c>
      <c r="V55" s="100">
        <f>Country_details!FY56</f>
        <v>3.8775236465372549</v>
      </c>
      <c r="W55" s="28">
        <f>Country_details!FZ56</f>
        <v>4829.5570762336811</v>
      </c>
      <c r="X55" s="28">
        <f>Country_details!GA56</f>
        <v>1037.5598060497289</v>
      </c>
      <c r="Y55" s="28">
        <f>Country_details!GB56</f>
        <v>616.38208408739956</v>
      </c>
      <c r="Z55" s="28">
        <f>Country_details!GC56</f>
        <v>1155.9678126059605</v>
      </c>
      <c r="AA55" s="28">
        <f>Country_details!GD56</f>
        <v>1675.1516577622613</v>
      </c>
      <c r="AB55" s="28">
        <f>Country_details!GE56</f>
        <v>2907.6370718071817</v>
      </c>
      <c r="AC55" s="28">
        <f>Country_details!GF56</f>
        <v>3058.5787493880612</v>
      </c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</row>
    <row r="56" spans="1:55" x14ac:dyDescent="0.2">
      <c r="A56" s="8" t="str">
        <f>Country_details!A57</f>
        <v>Germany</v>
      </c>
      <c r="B56" s="28">
        <f>INDEX(Country_details!$A$9:$AS$156,MATCH(Country_results!A56,Country_details!$A$9:$A$156,0),MATCH(Country_results!$B$5,Country_details!$A$6:$AS$6,0))</f>
        <v>-1528.0591779761089</v>
      </c>
      <c r="C56" s="28">
        <f t="shared" si="0"/>
        <v>2741.1008060194822</v>
      </c>
      <c r="D56" s="28">
        <f>Country_details!BA57</f>
        <v>2741.1008060194822</v>
      </c>
      <c r="E56" s="28">
        <f>Country_details!BG57</f>
        <v>2816.831666668666</v>
      </c>
      <c r="F56" s="28">
        <f>Country_details!CA57</f>
        <v>4330.8089178744285</v>
      </c>
      <c r="G56" s="28">
        <f>Country_details!CN57</f>
        <v>9456.8653958120922</v>
      </c>
      <c r="H56" s="28">
        <f>Country_details!DA57</f>
        <v>6140.1553488051331</v>
      </c>
      <c r="I56" s="28">
        <f>Country_details!DL57</f>
        <v>4022.2630582947436</v>
      </c>
      <c r="J56" s="28">
        <f>Country_details!DW57</f>
        <v>4918.9046324947303</v>
      </c>
      <c r="K56" s="28">
        <f>Country_details!EJ57</f>
        <v>8069.26403628972</v>
      </c>
      <c r="L56" s="28">
        <f>Country_details!EW57</f>
        <v>15550.340749537032</v>
      </c>
      <c r="M56" s="28">
        <f>Country_details!FJ57</f>
        <v>6487.0889118413788</v>
      </c>
      <c r="N56" s="28">
        <f>Country_details!FT57</f>
        <v>7652.6040903268586</v>
      </c>
      <c r="O56" s="100">
        <f>Country_details!AZ57</f>
        <v>4.7051866773454121</v>
      </c>
      <c r="P56" s="28">
        <f>Country_details!BY57</f>
        <v>696.59696929097834</v>
      </c>
      <c r="Q56" s="28">
        <f>Country_details!CK57</f>
        <v>474.83331603451143</v>
      </c>
      <c r="R56" s="28">
        <f>Country_details!CX57</f>
        <v>744.51308146312408</v>
      </c>
      <c r="S56" s="28">
        <f>Country_details!EG57</f>
        <v>1083.9631932366303</v>
      </c>
      <c r="T56" s="28">
        <f>Country_details!ET57</f>
        <v>1848.5664318372251</v>
      </c>
      <c r="U56" s="28">
        <f>Country_details!FG57</f>
        <v>2029.8321393818605</v>
      </c>
      <c r="V56" s="100">
        <f>Country_details!FY57</f>
        <v>3.4105984698557261</v>
      </c>
      <c r="W56" s="28">
        <f>Country_details!FZ57</f>
        <v>2752.096825165539</v>
      </c>
      <c r="X56" s="28">
        <f>Country_details!GA57</f>
        <v>631.60029364748436</v>
      </c>
      <c r="Y56" s="28">
        <f>Country_details!GB57</f>
        <v>448.56298535506318</v>
      </c>
      <c r="Z56" s="28">
        <f>Country_details!GC57</f>
        <v>711.41367996782583</v>
      </c>
      <c r="AA56" s="28">
        <f>Country_details!GD57</f>
        <v>1039.5370914241112</v>
      </c>
      <c r="AB56" s="28">
        <f>Country_details!GE57</f>
        <v>1821.3700847192274</v>
      </c>
      <c r="AC56" s="28">
        <f>Country_details!GF57</f>
        <v>1883.4836011867553</v>
      </c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</row>
    <row r="57" spans="1:55" x14ac:dyDescent="0.2">
      <c r="A57" s="8" t="str">
        <f>Country_details!A58</f>
        <v>Ghana</v>
      </c>
      <c r="B57" s="28">
        <f>INDEX(Country_details!$A$9:$AS$156,MATCH(Country_results!A57,Country_details!$A$9:$A$156,0),MATCH(Country_results!$B$5,Country_details!$A$6:$AS$6,0))</f>
        <v>-747.19977741638081</v>
      </c>
      <c r="C57" s="28">
        <f t="shared" si="0"/>
        <v>4455.4934276956792</v>
      </c>
      <c r="D57" s="28">
        <f>Country_details!BA58</f>
        <v>6948.4023269457657</v>
      </c>
      <c r="E57" s="28">
        <f>Country_details!BG58</f>
        <v>4455.4934276956792</v>
      </c>
      <c r="F57" s="28">
        <f>Country_details!CA58</f>
        <v>5624.3287997063317</v>
      </c>
      <c r="G57" s="28">
        <f>Country_details!CN58</f>
        <v>12614.639467165722</v>
      </c>
      <c r="H57" s="28">
        <f>Country_details!DA58</f>
        <v>7523.2350287888066</v>
      </c>
      <c r="I57" s="28">
        <f>Country_details!DL58</f>
        <v>5587.8184505963318</v>
      </c>
      <c r="J57" s="28">
        <f>Country_details!DW58</f>
        <v>6270.253095993754</v>
      </c>
      <c r="K57" s="28">
        <f>Country_details!EJ58</f>
        <v>9926.0983460863408</v>
      </c>
      <c r="L57" s="28">
        <f>Country_details!EW58</f>
        <v>19268.802945660493</v>
      </c>
      <c r="M57" s="28">
        <f>Country_details!FJ58</f>
        <v>7940.3198650652876</v>
      </c>
      <c r="N57" s="28">
        <f>Country_details!FT58</f>
        <v>9904.5474181697537</v>
      </c>
      <c r="O57" s="100">
        <f>Country_details!AZ58</f>
        <v>12.895378464237147</v>
      </c>
      <c r="P57" s="28">
        <f>Country_details!BY58</f>
        <v>926.36694830059275</v>
      </c>
      <c r="Q57" s="28">
        <f>Country_details!CK58</f>
        <v>642.71243562105326</v>
      </c>
      <c r="R57" s="28">
        <f>Country_details!CX58</f>
        <v>972.89288881486686</v>
      </c>
      <c r="S57" s="28">
        <f>Country_details!EG58</f>
        <v>1405.0133319583017</v>
      </c>
      <c r="T57" s="28">
        <f>Country_details!ET58</f>
        <v>2377.0060644744945</v>
      </c>
      <c r="U57" s="28">
        <f>Country_details!FG58</f>
        <v>2631.0286172815499</v>
      </c>
      <c r="V57" s="100">
        <f>Country_details!FY58</f>
        <v>3.221916497703746</v>
      </c>
      <c r="W57" s="28">
        <f>Country_details!FZ58</f>
        <v>3401.3976378533071</v>
      </c>
      <c r="X57" s="28">
        <f>Country_details!GA58</f>
        <v>798.32596577860056</v>
      </c>
      <c r="Y57" s="28">
        <f>Country_details!GB58</f>
        <v>578.43070592448782</v>
      </c>
      <c r="Z57" s="28">
        <f>Country_details!GC58</f>
        <v>901.63426467824445</v>
      </c>
      <c r="AA57" s="28">
        <f>Country_details!GD58</f>
        <v>1319.6351675839685</v>
      </c>
      <c r="AB57" s="28">
        <f>Country_details!GE58</f>
        <v>2314.9954207566784</v>
      </c>
      <c r="AC57" s="28">
        <f>Country_details!GF58</f>
        <v>2390.0203569224582</v>
      </c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</row>
    <row r="58" spans="1:55" x14ac:dyDescent="0.2">
      <c r="A58" s="8" t="str">
        <f>Country_details!A59</f>
        <v>Greenland</v>
      </c>
      <c r="B58" s="28">
        <f>INDEX(Country_details!$A$9:$AS$156,MATCH(Country_results!A58,Country_details!$A$9:$A$156,0),MATCH(Country_results!$B$5,Country_details!$A$6:$AS$6,0))</f>
        <v>20759.170596802724</v>
      </c>
      <c r="C58" s="28">
        <f t="shared" si="0"/>
        <v>3115.5304915914403</v>
      </c>
      <c r="D58" s="28">
        <f>Country_details!BA59</f>
        <v>6182.8212127389024</v>
      </c>
      <c r="E58" s="28">
        <f>Country_details!BG59</f>
        <v>3115.5304915914403</v>
      </c>
      <c r="F58" s="28">
        <f>Country_details!CA59</f>
        <v>4314.7006773262137</v>
      </c>
      <c r="G58" s="28">
        <f>Country_details!CN59</f>
        <v>9481.7925578626273</v>
      </c>
      <c r="H58" s="28">
        <f>Country_details!DA59</f>
        <v>6090.5028648491761</v>
      </c>
      <c r="I58" s="28">
        <f>Country_details!DL59</f>
        <v>4272.601025701133</v>
      </c>
      <c r="J58" s="28">
        <f>Country_details!DW59</f>
        <v>4829.8757161823787</v>
      </c>
      <c r="K58" s="28">
        <f>Country_details!EJ59</f>
        <v>7959.4657301073867</v>
      </c>
      <c r="L58" s="28">
        <f>Country_details!EW59</f>
        <v>15198.240690111355</v>
      </c>
      <c r="M58" s="28">
        <f>Country_details!FJ59</f>
        <v>6382.2482626194924</v>
      </c>
      <c r="N58" s="28">
        <f>Country_details!FT59</f>
        <v>7534.0755182932635</v>
      </c>
      <c r="O58" s="100">
        <f>Country_details!AZ59</f>
        <v>11.405051202787151</v>
      </c>
      <c r="P58" s="28">
        <f>Country_details!BY59</f>
        <v>693.7356370883349</v>
      </c>
      <c r="Q58" s="28">
        <f>Country_details!CK59</f>
        <v>472.06255442247902</v>
      </c>
      <c r="R58" s="28">
        <f>Country_details!CX59</f>
        <v>731.99902729862845</v>
      </c>
      <c r="S58" s="28">
        <f>Country_details!EG59</f>
        <v>1059.8942106784848</v>
      </c>
      <c r="T58" s="28">
        <f>Country_details!ET59</f>
        <v>1794.7451225133957</v>
      </c>
      <c r="U58" s="28">
        <f>Country_details!FG59</f>
        <v>1982.8940646169938</v>
      </c>
      <c r="V58" s="100">
        <f>Country_details!FY59</f>
        <v>2.8212375151903162</v>
      </c>
      <c r="W58" s="28">
        <f>Country_details!FZ59</f>
        <v>2659.4305702358629</v>
      </c>
      <c r="X58" s="28">
        <f>Country_details!GA59</f>
        <v>608.92385064211692</v>
      </c>
      <c r="Y58" s="28">
        <f>Country_details!GB59</f>
        <v>431.55175609468012</v>
      </c>
      <c r="Z58" s="28">
        <f>Country_details!GC59</f>
        <v>685.62711194568055</v>
      </c>
      <c r="AA58" s="28">
        <f>Country_details!GD59</f>
        <v>1001.6931149662902</v>
      </c>
      <c r="AB58" s="28">
        <f>Country_details!GE59</f>
        <v>1754.8466130583604</v>
      </c>
      <c r="AC58" s="28">
        <f>Country_details!GF59</f>
        <v>1815.140567640213</v>
      </c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</row>
    <row r="59" spans="1:55" x14ac:dyDescent="0.2">
      <c r="A59" s="8" t="str">
        <f>Country_details!A60</f>
        <v>Grenada</v>
      </c>
      <c r="B59" s="28">
        <f>INDEX(Country_details!$A$9:$AS$156,MATCH(Country_results!A59,Country_details!$A$9:$A$156,0),MATCH(Country_results!$B$5,Country_details!$A$6:$AS$6,0))</f>
        <v>-3.6317412482690301</v>
      </c>
      <c r="C59" s="28">
        <f t="shared" si="0"/>
        <v>3826.5279628868275</v>
      </c>
      <c r="D59" s="28">
        <f>Country_details!BA60</f>
        <v>11472.33746233485</v>
      </c>
      <c r="E59" s="28">
        <f>Country_details!BG60</f>
        <v>4061.628795204907</v>
      </c>
      <c r="F59" s="28">
        <f>Country_details!CA60</f>
        <v>4628.2674847690023</v>
      </c>
      <c r="G59" s="28">
        <f>Country_details!CN60</f>
        <v>9177.1804945266522</v>
      </c>
      <c r="H59" s="28">
        <f>Country_details!DA60</f>
        <v>6451.1237318474668</v>
      </c>
      <c r="I59" s="28">
        <f>Country_details!DL60</f>
        <v>4826.7425067965041</v>
      </c>
      <c r="J59" s="28">
        <f>Country_details!DW60</f>
        <v>3826.5279628868275</v>
      </c>
      <c r="K59" s="28">
        <f>Country_details!EJ60</f>
        <v>8397.370326407814</v>
      </c>
      <c r="L59" s="28">
        <f>Country_details!EW60</f>
        <v>15977.137312552859</v>
      </c>
      <c r="M59" s="28">
        <f>Country_details!FJ60</f>
        <v>6757.5507962234697</v>
      </c>
      <c r="N59" s="28">
        <f>Country_details!FT60</f>
        <v>8087.6743691792308</v>
      </c>
      <c r="O59" s="100">
        <f>Country_details!AZ60</f>
        <v>21.936947313790441</v>
      </c>
      <c r="P59" s="28">
        <f>Country_details!BY60</f>
        <v>749.43500419988288</v>
      </c>
      <c r="Q59" s="28">
        <f>Country_details!CK60</f>
        <v>460.72450687104879</v>
      </c>
      <c r="R59" s="28">
        <f>Country_details!CX60</f>
        <v>779.534104382294</v>
      </c>
      <c r="S59" s="28">
        <f>Country_details!EG60</f>
        <v>1121.7147271731376</v>
      </c>
      <c r="T59" s="28">
        <f>Country_details!ET60</f>
        <v>1884.4361074261624</v>
      </c>
      <c r="U59" s="28">
        <f>Country_details!FG60</f>
        <v>2116.2372740819146</v>
      </c>
      <c r="V59" s="100" t="e">
        <f>Country_details!FY60</f>
        <v>#N/A</v>
      </c>
      <c r="W59" s="28">
        <f>Country_details!FZ60</f>
        <v>2879.4375532126614</v>
      </c>
      <c r="X59" s="28">
        <f>Country_details!GA60</f>
        <v>649.61796435620636</v>
      </c>
      <c r="Y59" s="28">
        <f>Country_details!GB60</f>
        <v>406.26389873883392</v>
      </c>
      <c r="Z59" s="28">
        <f>Country_details!GC60</f>
        <v>724.64600959300083</v>
      </c>
      <c r="AA59" s="28">
        <f>Country_details!GD60</f>
        <v>1054.4030725715029</v>
      </c>
      <c r="AB59" s="28">
        <f>Country_details!GE60</f>
        <v>1836.0318381422762</v>
      </c>
      <c r="AC59" s="28">
        <f>Country_details!GF60</f>
        <v>1933.2631669806383</v>
      </c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</row>
    <row r="60" spans="1:55" x14ac:dyDescent="0.2">
      <c r="A60" s="8" t="str">
        <f>Country_details!A61</f>
        <v>Guatemala</v>
      </c>
      <c r="B60" s="28">
        <f>INDEX(Country_details!$A$9:$AS$156,MATCH(Country_results!A60,Country_details!$A$9:$A$156,0),MATCH(Country_results!$B$5,Country_details!$A$6:$AS$6,0))</f>
        <v>-452.3494714158353</v>
      </c>
      <c r="C60" s="28">
        <f t="shared" si="0"/>
        <v>4223.5924134332936</v>
      </c>
      <c r="D60" s="28">
        <f>Country_details!BA61</f>
        <v>15620.67613346878</v>
      </c>
      <c r="E60" s="28">
        <f>Country_details!BG61</f>
        <v>4223.5924134332936</v>
      </c>
      <c r="F60" s="28">
        <f>Country_details!CA61</f>
        <v>4736.8106902938871</v>
      </c>
      <c r="G60" s="28">
        <f>Country_details!CN61</f>
        <v>10627.563933124971</v>
      </c>
      <c r="H60" s="28">
        <f>Country_details!DA61</f>
        <v>6378.6933957541905</v>
      </c>
      <c r="I60" s="28">
        <f>Country_details!DL61</f>
        <v>5064.990003216577</v>
      </c>
      <c r="J60" s="28">
        <f>Country_details!DW61</f>
        <v>5267.3232622146325</v>
      </c>
      <c r="K60" s="28">
        <f>Country_details!EJ61</f>
        <v>8297.062957023847</v>
      </c>
      <c r="L60" s="28">
        <f>Country_details!EW61</f>
        <v>15706.390303463615</v>
      </c>
      <c r="M60" s="28" t="str">
        <f>Country_details!FJ61</f>
        <v/>
      </c>
      <c r="N60" s="28" t="str">
        <f>Country_details!FT61</f>
        <v/>
      </c>
      <c r="O60" s="100">
        <f>Country_details!AZ61</f>
        <v>30.260259254267837</v>
      </c>
      <c r="P60" s="28">
        <f>Country_details!BY61</f>
        <v>768.71570518127692</v>
      </c>
      <c r="Q60" s="28">
        <f>Country_details!CK61</f>
        <v>534.71481688271774</v>
      </c>
      <c r="R60" s="28">
        <f>Country_details!CX61</f>
        <v>791.1331758354105</v>
      </c>
      <c r="S60" s="28">
        <f>Country_details!EG61</f>
        <v>1136.8819165083362</v>
      </c>
      <c r="T60" s="28">
        <f>Country_details!ET61</f>
        <v>1905.5177866975068</v>
      </c>
      <c r="U60" s="28" t="str">
        <f>Country_details!FG61</f>
        <v/>
      </c>
      <c r="V60" s="100">
        <f>Country_details!FY61</f>
        <v>2.4734819584310621</v>
      </c>
      <c r="W60" s="28">
        <f>Country_details!FZ61</f>
        <v>2676.2577282999991</v>
      </c>
      <c r="X60" s="28">
        <f>Country_details!GA61</f>
        <v>633.47175865829672</v>
      </c>
      <c r="Y60" s="28">
        <f>Country_details!GB61</f>
        <v>461.6615025020929</v>
      </c>
      <c r="Z60" s="28">
        <f>Country_details!GC61</f>
        <v>714.9323838380277</v>
      </c>
      <c r="AA60" s="28">
        <f>Country_details!GD61</f>
        <v>1047.079406879011</v>
      </c>
      <c r="AB60" s="28">
        <f>Country_details!GE61</f>
        <v>1837.7676349629978</v>
      </c>
      <c r="AC60" s="28">
        <f>Country_details!GF61</f>
        <v>1899.5287225958455</v>
      </c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</row>
    <row r="61" spans="1:55" x14ac:dyDescent="0.2">
      <c r="A61" s="8" t="str">
        <f>Country_details!A62</f>
        <v>Guinea</v>
      </c>
      <c r="B61" s="28">
        <f>INDEX(Country_details!$A$9:$AS$156,MATCH(Country_results!A61,Country_details!$A$9:$A$156,0),MATCH(Country_results!$B$5,Country_details!$A$6:$AS$6,0))</f>
        <v>626.03544898745849</v>
      </c>
      <c r="C61" s="28">
        <f t="shared" si="0"/>
        <v>4385.716704044863</v>
      </c>
      <c r="D61" s="28">
        <f>Country_details!BA62</f>
        <v>5325.5186264249078</v>
      </c>
      <c r="E61" s="28">
        <f>Country_details!BG62</f>
        <v>4385.716704044863</v>
      </c>
      <c r="F61" s="28">
        <f>Country_details!CA62</f>
        <v>5356.4546477006552</v>
      </c>
      <c r="G61" s="28">
        <f>Country_details!CN62</f>
        <v>10614.688994076012</v>
      </c>
      <c r="H61" s="28">
        <f>Country_details!DA62</f>
        <v>7341.7633006286742</v>
      </c>
      <c r="I61" s="28">
        <f>Country_details!DL62</f>
        <v>5324.5669062206025</v>
      </c>
      <c r="J61" s="28">
        <f>Country_details!DW62</f>
        <v>4447.4553374724564</v>
      </c>
      <c r="K61" s="28">
        <f>Country_details!EJ62</f>
        <v>9644.7846845610093</v>
      </c>
      <c r="L61" s="28">
        <f>Country_details!EW62</f>
        <v>18652.69201671223</v>
      </c>
      <c r="M61" s="28">
        <f>Country_details!FJ62</f>
        <v>7748.0149521743733</v>
      </c>
      <c r="N61" s="28">
        <f>Country_details!FT62</f>
        <v>9352.0673309968188</v>
      </c>
      <c r="O61" s="100">
        <f>Country_details!AZ62</f>
        <v>9.7361732851036891</v>
      </c>
      <c r="P61" s="28">
        <f>Country_details!BY62</f>
        <v>878.784039720637</v>
      </c>
      <c r="Q61" s="28">
        <f>Country_details!CK62</f>
        <v>540.87758916422172</v>
      </c>
      <c r="R61" s="28">
        <f>Country_details!CX62</f>
        <v>922.19317269438579</v>
      </c>
      <c r="S61" s="28">
        <f>Country_details!EG62</f>
        <v>1329.7659710506564</v>
      </c>
      <c r="T61" s="28">
        <f>Country_details!ET62</f>
        <v>2244.5771643388534</v>
      </c>
      <c r="U61" s="28">
        <f>Country_details!FG62</f>
        <v>2510.2499252933862</v>
      </c>
      <c r="V61" s="100">
        <f>Country_details!FY62</f>
        <v>2.7441138731752091</v>
      </c>
      <c r="W61" s="28">
        <f>Country_details!FZ62</f>
        <v>3424.3004002657299</v>
      </c>
      <c r="X61" s="28">
        <f>Country_details!GA62</f>
        <v>775.5093035050827</v>
      </c>
      <c r="Y61" s="28">
        <f>Country_details!GB62</f>
        <v>488.21113957278379</v>
      </c>
      <c r="Z61" s="28">
        <f>Country_details!GC62</f>
        <v>866.24702447953575</v>
      </c>
      <c r="AA61" s="28">
        <f>Country_details!GD62</f>
        <v>1260.8338643107077</v>
      </c>
      <c r="AB61" s="28">
        <f>Country_details!GE62</f>
        <v>2196.1448684490288</v>
      </c>
      <c r="AC61" s="28">
        <f>Country_details!GF62</f>
        <v>2309.3077789675312</v>
      </c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</row>
    <row r="62" spans="1:55" x14ac:dyDescent="0.2">
      <c r="A62" s="8" t="str">
        <f>Country_details!A63</f>
        <v>Guyana</v>
      </c>
      <c r="B62" s="28">
        <f>INDEX(Country_details!$A$9:$AS$156,MATCH(Country_results!A62,Country_details!$A$9:$A$156,0),MATCH(Country_results!$B$5,Country_details!$A$6:$AS$6,0))</f>
        <v>2524.5163697267135</v>
      </c>
      <c r="C62" s="28">
        <f t="shared" si="0"/>
        <v>4322.7378856696178</v>
      </c>
      <c r="D62" s="28">
        <f>Country_details!BA63</f>
        <v>13698.243131092844</v>
      </c>
      <c r="E62" s="28">
        <f>Country_details!BG63</f>
        <v>4748.3785198367004</v>
      </c>
      <c r="F62" s="28">
        <f>Country_details!CA63</f>
        <v>5297.4071945183714</v>
      </c>
      <c r="G62" s="28">
        <f>Country_details!CN63</f>
        <v>10475.97922813335</v>
      </c>
      <c r="H62" s="28">
        <f>Country_details!DA63</f>
        <v>7309.5871789536095</v>
      </c>
      <c r="I62" s="28">
        <f>Country_details!DL63</f>
        <v>5464.7147435946918</v>
      </c>
      <c r="J62" s="28">
        <f>Country_details!DW63</f>
        <v>4322.7378856696178</v>
      </c>
      <c r="K62" s="28">
        <f>Country_details!EJ63</f>
        <v>9548.8410295353569</v>
      </c>
      <c r="L62" s="28">
        <f>Country_details!EW63</f>
        <v>18342.961678275235</v>
      </c>
      <c r="M62" s="28">
        <f>Country_details!FJ63</f>
        <v>7639.4185480735641</v>
      </c>
      <c r="N62" s="28">
        <f>Country_details!FT63</f>
        <v>9017.1047860796862</v>
      </c>
      <c r="O62" s="100">
        <f>Country_details!AZ63</f>
        <v>26.403050180479838</v>
      </c>
      <c r="P62" s="28">
        <f>Country_details!BY63</f>
        <v>868.29534737904714</v>
      </c>
      <c r="Q62" s="28">
        <f>Country_details!CK63</f>
        <v>526.32415506928567</v>
      </c>
      <c r="R62" s="28">
        <f>Country_details!CX63</f>
        <v>903.18376769073063</v>
      </c>
      <c r="S62" s="28">
        <f>Country_details!EG63</f>
        <v>1295.5775923987908</v>
      </c>
      <c r="T62" s="28">
        <f>Country_details!ET63</f>
        <v>2174.5262961291219</v>
      </c>
      <c r="U62" s="28">
        <f>Country_details!FG63</f>
        <v>2444.288380936172</v>
      </c>
      <c r="V62" s="100">
        <f>Country_details!FY63</f>
        <v>2.6703265355726136</v>
      </c>
      <c r="W62" s="28">
        <f>Country_details!FZ63</f>
        <v>3357.1995358054442</v>
      </c>
      <c r="X62" s="28">
        <f>Country_details!GA63</f>
        <v>749.6116325648577</v>
      </c>
      <c r="Y62" s="28">
        <f>Country_details!GB63</f>
        <v>464.28877754256411</v>
      </c>
      <c r="Z62" s="28">
        <f>Country_details!GC63</f>
        <v>836.28100064023863</v>
      </c>
      <c r="AA62" s="28">
        <f>Country_details!GD63</f>
        <v>1215.8113467946637</v>
      </c>
      <c r="AB62" s="28">
        <f>Country_details!GE63</f>
        <v>2115.7278107980719</v>
      </c>
      <c r="AC62" s="28">
        <f>Country_details!GF63</f>
        <v>2226.3964569296268</v>
      </c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</row>
    <row r="63" spans="1:55" x14ac:dyDescent="0.2">
      <c r="A63" s="8" t="str">
        <f>Country_details!A64</f>
        <v>Haiti</v>
      </c>
      <c r="B63" s="28">
        <f>INDEX(Country_details!$A$9:$AS$156,MATCH(Country_results!A63,Country_details!$A$9:$A$156,0),MATCH(Country_results!$B$5,Country_details!$A$6:$AS$6,0))</f>
        <v>-423.42349411511918</v>
      </c>
      <c r="C63" s="28">
        <f t="shared" si="0"/>
        <v>4280.232120914251</v>
      </c>
      <c r="D63" s="28">
        <f>Country_details!BA64</f>
        <v>11731.769413538119</v>
      </c>
      <c r="E63" s="28">
        <f>Country_details!BG64</f>
        <v>4489.4661271389868</v>
      </c>
      <c r="F63" s="28">
        <f>Country_details!CA64</f>
        <v>5016.4750963345068</v>
      </c>
      <c r="G63" s="28">
        <f>Country_details!CN64</f>
        <v>10075.182698572775</v>
      </c>
      <c r="H63" s="28">
        <f>Country_details!DA64</f>
        <v>6819.1074594088286</v>
      </c>
      <c r="I63" s="28">
        <f>Country_details!DL64</f>
        <v>5148.1987534795289</v>
      </c>
      <c r="J63" s="28">
        <f>Country_details!DW64</f>
        <v>4280.232120914251</v>
      </c>
      <c r="K63" s="28">
        <f>Country_details!EJ64</f>
        <v>8907.9121685149803</v>
      </c>
      <c r="L63" s="28">
        <f>Country_details!EW64</f>
        <v>17028.822780109407</v>
      </c>
      <c r="M63" s="28">
        <f>Country_details!FJ64</f>
        <v>7199.0284939272196</v>
      </c>
      <c r="N63" s="28">
        <f>Country_details!FT64</f>
        <v>8935.0240249828366</v>
      </c>
      <c r="O63" s="100">
        <f>Country_details!AZ64</f>
        <v>22.457476910907754</v>
      </c>
      <c r="P63" s="28">
        <f>Country_details!BY64</f>
        <v>818.39293520165006</v>
      </c>
      <c r="Q63" s="28">
        <f>Country_details!CK64</f>
        <v>513.96640005865095</v>
      </c>
      <c r="R63" s="28">
        <f>Country_details!CX64</f>
        <v>850.62870568089204</v>
      </c>
      <c r="S63" s="28">
        <f>Country_details!EG64</f>
        <v>1224.6452085454255</v>
      </c>
      <c r="T63" s="28">
        <f>Country_details!ET64</f>
        <v>2058.0727979477128</v>
      </c>
      <c r="U63" s="28">
        <f>Country_details!FG64</f>
        <v>2315.7319652202309</v>
      </c>
      <c r="V63" s="100">
        <f>Country_details!FY64</f>
        <v>2.5266299843234683</v>
      </c>
      <c r="W63" s="28">
        <f>Country_details!FZ64</f>
        <v>3055.8158903091444</v>
      </c>
      <c r="X63" s="28">
        <f>Country_details!GA64</f>
        <v>704.49726986233713</v>
      </c>
      <c r="Y63" s="28">
        <f>Country_details!GB64</f>
        <v>453.70066470835832</v>
      </c>
      <c r="Z63" s="28">
        <f>Country_details!GC64</f>
        <v>787.79756018433011</v>
      </c>
      <c r="AA63" s="28">
        <f>Country_details!GD64</f>
        <v>1148.4200755396355</v>
      </c>
      <c r="AB63" s="28">
        <f>Country_details!GE64</f>
        <v>2003.0122177091246</v>
      </c>
      <c r="AC63" s="28">
        <f>Country_details!GF64</f>
        <v>2104.6560633673157</v>
      </c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</row>
    <row r="64" spans="1:55" x14ac:dyDescent="0.2">
      <c r="A64" s="8" t="str">
        <f>Country_details!A65</f>
        <v>Honduras</v>
      </c>
      <c r="B64" s="28">
        <f>INDEX(Country_details!$A$9:$AS$156,MATCH(Country_results!A64,Country_details!$A$9:$A$156,0),MATCH(Country_results!$B$5,Country_details!$A$6:$AS$6,0))</f>
        <v>1707.983001020084</v>
      </c>
      <c r="C64" s="28">
        <f t="shared" si="0"/>
        <v>4708.4392974618168</v>
      </c>
      <c r="D64" s="28">
        <f>Country_details!BA65</f>
        <v>17289.603996939546</v>
      </c>
      <c r="E64" s="28">
        <f>Country_details!BG65</f>
        <v>4708.4392974618168</v>
      </c>
      <c r="F64" s="28">
        <f>Country_details!CA65</f>
        <v>5142.9146999310724</v>
      </c>
      <c r="G64" s="28">
        <f>Country_details!CN65</f>
        <v>11551.0760648981</v>
      </c>
      <c r="H64" s="28">
        <f>Country_details!DA65</f>
        <v>6921.8966561140242</v>
      </c>
      <c r="I64" s="28">
        <f>Country_details!DL65</f>
        <v>5287.2367682507365</v>
      </c>
      <c r="J64" s="28">
        <f>Country_details!DW65</f>
        <v>5708.6429888324892</v>
      </c>
      <c r="K64" s="28">
        <f>Country_details!EJ65</f>
        <v>9079.2770714924554</v>
      </c>
      <c r="L64" s="28">
        <f>Country_details!EW65</f>
        <v>17439.92968910062</v>
      </c>
      <c r="M64" s="28">
        <f>Country_details!FJ65</f>
        <v>7276.4088026771396</v>
      </c>
      <c r="N64" s="28">
        <f>Country_details!FT65</f>
        <v>9101.4580128504476</v>
      </c>
      <c r="O64" s="100">
        <f>Country_details!AZ65</f>
        <v>33.608830408904204</v>
      </c>
      <c r="P64" s="28">
        <f>Country_details!BY65</f>
        <v>840.85260162998748</v>
      </c>
      <c r="Q64" s="28">
        <f>Country_details!CK65</f>
        <v>584.97592347714078</v>
      </c>
      <c r="R64" s="28">
        <f>Country_details!CX65</f>
        <v>877.07374308335136</v>
      </c>
      <c r="S64" s="28">
        <f>Country_details!EG65</f>
        <v>1264.984264117162</v>
      </c>
      <c r="T64" s="28">
        <f>Country_details!ET65</f>
        <v>2133.2325403027767</v>
      </c>
      <c r="U64" s="28">
        <f>Country_details!FG65</f>
        <v>2368.3922326756456</v>
      </c>
      <c r="V64" s="100">
        <f>Country_details!FY65</f>
        <v>2.9332337468871437</v>
      </c>
      <c r="W64" s="28">
        <f>Country_details!FZ65</f>
        <v>3035.5775736707665</v>
      </c>
      <c r="X64" s="28">
        <f>Country_details!GA65</f>
        <v>714.20042736048799</v>
      </c>
      <c r="Y64" s="28">
        <f>Country_details!GB65</f>
        <v>518.27290680926922</v>
      </c>
      <c r="Z64" s="28">
        <f>Country_details!GC65</f>
        <v>806.29357150346243</v>
      </c>
      <c r="AA64" s="28">
        <f>Country_details!GD65</f>
        <v>1180.3331675222582</v>
      </c>
      <c r="AB64" s="28">
        <f>Country_details!GE65</f>
        <v>2070.9302708375094</v>
      </c>
      <c r="AC64" s="28">
        <f>Country_details!GF65</f>
        <v>2139.1960472858027</v>
      </c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</row>
    <row r="65" spans="1:55" x14ac:dyDescent="0.2">
      <c r="A65" s="8" t="str">
        <f>Country_details!A66</f>
        <v>India</v>
      </c>
      <c r="B65" s="28">
        <f>INDEX(Country_details!$A$9:$AS$156,MATCH(Country_results!A65,Country_details!$A$9:$A$156,0),MATCH(Country_results!$B$5,Country_details!$A$6:$AS$6,0))</f>
        <v>-60145.201175924347</v>
      </c>
      <c r="C65" s="28">
        <f t="shared" ref="C65:C128" si="1">MIN(D65:N65)</f>
        <v>4067.6881148942052</v>
      </c>
      <c r="D65" s="28">
        <f>Country_details!BA66</f>
        <v>5119.8339427204201</v>
      </c>
      <c r="E65" s="28">
        <f>Country_details!BG66</f>
        <v>4067.6881148942052</v>
      </c>
      <c r="F65" s="28">
        <f>Country_details!CA66</f>
        <v>5072.1405892707835</v>
      </c>
      <c r="G65" s="28">
        <f>Country_details!CN66</f>
        <v>10264.128985313493</v>
      </c>
      <c r="H65" s="28">
        <f>Country_details!DA66</f>
        <v>6903.5174520899354</v>
      </c>
      <c r="I65" s="28">
        <f>Country_details!DL66</f>
        <v>5627.8200971673996</v>
      </c>
      <c r="J65" s="28">
        <f>Country_details!DW66</f>
        <v>4357.7916762292616</v>
      </c>
      <c r="K65" s="28">
        <f>Country_details!EJ66</f>
        <v>8868.8308125975364</v>
      </c>
      <c r="L65" s="28">
        <f>Country_details!EW66</f>
        <v>16586.081760555586</v>
      </c>
      <c r="M65" s="28">
        <f>Country_details!FJ66</f>
        <v>7119.6913880899383</v>
      </c>
      <c r="N65" s="28">
        <f>Country_details!FT66</f>
        <v>8603.901414721222</v>
      </c>
      <c r="O65" s="100">
        <f>Country_details!AZ66</f>
        <v>9.3357748352214838</v>
      </c>
      <c r="P65" s="28">
        <f>Country_details!BY66</f>
        <v>828.28088460480456</v>
      </c>
      <c r="Q65" s="28">
        <f>Country_details!CK66</f>
        <v>510.57339056623852</v>
      </c>
      <c r="R65" s="28">
        <f>Country_details!CX66</f>
        <v>840.76615684679189</v>
      </c>
      <c r="S65" s="28">
        <f>Country_details!EG66</f>
        <v>1190.0048171332242</v>
      </c>
      <c r="T65" s="28">
        <f>Country_details!ET66</f>
        <v>1960.3908954736116</v>
      </c>
      <c r="U65" s="28">
        <f>Country_details!FG66</f>
        <v>2249.1678487693689</v>
      </c>
      <c r="V65" s="100">
        <f>Country_details!FY66</f>
        <v>2.5455272572904866</v>
      </c>
      <c r="W65" s="28">
        <f>Country_details!FZ66</f>
        <v>2902.1641106577226</v>
      </c>
      <c r="X65" s="28">
        <f>Country_details!GA66</f>
        <v>658.25593985677926</v>
      </c>
      <c r="Y65" s="28">
        <f>Country_details!GB66</f>
        <v>420.65571003008989</v>
      </c>
      <c r="Z65" s="28">
        <f>Country_details!GC66</f>
        <v>735.49991134156949</v>
      </c>
      <c r="AA65" s="28">
        <f>Country_details!GD66</f>
        <v>1071.0757074821743</v>
      </c>
      <c r="AB65" s="28">
        <f>Country_details!GE66</f>
        <v>1867.0148406657388</v>
      </c>
      <c r="AC65" s="28">
        <f>Country_details!GF66</f>
        <v>1960.6031373541034</v>
      </c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</row>
    <row r="66" spans="1:55" x14ac:dyDescent="0.2">
      <c r="A66" s="8" t="str">
        <f>Country_details!A67</f>
        <v>Indonesia</v>
      </c>
      <c r="B66" s="28">
        <f>INDEX(Country_details!$A$9:$AS$156,MATCH(Country_results!A66,Country_details!$A$9:$A$156,0),MATCH(Country_results!$B$5,Country_details!$A$6:$AS$6,0))</f>
        <v>739.29247988500174</v>
      </c>
      <c r="C66" s="28">
        <f t="shared" si="1"/>
        <v>4756.5126385947606</v>
      </c>
      <c r="D66" s="28">
        <f>Country_details!BA67</f>
        <v>8390.4307054615529</v>
      </c>
      <c r="E66" s="28">
        <f>Country_details!BG67</f>
        <v>4756.5126385947606</v>
      </c>
      <c r="F66" s="28">
        <f>Country_details!CA67</f>
        <v>5189.5904813476382</v>
      </c>
      <c r="G66" s="28">
        <f>Country_details!CN67</f>
        <v>11685.578684379654</v>
      </c>
      <c r="H66" s="28">
        <f>Country_details!DA67</f>
        <v>6895.5713636665332</v>
      </c>
      <c r="I66" s="28">
        <f>Country_details!DL67</f>
        <v>5921.52883502654</v>
      </c>
      <c r="J66" s="28">
        <f>Country_details!DW67</f>
        <v>5590.08305639434</v>
      </c>
      <c r="K66" s="28">
        <f>Country_details!EJ67</f>
        <v>8876.9669957959286</v>
      </c>
      <c r="L66" s="28">
        <f>Country_details!EW67</f>
        <v>16605.160131672157</v>
      </c>
      <c r="M66" s="28">
        <f>Country_details!FJ67</f>
        <v>7090.3414109253918</v>
      </c>
      <c r="N66" s="28">
        <f>Country_details!FT67</f>
        <v>8917.3328788657236</v>
      </c>
      <c r="O66" s="100">
        <f>Country_details!AZ67</f>
        <v>15.753346276725235</v>
      </c>
      <c r="P66" s="28">
        <f>Country_details!BY67</f>
        <v>849.14369438161418</v>
      </c>
      <c r="Q66" s="28">
        <f>Country_details!CK67</f>
        <v>582.10895806126302</v>
      </c>
      <c r="R66" s="28">
        <f>Country_details!CX67</f>
        <v>858.06491528388449</v>
      </c>
      <c r="S66" s="28">
        <f>Country_details!EG67</f>
        <v>1216.3910407669707</v>
      </c>
      <c r="T66" s="28">
        <f>Country_details!ET67</f>
        <v>2006.996979254154</v>
      </c>
      <c r="U66" s="28">
        <f>Country_details!FG67</f>
        <v>2278.724260345869</v>
      </c>
      <c r="V66" s="100">
        <f>Country_details!FY67</f>
        <v>2.9754863630528092</v>
      </c>
      <c r="W66" s="28">
        <f>Country_details!FZ67</f>
        <v>2788.2135237368548</v>
      </c>
      <c r="X66" s="28">
        <f>Country_details!GA67</f>
        <v>655.97506056935492</v>
      </c>
      <c r="Y66" s="28">
        <f>Country_details!GB67</f>
        <v>476.27283914103333</v>
      </c>
      <c r="Z66" s="28">
        <f>Country_details!GC67</f>
        <v>740.28008393792845</v>
      </c>
      <c r="AA66" s="28">
        <f>Country_details!GD67</f>
        <v>1083.7435848584073</v>
      </c>
      <c r="AB66" s="28">
        <f>Country_details!GE67</f>
        <v>1901.5670379400626</v>
      </c>
      <c r="AC66" s="28">
        <f>Country_details!GF67</f>
        <v>1964.863495167021</v>
      </c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</row>
    <row r="67" spans="1:55" x14ac:dyDescent="0.2">
      <c r="A67" s="8" t="str">
        <f>Country_details!A68</f>
        <v>Iran</v>
      </c>
      <c r="B67" s="28">
        <f>INDEX(Country_details!$A$9:$AS$156,MATCH(Country_results!A67,Country_details!$A$9:$A$156,0),MATCH(Country_results!$B$5,Country_details!$A$6:$AS$6,0))</f>
        <v>7761.38710089919</v>
      </c>
      <c r="C67" s="28">
        <f t="shared" si="1"/>
        <v>3764.5996012440341</v>
      </c>
      <c r="D67" s="28">
        <f>Country_details!BA68</f>
        <v>3999.1669665600057</v>
      </c>
      <c r="E67" s="28">
        <f>Country_details!BG68</f>
        <v>3764.5996012440341</v>
      </c>
      <c r="F67" s="28">
        <f>Country_details!CA68</f>
        <v>5186.4049965070235</v>
      </c>
      <c r="G67" s="28">
        <f>Country_details!CN68</f>
        <v>10502.729976108933</v>
      </c>
      <c r="H67" s="28">
        <f>Country_details!DA68</f>
        <v>7045.6780347367221</v>
      </c>
      <c r="I67" s="28">
        <f>Country_details!DL68</f>
        <v>5747.7018501066159</v>
      </c>
      <c r="J67" s="28">
        <f>Country_details!DW68</f>
        <v>4378.9564373014373</v>
      </c>
      <c r="K67" s="28">
        <f>Country_details!EJ68</f>
        <v>9074.4905389686955</v>
      </c>
      <c r="L67" s="28">
        <f>Country_details!EW68</f>
        <v>17052.762051107093</v>
      </c>
      <c r="M67" s="28">
        <f>Country_details!FJ68</f>
        <v>7273.2720464654021</v>
      </c>
      <c r="N67" s="28">
        <f>Country_details!FT68</f>
        <v>8818.5137953559024</v>
      </c>
      <c r="O67" s="100">
        <f>Country_details!AZ68</f>
        <v>7.1542156057871562</v>
      </c>
      <c r="P67" s="28">
        <f>Country_details!BY68</f>
        <v>848.5778516796629</v>
      </c>
      <c r="Q67" s="28">
        <f>Country_details!CK68</f>
        <v>523.88931598711986</v>
      </c>
      <c r="R67" s="28">
        <f>Country_details!CX68</f>
        <v>863.75581795705875</v>
      </c>
      <c r="S67" s="28">
        <f>Country_details!EG68</f>
        <v>1224.3896639377988</v>
      </c>
      <c r="T67" s="28">
        <f>Country_details!ET68</f>
        <v>2022.6348099122756</v>
      </c>
      <c r="U67" s="28">
        <f>Country_details!FG68</f>
        <v>2311.4138155543997</v>
      </c>
      <c r="V67" s="100">
        <f>Country_details!FY68</f>
        <v>2.5509101428442951</v>
      </c>
      <c r="W67" s="28">
        <f>Country_details!FZ68</f>
        <v>3005.1566157977736</v>
      </c>
      <c r="X67" s="28">
        <f>Country_details!GA68</f>
        <v>681.37053867154771</v>
      </c>
      <c r="Y67" s="28">
        <f>Country_details!GB68</f>
        <v>433.09366679438511</v>
      </c>
      <c r="Z67" s="28">
        <f>Country_details!GC68</f>
        <v>761.1614865624141</v>
      </c>
      <c r="AA67" s="28">
        <f>Country_details!GD68</f>
        <v>1108.2612739210188</v>
      </c>
      <c r="AB67" s="28">
        <f>Country_details!GE68</f>
        <v>1931.3339233246209</v>
      </c>
      <c r="AC67" s="28">
        <f>Country_details!GF68</f>
        <v>2029.3797861060937</v>
      </c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</row>
    <row r="68" spans="1:55" x14ac:dyDescent="0.2">
      <c r="A68" s="8" t="str">
        <f>Country_details!A69</f>
        <v>Iraq</v>
      </c>
      <c r="B68" s="28">
        <f>INDEX(Country_details!$A$9:$AS$156,MATCH(Country_results!A68,Country_details!$A$9:$A$156,0),MATCH(Country_results!$B$5,Country_details!$A$6:$AS$6,0))</f>
        <v>-825.03181993701992</v>
      </c>
      <c r="C68" s="28">
        <f t="shared" si="1"/>
        <v>3599.6755926632322</v>
      </c>
      <c r="D68" s="28">
        <f>Country_details!BA69</f>
        <v>3640.0526406666204</v>
      </c>
      <c r="E68" s="28">
        <f>Country_details!BG69</f>
        <v>3599.6755926632322</v>
      </c>
      <c r="F68" s="28">
        <f>Country_details!CA69</f>
        <v>5080.2976522722893</v>
      </c>
      <c r="G68" s="28">
        <f>Country_details!CN69</f>
        <v>10372.7425181211</v>
      </c>
      <c r="H68" s="28">
        <f>Country_details!DA69</f>
        <v>6912.5407174312413</v>
      </c>
      <c r="I68" s="28">
        <f>Country_details!DL69</f>
        <v>5658.1110077025724</v>
      </c>
      <c r="J68" s="28">
        <f>Country_details!DW69</f>
        <v>4287.9542968144187</v>
      </c>
      <c r="K68" s="28">
        <f>Country_details!EJ69</f>
        <v>8917.0907173036121</v>
      </c>
      <c r="L68" s="28">
        <f>Country_details!EW69</f>
        <v>16790.238965157663</v>
      </c>
      <c r="M68" s="28">
        <f>Country_details!FJ69</f>
        <v>7140.9085284154744</v>
      </c>
      <c r="N68" s="28">
        <f>Country_details!FT69</f>
        <v>8721.998852625462</v>
      </c>
      <c r="O68" s="100">
        <f>Country_details!AZ69</f>
        <v>6.4551415822454299</v>
      </c>
      <c r="P68" s="28">
        <f>Country_details!BY69</f>
        <v>829.72983658533519</v>
      </c>
      <c r="Q68" s="28">
        <f>Country_details!CK69</f>
        <v>518.30144531295116</v>
      </c>
      <c r="R68" s="28">
        <f>Country_details!CX69</f>
        <v>847.1890095850049</v>
      </c>
      <c r="S68" s="28">
        <f>Country_details!EG69</f>
        <v>1203.9933849220495</v>
      </c>
      <c r="T68" s="28">
        <f>Country_details!ET69</f>
        <v>1995.2885795311595</v>
      </c>
      <c r="U68" s="28">
        <f>Country_details!FG69</f>
        <v>2267.6214751679986</v>
      </c>
      <c r="V68" s="100">
        <f>Country_details!FY69</f>
        <v>2.5138976578407699</v>
      </c>
      <c r="W68" s="28">
        <f>Country_details!FZ69</f>
        <v>2960.7295541217127</v>
      </c>
      <c r="X68" s="28">
        <f>Country_details!GA69</f>
        <v>673.63287007761164</v>
      </c>
      <c r="Y68" s="28">
        <f>Country_details!GB69</f>
        <v>429.71876052846926</v>
      </c>
      <c r="Z68" s="28">
        <f>Country_details!GC69</f>
        <v>752.65536138962398</v>
      </c>
      <c r="AA68" s="28">
        <f>Country_details!GD69</f>
        <v>1096.1823209652052</v>
      </c>
      <c r="AB68" s="28">
        <f>Country_details!GE69</f>
        <v>1910.7075498781808</v>
      </c>
      <c r="AC68" s="28">
        <f>Country_details!GF69</f>
        <v>2007.6212315789783</v>
      </c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</row>
    <row r="69" spans="1:55" x14ac:dyDescent="0.2">
      <c r="A69" s="8" t="str">
        <f>Country_details!A70</f>
        <v>Ireland</v>
      </c>
      <c r="B69" s="28">
        <f>INDEX(Country_details!$A$9:$AS$156,MATCH(Country_results!A69,Country_details!$A$9:$A$156,0),MATCH(Country_results!$B$5,Country_details!$A$6:$AS$6,0))</f>
        <v>3840.3866690437453</v>
      </c>
      <c r="C69" s="28">
        <f t="shared" si="1"/>
        <v>2193.3674519800388</v>
      </c>
      <c r="D69" s="28">
        <f>Country_details!BA70</f>
        <v>2622.4506257312032</v>
      </c>
      <c r="E69" s="28">
        <f>Country_details!BG70</f>
        <v>2193.3674519800388</v>
      </c>
      <c r="F69" s="28">
        <f>Country_details!CA70</f>
        <v>3423.2659335838352</v>
      </c>
      <c r="G69" s="28">
        <f>Country_details!CN70</f>
        <v>7420.2392665025782</v>
      </c>
      <c r="H69" s="28">
        <f>Country_details!DA70</f>
        <v>4994.1359842337406</v>
      </c>
      <c r="I69" s="28">
        <f>Country_details!DL70</f>
        <v>3284.8844787278867</v>
      </c>
      <c r="J69" s="28">
        <f>Country_details!DW70</f>
        <v>3911.8869006834475</v>
      </c>
      <c r="K69" s="28">
        <f>Country_details!EJ70</f>
        <v>6477.2447605677989</v>
      </c>
      <c r="L69" s="28">
        <f>Country_details!EW70</f>
        <v>12171.702813498836</v>
      </c>
      <c r="M69" s="28">
        <f>Country_details!FJ70</f>
        <v>5268.8367493194391</v>
      </c>
      <c r="N69" s="28">
        <f>Country_details!FT70</f>
        <v>6242.0187321926851</v>
      </c>
      <c r="O69" s="100">
        <f>Country_details!AZ70</f>
        <v>4.4742149423088557</v>
      </c>
      <c r="P69" s="28">
        <f>Country_details!BY70</f>
        <v>535.38867602883352</v>
      </c>
      <c r="Q69" s="28">
        <f>Country_details!CK70</f>
        <v>368.00864505341406</v>
      </c>
      <c r="R69" s="28">
        <f>Country_details!CX70</f>
        <v>568.41160495614906</v>
      </c>
      <c r="S69" s="28">
        <f>Country_details!EG70</f>
        <v>829.05642322880772</v>
      </c>
      <c r="T69" s="28">
        <f>Country_details!ET70</f>
        <v>1410.8703844575648</v>
      </c>
      <c r="U69" s="28">
        <f>Country_details!FG70</f>
        <v>1556.991425488601</v>
      </c>
      <c r="V69" s="100">
        <f>Country_details!FY70</f>
        <v>2.7200400839930605</v>
      </c>
      <c r="W69" s="28">
        <f>Country_details!FZ70</f>
        <v>2079.921601379152</v>
      </c>
      <c r="X69" s="28">
        <f>Country_details!GA70</f>
        <v>481.52138994858848</v>
      </c>
      <c r="Y69" s="28">
        <f>Country_details!GB70</f>
        <v>343.94458368478672</v>
      </c>
      <c r="Z69" s="28">
        <f>Country_details!GC70</f>
        <v>541.64139293466167</v>
      </c>
      <c r="AA69" s="28">
        <f>Country_details!GD70</f>
        <v>792.03993876194113</v>
      </c>
      <c r="AB69" s="28">
        <f>Country_details!GE70</f>
        <v>1388.4754592061972</v>
      </c>
      <c r="AC69" s="28">
        <f>Country_details!GF70</f>
        <v>1438.4461087477991</v>
      </c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</row>
    <row r="70" spans="1:55" x14ac:dyDescent="0.2">
      <c r="A70" s="8" t="str">
        <f>Country_details!A71</f>
        <v>Israel</v>
      </c>
      <c r="B70" s="28">
        <f>INDEX(Country_details!$A$9:$AS$156,MATCH(Country_results!A70,Country_details!$A$9:$A$156,0),MATCH(Country_results!$B$5,Country_details!$A$6:$AS$6,0))</f>
        <v>-451.06824490711347</v>
      </c>
      <c r="C70" s="28">
        <f t="shared" si="1"/>
        <v>2790.372913218619</v>
      </c>
      <c r="D70" s="28">
        <f>Country_details!BA71</f>
        <v>2790.372913218619</v>
      </c>
      <c r="E70" s="28">
        <f>Country_details!BG71</f>
        <v>2793.2389638659843</v>
      </c>
      <c r="F70" s="28">
        <f>Country_details!CA71</f>
        <v>3897.9611714117914</v>
      </c>
      <c r="G70" s="28">
        <f>Country_details!CN71</f>
        <v>7757.7293007705384</v>
      </c>
      <c r="H70" s="28">
        <f>Country_details!DA71</f>
        <v>5492.3841153452868</v>
      </c>
      <c r="I70" s="28">
        <f>Country_details!DL71</f>
        <v>4062.98656981778</v>
      </c>
      <c r="J70" s="28">
        <f>Country_details!DW71</f>
        <v>3412.3239820880608</v>
      </c>
      <c r="K70" s="28">
        <f>Country_details!EJ71</f>
        <v>7098.8441737318608</v>
      </c>
      <c r="L70" s="28">
        <f>Country_details!EW71</f>
        <v>13267.889000770743</v>
      </c>
      <c r="M70" s="28">
        <f>Country_details!FJ71</f>
        <v>5785.1753279333789</v>
      </c>
      <c r="N70" s="28">
        <f>Country_details!FT71</f>
        <v>7078.8147573001024</v>
      </c>
      <c r="O70" s="100">
        <f>Country_details!AZ71</f>
        <v>4.8011027902500976</v>
      </c>
      <c r="P70" s="28">
        <f>Country_details!BY71</f>
        <v>619.70954064300986</v>
      </c>
      <c r="Q70" s="28">
        <f>Country_details!CK71</f>
        <v>389.60800927466039</v>
      </c>
      <c r="R70" s="28">
        <f>Country_details!CX71</f>
        <v>642.82455375479356</v>
      </c>
      <c r="S70" s="28">
        <f>Country_details!EG71</f>
        <v>927.89332157426406</v>
      </c>
      <c r="T70" s="28">
        <f>Country_details!ET71</f>
        <v>1556.7812814443821</v>
      </c>
      <c r="U70" s="28">
        <f>Country_details!FG71</f>
        <v>1756.5127865203563</v>
      </c>
      <c r="V70" s="100">
        <f>Country_details!FY71</f>
        <v>1.9336289154364663</v>
      </c>
      <c r="W70" s="28">
        <f>Country_details!FZ71</f>
        <v>2315.0551808265809</v>
      </c>
      <c r="X70" s="28">
        <f>Country_details!GA71</f>
        <v>533.80980617265743</v>
      </c>
      <c r="Y70" s="28">
        <f>Country_details!GB71</f>
        <v>344.17956540897109</v>
      </c>
      <c r="Z70" s="28">
        <f>Country_details!GC71</f>
        <v>596.00812639516676</v>
      </c>
      <c r="AA70" s="28">
        <f>Country_details!GD71</f>
        <v>868.9636432845324</v>
      </c>
      <c r="AB70" s="28">
        <f>Country_details!GE71</f>
        <v>1515.8452566324772</v>
      </c>
      <c r="AC70" s="28">
        <f>Country_details!GF71</f>
        <v>1594.9851780729543</v>
      </c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</row>
    <row r="71" spans="1:55" x14ac:dyDescent="0.2">
      <c r="A71" s="8" t="str">
        <f>Country_details!A72</f>
        <v>Italy</v>
      </c>
      <c r="B71" s="28">
        <f>INDEX(Country_details!$A$9:$AS$156,MATCH(Country_results!A71,Country_details!$A$9:$A$156,0),MATCH(Country_results!$B$5,Country_details!$A$6:$AS$6,0))</f>
        <v>640.6612601403981</v>
      </c>
      <c r="C71" s="28">
        <f t="shared" si="1"/>
        <v>2183.7089098089286</v>
      </c>
      <c r="D71" s="28">
        <f>Country_details!BA72</f>
        <v>2428.933213810471</v>
      </c>
      <c r="E71" s="28">
        <f>Country_details!BG72</f>
        <v>2183.7089098089286</v>
      </c>
      <c r="F71" s="28">
        <f>Country_details!CA72</f>
        <v>3520.6259671061607</v>
      </c>
      <c r="G71" s="28">
        <f>Country_details!CN72</f>
        <v>7682.0029334593582</v>
      </c>
      <c r="H71" s="28">
        <f>Country_details!DA72</f>
        <v>5008.7153108720349</v>
      </c>
      <c r="I71" s="28">
        <f>Country_details!DL72</f>
        <v>3543.0977514377378</v>
      </c>
      <c r="J71" s="28">
        <f>Country_details!DW72</f>
        <v>4004.1138137552484</v>
      </c>
      <c r="K71" s="28">
        <f>Country_details!EJ72</f>
        <v>6476.2509238183657</v>
      </c>
      <c r="L71" s="28">
        <f>Country_details!EW72</f>
        <v>12053.609315482945</v>
      </c>
      <c r="M71" s="28">
        <f>Country_details!FJ72</f>
        <v>5290.2663936745148</v>
      </c>
      <c r="N71" s="28">
        <f>Country_details!FT72</f>
        <v>6504.5888809642365</v>
      </c>
      <c r="O71" s="100">
        <f>Country_details!AZ72</f>
        <v>4.0975020516708716</v>
      </c>
      <c r="P71" s="28">
        <f>Country_details!BY72</f>
        <v>552.68289250977284</v>
      </c>
      <c r="Q71" s="28">
        <f>Country_details!CK72</f>
        <v>383.64348289413488</v>
      </c>
      <c r="R71" s="28">
        <f>Country_details!CX72</f>
        <v>578.42328439446487</v>
      </c>
      <c r="S71" s="28">
        <f>Country_details!EG72</f>
        <v>839.84627030306387</v>
      </c>
      <c r="T71" s="28">
        <f>Country_details!ET72</f>
        <v>1417.3971459880565</v>
      </c>
      <c r="U71" s="28">
        <f>Country_details!FG72</f>
        <v>1580.9303271315091</v>
      </c>
      <c r="V71" s="100">
        <f>Country_details!FY72</f>
        <v>1.9729098524063626</v>
      </c>
      <c r="W71" s="28">
        <f>Country_details!FZ72</f>
        <v>2016.5547273108805</v>
      </c>
      <c r="X71" s="28">
        <f>Country_details!GA72</f>
        <v>477.41238931003613</v>
      </c>
      <c r="Y71" s="28">
        <f>Country_details!GB72</f>
        <v>347.22037681556776</v>
      </c>
      <c r="Z71" s="28">
        <f>Country_details!GC72</f>
        <v>537.71511511098436</v>
      </c>
      <c r="AA71" s="28">
        <f>Country_details!GD72</f>
        <v>787.59397295607641</v>
      </c>
      <c r="AB71" s="28">
        <f>Country_details!GE72</f>
        <v>1382.3799007199468</v>
      </c>
      <c r="AC71" s="28">
        <f>Country_details!GF72</f>
        <v>1431.8636597396694</v>
      </c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</row>
    <row r="72" spans="1:55" x14ac:dyDescent="0.2">
      <c r="A72" s="8" t="str">
        <f>Country_details!A73</f>
        <v>Jamaica</v>
      </c>
      <c r="B72" s="28">
        <f>INDEX(Country_details!$A$9:$AS$156,MATCH(Country_results!A72,Country_details!$A$9:$A$156,0),MATCH(Country_results!$B$5,Country_details!$A$6:$AS$6,0))</f>
        <v>488.03009172974168</v>
      </c>
      <c r="C72" s="28">
        <f t="shared" si="1"/>
        <v>4407.1857067388464</v>
      </c>
      <c r="D72" s="28">
        <f>Country_details!BA73</f>
        <v>15306.99168099143</v>
      </c>
      <c r="E72" s="28">
        <f>Country_details!BG73</f>
        <v>4848.092832373899</v>
      </c>
      <c r="F72" s="28">
        <f>Country_details!CA73</f>
        <v>5303.4214633384336</v>
      </c>
      <c r="G72" s="28">
        <f>Country_details!CN73</f>
        <v>10602.441899284877</v>
      </c>
      <c r="H72" s="28">
        <f>Country_details!DA73</f>
        <v>7214.6206309396302</v>
      </c>
      <c r="I72" s="28">
        <f>Country_details!DL73</f>
        <v>5443.4814630066976</v>
      </c>
      <c r="J72" s="28">
        <f>Country_details!DW73</f>
        <v>4407.1857067388464</v>
      </c>
      <c r="K72" s="28">
        <f>Country_details!EJ73</f>
        <v>9443.184627154631</v>
      </c>
      <c r="L72" s="28">
        <f>Country_details!EW73</f>
        <v>18152.771899235824</v>
      </c>
      <c r="M72" s="28">
        <f>Country_details!FJ73</f>
        <v>7594.8560928041234</v>
      </c>
      <c r="N72" s="28">
        <f>Country_details!FT73</f>
        <v>9296.1818916282045</v>
      </c>
      <c r="O72" s="100">
        <f>Country_details!AZ73</f>
        <v>29.630876323936068</v>
      </c>
      <c r="P72" s="28">
        <f>Country_details!BY73</f>
        <v>869.36367144576877</v>
      </c>
      <c r="Q72" s="28">
        <f>Country_details!CK73</f>
        <v>539.54120716728562</v>
      </c>
      <c r="R72" s="28">
        <f>Country_details!CX73</f>
        <v>904.85979934295483</v>
      </c>
      <c r="S72" s="28">
        <f>Country_details!EG73</f>
        <v>1301.405849681872</v>
      </c>
      <c r="T72" s="28">
        <f>Country_details!ET73</f>
        <v>2188.449356275285</v>
      </c>
      <c r="U72" s="28">
        <f>Country_details!FG73</f>
        <v>2457.781021993982</v>
      </c>
      <c r="V72" s="100">
        <f>Country_details!FY73</f>
        <v>2.6413584073547751</v>
      </c>
      <c r="W72" s="28">
        <f>Country_details!FZ73</f>
        <v>3296.7873360367785</v>
      </c>
      <c r="X72" s="28">
        <f>Country_details!GA73</f>
        <v>751.64674806570531</v>
      </c>
      <c r="Y72" s="28">
        <f>Country_details!GB73</f>
        <v>476.48148405005992</v>
      </c>
      <c r="Z72" s="28">
        <f>Country_details!GC73</f>
        <v>839.86353635260627</v>
      </c>
      <c r="AA72" s="28">
        <f>Country_details!GD73</f>
        <v>1223.0915184934779</v>
      </c>
      <c r="AB72" s="28">
        <f>Country_details!GE73</f>
        <v>2131.314220526061</v>
      </c>
      <c r="AC72" s="28">
        <f>Country_details!GF73</f>
        <v>2241.0300236778103</v>
      </c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</row>
    <row r="73" spans="1:55" x14ac:dyDescent="0.2">
      <c r="A73" s="8" t="str">
        <f>Country_details!A74</f>
        <v>Japan</v>
      </c>
      <c r="B73" s="28">
        <f>INDEX(Country_details!$A$9:$AS$156,MATCH(Country_results!A73,Country_details!$A$9:$A$156,0),MATCH(Country_results!$B$5,Country_details!$A$6:$AS$6,0))</f>
        <v>6665.4063652856657</v>
      </c>
      <c r="C73" s="28">
        <f t="shared" si="1"/>
        <v>3042.6709063654325</v>
      </c>
      <c r="D73" s="28">
        <f>Country_details!BA74</f>
        <v>5322.8122986831286</v>
      </c>
      <c r="E73" s="28">
        <f>Country_details!BG74</f>
        <v>3042.6709063654325</v>
      </c>
      <c r="F73" s="28">
        <f>Country_details!CA74</f>
        <v>3965.5205014102294</v>
      </c>
      <c r="G73" s="28">
        <f>Country_details!CN74</f>
        <v>9000.9771892576082</v>
      </c>
      <c r="H73" s="28">
        <f>Country_details!DA74</f>
        <v>5452.9320846181927</v>
      </c>
      <c r="I73" s="28">
        <f>Country_details!DL74</f>
        <v>5139.8520500755485</v>
      </c>
      <c r="J73" s="28">
        <f>Country_details!DW74</f>
        <v>4164.6428039242055</v>
      </c>
      <c r="K73" s="28">
        <f>Country_details!EJ74</f>
        <v>6894.6755431381562</v>
      </c>
      <c r="L73" s="28">
        <f>Country_details!EW74</f>
        <v>12400.727271637039</v>
      </c>
      <c r="M73" s="28">
        <f>Country_details!FJ74</f>
        <v>5482.5408712315084</v>
      </c>
      <c r="N73" s="28">
        <f>Country_details!FT74</f>
        <v>6804.8534600035437</v>
      </c>
      <c r="O73" s="100">
        <f>Country_details!AZ74</f>
        <v>9.7309049811485036</v>
      </c>
      <c r="P73" s="28">
        <f>Country_details!BY74</f>
        <v>631.71021110325876</v>
      </c>
      <c r="Q73" s="28">
        <f>Country_details!CK74</f>
        <v>435.10612405768705</v>
      </c>
      <c r="R73" s="28">
        <f>Country_details!CX74</f>
        <v>623.89325156305893</v>
      </c>
      <c r="S73" s="28">
        <f>Country_details!EG74</f>
        <v>880.23818642042988</v>
      </c>
      <c r="T73" s="28">
        <f>Country_details!ET74</f>
        <v>1430.1006517053431</v>
      </c>
      <c r="U73" s="28">
        <f>Country_details!FG74</f>
        <v>1631.7739418928347</v>
      </c>
      <c r="V73" s="100">
        <f>Country_details!FY74</f>
        <v>2.0028497353939385</v>
      </c>
      <c r="W73" s="28">
        <f>Country_details!FZ74</f>
        <v>1982.3434223524698</v>
      </c>
      <c r="X73" s="28">
        <f>Country_details!GA74</f>
        <v>462.68669394207728</v>
      </c>
      <c r="Y73" s="28">
        <f>Country_details!GB74</f>
        <v>332.65662884493855</v>
      </c>
      <c r="Z73" s="28">
        <f>Country_details!GC74</f>
        <v>520.57607868822242</v>
      </c>
      <c r="AA73" s="28">
        <f>Country_details!GD74</f>
        <v>761.70958799089101</v>
      </c>
      <c r="AB73" s="28">
        <f>Country_details!GE74</f>
        <v>1335.9242180099354</v>
      </c>
      <c r="AC73" s="28">
        <f>Country_details!GF74</f>
        <v>1384.2733479664789</v>
      </c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</row>
    <row r="74" spans="1:55" x14ac:dyDescent="0.2">
      <c r="A74" s="8" t="str">
        <f>Country_details!A75</f>
        <v>Jordan</v>
      </c>
      <c r="B74" s="28">
        <f>INDEX(Country_details!$A$9:$AS$156,MATCH(Country_results!A74,Country_details!$A$9:$A$156,0),MATCH(Country_results!$B$5,Country_details!$A$6:$AS$6,0))</f>
        <v>22.540922120127334</v>
      </c>
      <c r="C74" s="28">
        <f t="shared" si="1"/>
        <v>2999.960220609446</v>
      </c>
      <c r="D74" s="28">
        <f>Country_details!BA75</f>
        <v>3115.4468087708133</v>
      </c>
      <c r="E74" s="28">
        <f>Country_details!BG75</f>
        <v>2999.960220609446</v>
      </c>
      <c r="F74" s="28">
        <f>Country_details!CA75</f>
        <v>4201.095584906192</v>
      </c>
      <c r="G74" s="28">
        <f>Country_details!CN75</f>
        <v>8501.8081085555004</v>
      </c>
      <c r="H74" s="28">
        <f>Country_details!DA75</f>
        <v>5829.4687983800104</v>
      </c>
      <c r="I74" s="28">
        <f>Country_details!DL75</f>
        <v>4436.5030149728491</v>
      </c>
      <c r="J74" s="28">
        <f>Country_details!DW75</f>
        <v>3686.9928282031074</v>
      </c>
      <c r="K74" s="28">
        <f>Country_details!EJ75</f>
        <v>7525.0372222281949</v>
      </c>
      <c r="L74" s="28">
        <f>Country_details!EW75</f>
        <v>14084.463881530688</v>
      </c>
      <c r="M74" s="28">
        <f>Country_details!FJ75</f>
        <v>6111.514885473608</v>
      </c>
      <c r="N74" s="28">
        <f>Country_details!FT75</f>
        <v>7630.9113035409146</v>
      </c>
      <c r="O74" s="100">
        <f>Country_details!AZ75</f>
        <v>5.4339116194348245</v>
      </c>
      <c r="P74" s="28">
        <f>Country_details!BY75</f>
        <v>673.55578514530475</v>
      </c>
      <c r="Q74" s="28">
        <f>Country_details!CK75</f>
        <v>429.66189509593107</v>
      </c>
      <c r="R74" s="28">
        <f>Country_details!CX75</f>
        <v>698.55950236513013</v>
      </c>
      <c r="S74" s="28">
        <f>Country_details!EG75</f>
        <v>1003.1435978592051</v>
      </c>
      <c r="T74" s="28">
        <f>Country_details!ET75</f>
        <v>1676.7573129209218</v>
      </c>
      <c r="U74" s="28">
        <f>Country_details!FG75</f>
        <v>1893.6738505633534</v>
      </c>
      <c r="V74" s="100">
        <f>Country_details!FY75</f>
        <v>2.0645418884251492</v>
      </c>
      <c r="W74" s="28">
        <f>Country_details!FZ75</f>
        <v>2446.9873810668896</v>
      </c>
      <c r="X74" s="28">
        <f>Country_details!GA75</f>
        <v>569.91586040643017</v>
      </c>
      <c r="Y74" s="28">
        <f>Country_details!GB75</f>
        <v>371.71493312771827</v>
      </c>
      <c r="Z74" s="28">
        <f>Country_details!GC75</f>
        <v>637.10413060078827</v>
      </c>
      <c r="AA74" s="28">
        <f>Country_details!GD75</f>
        <v>929.6117446178838</v>
      </c>
      <c r="AB74" s="28">
        <f>Country_details!GE75</f>
        <v>1622.7010407123585</v>
      </c>
      <c r="AC74" s="28">
        <f>Country_details!GF75</f>
        <v>1705.8365344594813</v>
      </c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</row>
    <row r="75" spans="1:55" x14ac:dyDescent="0.2">
      <c r="A75" s="8" t="str">
        <f>Country_details!A76</f>
        <v>Kazakhstan</v>
      </c>
      <c r="B75" s="28">
        <f>INDEX(Country_details!$A$9:$AS$156,MATCH(Country_results!A75,Country_details!$A$9:$A$156,0),MATCH(Country_results!$B$5,Country_details!$A$6:$AS$6,0))</f>
        <v>16897.721584147956</v>
      </c>
      <c r="C75" s="28">
        <f t="shared" si="1"/>
        <v>3951.695888913775</v>
      </c>
      <c r="D75" s="28">
        <f>Country_details!BA76</f>
        <v>3951.695888913775</v>
      </c>
      <c r="E75" s="28">
        <f>Country_details!BG76</f>
        <v>4248.9107009694253</v>
      </c>
      <c r="F75" s="28" t="str">
        <f>Country_details!CA76</f>
        <v/>
      </c>
      <c r="G75" s="28" t="str">
        <f>Country_details!CN76</f>
        <v/>
      </c>
      <c r="H75" s="28" t="str">
        <f>Country_details!DA76</f>
        <v/>
      </c>
      <c r="I75" s="28" t="str">
        <f>Country_details!DL76</f>
        <v/>
      </c>
      <c r="J75" s="28" t="str">
        <f>Country_details!DW76</f>
        <v/>
      </c>
      <c r="K75" s="28" t="str">
        <f>Country_details!EJ76</f>
        <v/>
      </c>
      <c r="L75" s="28" t="str">
        <f>Country_details!EW76</f>
        <v/>
      </c>
      <c r="M75" s="28" t="str">
        <f>Country_details!FJ76</f>
        <v/>
      </c>
      <c r="N75" s="28" t="str">
        <f>Country_details!FT76</f>
        <v/>
      </c>
      <c r="O75" s="100">
        <f>Country_details!AZ76</f>
        <v>7.0618054877294751</v>
      </c>
      <c r="P75" s="28" t="str">
        <f>Country_details!BY76</f>
        <v/>
      </c>
      <c r="Q75" s="28" t="str">
        <f>Country_details!CK76</f>
        <v/>
      </c>
      <c r="R75" s="28" t="str">
        <f>Country_details!CX76</f>
        <v/>
      </c>
      <c r="S75" s="28" t="str">
        <f>Country_details!EG76</f>
        <v/>
      </c>
      <c r="T75" s="28" t="str">
        <f>Country_details!ET76</f>
        <v/>
      </c>
      <c r="U75" s="28" t="str">
        <f>Country_details!FG76</f>
        <v/>
      </c>
      <c r="V75" s="100">
        <f>Country_details!FY76</f>
        <v>2.8021058344273979</v>
      </c>
      <c r="W75" s="28">
        <f>Country_details!FZ76</f>
        <v>3548.0361365246754</v>
      </c>
      <c r="X75" s="28">
        <f>Country_details!GA76</f>
        <v>774.13250527029061</v>
      </c>
      <c r="Y75" s="28">
        <f>Country_details!GB76</f>
        <v>466.7980285765513</v>
      </c>
      <c r="Z75" s="28">
        <f>Country_details!GC76</f>
        <v>862.24377087949654</v>
      </c>
      <c r="AA75" s="28">
        <f>Country_details!GD76</f>
        <v>1251.1325758304663</v>
      </c>
      <c r="AB75" s="28">
        <f>Country_details!GE76</f>
        <v>2173.7834318212758</v>
      </c>
      <c r="AC75" s="28">
        <f>Country_details!GF76</f>
        <v>2289.158099330718</v>
      </c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</row>
    <row r="76" spans="1:55" x14ac:dyDescent="0.2">
      <c r="A76" s="8" t="str">
        <f>Country_details!A77</f>
        <v>Kenya</v>
      </c>
      <c r="B76" s="28">
        <f>INDEX(Country_details!$A$9:$AS$156,MATCH(Country_results!A76,Country_details!$A$9:$A$156,0),MATCH(Country_results!$B$5,Country_details!$A$6:$AS$6,0))</f>
        <v>89.157958278914521</v>
      </c>
      <c r="C76" s="28">
        <f t="shared" si="1"/>
        <v>4165.4628300621025</v>
      </c>
      <c r="D76" s="28">
        <f>Country_details!BA77</f>
        <v>5821.0494785936726</v>
      </c>
      <c r="E76" s="28">
        <f>Country_details!BG77</f>
        <v>4165.4628300621025</v>
      </c>
      <c r="F76" s="28">
        <f>Country_details!CA77</f>
        <v>5149.2586499384606</v>
      </c>
      <c r="G76" s="28">
        <f>Country_details!CN77</f>
        <v>10493.10330804793</v>
      </c>
      <c r="H76" s="28">
        <f>Country_details!DA77</f>
        <v>6988.4358981343948</v>
      </c>
      <c r="I76" s="28">
        <f>Country_details!DL77</f>
        <v>5665.5341151248276</v>
      </c>
      <c r="J76" s="28">
        <f>Country_details!DW77</f>
        <v>4366.0342548134786</v>
      </c>
      <c r="K76" s="28">
        <f>Country_details!EJ77</f>
        <v>9026.4530807583506</v>
      </c>
      <c r="L76" s="28">
        <f>Country_details!EW77</f>
        <v>17028.353745518536</v>
      </c>
      <c r="M76" s="28">
        <f>Country_details!FJ77</f>
        <v>7238.1610060431058</v>
      </c>
      <c r="N76" s="28">
        <f>Country_details!FT77</f>
        <v>8872.1889014865228</v>
      </c>
      <c r="O76" s="100">
        <f>Country_details!AZ77</f>
        <v>10.700804104976697</v>
      </c>
      <c r="P76" s="28">
        <f>Country_details!BY77</f>
        <v>841.9794874865629</v>
      </c>
      <c r="Q76" s="28">
        <f>Country_details!CK77</f>
        <v>526.12943045752081</v>
      </c>
      <c r="R76" s="28">
        <f>Country_details!CX77</f>
        <v>861.2556985693335</v>
      </c>
      <c r="S76" s="28">
        <f>Country_details!EG77</f>
        <v>1224.8733583118558</v>
      </c>
      <c r="T76" s="28">
        <f>Country_details!ET77</f>
        <v>2031.7690310045482</v>
      </c>
      <c r="U76" s="28">
        <f>Country_details!FG77</f>
        <v>2309.2068416095335</v>
      </c>
      <c r="V76" s="100">
        <f>Country_details!FY77</f>
        <v>2.559632475347366</v>
      </c>
      <c r="W76" s="28">
        <f>Country_details!FZ77</f>
        <v>3007.3448519405997</v>
      </c>
      <c r="X76" s="28">
        <f>Country_details!GA77</f>
        <v>686.15395364957794</v>
      </c>
      <c r="Y76" s="28">
        <f>Country_details!GB77</f>
        <v>439.12728526983307</v>
      </c>
      <c r="Z76" s="28">
        <f>Country_details!GC77</f>
        <v>766.88872907184293</v>
      </c>
      <c r="AA76" s="28">
        <f>Country_details!GD77</f>
        <v>1117.1617507915632</v>
      </c>
      <c r="AB76" s="28">
        <f>Country_details!GE77</f>
        <v>1947.6352452329727</v>
      </c>
      <c r="AC76" s="28">
        <f>Country_details!GF77</f>
        <v>2045.9545622576525</v>
      </c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</row>
    <row r="77" spans="1:55" x14ac:dyDescent="0.2">
      <c r="A77" s="8" t="str">
        <f>Country_details!A78</f>
        <v>North Korea</v>
      </c>
      <c r="B77" s="28">
        <f>INDEX(Country_details!$A$9:$AS$156,MATCH(Country_results!A77,Country_details!$A$9:$A$156,0),MATCH(Country_results!$B$5,Country_details!$A$6:$AS$6,0))</f>
        <v>-337.07029961870967</v>
      </c>
      <c r="C77" s="28">
        <f t="shared" si="1"/>
        <v>3611.7667694057664</v>
      </c>
      <c r="D77" s="28">
        <f>Country_details!BA78</f>
        <v>5629.3532212023247</v>
      </c>
      <c r="E77" s="28">
        <f>Country_details!BG78</f>
        <v>3611.7667694057664</v>
      </c>
      <c r="F77" s="28">
        <f>Country_details!CA78</f>
        <v>4644.6554404201343</v>
      </c>
      <c r="G77" s="28">
        <f>Country_details!CN78</f>
        <v>10604.213693373904</v>
      </c>
      <c r="H77" s="28">
        <f>Country_details!DA78</f>
        <v>6269.0737779844449</v>
      </c>
      <c r="I77" s="28">
        <f>Country_details!DL78</f>
        <v>5769.9463616921003</v>
      </c>
      <c r="J77" s="28">
        <f>Country_details!DW78</f>
        <v>4873.6790974264222</v>
      </c>
      <c r="K77" s="28">
        <f>Country_details!EJ78</f>
        <v>8009.7989560236338</v>
      </c>
      <c r="L77" s="28">
        <f>Country_details!EW78</f>
        <v>14762.00070045258</v>
      </c>
      <c r="M77" s="28">
        <f>Country_details!FJ78</f>
        <v>6341.8802057608491</v>
      </c>
      <c r="N77" s="28">
        <f>Country_details!FT78</f>
        <v>7873.9278701088915</v>
      </c>
      <c r="O77" s="100">
        <f>Country_details!AZ78</f>
        <v>10.327636385702126</v>
      </c>
      <c r="P77" s="28">
        <f>Country_details!BY78</f>
        <v>752.34602263791294</v>
      </c>
      <c r="Q77" s="28">
        <f>Country_details!CK78</f>
        <v>518.40176678854311</v>
      </c>
      <c r="R77" s="28">
        <f>Country_details!CX78</f>
        <v>750.49552544800258</v>
      </c>
      <c r="S77" s="28">
        <f>Country_details!EG78</f>
        <v>1060.6906590203471</v>
      </c>
      <c r="T77" s="28">
        <f>Country_details!ET78</f>
        <v>1739.4391861813654</v>
      </c>
      <c r="U77" s="28">
        <f>Country_details!FG78</f>
        <v>1969.637416045364</v>
      </c>
      <c r="V77" s="100">
        <f>Country_details!FY78</f>
        <v>2.2165779423180529</v>
      </c>
      <c r="W77" s="28">
        <f>Country_details!FZ78</f>
        <v>2440.3939708690523</v>
      </c>
      <c r="X77" s="28">
        <f>Country_details!GA78</f>
        <v>566.77451989755082</v>
      </c>
      <c r="Y77" s="28">
        <f>Country_details!GB78</f>
        <v>406.31972969449271</v>
      </c>
      <c r="Z77" s="28">
        <f>Country_details!GC78</f>
        <v>638.45783818300151</v>
      </c>
      <c r="AA77" s="28">
        <f>Country_details!GD78</f>
        <v>933.79089394470691</v>
      </c>
      <c r="AB77" s="28">
        <f>Country_details!GE78</f>
        <v>1637.2121806765333</v>
      </c>
      <c r="AC77" s="28">
        <f>Country_details!GF78</f>
        <v>1693.9533730151741</v>
      </c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</row>
    <row r="78" spans="1:55" x14ac:dyDescent="0.2">
      <c r="A78" s="8" t="str">
        <f>Country_details!A79</f>
        <v>South Korea</v>
      </c>
      <c r="B78" s="28">
        <f>INDEX(Country_details!$A$9:$AS$156,MATCH(Country_results!A78,Country_details!$A$9:$A$156,0),MATCH(Country_results!$B$5,Country_details!$A$6:$AS$6,0))</f>
        <v>-4.4681482621699615</v>
      </c>
      <c r="C78" s="28">
        <f t="shared" si="1"/>
        <v>3941.2831728982023</v>
      </c>
      <c r="D78" s="28">
        <f>Country_details!BA79</f>
        <v>5101.332223627137</v>
      </c>
      <c r="E78" s="28">
        <f>Country_details!BG79</f>
        <v>4062.0390862661984</v>
      </c>
      <c r="F78" s="28">
        <f>Country_details!CA79</f>
        <v>4993.0337181546083</v>
      </c>
      <c r="G78" s="28">
        <f>Country_details!CN79</f>
        <v>10264.468348511415</v>
      </c>
      <c r="H78" s="28">
        <f>Country_details!DA79</f>
        <v>6801.4647863205328</v>
      </c>
      <c r="I78" s="28">
        <f>Country_details!DL79</f>
        <v>6166.0466399793258</v>
      </c>
      <c r="J78" s="28">
        <f>Country_details!DW79</f>
        <v>3941.2831728982023</v>
      </c>
      <c r="K78" s="28">
        <f>Country_details!EJ79</f>
        <v>8674.3069441820899</v>
      </c>
      <c r="L78" s="28">
        <f>Country_details!EW79</f>
        <v>16065.991433355339</v>
      </c>
      <c r="M78" s="28">
        <f>Country_details!FJ79</f>
        <v>6876.0144885011687</v>
      </c>
      <c r="N78" s="28">
        <f>Country_details!FT79</f>
        <v>8246.570275795144</v>
      </c>
      <c r="O78" s="100">
        <f>Country_details!AZ79</f>
        <v>9.2997582514307826</v>
      </c>
      <c r="P78" s="28">
        <f>Country_details!BY79</f>
        <v>814.22900618285234</v>
      </c>
      <c r="Q78" s="28">
        <f>Country_details!CK79</f>
        <v>500.6343050525204</v>
      </c>
      <c r="R78" s="28">
        <f>Country_details!CX79</f>
        <v>810.56743033782539</v>
      </c>
      <c r="S78" s="28">
        <f>Country_details!EG79</f>
        <v>1139.5092139727312</v>
      </c>
      <c r="T78" s="28">
        <f>Country_details!ET79</f>
        <v>1862.5509836495178</v>
      </c>
      <c r="U78" s="28">
        <f>Country_details!FG79</f>
        <v>2135.669653608164</v>
      </c>
      <c r="V78" s="100">
        <f>Country_details!FY79</f>
        <v>2.1844559879421159</v>
      </c>
      <c r="W78" s="28">
        <f>Country_details!FZ79</f>
        <v>2795.9421457130443</v>
      </c>
      <c r="X78" s="28">
        <f>Country_details!GA79</f>
        <v>623.29248659633868</v>
      </c>
      <c r="Y78" s="28">
        <f>Country_details!GB79</f>
        <v>384.27729804799606</v>
      </c>
      <c r="Z78" s="28">
        <f>Country_details!GC79</f>
        <v>694.47865114148601</v>
      </c>
      <c r="AA78" s="28">
        <f>Country_details!GD79</f>
        <v>1009.5156164986423</v>
      </c>
      <c r="AB78" s="28">
        <f>Country_details!GE79</f>
        <v>1756.4416362583208</v>
      </c>
      <c r="AC78" s="28">
        <f>Country_details!GF79</f>
        <v>1850.898316091771</v>
      </c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</row>
    <row r="79" spans="1:55" x14ac:dyDescent="0.2">
      <c r="A79" s="8" t="str">
        <f>Country_details!A80</f>
        <v>Kuwait</v>
      </c>
      <c r="B79" s="28">
        <f>INDEX(Country_details!$A$9:$AS$156,MATCH(Country_results!A79,Country_details!$A$9:$A$156,0),MATCH(Country_results!$B$5,Country_details!$A$6:$AS$6,0))</f>
        <v>-136.4318041692589</v>
      </c>
      <c r="C79" s="28">
        <f t="shared" si="1"/>
        <v>2868.4314712519313</v>
      </c>
      <c r="D79" s="28">
        <f>Country_details!BA80</f>
        <v>3122.3039296006377</v>
      </c>
      <c r="E79" s="28">
        <f>Country_details!BG80</f>
        <v>2868.4314712519313</v>
      </c>
      <c r="F79" s="28">
        <f>Country_details!CA80</f>
        <v>4067.2249254261324</v>
      </c>
      <c r="G79" s="28">
        <f>Country_details!CN80</f>
        <v>8317.0763301306088</v>
      </c>
      <c r="H79" s="28">
        <f>Country_details!DA80</f>
        <v>5622.4131353030907</v>
      </c>
      <c r="I79" s="28">
        <f>Country_details!DL80</f>
        <v>4693.829753482778</v>
      </c>
      <c r="J79" s="28">
        <f>Country_details!DW80</f>
        <v>3470.3917291911198</v>
      </c>
      <c r="K79" s="28">
        <f>Country_details!EJ80</f>
        <v>7188.6400570205496</v>
      </c>
      <c r="L79" s="28">
        <f>Country_details!EW80</f>
        <v>13224.669231617692</v>
      </c>
      <c r="M79" s="28">
        <f>Country_details!FJ80</f>
        <v>5816.7247027782105</v>
      </c>
      <c r="N79" s="28">
        <f>Country_details!FT80</f>
        <v>7306.6086308712765</v>
      </c>
      <c r="O79" s="100">
        <f>Country_details!AZ80</f>
        <v>5.4472601123875686</v>
      </c>
      <c r="P79" s="28">
        <f>Country_details!BY80</f>
        <v>649.77612852713628</v>
      </c>
      <c r="Q79" s="28">
        <f>Country_details!CK80</f>
        <v>414.56660595988041</v>
      </c>
      <c r="R79" s="28">
        <f>Country_details!CX80</f>
        <v>660.26955223737468</v>
      </c>
      <c r="S79" s="28">
        <f>Country_details!EG80</f>
        <v>941.37349159005646</v>
      </c>
      <c r="T79" s="28">
        <f>Country_details!ET80</f>
        <v>1555.4737115989694</v>
      </c>
      <c r="U79" s="28">
        <f>Country_details!FG80</f>
        <v>1772.3635128453056</v>
      </c>
      <c r="V79" s="100">
        <f>Country_details!FY80</f>
        <v>1.8161952398063972</v>
      </c>
      <c r="W79" s="28">
        <f>Country_details!FZ80</f>
        <v>2247.2836105155475</v>
      </c>
      <c r="X79" s="28">
        <f>Country_details!GA80</f>
        <v>523.05705585023736</v>
      </c>
      <c r="Y79" s="28">
        <f>Country_details!GB80</f>
        <v>338.82320665386112</v>
      </c>
      <c r="Z79" s="28">
        <f>Country_details!GC80</f>
        <v>584.09477272111337</v>
      </c>
      <c r="AA79" s="28">
        <f>Country_details!GD80</f>
        <v>852.1193406862194</v>
      </c>
      <c r="AB79" s="28">
        <f>Country_details!GE80</f>
        <v>1487.0089610783195</v>
      </c>
      <c r="AC79" s="28">
        <f>Country_details!GF80</f>
        <v>1565.576215402243</v>
      </c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</row>
    <row r="80" spans="1:55" x14ac:dyDescent="0.2">
      <c r="A80" s="8" t="str">
        <f>Country_details!A81</f>
        <v>Kyrgyzstan</v>
      </c>
      <c r="B80" s="28">
        <f>INDEX(Country_details!$A$9:$AS$156,MATCH(Country_results!A80,Country_details!$A$9:$A$156,0),MATCH(Country_results!$B$5,Country_details!$A$6:$AS$6,0))</f>
        <v>1045.6706359326936</v>
      </c>
      <c r="C80" s="28">
        <f t="shared" si="1"/>
        <v>5383.6498315492736</v>
      </c>
      <c r="D80" s="28">
        <f>Country_details!BA81</f>
        <v>5707.5307448954845</v>
      </c>
      <c r="E80" s="28">
        <f>Country_details!BG81</f>
        <v>5383.6498315492736</v>
      </c>
      <c r="F80" s="28" t="str">
        <f>Country_details!CA81</f>
        <v/>
      </c>
      <c r="G80" s="28" t="str">
        <f>Country_details!CN81</f>
        <v/>
      </c>
      <c r="H80" s="28" t="str">
        <f>Country_details!DA81</f>
        <v/>
      </c>
      <c r="I80" s="28" t="str">
        <f>Country_details!DL81</f>
        <v/>
      </c>
      <c r="J80" s="28" t="str">
        <f>Country_details!DW81</f>
        <v/>
      </c>
      <c r="K80" s="28" t="str">
        <f>Country_details!EJ81</f>
        <v/>
      </c>
      <c r="L80" s="28" t="str">
        <f>Country_details!EW81</f>
        <v/>
      </c>
      <c r="M80" s="28" t="str">
        <f>Country_details!FJ81</f>
        <v/>
      </c>
      <c r="N80" s="28" t="str">
        <f>Country_details!FT81</f>
        <v/>
      </c>
      <c r="O80" s="100">
        <f>Country_details!AZ81</f>
        <v>10.479821559331013</v>
      </c>
      <c r="P80" s="28" t="str">
        <f>Country_details!BY81</f>
        <v/>
      </c>
      <c r="Q80" s="28" t="str">
        <f>Country_details!CK81</f>
        <v/>
      </c>
      <c r="R80" s="28" t="str">
        <f>Country_details!CX81</f>
        <v/>
      </c>
      <c r="S80" s="28" t="str">
        <f>Country_details!EG81</f>
        <v/>
      </c>
      <c r="T80" s="28" t="str">
        <f>Country_details!ET81</f>
        <v/>
      </c>
      <c r="U80" s="28" t="str">
        <f>Country_details!FG81</f>
        <v/>
      </c>
      <c r="V80" s="100">
        <f>Country_details!FY81</f>
        <v>3.4262274783414801</v>
      </c>
      <c r="W80" s="28">
        <f>Country_details!FZ81</f>
        <v>4248.2601443632057</v>
      </c>
      <c r="X80" s="28">
        <f>Country_details!GA81</f>
        <v>941.30946164728323</v>
      </c>
      <c r="Y80" s="28">
        <f>Country_details!GB81</f>
        <v>579.49702897079919</v>
      </c>
      <c r="Z80" s="28">
        <f>Country_details!GC81</f>
        <v>1050.7480926485525</v>
      </c>
      <c r="AA80" s="28">
        <f>Country_details!GD81</f>
        <v>1526.6477108321953</v>
      </c>
      <c r="AB80" s="28">
        <f>Country_details!GE81</f>
        <v>2655.4276068873492</v>
      </c>
      <c r="AC80" s="28">
        <f>Country_details!GF81</f>
        <v>2791.4003071672942</v>
      </c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</row>
    <row r="81" spans="1:55" x14ac:dyDescent="0.2">
      <c r="A81" s="8" t="str">
        <f>Country_details!A82</f>
        <v>Laos</v>
      </c>
      <c r="B81" s="28">
        <f>INDEX(Country_details!$A$9:$AS$156,MATCH(Country_results!A81,Country_details!$A$9:$A$156,0),MATCH(Country_results!$B$5,Country_details!$A$6:$AS$6,0))</f>
        <v>1346.5267732191955</v>
      </c>
      <c r="C81" s="28">
        <f t="shared" si="1"/>
        <v>5723.522927579872</v>
      </c>
      <c r="D81" s="28">
        <f>Country_details!BA82</f>
        <v>7641.6360861557578</v>
      </c>
      <c r="E81" s="28">
        <f>Country_details!BG82</f>
        <v>5723.522927579872</v>
      </c>
      <c r="F81" s="28" t="str">
        <f>Country_details!CA82</f>
        <v/>
      </c>
      <c r="G81" s="28" t="str">
        <f>Country_details!CN82</f>
        <v/>
      </c>
      <c r="H81" s="28" t="str">
        <f>Country_details!DA82</f>
        <v/>
      </c>
      <c r="I81" s="28" t="str">
        <f>Country_details!DL82</f>
        <v/>
      </c>
      <c r="J81" s="28" t="str">
        <f>Country_details!DW82</f>
        <v/>
      </c>
      <c r="K81" s="28" t="str">
        <f>Country_details!EJ82</f>
        <v/>
      </c>
      <c r="L81" s="28" t="str">
        <f>Country_details!EW82</f>
        <v/>
      </c>
      <c r="M81" s="28" t="str">
        <f>Country_details!FJ82</f>
        <v/>
      </c>
      <c r="N81" s="28" t="str">
        <f>Country_details!FT82</f>
        <v/>
      </c>
      <c r="O81" s="100">
        <f>Country_details!AZ82</f>
        <v>14.250949368005747</v>
      </c>
      <c r="P81" s="28" t="str">
        <f>Country_details!BY82</f>
        <v/>
      </c>
      <c r="Q81" s="28" t="str">
        <f>Country_details!CK82</f>
        <v/>
      </c>
      <c r="R81" s="28" t="str">
        <f>Country_details!CX82</f>
        <v/>
      </c>
      <c r="S81" s="28" t="str">
        <f>Country_details!EG82</f>
        <v/>
      </c>
      <c r="T81" s="28" t="str">
        <f>Country_details!ET82</f>
        <v/>
      </c>
      <c r="U81" s="28" t="str">
        <f>Country_details!FG82</f>
        <v/>
      </c>
      <c r="V81" s="100">
        <f>Country_details!FY82</f>
        <v>3.1104491962750767</v>
      </c>
      <c r="W81" s="28">
        <f>Country_details!FZ82</f>
        <v>3860.8238410438098</v>
      </c>
      <c r="X81" s="28">
        <f>Country_details!GA82</f>
        <v>867.5109569629517</v>
      </c>
      <c r="Y81" s="28">
        <f>Country_details!GB82</f>
        <v>542.0743262478079</v>
      </c>
      <c r="Z81" s="28">
        <f>Country_details!GC82</f>
        <v>969.00129078030352</v>
      </c>
      <c r="AA81" s="28">
        <f>Country_details!GD82</f>
        <v>1409.4922812809928</v>
      </c>
      <c r="AB81" s="28">
        <f>Country_details!GE82</f>
        <v>2453.8768848489403</v>
      </c>
      <c r="AC81" s="28">
        <f>Country_details!GF82</f>
        <v>2579.3685153918982</v>
      </c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</row>
    <row r="82" spans="1:55" x14ac:dyDescent="0.2">
      <c r="A82" s="8" t="str">
        <f>Country_details!A83</f>
        <v>Lebanon</v>
      </c>
      <c r="B82" s="28">
        <f>INDEX(Country_details!$A$9:$AS$156,MATCH(Country_results!A82,Country_details!$A$9:$A$156,0),MATCH(Country_results!$B$5,Country_details!$A$6:$AS$6,0))</f>
        <v>-184.65639577723576</v>
      </c>
      <c r="C82" s="28">
        <f t="shared" si="1"/>
        <v>3392.0491904455694</v>
      </c>
      <c r="D82" s="28">
        <f>Country_details!BA83</f>
        <v>3419.5561545521359</v>
      </c>
      <c r="E82" s="28">
        <f>Country_details!BG83</f>
        <v>3392.0491904455694</v>
      </c>
      <c r="F82" s="28">
        <f>Country_details!CA83</f>
        <v>4598.8565100882388</v>
      </c>
      <c r="G82" s="28">
        <f>Country_details!CN83</f>
        <v>9080.0914947426882</v>
      </c>
      <c r="H82" s="28">
        <f>Country_details!DA83</f>
        <v>6419.2015679014548</v>
      </c>
      <c r="I82" s="28">
        <f>Country_details!DL83</f>
        <v>4714.4469749133941</v>
      </c>
      <c r="J82" s="28">
        <f>Country_details!DW83</f>
        <v>3821.6014809515973</v>
      </c>
      <c r="K82" s="28">
        <f>Country_details!EJ83</f>
        <v>8365.5043298311375</v>
      </c>
      <c r="L82" s="28">
        <f>Country_details!EW83</f>
        <v>15938.156224676673</v>
      </c>
      <c r="M82" s="28">
        <f>Country_details!FJ83</f>
        <v>6743.1382493225738</v>
      </c>
      <c r="N82" s="28">
        <f>Country_details!FT83</f>
        <v>8073.5495560657109</v>
      </c>
      <c r="O82" s="100">
        <f>Country_details!AZ83</f>
        <v>6.0259095672279379</v>
      </c>
      <c r="P82" s="28">
        <f>Country_details!BY83</f>
        <v>744.21068632895776</v>
      </c>
      <c r="Q82" s="28">
        <f>Country_details!CK83</f>
        <v>457.07240467398736</v>
      </c>
      <c r="R82" s="28">
        <f>Country_details!CX83</f>
        <v>776.52152437745713</v>
      </c>
      <c r="S82" s="28">
        <f>Country_details!EG83</f>
        <v>1118.9531733616132</v>
      </c>
      <c r="T82" s="28">
        <f>Country_details!ET83</f>
        <v>1882.6877508801797</v>
      </c>
      <c r="U82" s="28">
        <f>Country_details!FG83</f>
        <v>2112.8184785589074</v>
      </c>
      <c r="V82" s="100">
        <f>Country_details!FY83</f>
        <v>2.2705071535560428</v>
      </c>
      <c r="W82" s="28">
        <f>Country_details!FZ83</f>
        <v>2876.8174209898561</v>
      </c>
      <c r="X82" s="28">
        <f>Country_details!GA83</f>
        <v>650.01612317898594</v>
      </c>
      <c r="Y82" s="28">
        <f>Country_details!GB83</f>
        <v>407.20886942662878</v>
      </c>
      <c r="Z82" s="28">
        <f>Country_details!GC83</f>
        <v>725.17335477918061</v>
      </c>
      <c r="AA82" s="28">
        <f>Country_details!GD83</f>
        <v>1055.3011070923051</v>
      </c>
      <c r="AB82" s="28">
        <f>Country_details!GE83</f>
        <v>1837.7804917299352</v>
      </c>
      <c r="AC82" s="28">
        <f>Country_details!GF83</f>
        <v>1934.9860211001842</v>
      </c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</row>
    <row r="83" spans="1:55" x14ac:dyDescent="0.2">
      <c r="A83" s="8" t="str">
        <f>Country_details!A84</f>
        <v>Liberia</v>
      </c>
      <c r="B83" s="28">
        <f>INDEX(Country_details!$A$9:$AS$156,MATCH(Country_results!A83,Country_details!$A$9:$A$156,0),MATCH(Country_results!$B$5,Country_details!$A$6:$AS$6,0))</f>
        <v>175.40715544064955</v>
      </c>
      <c r="C83" s="28">
        <f t="shared" si="1"/>
        <v>4479.6071387463853</v>
      </c>
      <c r="D83" s="28">
        <f>Country_details!BA84</f>
        <v>5345.9310125967831</v>
      </c>
      <c r="E83" s="28">
        <f>Country_details!BG84</f>
        <v>4590.8511603561192</v>
      </c>
      <c r="F83" s="28">
        <f>Country_details!CA84</f>
        <v>5541.579398662454</v>
      </c>
      <c r="G83" s="28">
        <f>Country_details!CN84</f>
        <v>10914.72930971409</v>
      </c>
      <c r="H83" s="28">
        <f>Country_details!DA84</f>
        <v>7689.4288275037788</v>
      </c>
      <c r="I83" s="28">
        <f>Country_details!DL84</f>
        <v>5587.7873459647599</v>
      </c>
      <c r="J83" s="28">
        <f>Country_details!DW84</f>
        <v>4479.6071387463853</v>
      </c>
      <c r="K83" s="28">
        <f>Country_details!EJ84</f>
        <v>10091.9189514135</v>
      </c>
      <c r="L83" s="28">
        <f>Country_details!EW84</f>
        <v>19559.728598687911</v>
      </c>
      <c r="M83" s="28">
        <f>Country_details!FJ84</f>
        <v>8038.2431993779819</v>
      </c>
      <c r="N83" s="28">
        <f>Country_details!FT84</f>
        <v>9324.3668974130469</v>
      </c>
      <c r="O83" s="100">
        <f>Country_details!AZ84</f>
        <v>9.7759092908889222</v>
      </c>
      <c r="P83" s="28">
        <f>Country_details!BY84</f>
        <v>911.66804153621968</v>
      </c>
      <c r="Q83" s="28">
        <f>Country_details!CK84</f>
        <v>548.28015488136271</v>
      </c>
      <c r="R83" s="28">
        <f>Country_details!CX84</f>
        <v>955.84888661349873</v>
      </c>
      <c r="S83" s="28">
        <f>Country_details!EG84</f>
        <v>1373.929545209978</v>
      </c>
      <c r="T83" s="28">
        <f>Country_details!ET84</f>
        <v>2315.6424854081311</v>
      </c>
      <c r="U83" s="28">
        <f>Country_details!FG84</f>
        <v>2587.0794231392879</v>
      </c>
      <c r="V83" s="100">
        <f>Country_details!FY84</f>
        <v>2.8950966603646733</v>
      </c>
      <c r="W83" s="28">
        <f>Country_details!FZ84</f>
        <v>3633.1074402197487</v>
      </c>
      <c r="X83" s="28">
        <f>Country_details!GA84</f>
        <v>803.34865405133132</v>
      </c>
      <c r="Y83" s="28">
        <f>Country_details!GB84</f>
        <v>492.46129134465332</v>
      </c>
      <c r="Z83" s="28">
        <f>Country_details!GC84</f>
        <v>895.91237204879053</v>
      </c>
      <c r="AA83" s="28">
        <f>Country_details!GD84</f>
        <v>1301.4557697024763</v>
      </c>
      <c r="AB83" s="28">
        <f>Country_details!GE84</f>
        <v>2263.3247781823748</v>
      </c>
      <c r="AC83" s="28">
        <f>Country_details!GF84</f>
        <v>2381.5552865935147</v>
      </c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</row>
    <row r="84" spans="1:55" x14ac:dyDescent="0.2">
      <c r="A84" s="8" t="str">
        <f>Country_details!A85</f>
        <v>Libya</v>
      </c>
      <c r="B84" s="28">
        <f>INDEX(Country_details!$A$9:$AS$156,MATCH(Country_results!A84,Country_details!$A$9:$A$156,0),MATCH(Country_results!$B$5,Country_details!$A$6:$AS$6,0))</f>
        <v>13134.653030952659</v>
      </c>
      <c r="C84" s="28">
        <f t="shared" si="1"/>
        <v>2595.3680904312982</v>
      </c>
      <c r="D84" s="28">
        <f>Country_details!BA85</f>
        <v>2890.2613106036683</v>
      </c>
      <c r="E84" s="28">
        <f>Country_details!BG85</f>
        <v>2595.3680904312982</v>
      </c>
      <c r="F84" s="28">
        <f>Country_details!CA85</f>
        <v>3799.3708827509381</v>
      </c>
      <c r="G84" s="28">
        <f>Country_details!CN85</f>
        <v>7463.7543645838441</v>
      </c>
      <c r="H84" s="28">
        <f>Country_details!DA85</f>
        <v>5306.8054224600837</v>
      </c>
      <c r="I84" s="28">
        <f>Country_details!DL85</f>
        <v>3844.0597555919321</v>
      </c>
      <c r="J84" s="28">
        <f>Country_details!DW85</f>
        <v>3462.2718580622554</v>
      </c>
      <c r="K84" s="28">
        <f>Country_details!EJ85</f>
        <v>6826.0962570064767</v>
      </c>
      <c r="L84" s="28">
        <f>Country_details!EW85</f>
        <v>12621.485585013566</v>
      </c>
      <c r="M84" s="28">
        <f>Country_details!FJ85</f>
        <v>5630.5861299418912</v>
      </c>
      <c r="N84" s="28">
        <f>Country_details!FT85</f>
        <v>7002.2071585343328</v>
      </c>
      <c r="O84" s="100">
        <f>Country_details!AZ85</f>
        <v>4.9955516852959398</v>
      </c>
      <c r="P84" s="28">
        <f>Country_details!BY85</f>
        <v>602.19679199930567</v>
      </c>
      <c r="Q84" s="28">
        <f>Country_details!CK85</f>
        <v>377.406156049419</v>
      </c>
      <c r="R84" s="28">
        <f>Country_details!CX85</f>
        <v>620.55151888260457</v>
      </c>
      <c r="S84" s="28">
        <f>Country_details!EG85</f>
        <v>893.58277332022271</v>
      </c>
      <c r="T84" s="28">
        <f>Country_details!ET85</f>
        <v>1490.7294975442944</v>
      </c>
      <c r="U84" s="28">
        <f>Country_details!FG85</f>
        <v>1706.0271854036898</v>
      </c>
      <c r="V84" s="100">
        <f>Country_details!FY85</f>
        <v>1.8699255626487159</v>
      </c>
      <c r="W84" s="28">
        <f>Country_details!FZ85</f>
        <v>2156.2742652679217</v>
      </c>
      <c r="X84" s="28">
        <f>Country_details!GA85</f>
        <v>506.41242433740808</v>
      </c>
      <c r="Y84" s="28">
        <f>Country_details!GB85</f>
        <v>334.21757152471031</v>
      </c>
      <c r="Z84" s="28">
        <f>Country_details!GC85</f>
        <v>566.14577893153273</v>
      </c>
      <c r="AA84" s="28">
        <f>Country_details!GD85</f>
        <v>826.72380671319434</v>
      </c>
      <c r="AB84" s="28">
        <f>Country_details!GE85</f>
        <v>1444.1462005699154</v>
      </c>
      <c r="AC84" s="28">
        <f>Country_details!GF85</f>
        <v>1518.0421052692864</v>
      </c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</row>
    <row r="85" spans="1:55" x14ac:dyDescent="0.2">
      <c r="A85" s="8" t="str">
        <f>Country_details!A86</f>
        <v>Macedonia</v>
      </c>
      <c r="B85" s="28">
        <f>INDEX(Country_details!$A$9:$AS$156,MATCH(Country_results!A85,Country_details!$A$9:$A$156,0),MATCH(Country_results!$B$5,Country_details!$A$6:$AS$6,0))</f>
        <v>71.575248821496587</v>
      </c>
      <c r="C85" s="28">
        <f t="shared" si="1"/>
        <v>2718.0367043209999</v>
      </c>
      <c r="D85" s="28">
        <f>Country_details!BA86</f>
        <v>2718.0367043209999</v>
      </c>
      <c r="E85" s="28">
        <f>Country_details!BG86</f>
        <v>3702.0346854187537</v>
      </c>
      <c r="F85" s="28" t="str">
        <f>Country_details!CA86</f>
        <v/>
      </c>
      <c r="G85" s="28" t="str">
        <f>Country_details!CN86</f>
        <v/>
      </c>
      <c r="H85" s="28" t="str">
        <f>Country_details!DA86</f>
        <v/>
      </c>
      <c r="I85" s="28" t="str">
        <f>Country_details!DL86</f>
        <v/>
      </c>
      <c r="J85" s="28" t="str">
        <f>Country_details!DW86</f>
        <v/>
      </c>
      <c r="K85" s="28" t="str">
        <f>Country_details!EJ86</f>
        <v/>
      </c>
      <c r="L85" s="28" t="str">
        <f>Country_details!EW86</f>
        <v/>
      </c>
      <c r="M85" s="28" t="str">
        <f>Country_details!FJ86</f>
        <v/>
      </c>
      <c r="N85" s="28" t="str">
        <f>Country_details!FT86</f>
        <v/>
      </c>
      <c r="O85" s="100">
        <f>Country_details!AZ86</f>
        <v>4.6602886791003622</v>
      </c>
      <c r="P85" s="28" t="str">
        <f>Country_details!BY86</f>
        <v/>
      </c>
      <c r="Q85" s="28" t="str">
        <f>Country_details!CK86</f>
        <v/>
      </c>
      <c r="R85" s="28" t="str">
        <f>Country_details!CX86</f>
        <v/>
      </c>
      <c r="S85" s="28" t="str">
        <f>Country_details!EG86</f>
        <v/>
      </c>
      <c r="T85" s="28" t="str">
        <f>Country_details!ET86</f>
        <v/>
      </c>
      <c r="U85" s="28" t="str">
        <f>Country_details!FG86</f>
        <v/>
      </c>
      <c r="V85" s="100">
        <f>Country_details!FY86</f>
        <v>2.7003366725813831</v>
      </c>
      <c r="W85" s="28">
        <f>Country_details!FZ86</f>
        <v>3419.1756704504969</v>
      </c>
      <c r="X85" s="28">
        <f>Country_details!GA86</f>
        <v>750.47519171361694</v>
      </c>
      <c r="Y85" s="28">
        <f>Country_details!GB86</f>
        <v>455.58311920803396</v>
      </c>
      <c r="Z85" s="28">
        <f>Country_details!GC86</f>
        <v>836.13211715265857</v>
      </c>
      <c r="AA85" s="28">
        <f>Country_details!GD86</f>
        <v>1213.8546942235532</v>
      </c>
      <c r="AB85" s="28">
        <f>Country_details!GE86</f>
        <v>2109.8626431316493</v>
      </c>
      <c r="AC85" s="28">
        <f>Country_details!GF86</f>
        <v>2221.7616645688609</v>
      </c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</row>
    <row r="86" spans="1:55" x14ac:dyDescent="0.2">
      <c r="A86" s="8" t="str">
        <f>Country_details!A87</f>
        <v>Madagascar</v>
      </c>
      <c r="B86" s="28">
        <f>INDEX(Country_details!$A$9:$AS$156,MATCH(Country_results!A86,Country_details!$A$9:$A$156,0),MATCH(Country_results!$B$5,Country_details!$A$6:$AS$6,0))</f>
        <v>2855.8652555898307</v>
      </c>
      <c r="C86" s="28">
        <f t="shared" si="1"/>
        <v>6349.720577132508</v>
      </c>
      <c r="D86" s="28">
        <f>Country_details!BA87</f>
        <v>12842.620055862388</v>
      </c>
      <c r="E86" s="28">
        <f>Country_details!BG87</f>
        <v>7054.6019871359622</v>
      </c>
      <c r="F86" s="28">
        <f>Country_details!CA87</f>
        <v>7606.5728094516771</v>
      </c>
      <c r="G86" s="28">
        <f>Country_details!CN87</f>
        <v>15604.134199512113</v>
      </c>
      <c r="H86" s="28">
        <f>Country_details!DA87</f>
        <v>9959.7395444108133</v>
      </c>
      <c r="I86" s="28">
        <f>Country_details!DL87</f>
        <v>7979.2107276548131</v>
      </c>
      <c r="J86" s="28">
        <f>Country_details!DW87</f>
        <v>6349.720577132508</v>
      </c>
      <c r="K86" s="28">
        <f>Country_details!EJ87</f>
        <v>13049.246107415953</v>
      </c>
      <c r="L86" s="28">
        <f>Country_details!EW87</f>
        <v>25398.345841381153</v>
      </c>
      <c r="M86" s="28">
        <f>Country_details!FJ87</f>
        <v>10373.115780807917</v>
      </c>
      <c r="N86" s="28">
        <f>Country_details!FT87</f>
        <v>12751.905106913931</v>
      </c>
      <c r="O86" s="100">
        <f>Country_details!AZ87</f>
        <v>24.686310462922741</v>
      </c>
      <c r="P86" s="28">
        <f>Country_details!BY87</f>
        <v>1278.4760816106211</v>
      </c>
      <c r="Q86" s="28">
        <f>Country_details!CK87</f>
        <v>795.16953040633143</v>
      </c>
      <c r="R86" s="28">
        <f>Country_details!CX87</f>
        <v>1315.9384612584149</v>
      </c>
      <c r="S86" s="28">
        <f>Country_details!EG87</f>
        <v>1870.1915857729011</v>
      </c>
      <c r="T86" s="28">
        <f>Country_details!ET87</f>
        <v>3121.9422759793765</v>
      </c>
      <c r="U86" s="28">
        <f>Country_details!FG87</f>
        <v>3529.456268448514</v>
      </c>
      <c r="V86" s="100">
        <f>Country_details!FY87</f>
        <v>4.066630335389001</v>
      </c>
      <c r="W86" s="28">
        <f>Country_details!FZ87</f>
        <v>4660.4374352663244</v>
      </c>
      <c r="X86" s="28">
        <f>Country_details!GA87</f>
        <v>1057.3494921880692</v>
      </c>
      <c r="Y86" s="28">
        <f>Country_details!GB87</f>
        <v>675.73274982732971</v>
      </c>
      <c r="Z86" s="28">
        <f>Country_details!GC87</f>
        <v>1183.8580288493022</v>
      </c>
      <c r="AA86" s="28">
        <f>Country_details!GD87</f>
        <v>1723.7975435852284</v>
      </c>
      <c r="AB86" s="28">
        <f>Country_details!GE87</f>
        <v>3004.4084009740395</v>
      </c>
      <c r="AC86" s="28">
        <f>Country_details!GF87</f>
        <v>3148.9121441784778</v>
      </c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</row>
    <row r="87" spans="1:55" x14ac:dyDescent="0.2">
      <c r="A87" s="8" t="str">
        <f>Country_details!A88</f>
        <v>Malawi</v>
      </c>
      <c r="B87" s="28">
        <f>INDEX(Country_details!$A$9:$AS$156,MATCH(Country_results!A87,Country_details!$A$9:$A$156,0),MATCH(Country_results!$B$5,Country_details!$A$6:$AS$6,0))</f>
        <v>-1123.0309397989768</v>
      </c>
      <c r="C87" s="28">
        <f t="shared" si="1"/>
        <v>5463.9978804791099</v>
      </c>
      <c r="D87" s="28">
        <f>Country_details!BA88</f>
        <v>7143.8674980875421</v>
      </c>
      <c r="E87" s="28">
        <f>Country_details!BG88</f>
        <v>5463.9978804791099</v>
      </c>
      <c r="F87" s="28" t="str">
        <f>Country_details!CA88</f>
        <v/>
      </c>
      <c r="G87" s="28" t="str">
        <f>Country_details!CN88</f>
        <v/>
      </c>
      <c r="H87" s="28" t="str">
        <f>Country_details!DA88</f>
        <v/>
      </c>
      <c r="I87" s="28" t="str">
        <f>Country_details!DL88</f>
        <v/>
      </c>
      <c r="J87" s="28" t="str">
        <f>Country_details!DW88</f>
        <v/>
      </c>
      <c r="K87" s="28" t="str">
        <f>Country_details!EJ88</f>
        <v/>
      </c>
      <c r="L87" s="28" t="str">
        <f>Country_details!EW88</f>
        <v/>
      </c>
      <c r="M87" s="28" t="str">
        <f>Country_details!FJ88</f>
        <v/>
      </c>
      <c r="N87" s="28" t="str">
        <f>Country_details!FT88</f>
        <v/>
      </c>
      <c r="O87" s="100">
        <f>Country_details!AZ88</f>
        <v>13.275882982714421</v>
      </c>
      <c r="P87" s="28" t="str">
        <f>Country_details!BY88</f>
        <v/>
      </c>
      <c r="Q87" s="28" t="str">
        <f>Country_details!CK88</f>
        <v/>
      </c>
      <c r="R87" s="28" t="str">
        <f>Country_details!CX88</f>
        <v/>
      </c>
      <c r="S87" s="28" t="str">
        <f>Country_details!EG88</f>
        <v/>
      </c>
      <c r="T87" s="28" t="str">
        <f>Country_details!ET88</f>
        <v/>
      </c>
      <c r="U87" s="28" t="str">
        <f>Country_details!FG88</f>
        <v/>
      </c>
      <c r="V87" s="100">
        <f>Country_details!FY88</f>
        <v>3.0364688875781054</v>
      </c>
      <c r="W87" s="28">
        <f>Country_details!FZ88</f>
        <v>3763.0421076689609</v>
      </c>
      <c r="X87" s="28">
        <f>Country_details!GA88</f>
        <v>853.480050271089</v>
      </c>
      <c r="Y87" s="28">
        <f>Country_details!GB88</f>
        <v>538.71539987363758</v>
      </c>
      <c r="Z87" s="28">
        <f>Country_details!GC88</f>
        <v>953.90550690244788</v>
      </c>
      <c r="AA87" s="28">
        <f>Country_details!GD88</f>
        <v>1388.583712474948</v>
      </c>
      <c r="AB87" s="28">
        <f>Country_details!GE88</f>
        <v>2418.9389486952687</v>
      </c>
      <c r="AC87" s="28">
        <f>Country_details!GF88</f>
        <v>2542.0379539124815</v>
      </c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</row>
    <row r="88" spans="1:55" x14ac:dyDescent="0.2">
      <c r="A88" s="8" t="str">
        <f>Country_details!A89</f>
        <v>Malaysia</v>
      </c>
      <c r="B88" s="28">
        <f>INDEX(Country_details!$A$9:$AS$156,MATCH(Country_results!A88,Country_details!$A$9:$A$156,0),MATCH(Country_results!$B$5,Country_details!$A$6:$AS$6,0))</f>
        <v>277.36194887643614</v>
      </c>
      <c r="C88" s="28">
        <f t="shared" si="1"/>
        <v>3818.8643452880892</v>
      </c>
      <c r="D88" s="28">
        <f>Country_details!BA89</f>
        <v>6348.46061244267</v>
      </c>
      <c r="E88" s="28">
        <f>Country_details!BG89</f>
        <v>4181.5525117690395</v>
      </c>
      <c r="F88" s="28">
        <f>Country_details!CA89</f>
        <v>4751.6329163010678</v>
      </c>
      <c r="G88" s="28">
        <f>Country_details!CN89</f>
        <v>9633.6704407540965</v>
      </c>
      <c r="H88" s="28">
        <f>Country_details!DA89</f>
        <v>6557.0584843018351</v>
      </c>
      <c r="I88" s="28">
        <f>Country_details!DL89</f>
        <v>5592.677047274793</v>
      </c>
      <c r="J88" s="28">
        <f>Country_details!DW89</f>
        <v>3818.8643452880892</v>
      </c>
      <c r="K88" s="28">
        <f>Country_details!EJ89</f>
        <v>8393.4185275095788</v>
      </c>
      <c r="L88" s="28">
        <f>Country_details!EW89</f>
        <v>15611.644655336195</v>
      </c>
      <c r="M88" s="28">
        <f>Country_details!FJ89</f>
        <v>6688.9132767806286</v>
      </c>
      <c r="N88" s="28">
        <f>Country_details!FT89</f>
        <v>7978.8528427236261</v>
      </c>
      <c r="O88" s="100">
        <f>Country_details!AZ89</f>
        <v>11.727495041026916</v>
      </c>
      <c r="P88" s="28">
        <f>Country_details!BY89</f>
        <v>771.34860059044718</v>
      </c>
      <c r="Q88" s="28">
        <f>Country_details!CK89</f>
        <v>472.66104761748466</v>
      </c>
      <c r="R88" s="28">
        <f>Country_details!CX89</f>
        <v>778.91908208479526</v>
      </c>
      <c r="S88" s="28">
        <f>Country_details!EG89</f>
        <v>1101.1995842527124</v>
      </c>
      <c r="T88" s="28">
        <f>Country_details!ET89</f>
        <v>1811.5789584008601</v>
      </c>
      <c r="U88" s="28">
        <f>Country_details!FG89</f>
        <v>2068.3852387097804</v>
      </c>
      <c r="V88" s="100">
        <f>Country_details!FY89</f>
        <v>2.1347285626295291</v>
      </c>
      <c r="W88" s="28">
        <f>Country_details!FZ89</f>
        <v>2734.6310355809183</v>
      </c>
      <c r="X88" s="28">
        <f>Country_details!GA89</f>
        <v>611.16972864050297</v>
      </c>
      <c r="Y88" s="28">
        <f>Country_details!GB89</f>
        <v>377.77594014803697</v>
      </c>
      <c r="Z88" s="28">
        <f>Country_details!GC89</f>
        <v>680.99923220170695</v>
      </c>
      <c r="AA88" s="28">
        <f>Country_details!GD89</f>
        <v>990.12739965959088</v>
      </c>
      <c r="AB88" s="28">
        <f>Country_details!GE89</f>
        <v>1722.9891845279608</v>
      </c>
      <c r="AC88" s="28">
        <f>Country_details!GF89</f>
        <v>1815.766857971754</v>
      </c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</row>
    <row r="89" spans="1:55" x14ac:dyDescent="0.2">
      <c r="A89" s="8" t="str">
        <f>Country_details!A90</f>
        <v>Mali</v>
      </c>
      <c r="B89" s="28">
        <f>INDEX(Country_details!$A$9:$AS$156,MATCH(Country_results!A89,Country_details!$A$9:$A$156,0),MATCH(Country_results!$B$5,Country_details!$A$6:$AS$6,0))</f>
        <v>8149.2496053873856</v>
      </c>
      <c r="C89" s="28">
        <f t="shared" si="1"/>
        <v>3698.25002706139</v>
      </c>
      <c r="D89" s="28">
        <f>Country_details!BA90</f>
        <v>3965.8837062001307</v>
      </c>
      <c r="E89" s="28">
        <f>Country_details!BG90</f>
        <v>3698.25002706139</v>
      </c>
      <c r="F89" s="28" t="str">
        <f>Country_details!CA90</f>
        <v/>
      </c>
      <c r="G89" s="28" t="str">
        <f>Country_details!CN90</f>
        <v/>
      </c>
      <c r="H89" s="28" t="str">
        <f>Country_details!DA90</f>
        <v/>
      </c>
      <c r="I89" s="28" t="str">
        <f>Country_details!DL90</f>
        <v/>
      </c>
      <c r="J89" s="28" t="str">
        <f>Country_details!DW90</f>
        <v/>
      </c>
      <c r="K89" s="28" t="str">
        <f>Country_details!EJ90</f>
        <v/>
      </c>
      <c r="L89" s="28" t="str">
        <f>Country_details!EW90</f>
        <v/>
      </c>
      <c r="M89" s="28" t="str">
        <f>Country_details!FJ90</f>
        <v/>
      </c>
      <c r="N89" s="28" t="str">
        <f>Country_details!FT90</f>
        <v/>
      </c>
      <c r="O89" s="100">
        <f>Country_details!AZ90</f>
        <v>7.089424365063242</v>
      </c>
      <c r="P89" s="28" t="str">
        <f>Country_details!BY90</f>
        <v/>
      </c>
      <c r="Q89" s="28" t="str">
        <f>Country_details!CK90</f>
        <v/>
      </c>
      <c r="R89" s="28" t="str">
        <f>Country_details!CX90</f>
        <v/>
      </c>
      <c r="S89" s="28" t="str">
        <f>Country_details!EG90</f>
        <v/>
      </c>
      <c r="T89" s="28" t="str">
        <f>Country_details!ET90</f>
        <v/>
      </c>
      <c r="U89" s="28" t="str">
        <f>Country_details!FG90</f>
        <v/>
      </c>
      <c r="V89" s="100">
        <f>Country_details!FY90</f>
        <v>2.5311675214449232</v>
      </c>
      <c r="W89" s="28">
        <f>Country_details!FZ90</f>
        <v>2962.3458450057115</v>
      </c>
      <c r="X89" s="28">
        <f>Country_details!GA90</f>
        <v>684.89442640752384</v>
      </c>
      <c r="Y89" s="28">
        <f>Country_details!GB90</f>
        <v>444.41468975502596</v>
      </c>
      <c r="Z89" s="28">
        <f>Country_details!GC90</f>
        <v>766.17424905952112</v>
      </c>
      <c r="AA89" s="28">
        <f>Country_details!GD90</f>
        <v>1117.2881295324719</v>
      </c>
      <c r="AB89" s="28">
        <f>Country_details!GE90</f>
        <v>1949.4863841333695</v>
      </c>
      <c r="AC89" s="28">
        <f>Country_details!GF90</f>
        <v>2047.0513674576237</v>
      </c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</row>
    <row r="90" spans="1:55" x14ac:dyDescent="0.2">
      <c r="A90" s="8" t="str">
        <f>Country_details!A91</f>
        <v>Malta</v>
      </c>
      <c r="B90" s="28">
        <f>INDEX(Country_details!$A$9:$AS$156,MATCH(Country_results!A90,Country_details!$A$9:$A$156,0),MATCH(Country_results!$B$5,Country_details!$A$6:$AS$6,0))</f>
        <v>106.89580090304781</v>
      </c>
      <c r="C90" s="28">
        <f t="shared" si="1"/>
        <v>2405.3879908202744</v>
      </c>
      <c r="D90" s="28">
        <f>Country_details!BA91</f>
        <v>2405.3879908202744</v>
      </c>
      <c r="E90" s="28">
        <f>Country_details!BG91</f>
        <v>2790.5906638935548</v>
      </c>
      <c r="F90" s="28">
        <f>Country_details!CA91</f>
        <v>4028.6465958626291</v>
      </c>
      <c r="G90" s="28">
        <f>Country_details!CN91</f>
        <v>7870.6355228905113</v>
      </c>
      <c r="H90" s="28">
        <f>Country_details!DA91</f>
        <v>5734.1933971451872</v>
      </c>
      <c r="I90" s="28">
        <f>Country_details!DL91</f>
        <v>4075.1867851537313</v>
      </c>
      <c r="J90" s="28">
        <f>Country_details!DW91</f>
        <v>3383.9390048071637</v>
      </c>
      <c r="K90" s="28">
        <f>Country_details!EJ91</f>
        <v>7446.7406253589033</v>
      </c>
      <c r="L90" s="28">
        <f>Country_details!EW91</f>
        <v>14066.889895767121</v>
      </c>
      <c r="M90" s="28">
        <f>Country_details!FJ91</f>
        <v>6039.6108193228174</v>
      </c>
      <c r="N90" s="28">
        <f>Country_details!FT91</f>
        <v>7195.8388363081312</v>
      </c>
      <c r="O90" s="100">
        <f>Country_details!AZ91</f>
        <v>4.0516674731421665</v>
      </c>
      <c r="P90" s="28">
        <f>Country_details!BY91</f>
        <v>642.92339893361918</v>
      </c>
      <c r="Q90" s="28">
        <f>Country_details!CK91</f>
        <v>394.5181097146189</v>
      </c>
      <c r="R90" s="28">
        <f>Country_details!CX91</f>
        <v>673.1064393416849</v>
      </c>
      <c r="S90" s="28">
        <f>Country_details!EG91</f>
        <v>973.31826759945591</v>
      </c>
      <c r="T90" s="28">
        <f>Country_details!ET91</f>
        <v>1640.9068119997323</v>
      </c>
      <c r="U90" s="28">
        <f>Country_details!FG91</f>
        <v>1840.5014665280944</v>
      </c>
      <c r="V90" s="100">
        <f>Country_details!FY91</f>
        <v>1.9583831681782546</v>
      </c>
      <c r="W90" s="28">
        <f>Country_details!FZ91</f>
        <v>2513.1480732363898</v>
      </c>
      <c r="X90" s="28">
        <f>Country_details!GA91</f>
        <v>568.78388279746252</v>
      </c>
      <c r="Y90" s="28">
        <f>Country_details!GB91</f>
        <v>356.2111017243414</v>
      </c>
      <c r="Z90" s="28">
        <f>Country_details!GC91</f>
        <v>634.02220646597698</v>
      </c>
      <c r="AA90" s="28">
        <f>Country_details!GD91</f>
        <v>922.77581390371608</v>
      </c>
      <c r="AB90" s="28">
        <f>Country_details!GE91</f>
        <v>1607.0944787875815</v>
      </c>
      <c r="AC90" s="28">
        <f>Country_details!GF91</f>
        <v>1693.8281877509146</v>
      </c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</row>
    <row r="91" spans="1:55" x14ac:dyDescent="0.2">
      <c r="A91" s="8" t="str">
        <f>Country_details!A92</f>
        <v>Mauritania</v>
      </c>
      <c r="B91" s="28">
        <f>INDEX(Country_details!$A$9:$AS$156,MATCH(Country_results!A91,Country_details!$A$9:$A$156,0),MATCH(Country_results!$B$5,Country_details!$A$6:$AS$6,0))</f>
        <v>8283.9277658351075</v>
      </c>
      <c r="C91" s="28">
        <f t="shared" si="1"/>
        <v>3845.7324398186111</v>
      </c>
      <c r="D91" s="28">
        <f>Country_details!BA92</f>
        <v>4510.4539937198397</v>
      </c>
      <c r="E91" s="28">
        <f>Country_details!BG92</f>
        <v>3845.7324398186111</v>
      </c>
      <c r="F91" s="28">
        <f>Country_details!CA92</f>
        <v>5093.4173547297805</v>
      </c>
      <c r="G91" s="28">
        <f>Country_details!CN92</f>
        <v>10089.226145190869</v>
      </c>
      <c r="H91" s="28">
        <f>Country_details!DA92</f>
        <v>6912.2629682195111</v>
      </c>
      <c r="I91" s="28">
        <f>Country_details!DL92</f>
        <v>4972.2280823055407</v>
      </c>
      <c r="J91" s="28">
        <f>Country_details!DW92</f>
        <v>4476.5326898551957</v>
      </c>
      <c r="K91" s="28">
        <f>Country_details!EJ92</f>
        <v>9041.9795552416854</v>
      </c>
      <c r="L91" s="28">
        <f>Country_details!EW92</f>
        <v>17304.756145056392</v>
      </c>
      <c r="M91" s="28">
        <f>Country_details!FJ92</f>
        <v>7346.7746680566452</v>
      </c>
      <c r="N91" s="28">
        <f>Country_details!FT92</f>
        <v>9093.6307025676797</v>
      </c>
      <c r="O91" s="100">
        <f>Country_details!AZ92</f>
        <v>8.1495183645176112</v>
      </c>
      <c r="P91" s="28">
        <f>Country_details!BY92</f>
        <v>832.06031004817908</v>
      </c>
      <c r="Q91" s="28">
        <f>Country_details!CK92</f>
        <v>517.9152113562559</v>
      </c>
      <c r="R91" s="28">
        <f>Country_details!CX92</f>
        <v>868.1433626806878</v>
      </c>
      <c r="S91" s="28">
        <f>Country_details!EG92</f>
        <v>1250.5651790268671</v>
      </c>
      <c r="T91" s="28">
        <f>Country_details!ET92</f>
        <v>2101.5217572209644</v>
      </c>
      <c r="U91" s="28">
        <f>Country_details!FG92</f>
        <v>2374.9929465852501</v>
      </c>
      <c r="V91" s="100">
        <f>Country_details!FY92</f>
        <v>2.6644335337976477</v>
      </c>
      <c r="W91" s="28">
        <f>Country_details!FZ92</f>
        <v>3106.8851999617718</v>
      </c>
      <c r="X91" s="28">
        <f>Country_details!GA92</f>
        <v>718.92196944523016</v>
      </c>
      <c r="Y91" s="28">
        <f>Country_details!GB92</f>
        <v>467.18258657587899</v>
      </c>
      <c r="Z91" s="28">
        <f>Country_details!GC92</f>
        <v>804.53364072819795</v>
      </c>
      <c r="AA91" s="28">
        <f>Country_details!GD92</f>
        <v>1173.3034845344785</v>
      </c>
      <c r="AB91" s="28">
        <f>Country_details!GE92</f>
        <v>2047.354493761454</v>
      </c>
      <c r="AC91" s="28">
        <f>Country_details!GF92</f>
        <v>2149.0366202924051</v>
      </c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</row>
    <row r="92" spans="1:55" x14ac:dyDescent="0.2">
      <c r="A92" s="8" t="str">
        <f>Country_details!A93</f>
        <v>Mauritius</v>
      </c>
      <c r="B92" s="28">
        <f>INDEX(Country_details!$A$9:$AS$156,MATCH(Country_results!A92,Country_details!$A$9:$A$156,0),MATCH(Country_results!$B$5,Country_details!$A$6:$AS$6,0))</f>
        <v>1185.702063569734</v>
      </c>
      <c r="C92" s="28">
        <f t="shared" si="1"/>
        <v>4123.1611186360351</v>
      </c>
      <c r="D92" s="28">
        <f>Country_details!BA93</f>
        <v>8119.2068597960333</v>
      </c>
      <c r="E92" s="28">
        <f>Country_details!BG93</f>
        <v>4619.0227945016459</v>
      </c>
      <c r="F92" s="28">
        <f>Country_details!CA93</f>
        <v>5074.1850574234322</v>
      </c>
      <c r="G92" s="28">
        <f>Country_details!CN93</f>
        <v>10335.397309195348</v>
      </c>
      <c r="H92" s="28">
        <f>Country_details!DA93</f>
        <v>6936.2316453613257</v>
      </c>
      <c r="I92" s="28">
        <f>Country_details!DL93</f>
        <v>5712.7871638395673</v>
      </c>
      <c r="J92" s="28">
        <f>Country_details!DW93</f>
        <v>4123.1611186360351</v>
      </c>
      <c r="K92" s="28">
        <f>Country_details!EJ93</f>
        <v>8959.9114541433937</v>
      </c>
      <c r="L92" s="28">
        <f>Country_details!EW93</f>
        <v>16924.971811005911</v>
      </c>
      <c r="M92" s="28">
        <f>Country_details!FJ93</f>
        <v>7150.3022896003422</v>
      </c>
      <c r="N92" s="28">
        <f>Country_details!FT93</f>
        <v>8686.278662203229</v>
      </c>
      <c r="O92" s="100">
        <f>Country_details!AZ93</f>
        <v>15.209157180285594</v>
      </c>
      <c r="P92" s="28">
        <f>Country_details!BY93</f>
        <v>828.6440467108672</v>
      </c>
      <c r="Q92" s="28">
        <f>Country_details!CK93</f>
        <v>515.37702205759524</v>
      </c>
      <c r="R92" s="28">
        <f>Country_details!CX93</f>
        <v>847.87360077531707</v>
      </c>
      <c r="S92" s="28">
        <f>Country_details!EG93</f>
        <v>1206.2864802467595</v>
      </c>
      <c r="T92" s="28">
        <f>Country_details!ET93</f>
        <v>2003.8135976392193</v>
      </c>
      <c r="U92" s="28">
        <f>Country_details!FG93</f>
        <v>2266.330730485452</v>
      </c>
      <c r="V92" s="100">
        <f>Country_details!FY93</f>
        <v>2.3853377127282265</v>
      </c>
      <c r="W92" s="28">
        <f>Country_details!FZ93</f>
        <v>3009.9748271919257</v>
      </c>
      <c r="X92" s="28">
        <f>Country_details!GA93</f>
        <v>680.14891808185382</v>
      </c>
      <c r="Y92" s="28">
        <f>Country_details!GB93</f>
        <v>426.41418776872263</v>
      </c>
      <c r="Z92" s="28">
        <f>Country_details!GC93</f>
        <v>759.03171761860438</v>
      </c>
      <c r="AA92" s="28">
        <f>Country_details!GD93</f>
        <v>1104.5814399148928</v>
      </c>
      <c r="AB92" s="28">
        <f>Country_details!GE93</f>
        <v>1923.6375024157858</v>
      </c>
      <c r="AC92" s="28">
        <f>Country_details!GF93</f>
        <v>2024.6740672387014</v>
      </c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</row>
    <row r="93" spans="1:55" x14ac:dyDescent="0.2">
      <c r="A93" s="8" t="str">
        <f>Country_details!A94</f>
        <v>Mexico</v>
      </c>
      <c r="B93" s="28">
        <f>INDEX(Country_details!$A$9:$AS$156,MATCH(Country_results!A93,Country_details!$A$9:$A$156,0),MATCH(Country_results!$B$5,Country_details!$A$6:$AS$6,0))</f>
        <v>11945.135600357669</v>
      </c>
      <c r="C93" s="28">
        <f t="shared" si="1"/>
        <v>3570.1987213878256</v>
      </c>
      <c r="D93" s="28">
        <f>Country_details!BA94</f>
        <v>11008.524246630981</v>
      </c>
      <c r="E93" s="28">
        <f>Country_details!BG94</f>
        <v>3570.1987213878256</v>
      </c>
      <c r="F93" s="28">
        <f>Country_details!CA94</f>
        <v>4250.0265933100945</v>
      </c>
      <c r="G93" s="28">
        <f>Country_details!CN94</f>
        <v>9387.0520029392483</v>
      </c>
      <c r="H93" s="28">
        <f>Country_details!DA94</f>
        <v>5738.553027889363</v>
      </c>
      <c r="I93" s="28">
        <f>Country_details!DL94</f>
        <v>4745.8748827288873</v>
      </c>
      <c r="J93" s="28">
        <f>Country_details!DW94</f>
        <v>4718.4313149354221</v>
      </c>
      <c r="K93" s="28">
        <f>Country_details!EJ94</f>
        <v>7362.5192465025129</v>
      </c>
      <c r="L93" s="28">
        <f>Country_details!EW94</f>
        <v>13564.462693574376</v>
      </c>
      <c r="M93" s="28" t="str">
        <f>Country_details!FJ94</f>
        <v/>
      </c>
      <c r="N93" s="28" t="str">
        <f>Country_details!FT94</f>
        <v/>
      </c>
      <c r="O93" s="100">
        <f>Country_details!AZ94</f>
        <v>21.006342948413501</v>
      </c>
      <c r="P93" s="28">
        <f>Country_details!BY94</f>
        <v>682.24747742757688</v>
      </c>
      <c r="Q93" s="28">
        <f>Country_details!CK94</f>
        <v>467.79715235872561</v>
      </c>
      <c r="R93" s="28">
        <f>Country_details!CX94</f>
        <v>687.91821173820165</v>
      </c>
      <c r="S93" s="28">
        <f>Country_details!EG94</f>
        <v>981.57455322638452</v>
      </c>
      <c r="T93" s="28">
        <f>Country_details!ET94</f>
        <v>1622.0155693013874</v>
      </c>
      <c r="U93" s="28" t="str">
        <f>Country_details!FG94</f>
        <v/>
      </c>
      <c r="V93" s="100">
        <f>Country_details!FY94</f>
        <v>2.0049664037889374</v>
      </c>
      <c r="W93" s="28">
        <f>Country_details!FZ94</f>
        <v>2225.7853069084076</v>
      </c>
      <c r="X93" s="28">
        <f>Country_details!GA94</f>
        <v>531.75627580108744</v>
      </c>
      <c r="Y93" s="28">
        <f>Country_details!GB94</f>
        <v>390.35762094573789</v>
      </c>
      <c r="Z93" s="28">
        <f>Country_details!GC94</f>
        <v>599.82650392784626</v>
      </c>
      <c r="AA93" s="28">
        <f>Country_details!GD94</f>
        <v>879.15013663941841</v>
      </c>
      <c r="AB93" s="28">
        <f>Country_details!GE94</f>
        <v>1543.9126773945318</v>
      </c>
      <c r="AC93" s="28">
        <f>Country_details!GF94</f>
        <v>1597.2573714704058</v>
      </c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</row>
    <row r="94" spans="1:55" x14ac:dyDescent="0.2">
      <c r="A94" s="8" t="str">
        <f>Country_details!A95</f>
        <v>Moldova</v>
      </c>
      <c r="B94" s="28">
        <f>INDEX(Country_details!$A$9:$AS$156,MATCH(Country_results!A94,Country_details!$A$9:$A$156,0),MATCH(Country_results!$B$5,Country_details!$A$6:$AS$6,0))</f>
        <v>40.745459413496377</v>
      </c>
      <c r="C94" s="28">
        <f t="shared" si="1"/>
        <v>3174.5826194159808</v>
      </c>
      <c r="D94" s="28">
        <f>Country_details!BA95</f>
        <v>3174.5826194159808</v>
      </c>
      <c r="E94" s="28">
        <f>Country_details!BG95</f>
        <v>4497.5173880890334</v>
      </c>
      <c r="F94" s="28" t="str">
        <f>Country_details!CA95</f>
        <v/>
      </c>
      <c r="G94" s="28" t="str">
        <f>Country_details!CN95</f>
        <v/>
      </c>
      <c r="H94" s="28" t="str">
        <f>Country_details!DA95</f>
        <v/>
      </c>
      <c r="I94" s="28" t="str">
        <f>Country_details!DL95</f>
        <v/>
      </c>
      <c r="J94" s="28" t="str">
        <f>Country_details!DW95</f>
        <v/>
      </c>
      <c r="K94" s="28" t="str">
        <f>Country_details!EJ95</f>
        <v/>
      </c>
      <c r="L94" s="28" t="str">
        <f>Country_details!EW95</f>
        <v/>
      </c>
      <c r="M94" s="28" t="str">
        <f>Country_details!FJ95</f>
        <v/>
      </c>
      <c r="N94" s="28" t="str">
        <f>Country_details!FT95</f>
        <v/>
      </c>
      <c r="O94" s="100">
        <f>Country_details!AZ95</f>
        <v>5.5490290238443398</v>
      </c>
      <c r="P94" s="28" t="str">
        <f>Country_details!BY95</f>
        <v/>
      </c>
      <c r="Q94" s="28" t="str">
        <f>Country_details!CK95</f>
        <v/>
      </c>
      <c r="R94" s="28" t="str">
        <f>Country_details!CX95</f>
        <v/>
      </c>
      <c r="S94" s="28" t="str">
        <f>Country_details!EG95</f>
        <v/>
      </c>
      <c r="T94" s="28" t="str">
        <f>Country_details!ET95</f>
        <v/>
      </c>
      <c r="U94" s="28" t="str">
        <f>Country_details!FG95</f>
        <v/>
      </c>
      <c r="V94" s="100">
        <f>Country_details!FY95</f>
        <v>3.3279100175293759</v>
      </c>
      <c r="W94" s="28">
        <f>Country_details!FZ95</f>
        <v>4182.806894673954</v>
      </c>
      <c r="X94" s="28">
        <f>Country_details!GA95</f>
        <v>901.67318069774058</v>
      </c>
      <c r="Y94" s="28">
        <f>Country_details!GB95</f>
        <v>536.898108335134</v>
      </c>
      <c r="Z94" s="28">
        <f>Country_details!GC95</f>
        <v>1004.1655894294661</v>
      </c>
      <c r="AA94" s="28">
        <f>Country_details!GD95</f>
        <v>1455.5757596206024</v>
      </c>
      <c r="AB94" s="28">
        <f>Country_details!GE95</f>
        <v>2526.9924460871621</v>
      </c>
      <c r="AC94" s="28">
        <f>Country_details!GF95</f>
        <v>2659.9003280952397</v>
      </c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</row>
    <row r="95" spans="1:55" x14ac:dyDescent="0.2">
      <c r="A95" s="8" t="str">
        <f>Country_details!A96</f>
        <v>Mongolia</v>
      </c>
      <c r="B95" s="28">
        <f>INDEX(Country_details!$A$9:$AS$156,MATCH(Country_results!A95,Country_details!$A$9:$A$156,0),MATCH(Country_results!$B$5,Country_details!$A$6:$AS$6,0))</f>
        <v>14349.528024624562</v>
      </c>
      <c r="C95" s="28">
        <f t="shared" si="1"/>
        <v>4412.6261523944322</v>
      </c>
      <c r="D95" s="28">
        <f>Country_details!BA96</f>
        <v>6734.4460977504305</v>
      </c>
      <c r="E95" s="28">
        <f>Country_details!BG96</f>
        <v>4412.6261523944322</v>
      </c>
      <c r="F95" s="28" t="str">
        <f>Country_details!CA96</f>
        <v/>
      </c>
      <c r="G95" s="28" t="str">
        <f>Country_details!CN96</f>
        <v/>
      </c>
      <c r="H95" s="28" t="str">
        <f>Country_details!DA96</f>
        <v/>
      </c>
      <c r="I95" s="28" t="str">
        <f>Country_details!DL96</f>
        <v/>
      </c>
      <c r="J95" s="28" t="str">
        <f>Country_details!DW96</f>
        <v/>
      </c>
      <c r="K95" s="28" t="str">
        <f>Country_details!EJ96</f>
        <v/>
      </c>
      <c r="L95" s="28" t="str">
        <f>Country_details!EW96</f>
        <v/>
      </c>
      <c r="M95" s="28" t="str">
        <f>Country_details!FJ96</f>
        <v/>
      </c>
      <c r="N95" s="28" t="str">
        <f>Country_details!FT96</f>
        <v/>
      </c>
      <c r="O95" s="100">
        <f>Country_details!AZ96</f>
        <v>12.478878115404491</v>
      </c>
      <c r="P95" s="28" t="str">
        <f>Country_details!BY96</f>
        <v/>
      </c>
      <c r="Q95" s="28" t="str">
        <f>Country_details!CK96</f>
        <v/>
      </c>
      <c r="R95" s="28" t="str">
        <f>Country_details!CX96</f>
        <v/>
      </c>
      <c r="S95" s="28" t="str">
        <f>Country_details!EG96</f>
        <v/>
      </c>
      <c r="T95" s="28" t="str">
        <f>Country_details!ET96</f>
        <v/>
      </c>
      <c r="U95" s="28" t="str">
        <f>Country_details!FG96</f>
        <v/>
      </c>
      <c r="V95" s="100">
        <f>Country_details!FY96</f>
        <v>2.7937083269891332</v>
      </c>
      <c r="W95" s="28">
        <f>Country_details!FZ96</f>
        <v>3129.8108783515022</v>
      </c>
      <c r="X95" s="28">
        <f>Country_details!GA96</f>
        <v>735.01316485502025</v>
      </c>
      <c r="Y95" s="28">
        <f>Country_details!GB96</f>
        <v>532.6303785408827</v>
      </c>
      <c r="Z95" s="28">
        <f>Country_details!GC96</f>
        <v>829.80118934766915</v>
      </c>
      <c r="AA95" s="28">
        <f>Country_details!GD96</f>
        <v>1214.5725624802267</v>
      </c>
      <c r="AB95" s="28">
        <f>Country_details!GE96</f>
        <v>2130.779264353197</v>
      </c>
      <c r="AC95" s="28">
        <f>Country_details!GF96</f>
        <v>2200.7612916723178</v>
      </c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</row>
    <row r="96" spans="1:55" x14ac:dyDescent="0.2">
      <c r="A96" s="8" t="str">
        <f>Country_details!A97</f>
        <v>Morocco</v>
      </c>
      <c r="B96" s="28">
        <f>INDEX(Country_details!$A$9:$AS$156,MATCH(Country_results!A96,Country_details!$A$9:$A$156,0),MATCH(Country_results!$B$5,Country_details!$A$6:$AS$6,0))</f>
        <v>1749.3320010127345</v>
      </c>
      <c r="C96" s="28">
        <f t="shared" si="1"/>
        <v>3078.9844779240152</v>
      </c>
      <c r="D96" s="28">
        <f>Country_details!BA97</f>
        <v>3963.5228257338217</v>
      </c>
      <c r="E96" s="28">
        <f>Country_details!BG97</f>
        <v>3078.9844779240152</v>
      </c>
      <c r="F96" s="28">
        <f>Country_details!CA97</f>
        <v>4397.9640532923358</v>
      </c>
      <c r="G96" s="28">
        <f>Country_details!CN97</f>
        <v>9677.1857380033416</v>
      </c>
      <c r="H96" s="28">
        <f>Country_details!DA97</f>
        <v>6091.2934839809122</v>
      </c>
      <c r="I96" s="28">
        <f>Country_details!DL97</f>
        <v>4184.2928427999077</v>
      </c>
      <c r="J96" s="28">
        <f>Country_details!DW97</f>
        <v>5020.7684410737365</v>
      </c>
      <c r="K96" s="28">
        <f>Country_details!EJ97</f>
        <v>7996.8035956040994</v>
      </c>
      <c r="L96" s="28">
        <f>Country_details!EW97</f>
        <v>15316.869493189248</v>
      </c>
      <c r="M96" s="28">
        <f>Country_details!FJ97</f>
        <v>6470.7551521771511</v>
      </c>
      <c r="N96" s="28">
        <f>Country_details!FT97</f>
        <v>7955.1862566948357</v>
      </c>
      <c r="O96" s="100">
        <f>Country_details!AZ97</f>
        <v>7.0848285300110527</v>
      </c>
      <c r="P96" s="28">
        <f>Country_details!BY97</f>
        <v>708.52584202968558</v>
      </c>
      <c r="Q96" s="28">
        <f>Country_details!CK97</f>
        <v>490.77371775641501</v>
      </c>
      <c r="R96" s="28">
        <f>Country_details!CX97</f>
        <v>750.57919547492361</v>
      </c>
      <c r="S96" s="28">
        <f>Country_details!EG97</f>
        <v>1090.7050098551003</v>
      </c>
      <c r="T96" s="28">
        <f>Country_details!ET97</f>
        <v>1852.0262945933364</v>
      </c>
      <c r="U96" s="28">
        <f>Country_details!FG97</f>
        <v>2048.4687594394936</v>
      </c>
      <c r="V96" s="100">
        <f>Country_details!FY97</f>
        <v>2.3266285985658905</v>
      </c>
      <c r="W96" s="28">
        <f>Country_details!FZ97</f>
        <v>2663.1254947920779</v>
      </c>
      <c r="X96" s="28">
        <f>Country_details!GA97</f>
        <v>626.34562715184325</v>
      </c>
      <c r="Y96" s="28">
        <f>Country_details!GB97</f>
        <v>454.52507833958407</v>
      </c>
      <c r="Z96" s="28">
        <f>Country_details!GC97</f>
        <v>706.60909561853134</v>
      </c>
      <c r="AA96" s="28">
        <f>Country_details!GD97</f>
        <v>1034.4365078425344</v>
      </c>
      <c r="AB96" s="28">
        <f>Country_details!GE97</f>
        <v>1815.0314397715651</v>
      </c>
      <c r="AC96" s="28">
        <f>Country_details!GF97</f>
        <v>1876.0212025582932</v>
      </c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</row>
    <row r="97" spans="1:55" x14ac:dyDescent="0.2">
      <c r="A97" s="8" t="str">
        <f>Country_details!A98</f>
        <v>Mozambique</v>
      </c>
      <c r="B97" s="28">
        <f>INDEX(Country_details!$A$9:$AS$156,MATCH(Country_results!A97,Country_details!$A$9:$A$156,0),MATCH(Country_results!$B$5,Country_details!$A$6:$AS$6,0))</f>
        <v>4738.5531315467551</v>
      </c>
      <c r="C97" s="28">
        <f t="shared" si="1"/>
        <v>4639.3146512707654</v>
      </c>
      <c r="D97" s="28">
        <f>Country_details!BA98</f>
        <v>7542.6549156331075</v>
      </c>
      <c r="E97" s="28">
        <f>Country_details!BG98</f>
        <v>4873.3910876652917</v>
      </c>
      <c r="F97" s="28">
        <f>Country_details!CA98</f>
        <v>5570.3034351118758</v>
      </c>
      <c r="G97" s="28">
        <f>Country_details!CN98</f>
        <v>11239.264461716532</v>
      </c>
      <c r="H97" s="28">
        <f>Country_details!DA98</f>
        <v>7452.0815754243995</v>
      </c>
      <c r="I97" s="28">
        <f>Country_details!DL98</f>
        <v>6096.2307246107084</v>
      </c>
      <c r="J97" s="28">
        <f>Country_details!DW98</f>
        <v>4639.3146512707654</v>
      </c>
      <c r="K97" s="28">
        <f>Country_details!EJ98</f>
        <v>9656.7137818888168</v>
      </c>
      <c r="L97" s="28">
        <f>Country_details!EW98</f>
        <v>18308.13929030305</v>
      </c>
      <c r="M97" s="28">
        <f>Country_details!FJ98</f>
        <v>7756.2310628364639</v>
      </c>
      <c r="N97" s="28">
        <f>Country_details!FT98</f>
        <v>9526.8836808634715</v>
      </c>
      <c r="O97" s="100">
        <f>Country_details!AZ98</f>
        <v>14.052351513827075</v>
      </c>
      <c r="P97" s="28">
        <f>Country_details!BY98</f>
        <v>916.77033748447229</v>
      </c>
      <c r="Q97" s="28">
        <f>Country_details!CK98</f>
        <v>565.68873576584815</v>
      </c>
      <c r="R97" s="28">
        <f>Country_details!CX98</f>
        <v>931.95139909029785</v>
      </c>
      <c r="S97" s="28">
        <f>Country_details!EG98</f>
        <v>1325.5578263494665</v>
      </c>
      <c r="T97" s="28">
        <f>Country_details!ET98</f>
        <v>2198.5735460914648</v>
      </c>
      <c r="U97" s="28">
        <f>Country_details!FG98</f>
        <v>2509.7907188248246</v>
      </c>
      <c r="V97" s="100">
        <f>Country_details!FY98</f>
        <v>2.69753804550799</v>
      </c>
      <c r="W97" s="28">
        <f>Country_details!FZ98</f>
        <v>3261.0693473672009</v>
      </c>
      <c r="X97" s="28">
        <f>Country_details!GA98</f>
        <v>743.09756379770454</v>
      </c>
      <c r="Y97" s="28">
        <f>Country_details!GB98</f>
        <v>472.99431608979211</v>
      </c>
      <c r="Z97" s="28">
        <f>Country_details!GC98</f>
        <v>830.53625583845144</v>
      </c>
      <c r="AA97" s="28">
        <f>Country_details!GD98</f>
        <v>1209.601906505025</v>
      </c>
      <c r="AB97" s="28">
        <f>Country_details!GE98</f>
        <v>2108.1812614626124</v>
      </c>
      <c r="AC97" s="28">
        <f>Country_details!GF98</f>
        <v>2215.249492528299</v>
      </c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</row>
    <row r="98" spans="1:55" x14ac:dyDescent="0.2">
      <c r="A98" s="8" t="str">
        <f>Country_details!A99</f>
        <v>Myanmar</v>
      </c>
      <c r="B98" s="28">
        <f>INDEX(Country_details!$A$9:$AS$156,MATCH(Country_results!A98,Country_details!$A$9:$A$156,0),MATCH(Country_results!$B$5,Country_details!$A$6:$AS$6,0))</f>
        <v>2119.097520636652</v>
      </c>
      <c r="C98" s="28">
        <f t="shared" si="1"/>
        <v>4294.1913676720069</v>
      </c>
      <c r="D98" s="28">
        <f>Country_details!BA99</f>
        <v>5759.1307042265234</v>
      </c>
      <c r="E98" s="28">
        <f>Country_details!BG99</f>
        <v>4437.9660440671605</v>
      </c>
      <c r="F98" s="28">
        <f>Country_details!CA99</f>
        <v>5275.2081611538251</v>
      </c>
      <c r="G98" s="28">
        <f>Country_details!CN99</f>
        <v>10705.586977098012</v>
      </c>
      <c r="H98" s="28">
        <f>Country_details!DA99</f>
        <v>7124.8503206272744</v>
      </c>
      <c r="I98" s="28">
        <f>Country_details!DL99</f>
        <v>6025.9200093921017</v>
      </c>
      <c r="J98" s="28">
        <f>Country_details!DW99</f>
        <v>4294.1913676720069</v>
      </c>
      <c r="K98" s="28">
        <f>Country_details!EJ99</f>
        <v>9163.7757354341138</v>
      </c>
      <c r="L98" s="28">
        <f>Country_details!EW99</f>
        <v>17195.534070406535</v>
      </c>
      <c r="M98" s="28">
        <f>Country_details!FJ99</f>
        <v>7327.2282231511945</v>
      </c>
      <c r="N98" s="28">
        <f>Country_details!FT99</f>
        <v>8947.1081146630768</v>
      </c>
      <c r="O98" s="100">
        <f>Country_details!AZ99</f>
        <v>10.580269212301692</v>
      </c>
      <c r="P98" s="28">
        <f>Country_details!BY99</f>
        <v>864.35209803139753</v>
      </c>
      <c r="Q98" s="28">
        <f>Country_details!CK99</f>
        <v>533.09637205745003</v>
      </c>
      <c r="R98" s="28">
        <f>Country_details!CX99</f>
        <v>874.38207629524754</v>
      </c>
      <c r="S98" s="28">
        <f>Country_details!EG99</f>
        <v>1237.1113759161346</v>
      </c>
      <c r="T98" s="28">
        <f>Country_details!ET99</f>
        <v>2039.626002602763</v>
      </c>
      <c r="U98" s="28">
        <f>Country_details!FG99</f>
        <v>2332.5248083280635</v>
      </c>
      <c r="V98" s="100">
        <f>Country_details!FY99</f>
        <v>2.4047030470013619</v>
      </c>
      <c r="W98" s="28">
        <f>Country_details!FZ99</f>
        <v>3029.1140084438812</v>
      </c>
      <c r="X98" s="28">
        <f>Country_details!GA99</f>
        <v>686.28816019514557</v>
      </c>
      <c r="Y98" s="28">
        <f>Country_details!GB99</f>
        <v>431.58768838281247</v>
      </c>
      <c r="Z98" s="28">
        <f>Country_details!GC99</f>
        <v>766.08093696475953</v>
      </c>
      <c r="AA98" s="28">
        <f>Country_details!GD99</f>
        <v>1115.0797444607849</v>
      </c>
      <c r="AB98" s="28">
        <f>Country_details!GE99</f>
        <v>1942.2631807719065</v>
      </c>
      <c r="AC98" s="28">
        <f>Country_details!GF99</f>
        <v>2043.9353557070344</v>
      </c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</row>
    <row r="99" spans="1:55" x14ac:dyDescent="0.2">
      <c r="A99" s="8" t="str">
        <f>Country_details!A100</f>
        <v>Namibia</v>
      </c>
      <c r="B99" s="28">
        <f>INDEX(Country_details!$A$9:$AS$156,MATCH(Country_results!A99,Country_details!$A$9:$A$156,0),MATCH(Country_results!$B$5,Country_details!$A$6:$AS$6,0))</f>
        <v>7605.5914638939539</v>
      </c>
      <c r="C99" s="28">
        <f t="shared" si="1"/>
        <v>3971.113601730257</v>
      </c>
      <c r="D99" s="28">
        <f>Country_details!BA100</f>
        <v>5640.027120444317</v>
      </c>
      <c r="E99" s="28">
        <f>Country_details!BG100</f>
        <v>3971.113601730257</v>
      </c>
      <c r="F99" s="28">
        <f>Country_details!CA100</f>
        <v>4527.2675686049724</v>
      </c>
      <c r="G99" s="28">
        <f>Country_details!CN100</f>
        <v>9147.2760681404907</v>
      </c>
      <c r="H99" s="28">
        <f>Country_details!DA100</f>
        <v>6148.0630357980735</v>
      </c>
      <c r="I99" s="28">
        <f>Country_details!DL100</f>
        <v>4884.527690061559</v>
      </c>
      <c r="J99" s="28">
        <f>Country_details!DW100</f>
        <v>4008.4213360405834</v>
      </c>
      <c r="K99" s="28">
        <f>Country_details!EJ100</f>
        <v>7932.5831360901211</v>
      </c>
      <c r="L99" s="28">
        <f>Country_details!EW100</f>
        <v>14809.927124695412</v>
      </c>
      <c r="M99" s="28">
        <f>Country_details!FJ100</f>
        <v>6453.5310455999488</v>
      </c>
      <c r="N99" s="28">
        <f>Country_details!FT100</f>
        <v>8096.7221805537392</v>
      </c>
      <c r="O99" s="100">
        <f>Country_details!AZ100</f>
        <v>10.348414854150619</v>
      </c>
      <c r="P99" s="28">
        <f>Country_details!BY100</f>
        <v>731.49422961811445</v>
      </c>
      <c r="Q99" s="28">
        <f>Country_details!CK100</f>
        <v>461.99691094619715</v>
      </c>
      <c r="R99" s="28">
        <f>Country_details!CX100</f>
        <v>746.11462540631703</v>
      </c>
      <c r="S99" s="28">
        <f>Country_details!EG100</f>
        <v>1067.5731916066957</v>
      </c>
      <c r="T99" s="28">
        <f>Country_details!ET100</f>
        <v>1772.8168261555809</v>
      </c>
      <c r="U99" s="28">
        <f>Country_details!FG100</f>
        <v>2025.8355888645133</v>
      </c>
      <c r="V99" s="100">
        <f>Country_details!FY100</f>
        <v>2.2506798164683364</v>
      </c>
      <c r="W99" s="28">
        <f>Country_details!FZ100</f>
        <v>2562.2790145357258</v>
      </c>
      <c r="X99" s="28">
        <f>Country_details!GA100</f>
        <v>597.83303515031571</v>
      </c>
      <c r="Y99" s="28">
        <f>Country_details!GB100</f>
        <v>392.94048479378762</v>
      </c>
      <c r="Z99" s="28">
        <f>Country_details!GC100</f>
        <v>668.90419925065669</v>
      </c>
      <c r="AA99" s="28">
        <f>Country_details!GD100</f>
        <v>976.27538255517391</v>
      </c>
      <c r="AB99" s="28">
        <f>Country_details!GE100</f>
        <v>1704.7695709130535</v>
      </c>
      <c r="AC99" s="28">
        <f>Country_details!GF100</f>
        <v>1789.8237968418243</v>
      </c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</row>
    <row r="100" spans="1:55" x14ac:dyDescent="0.2">
      <c r="A100" s="8" t="str">
        <f>Country_details!A101</f>
        <v>Nepal</v>
      </c>
      <c r="B100" s="28">
        <f>INDEX(Country_details!$A$9:$AS$156,MATCH(Country_results!A100,Country_details!$A$9:$A$156,0),MATCH(Country_results!$B$5,Country_details!$A$6:$AS$6,0))</f>
        <v>-549.65841531807791</v>
      </c>
      <c r="C100" s="28">
        <f t="shared" si="1"/>
        <v>3419.8988709442301</v>
      </c>
      <c r="D100" s="28">
        <f>Country_details!BA101</f>
        <v>5430.6608765400833</v>
      </c>
      <c r="E100" s="28">
        <f>Country_details!BG101</f>
        <v>3419.8988709442301</v>
      </c>
      <c r="F100" s="28" t="str">
        <f>Country_details!CA101</f>
        <v/>
      </c>
      <c r="G100" s="28" t="str">
        <f>Country_details!CN101</f>
        <v/>
      </c>
      <c r="H100" s="28" t="str">
        <f>Country_details!DA101</f>
        <v/>
      </c>
      <c r="I100" s="28" t="str">
        <f>Country_details!DL101</f>
        <v/>
      </c>
      <c r="J100" s="28" t="str">
        <f>Country_details!DW101</f>
        <v/>
      </c>
      <c r="K100" s="28" t="str">
        <f>Country_details!EJ101</f>
        <v/>
      </c>
      <c r="L100" s="28" t="str">
        <f>Country_details!EW101</f>
        <v/>
      </c>
      <c r="M100" s="28" t="str">
        <f>Country_details!FJ101</f>
        <v/>
      </c>
      <c r="N100" s="28" t="str">
        <f>Country_details!FT101</f>
        <v/>
      </c>
      <c r="O100" s="100">
        <f>Country_details!AZ101</f>
        <v>9.9408496528575814</v>
      </c>
      <c r="P100" s="28" t="str">
        <f>Country_details!BY101</f>
        <v/>
      </c>
      <c r="Q100" s="28" t="str">
        <f>Country_details!CK101</f>
        <v/>
      </c>
      <c r="R100" s="28" t="str">
        <f>Country_details!CX101</f>
        <v/>
      </c>
      <c r="S100" s="28" t="str">
        <f>Country_details!EG101</f>
        <v/>
      </c>
      <c r="T100" s="28" t="str">
        <f>Country_details!ET101</f>
        <v/>
      </c>
      <c r="U100" s="28" t="str">
        <f>Country_details!FG101</f>
        <v/>
      </c>
      <c r="V100" s="100">
        <f>Country_details!FY101</f>
        <v>2.3459338836843924</v>
      </c>
      <c r="W100" s="28">
        <f>Country_details!FZ101</f>
        <v>2312.8214503364611</v>
      </c>
      <c r="X100" s="28">
        <f>Country_details!GA101</f>
        <v>558.16456357324421</v>
      </c>
      <c r="Y100" s="28">
        <f>Country_details!GB101</f>
        <v>412.98898657457698</v>
      </c>
      <c r="Z100" s="28">
        <f>Country_details!GC101</f>
        <v>630.17475379930249</v>
      </c>
      <c r="AA100" s="28">
        <f>Country_details!GD101</f>
        <v>924.27654028796826</v>
      </c>
      <c r="AB100" s="28">
        <f>Country_details!GE101</f>
        <v>1624.003864890791</v>
      </c>
      <c r="AC100" s="28">
        <f>Country_details!GF101</f>
        <v>1679.4322252610045</v>
      </c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</row>
    <row r="101" spans="1:55" x14ac:dyDescent="0.2">
      <c r="A101" s="8" t="str">
        <f>Country_details!A102</f>
        <v>Netherlands</v>
      </c>
      <c r="B101" s="28">
        <f>INDEX(Country_details!$A$9:$AS$156,MATCH(Country_results!A101,Country_details!$A$9:$A$156,0),MATCH(Country_results!$B$5,Country_details!$A$6:$AS$6,0))</f>
        <v>538.24817023238938</v>
      </c>
      <c r="C101" s="28">
        <f t="shared" si="1"/>
        <v>2929.7238657532516</v>
      </c>
      <c r="D101" s="28">
        <f>Country_details!BA102</f>
        <v>2929.7238657532516</v>
      </c>
      <c r="E101" s="28">
        <f>Country_details!BG102</f>
        <v>3015.0423355485573</v>
      </c>
      <c r="F101" s="28">
        <f>Country_details!CA102</f>
        <v>4400.5663923921211</v>
      </c>
      <c r="G101" s="28">
        <f>Country_details!CN102</f>
        <v>9862.7008161638278</v>
      </c>
      <c r="H101" s="28">
        <f>Country_details!DA102</f>
        <v>6440.0996155278153</v>
      </c>
      <c r="I101" s="28">
        <f>Country_details!DL102</f>
        <v>4108.7344197598086</v>
      </c>
      <c r="J101" s="28">
        <f>Country_details!DW102</f>
        <v>5190.6455185564701</v>
      </c>
      <c r="K101" s="28">
        <f>Country_details!EJ102</f>
        <v>8508.5079572896339</v>
      </c>
      <c r="L101" s="28">
        <f>Country_details!EW102</f>
        <v>16584.092738614148</v>
      </c>
      <c r="M101" s="28">
        <f>Country_details!FJ102</f>
        <v>6705.4982001373892</v>
      </c>
      <c r="N101" s="28">
        <f>Country_details!FT102</f>
        <v>7303.2746776835775</v>
      </c>
      <c r="O101" s="100">
        <f>Country_details!AZ102</f>
        <v>5.0723719211331675</v>
      </c>
      <c r="P101" s="28">
        <f>Country_details!BY102</f>
        <v>708.98809963293684</v>
      </c>
      <c r="Q101" s="28">
        <f>Country_details!CK102</f>
        <v>482.58939325608668</v>
      </c>
      <c r="R101" s="28">
        <f>Country_details!CX102</f>
        <v>766.21871722134017</v>
      </c>
      <c r="S101" s="28">
        <f>Country_details!EG102</f>
        <v>1116.4631816782523</v>
      </c>
      <c r="T101" s="28">
        <f>Country_details!ET102</f>
        <v>1914.8360394941569</v>
      </c>
      <c r="U101" s="28">
        <f>Country_details!FG102</f>
        <v>2067.3433860663758</v>
      </c>
      <c r="V101" s="100">
        <f>Country_details!FY102</f>
        <v>2.6844056332194994</v>
      </c>
      <c r="W101" s="28">
        <f>Country_details!FZ102</f>
        <v>3003.993936299285</v>
      </c>
      <c r="X101" s="28">
        <f>Country_details!GA102</f>
        <v>660.69323840205982</v>
      </c>
      <c r="Y101" s="28">
        <f>Country_details!GB102</f>
        <v>462.68383241004273</v>
      </c>
      <c r="Z101" s="28">
        <f>Country_details!GC102</f>
        <v>743.76431537595636</v>
      </c>
      <c r="AA101" s="28">
        <f>Country_details!GD102</f>
        <v>1083.9108717142501</v>
      </c>
      <c r="AB101" s="28">
        <f>Country_details!GE102</f>
        <v>1896.5043159027932</v>
      </c>
      <c r="AC101" s="28">
        <f>Country_details!GF102</f>
        <v>1954.1578325386772</v>
      </c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</row>
    <row r="102" spans="1:55" x14ac:dyDescent="0.2">
      <c r="A102" s="8" t="str">
        <f>Country_details!A103</f>
        <v>New Zealand</v>
      </c>
      <c r="B102" s="28">
        <f>INDEX(Country_details!$A$9:$AS$156,MATCH(Country_results!A102,Country_details!$A$9:$A$156,0),MATCH(Country_results!$B$5,Country_details!$A$6:$AS$6,0))</f>
        <v>15612.160871110276</v>
      </c>
      <c r="C102" s="28">
        <f t="shared" si="1"/>
        <v>4297.1887004287728</v>
      </c>
      <c r="D102" s="28">
        <f>Country_details!BA103</f>
        <v>11978.043391577106</v>
      </c>
      <c r="E102" s="28">
        <f>Country_details!BG103</f>
        <v>4700.6636813649329</v>
      </c>
      <c r="F102" s="28">
        <f>Country_details!CA103</f>
        <v>4297.1887004287728</v>
      </c>
      <c r="G102" s="28">
        <f>Country_details!CN103</f>
        <v>9689.6415587326337</v>
      </c>
      <c r="H102" s="28">
        <f>Country_details!DA103</f>
        <v>5739.2906232486821</v>
      </c>
      <c r="I102" s="28">
        <f>Country_details!DL103</f>
        <v>5370.4972162308723</v>
      </c>
      <c r="J102" s="28">
        <f>Country_details!DW103</f>
        <v>4586.3317092829921</v>
      </c>
      <c r="K102" s="28">
        <f>Country_details!EJ103</f>
        <v>7301.7219164966473</v>
      </c>
      <c r="L102" s="28">
        <f>Country_details!EW103</f>
        <v>13268.355472661384</v>
      </c>
      <c r="M102" s="28" t="str">
        <f>Country_details!FJ103</f>
        <v/>
      </c>
      <c r="N102" s="28" t="str">
        <f>Country_details!FT103</f>
        <v/>
      </c>
      <c r="O102" s="100">
        <f>Country_details!AZ103</f>
        <v>22.951606080327874</v>
      </c>
      <c r="P102" s="28">
        <f>Country_details!BY103</f>
        <v>690.6249569815526</v>
      </c>
      <c r="Q102" s="28">
        <f>Country_details!CK103</f>
        <v>475.96249426376966</v>
      </c>
      <c r="R102" s="28">
        <f>Country_details!CX103</f>
        <v>678.78215792719072</v>
      </c>
      <c r="S102" s="28">
        <f>Country_details!EG103</f>
        <v>961.31851120843532</v>
      </c>
      <c r="T102" s="28">
        <f>Country_details!ET103</f>
        <v>1569.9426507308794</v>
      </c>
      <c r="U102" s="28" t="str">
        <f>Country_details!FG103</f>
        <v/>
      </c>
      <c r="V102" s="100">
        <f>Country_details!FY103</f>
        <v>2.4555496280690532</v>
      </c>
      <c r="W102" s="28">
        <f>Country_details!FZ103</f>
        <v>2136.6178474739295</v>
      </c>
      <c r="X102" s="28">
        <f>Country_details!GA103</f>
        <v>508.25854965529538</v>
      </c>
      <c r="Y102" s="28">
        <f>Country_details!GB103</f>
        <v>371.202142565239</v>
      </c>
      <c r="Z102" s="28">
        <f>Country_details!GC103</f>
        <v>572.92331175730988</v>
      </c>
      <c r="AA102" s="28">
        <f>Country_details!GD103</f>
        <v>839.43678865740469</v>
      </c>
      <c r="AB102" s="28">
        <f>Country_details!GE103</f>
        <v>1473.7336065018637</v>
      </c>
      <c r="AC102" s="28">
        <f>Country_details!GF103</f>
        <v>1525.6185662756466</v>
      </c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</row>
    <row r="103" spans="1:55" x14ac:dyDescent="0.2">
      <c r="A103" s="8" t="str">
        <f>Country_details!A104</f>
        <v>Nicaragua</v>
      </c>
      <c r="B103" s="28">
        <f>INDEX(Country_details!$A$9:$AS$156,MATCH(Country_results!A103,Country_details!$A$9:$A$156,0),MATCH(Country_results!$B$5,Country_details!$A$6:$AS$6,0))</f>
        <v>1898.9865052287341</v>
      </c>
      <c r="C103" s="28">
        <f t="shared" si="1"/>
        <v>4487.4608987186202</v>
      </c>
      <c r="D103" s="28">
        <f>Country_details!BA104</f>
        <v>16374.961541966226</v>
      </c>
      <c r="E103" s="28">
        <f>Country_details!BG104</f>
        <v>4487.4608987186202</v>
      </c>
      <c r="F103" s="28">
        <f>Country_details!CA104</f>
        <v>5007.690614135262</v>
      </c>
      <c r="G103" s="28">
        <f>Country_details!CN104</f>
        <v>11254.181526161674</v>
      </c>
      <c r="H103" s="28">
        <f>Country_details!DA104</f>
        <v>6737.5780656570387</v>
      </c>
      <c r="I103" s="28">
        <f>Country_details!DL104</f>
        <v>5288.4655108174866</v>
      </c>
      <c r="J103" s="28">
        <f>Country_details!DW104</f>
        <v>5569.7456672947019</v>
      </c>
      <c r="K103" s="28">
        <f>Country_details!EJ104</f>
        <v>8788.1980983642679</v>
      </c>
      <c r="L103" s="28">
        <f>Country_details!EW104</f>
        <v>16756.299476482407</v>
      </c>
      <c r="M103" s="28" t="str">
        <f>Country_details!FJ104</f>
        <v/>
      </c>
      <c r="N103" s="28" t="str">
        <f>Country_details!FT104</f>
        <v/>
      </c>
      <c r="O103" s="100">
        <f>Country_details!AZ104</f>
        <v>31.773672995233817</v>
      </c>
      <c r="P103" s="28">
        <f>Country_details!BY104</f>
        <v>816.83253375836318</v>
      </c>
      <c r="Q103" s="28">
        <f>Country_details!CK104</f>
        <v>566.47889280954496</v>
      </c>
      <c r="R103" s="28">
        <f>Country_details!CX104</f>
        <v>843.82192179229344</v>
      </c>
      <c r="S103" s="28">
        <f>Country_details!EG104</f>
        <v>1212.6507557947523</v>
      </c>
      <c r="T103" s="28">
        <f>Country_details!ET104</f>
        <v>2036.3859793642314</v>
      </c>
      <c r="U103" s="28" t="str">
        <f>Country_details!FG104</f>
        <v/>
      </c>
      <c r="V103" s="100">
        <f>Country_details!FY104</f>
        <v>3.0345427400696887</v>
      </c>
      <c r="W103" s="28">
        <f>Country_details!FZ104</f>
        <v>2887.8441425144838</v>
      </c>
      <c r="X103" s="28">
        <f>Country_details!GA104</f>
        <v>678.66883872421192</v>
      </c>
      <c r="Y103" s="28">
        <f>Country_details!GB104</f>
        <v>492.37739111803711</v>
      </c>
      <c r="Z103" s="28">
        <f>Country_details!GC104</f>
        <v>765.97572060599464</v>
      </c>
      <c r="AA103" s="28">
        <f>Country_details!GD104</f>
        <v>1121.2605486906471</v>
      </c>
      <c r="AB103" s="28">
        <f>Country_details!GE104</f>
        <v>1967.2656365374082</v>
      </c>
      <c r="AC103" s="28">
        <f>Country_details!GF104</f>
        <v>2032.39533888135</v>
      </c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</row>
    <row r="104" spans="1:55" x14ac:dyDescent="0.2">
      <c r="A104" s="8" t="str">
        <f>Country_details!A105</f>
        <v>Niger</v>
      </c>
      <c r="B104" s="28">
        <f>INDEX(Country_details!$A$9:$AS$156,MATCH(Country_results!A104,Country_details!$A$9:$A$156,0),MATCH(Country_results!$B$5,Country_details!$A$6:$AS$6,0))</f>
        <v>6147.505595746863</v>
      </c>
      <c r="C104" s="28">
        <f t="shared" si="1"/>
        <v>3679.5257299686773</v>
      </c>
      <c r="D104" s="28">
        <f>Country_details!BA105</f>
        <v>4419.4173417126067</v>
      </c>
      <c r="E104" s="28">
        <f>Country_details!BG105</f>
        <v>3679.5257299686773</v>
      </c>
      <c r="F104" s="28" t="str">
        <f>Country_details!CA105</f>
        <v/>
      </c>
      <c r="G104" s="28" t="str">
        <f>Country_details!CN105</f>
        <v/>
      </c>
      <c r="H104" s="28" t="str">
        <f>Country_details!DA105</f>
        <v/>
      </c>
      <c r="I104" s="28" t="str">
        <f>Country_details!DL105</f>
        <v/>
      </c>
      <c r="J104" s="28" t="str">
        <f>Country_details!DW105</f>
        <v/>
      </c>
      <c r="K104" s="28" t="str">
        <f>Country_details!EJ105</f>
        <v/>
      </c>
      <c r="L104" s="28" t="str">
        <f>Country_details!EW105</f>
        <v/>
      </c>
      <c r="M104" s="28" t="str">
        <f>Country_details!FJ105</f>
        <v/>
      </c>
      <c r="N104" s="28" t="str">
        <f>Country_details!FT105</f>
        <v/>
      </c>
      <c r="O104" s="100">
        <f>Country_details!AZ105</f>
        <v>7.9723008211903119</v>
      </c>
      <c r="P104" s="28" t="str">
        <f>Country_details!BY105</f>
        <v/>
      </c>
      <c r="Q104" s="28" t="str">
        <f>Country_details!CK105</f>
        <v/>
      </c>
      <c r="R104" s="28" t="str">
        <f>Country_details!CX105</f>
        <v/>
      </c>
      <c r="S104" s="28" t="str">
        <f>Country_details!EG105</f>
        <v/>
      </c>
      <c r="T104" s="28" t="str">
        <f>Country_details!ET105</f>
        <v/>
      </c>
      <c r="U104" s="28" t="str">
        <f>Country_details!FG105</f>
        <v/>
      </c>
      <c r="V104" s="100">
        <f>Country_details!FY105</f>
        <v>2.6152040808318184</v>
      </c>
      <c r="W104" s="28">
        <f>Country_details!FZ105</f>
        <v>2951.4170395280817</v>
      </c>
      <c r="X104" s="28">
        <f>Country_details!GA105</f>
        <v>684.86457285836298</v>
      </c>
      <c r="Y104" s="28">
        <f>Country_details!GB105</f>
        <v>448.4138788972698</v>
      </c>
      <c r="Z104" s="28">
        <f>Country_details!GC105</f>
        <v>766.64978577005638</v>
      </c>
      <c r="AA104" s="28">
        <f>Country_details!GD105</f>
        <v>1118.4508580855249</v>
      </c>
      <c r="AB104" s="28">
        <f>Country_details!GE105</f>
        <v>1952.4274978395936</v>
      </c>
      <c r="AC104" s="28">
        <f>Country_details!GF105</f>
        <v>2048.1942419171505</v>
      </c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</row>
    <row r="105" spans="1:55" x14ac:dyDescent="0.2">
      <c r="A105" s="8" t="str">
        <f>Country_details!A106</f>
        <v>Nigeria</v>
      </c>
      <c r="B105" s="28">
        <f>INDEX(Country_details!$A$9:$AS$156,MATCH(Country_results!A105,Country_details!$A$9:$A$156,0),MATCH(Country_results!$B$5,Country_details!$A$6:$AS$6,0))</f>
        <v>-13431.50392472258</v>
      </c>
      <c r="C105" s="28">
        <f t="shared" si="1"/>
        <v>4048.8947518157051</v>
      </c>
      <c r="D105" s="28">
        <f>Country_details!BA106</f>
        <v>4943.4975717947555</v>
      </c>
      <c r="E105" s="28">
        <f>Country_details!BG106</f>
        <v>4048.8947518157051</v>
      </c>
      <c r="F105" s="28">
        <f>Country_details!CA106</f>
        <v>5195.178996530316</v>
      </c>
      <c r="G105" s="28">
        <f>Country_details!CN106</f>
        <v>10305.484159807125</v>
      </c>
      <c r="H105" s="28">
        <f>Country_details!DA106</f>
        <v>7079.5529867829055</v>
      </c>
      <c r="I105" s="28">
        <f>Country_details!DL106</f>
        <v>5346.4168776954566</v>
      </c>
      <c r="J105" s="28">
        <f>Country_details!DW106</f>
        <v>4391.7837555318129</v>
      </c>
      <c r="K105" s="28">
        <f>Country_details!EJ106</f>
        <v>9220.6942156473397</v>
      </c>
      <c r="L105" s="28">
        <f>Country_details!EW106</f>
        <v>17580.526575922791</v>
      </c>
      <c r="M105" s="28">
        <f>Country_details!FJ106</f>
        <v>7435.2960957122568</v>
      </c>
      <c r="N105" s="28">
        <f>Country_details!FT106</f>
        <v>9015.0032087458349</v>
      </c>
      <c r="O105" s="100">
        <f>Country_details!AZ106</f>
        <v>8.9925076151987771</v>
      </c>
      <c r="P105" s="28">
        <f>Country_details!BY106</f>
        <v>850.1363911574847</v>
      </c>
      <c r="Q105" s="28">
        <f>Country_details!CK106</f>
        <v>521.48803373507337</v>
      </c>
      <c r="R105" s="28">
        <f>Country_details!CX106</f>
        <v>878.88512927031843</v>
      </c>
      <c r="S105" s="28">
        <f>Country_details!EG106</f>
        <v>1259.1998924798329</v>
      </c>
      <c r="T105" s="28">
        <f>Country_details!ET106</f>
        <v>2105.3051829192041</v>
      </c>
      <c r="U105" s="28">
        <f>Country_details!FG106</f>
        <v>2385.5715652710614</v>
      </c>
      <c r="V105" s="100">
        <f>Country_details!FY106</f>
        <v>2.6088027011918369</v>
      </c>
      <c r="W105" s="28">
        <f>Country_details!FZ106</f>
        <v>3163.2922735775314</v>
      </c>
      <c r="X105" s="28">
        <f>Country_details!GA106</f>
        <v>719.44566769703295</v>
      </c>
      <c r="Y105" s="28">
        <f>Country_details!GB106</f>
        <v>456.80299892385051</v>
      </c>
      <c r="Z105" s="28">
        <f>Country_details!GC106</f>
        <v>803.82465877586435</v>
      </c>
      <c r="AA105" s="28">
        <f>Country_details!GD106</f>
        <v>1170.5191019939919</v>
      </c>
      <c r="AB105" s="28">
        <f>Country_details!GE106</f>
        <v>2039.7971046701714</v>
      </c>
      <c r="AC105" s="28">
        <f>Country_details!GF106</f>
        <v>2144.0184542720785</v>
      </c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</row>
    <row r="106" spans="1:55" x14ac:dyDescent="0.2">
      <c r="A106" s="8" t="str">
        <f>Country_details!A107</f>
        <v>Norway</v>
      </c>
      <c r="B106" s="28">
        <f>INDEX(Country_details!$A$9:$AS$156,MATCH(Country_results!A106,Country_details!$A$9:$A$156,0),MATCH(Country_results!$B$5,Country_details!$A$6:$AS$6,0))</f>
        <v>19881.97287744646</v>
      </c>
      <c r="C106" s="28">
        <f t="shared" si="1"/>
        <v>2390.4822941555876</v>
      </c>
      <c r="D106" s="28">
        <f>Country_details!BA107</f>
        <v>2586.4751506394882</v>
      </c>
      <c r="E106" s="28">
        <f>Country_details!BG107</f>
        <v>2390.4822941555876</v>
      </c>
      <c r="F106" s="28">
        <f>Country_details!CA107</f>
        <v>3719.6777694819484</v>
      </c>
      <c r="G106" s="28">
        <f>Country_details!CN107</f>
        <v>8066.9866165825215</v>
      </c>
      <c r="H106" s="28">
        <f>Country_details!DA107</f>
        <v>5335.4981307056651</v>
      </c>
      <c r="I106" s="28">
        <f>Country_details!DL107</f>
        <v>3521.0780076390115</v>
      </c>
      <c r="J106" s="28">
        <f>Country_details!DW107</f>
        <v>4251.4415898645775</v>
      </c>
      <c r="K106" s="28">
        <f>Country_details!EJ107</f>
        <v>6942.6741612978549</v>
      </c>
      <c r="L106" s="28">
        <f>Country_details!EW107</f>
        <v>13132.64326853394</v>
      </c>
      <c r="M106" s="28">
        <f>Country_details!FJ107</f>
        <v>5643.3366186465046</v>
      </c>
      <c r="N106" s="28">
        <f>Country_details!FT107</f>
        <v>6758.3338860213735</v>
      </c>
      <c r="O106" s="100">
        <f>Country_details!AZ107</f>
        <v>4.4041828708825079</v>
      </c>
      <c r="P106" s="28">
        <f>Country_details!BY107</f>
        <v>588.04077845810355</v>
      </c>
      <c r="Q106" s="28">
        <f>Country_details!CK107</f>
        <v>403.54258486496389</v>
      </c>
      <c r="R106" s="28">
        <f>Country_details!CX107</f>
        <v>624.03003630978822</v>
      </c>
      <c r="S106" s="28">
        <f>Country_details!EG107</f>
        <v>908.83409436864326</v>
      </c>
      <c r="T106" s="28">
        <f>Country_details!ET107</f>
        <v>1545.0699017731479</v>
      </c>
      <c r="U106" s="28">
        <f>Country_details!FG107</f>
        <v>1708.8259041964004</v>
      </c>
      <c r="V106" s="100">
        <f>Country_details!FY107</f>
        <v>3.1986040905668061</v>
      </c>
      <c r="W106" s="28">
        <f>Country_details!FZ107</f>
        <v>2259.2765074384984</v>
      </c>
      <c r="X106" s="28">
        <f>Country_details!GA107</f>
        <v>525.73730498355371</v>
      </c>
      <c r="Y106" s="28">
        <f>Country_details!GB107</f>
        <v>377.31312960402255</v>
      </c>
      <c r="Z106" s="28">
        <f>Country_details!GC107</f>
        <v>591.95706203868497</v>
      </c>
      <c r="AA106" s="28">
        <f>Country_details!GD107</f>
        <v>865.92154289211885</v>
      </c>
      <c r="AB106" s="28">
        <f>Country_details!GE107</f>
        <v>1518.3984683838466</v>
      </c>
      <c r="AC106" s="28">
        <f>Country_details!GF107</f>
        <v>1571.887510695768</v>
      </c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</row>
    <row r="107" spans="1:55" x14ac:dyDescent="0.2">
      <c r="A107" s="8" t="str">
        <f>Country_details!A108</f>
        <v>Oman</v>
      </c>
      <c r="B107" s="28">
        <f>INDEX(Country_details!$A$9:$AS$156,MATCH(Country_results!A107,Country_details!$A$9:$A$156,0),MATCH(Country_results!$B$5,Country_details!$A$6:$AS$6,0))</f>
        <v>2297.7230098586292</v>
      </c>
      <c r="C107" s="28">
        <f t="shared" si="1"/>
        <v>3046.8639100203955</v>
      </c>
      <c r="D107" s="28">
        <f>Country_details!BA108</f>
        <v>3664.8971983920642</v>
      </c>
      <c r="E107" s="28">
        <f>Country_details!BG108</f>
        <v>3046.8639100203955</v>
      </c>
      <c r="F107" s="28">
        <f>Country_details!CA108</f>
        <v>4072.0135679953196</v>
      </c>
      <c r="G107" s="28">
        <f>Country_details!CN108</f>
        <v>8300.2311898191856</v>
      </c>
      <c r="H107" s="28">
        <f>Country_details!DA108</f>
        <v>5621.9002464753512</v>
      </c>
      <c r="I107" s="28">
        <f>Country_details!DL108</f>
        <v>4605.1422650532804</v>
      </c>
      <c r="J107" s="28">
        <f>Country_details!DW108</f>
        <v>3549.7858812333275</v>
      </c>
      <c r="K107" s="28">
        <f>Country_details!EJ108</f>
        <v>7188.6094719505318</v>
      </c>
      <c r="L107" s="28">
        <f>Country_details!EW108</f>
        <v>13222.669045740593</v>
      </c>
      <c r="M107" s="28">
        <f>Country_details!FJ108</f>
        <v>5835.5384645819631</v>
      </c>
      <c r="N107" s="28">
        <f>Country_details!FT108</f>
        <v>7337.2210242477358</v>
      </c>
      <c r="O107" s="100">
        <f>Country_details!AZ108</f>
        <v>6.5035055256471104</v>
      </c>
      <c r="P107" s="28">
        <f>Country_details!BY108</f>
        <v>650.62674266771558</v>
      </c>
      <c r="Q107" s="28">
        <f>Country_details!CK108</f>
        <v>414.92641508784601</v>
      </c>
      <c r="R107" s="28">
        <f>Country_details!CX108</f>
        <v>662.10537932338616</v>
      </c>
      <c r="S107" s="28">
        <f>Country_details!EG108</f>
        <v>944.09562280949206</v>
      </c>
      <c r="T107" s="28">
        <f>Country_details!ET108</f>
        <v>1559.9080732054674</v>
      </c>
      <c r="U107" s="28">
        <f>Country_details!FG108</f>
        <v>1781.9545608644796</v>
      </c>
      <c r="V107" s="100">
        <f>Country_details!FY108</f>
        <v>1.8783342958777625</v>
      </c>
      <c r="W107" s="28">
        <f>Country_details!FZ108</f>
        <v>2241.5412239329521</v>
      </c>
      <c r="X107" s="28">
        <f>Country_details!GA108</f>
        <v>523.79117341819654</v>
      </c>
      <c r="Y107" s="28">
        <f>Country_details!GB108</f>
        <v>342.35612360356646</v>
      </c>
      <c r="Z107" s="28">
        <f>Country_details!GC108</f>
        <v>585.30413873794089</v>
      </c>
      <c r="AA107" s="28">
        <f>Country_details!GD108</f>
        <v>854.25319006851134</v>
      </c>
      <c r="AB107" s="28">
        <f>Country_details!GE108</f>
        <v>1491.4328778146332</v>
      </c>
      <c r="AC107" s="28">
        <f>Country_details!GF108</f>
        <v>1568.7956216783712</v>
      </c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</row>
    <row r="108" spans="1:55" x14ac:dyDescent="0.2">
      <c r="A108" s="8" t="str">
        <f>Country_details!A109</f>
        <v>Pakistan</v>
      </c>
      <c r="B108" s="28">
        <f>INDEX(Country_details!$A$9:$AS$156,MATCH(Country_results!A108,Country_details!$A$9:$A$156,0),MATCH(Country_results!$B$5,Country_details!$A$6:$AS$6,0))</f>
        <v>-7059.1566766545748</v>
      </c>
      <c r="C108" s="28">
        <f t="shared" si="1"/>
        <v>3698.9116314069115</v>
      </c>
      <c r="D108" s="28">
        <f>Country_details!BA109</f>
        <v>5511.6726180333253</v>
      </c>
      <c r="E108" s="28">
        <f>Country_details!BG109</f>
        <v>3698.9116314069115</v>
      </c>
      <c r="F108" s="28">
        <f>Country_details!CA109</f>
        <v>4874.0540073261545</v>
      </c>
      <c r="G108" s="28">
        <f>Country_details!CN109</f>
        <v>10973.555803767593</v>
      </c>
      <c r="H108" s="28">
        <f>Country_details!DA109</f>
        <v>6533.569837433045</v>
      </c>
      <c r="I108" s="28">
        <f>Country_details!DL109</f>
        <v>5296.4848505717637</v>
      </c>
      <c r="J108" s="28">
        <f>Country_details!DW109</f>
        <v>5367.3221108105345</v>
      </c>
      <c r="K108" s="28">
        <f>Country_details!EJ109</f>
        <v>8465.3450484093119</v>
      </c>
      <c r="L108" s="28">
        <f>Country_details!EW109</f>
        <v>15941.386228755748</v>
      </c>
      <c r="M108" s="28">
        <f>Country_details!FJ109</f>
        <v>6799.1698015883403</v>
      </c>
      <c r="N108" s="28">
        <f>Country_details!FT109</f>
        <v>8641.6925365131938</v>
      </c>
      <c r="O108" s="100">
        <f>Country_details!AZ109</f>
        <v>10.098552089091262</v>
      </c>
      <c r="P108" s="28">
        <f>Country_details!BY109</f>
        <v>793.0944522856928</v>
      </c>
      <c r="Q108" s="28">
        <f>Country_details!CK109</f>
        <v>552.29848485912385</v>
      </c>
      <c r="R108" s="28">
        <f>Country_details!CX109</f>
        <v>815.0878390566952</v>
      </c>
      <c r="S108" s="28">
        <f>Country_details!EG109</f>
        <v>1165.3099016884669</v>
      </c>
      <c r="T108" s="28">
        <f>Country_details!ET109</f>
        <v>1941.4313857452662</v>
      </c>
      <c r="U108" s="28">
        <f>Country_details!FG109</f>
        <v>2182.5816932316338</v>
      </c>
      <c r="V108" s="100">
        <f>Country_details!FY109</f>
        <v>2.4092810200858708</v>
      </c>
      <c r="W108" s="28">
        <f>Country_details!FZ109</f>
        <v>2691.0507424124366</v>
      </c>
      <c r="X108" s="28">
        <f>Country_details!GA109</f>
        <v>640.27774776750107</v>
      </c>
      <c r="Y108" s="28">
        <f>Country_details!GB109</f>
        <v>468.92557366673435</v>
      </c>
      <c r="Z108" s="28">
        <f>Country_details!GC109</f>
        <v>722.93345563878961</v>
      </c>
      <c r="AA108" s="28">
        <f>Country_details!GD109</f>
        <v>1059.2135227865281</v>
      </c>
      <c r="AB108" s="28">
        <f>Country_details!GE109</f>
        <v>1859.6524132969851</v>
      </c>
      <c r="AC108" s="28">
        <f>Country_details!GF109</f>
        <v>1921.649318969374</v>
      </c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</row>
    <row r="109" spans="1:55" x14ac:dyDescent="0.2">
      <c r="A109" s="8" t="str">
        <f>Country_details!A110</f>
        <v>Panama</v>
      </c>
      <c r="B109" s="28">
        <f>INDEX(Country_details!$A$9:$AS$156,MATCH(Country_results!A109,Country_details!$A$9:$A$156,0),MATCH(Country_results!$B$5,Country_details!$A$6:$AS$6,0))</f>
        <v>249.43218179838334</v>
      </c>
      <c r="C109" s="28">
        <f t="shared" si="1"/>
        <v>4020.2186730562871</v>
      </c>
      <c r="D109" s="28">
        <f>Country_details!BA110</f>
        <v>13138.865356140217</v>
      </c>
      <c r="E109" s="28">
        <f>Country_details!BG110</f>
        <v>4569.0794319682545</v>
      </c>
      <c r="F109" s="28">
        <f>Country_details!CA110</f>
        <v>5015.0167103321292</v>
      </c>
      <c r="G109" s="28">
        <f>Country_details!CN110</f>
        <v>9917.9080037880976</v>
      </c>
      <c r="H109" s="28">
        <f>Country_details!DA110</f>
        <v>7017.231262482388</v>
      </c>
      <c r="I109" s="28">
        <f>Country_details!DL110</f>
        <v>5343.0142558179959</v>
      </c>
      <c r="J109" s="28">
        <f>Country_details!DW110</f>
        <v>4020.2186730562871</v>
      </c>
      <c r="K109" s="28">
        <f>Country_details!EJ110</f>
        <v>9128.1593244671767</v>
      </c>
      <c r="L109" s="28">
        <f>Country_details!EW110</f>
        <v>17434.709693652563</v>
      </c>
      <c r="M109" s="28">
        <f>Country_details!FJ110</f>
        <v>7272.4339575058211</v>
      </c>
      <c r="N109" s="28">
        <f>Country_details!FT110</f>
        <v>8389.883982885267</v>
      </c>
      <c r="O109" s="100">
        <f>Country_details!AZ110</f>
        <v>25.280703119980984</v>
      </c>
      <c r="P109" s="28">
        <f>Country_details!BY110</f>
        <v>818.13387979333299</v>
      </c>
      <c r="Q109" s="28">
        <f>Country_details!CK110</f>
        <v>491.29192176307811</v>
      </c>
      <c r="R109" s="28">
        <f>Country_details!CX110</f>
        <v>847.61673770083382</v>
      </c>
      <c r="S109" s="28">
        <f>Country_details!EG110</f>
        <v>1213.196312597968</v>
      </c>
      <c r="T109" s="28">
        <f>Country_details!ET110</f>
        <v>2031.3634066620828</v>
      </c>
      <c r="U109" s="28">
        <f>Country_details!FG110</f>
        <v>2283.1949962614876</v>
      </c>
      <c r="V109" s="100">
        <f>Country_details!FY110</f>
        <v>2.5031723718720564</v>
      </c>
      <c r="W109" s="28">
        <f>Country_details!FZ110</f>
        <v>3184.9522619026884</v>
      </c>
      <c r="X109" s="28">
        <f>Country_details!GA110</f>
        <v>701.30600129519769</v>
      </c>
      <c r="Y109" s="28">
        <f>Country_details!GB110</f>
        <v>426.93344863179385</v>
      </c>
      <c r="Z109" s="28">
        <f>Country_details!GC110</f>
        <v>781.24369416602133</v>
      </c>
      <c r="AA109" s="28">
        <f>Country_details!GD110</f>
        <v>1134.4733814010974</v>
      </c>
      <c r="AB109" s="28">
        <f>Country_details!GE110</f>
        <v>1972.2744535575541</v>
      </c>
      <c r="AC109" s="28">
        <f>Country_details!GF110</f>
        <v>2077.5621769882705</v>
      </c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</row>
    <row r="110" spans="1:55" x14ac:dyDescent="0.2">
      <c r="A110" s="8" t="str">
        <f>Country_details!A111</f>
        <v>Paraguay</v>
      </c>
      <c r="B110" s="28">
        <f>INDEX(Country_details!$A$9:$AS$156,MATCH(Country_results!A110,Country_details!$A$9:$A$156,0),MATCH(Country_results!$B$5,Country_details!$A$6:$AS$6,0))</f>
        <v>2557.996765896542</v>
      </c>
      <c r="C110" s="28">
        <f t="shared" si="1"/>
        <v>6394.3873434559928</v>
      </c>
      <c r="D110" s="28">
        <f>Country_details!BA111</f>
        <v>19869.032115498649</v>
      </c>
      <c r="E110" s="28">
        <f>Country_details!BG111</f>
        <v>6394.3873434559928</v>
      </c>
      <c r="F110" s="28" t="str">
        <f>Country_details!CA111</f>
        <v/>
      </c>
      <c r="G110" s="28" t="str">
        <f>Country_details!CN111</f>
        <v/>
      </c>
      <c r="H110" s="28" t="str">
        <f>Country_details!DA111</f>
        <v/>
      </c>
      <c r="I110" s="28" t="str">
        <f>Country_details!DL111</f>
        <v/>
      </c>
      <c r="J110" s="28" t="str">
        <f>Country_details!DW111</f>
        <v/>
      </c>
      <c r="K110" s="28" t="str">
        <f>Country_details!EJ111</f>
        <v/>
      </c>
      <c r="L110" s="28" t="str">
        <f>Country_details!EW111</f>
        <v/>
      </c>
      <c r="M110" s="28" t="str">
        <f>Country_details!FJ111</f>
        <v/>
      </c>
      <c r="N110" s="28" t="str">
        <f>Country_details!FT111</f>
        <v/>
      </c>
      <c r="O110" s="100">
        <f>Country_details!AZ111</f>
        <v>38.784247982257128</v>
      </c>
      <c r="P110" s="28" t="str">
        <f>Country_details!BY111</f>
        <v/>
      </c>
      <c r="Q110" s="28" t="str">
        <f>Country_details!CK111</f>
        <v/>
      </c>
      <c r="R110" s="28" t="str">
        <f>Country_details!CX111</f>
        <v/>
      </c>
      <c r="S110" s="28" t="str">
        <f>Country_details!EG111</f>
        <v/>
      </c>
      <c r="T110" s="28" t="str">
        <f>Country_details!ET111</f>
        <v/>
      </c>
      <c r="U110" s="28" t="str">
        <f>Country_details!FG111</f>
        <v/>
      </c>
      <c r="V110" s="100">
        <f>Country_details!FY111</f>
        <v>3.306362126179839</v>
      </c>
      <c r="W110" s="28">
        <f>Country_details!FZ111</f>
        <v>4094.750059076815</v>
      </c>
      <c r="X110" s="28">
        <f>Country_details!GA111</f>
        <v>916.16777358040622</v>
      </c>
      <c r="Y110" s="28">
        <f>Country_details!GB111</f>
        <v>570.10261480361089</v>
      </c>
      <c r="Z110" s="28">
        <f>Country_details!GC111</f>
        <v>1023.297239226035</v>
      </c>
      <c r="AA110" s="28">
        <f>Country_details!GD111</f>
        <v>1487.9544163361929</v>
      </c>
      <c r="AB110" s="28">
        <f>Country_details!GE111</f>
        <v>2589.7827665507539</v>
      </c>
      <c r="AC110" s="28">
        <f>Country_details!GF111</f>
        <v>2721.8252729480946</v>
      </c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</row>
    <row r="111" spans="1:55" x14ac:dyDescent="0.2">
      <c r="A111" s="8" t="str">
        <f>Country_details!A112</f>
        <v>Peru</v>
      </c>
      <c r="B111" s="28">
        <f>INDEX(Country_details!$A$9:$AS$156,MATCH(Country_results!A111,Country_details!$A$9:$A$156,0),MATCH(Country_results!$B$5,Country_details!$A$6:$AS$6,0))</f>
        <v>18718.529929955526</v>
      </c>
      <c r="C111" s="28">
        <f t="shared" si="1"/>
        <v>4854.4563683426004</v>
      </c>
      <c r="D111" s="28">
        <f>Country_details!BA112</f>
        <v>17615.148696962635</v>
      </c>
      <c r="E111" s="28">
        <f>Country_details!BG112</f>
        <v>4854.4563683426004</v>
      </c>
      <c r="F111" s="28">
        <f>Country_details!CA112</f>
        <v>5228.6914288399439</v>
      </c>
      <c r="G111" s="28">
        <f>Country_details!CN112</f>
        <v>11655.219260808557</v>
      </c>
      <c r="H111" s="28">
        <f>Country_details!DA112</f>
        <v>6892.1662792578472</v>
      </c>
      <c r="I111" s="28">
        <f>Country_details!DL112</f>
        <v>5544.9918427959255</v>
      </c>
      <c r="J111" s="28">
        <f>Country_details!DW112</f>
        <v>5810.1608031488886</v>
      </c>
      <c r="K111" s="28">
        <f>Country_details!EJ112</f>
        <v>8954.323609092653</v>
      </c>
      <c r="L111" s="28">
        <f>Country_details!EW112</f>
        <v>16949.36548029909</v>
      </c>
      <c r="M111" s="28" t="str">
        <f>Country_details!FJ112</f>
        <v/>
      </c>
      <c r="N111" s="28" t="str">
        <f>Country_details!FT112</f>
        <v/>
      </c>
      <c r="O111" s="100">
        <f>Country_details!AZ112</f>
        <v>34.262009983589373</v>
      </c>
      <c r="P111" s="28">
        <f>Country_details!BY112</f>
        <v>856.08925742301062</v>
      </c>
      <c r="Q111" s="28">
        <f>Country_details!CK112</f>
        <v>590.42861209743285</v>
      </c>
      <c r="R111" s="28">
        <f>Country_details!CX112</f>
        <v>874.43668398456077</v>
      </c>
      <c r="S111" s="28">
        <f>Country_details!EG112</f>
        <v>1250.9469532308551</v>
      </c>
      <c r="T111" s="28">
        <f>Country_details!ET112</f>
        <v>2085.4196809353057</v>
      </c>
      <c r="U111" s="28" t="str">
        <f>Country_details!FG112</f>
        <v/>
      </c>
      <c r="V111" s="100">
        <f>Country_details!FY112</f>
        <v>3.2465597292337911</v>
      </c>
      <c r="W111" s="28">
        <f>Country_details!FZ112</f>
        <v>2877.5025117259379</v>
      </c>
      <c r="X111" s="28">
        <f>Country_details!GA112</f>
        <v>687.57046363730683</v>
      </c>
      <c r="Y111" s="28">
        <f>Country_details!GB112</f>
        <v>505.36084979530494</v>
      </c>
      <c r="Z111" s="28">
        <f>Country_details!GC112</f>
        <v>776.83936938593752</v>
      </c>
      <c r="AA111" s="28">
        <f>Country_details!GD112</f>
        <v>1138.5196337540654</v>
      </c>
      <c r="AB111" s="28">
        <f>Country_details!GE112</f>
        <v>1999.3149372817684</v>
      </c>
      <c r="AC111" s="28">
        <f>Country_details!GF112</f>
        <v>2065.0484744890346</v>
      </c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</row>
    <row r="112" spans="1:55" x14ac:dyDescent="0.2">
      <c r="A112" s="8" t="str">
        <f>Country_details!A113</f>
        <v>Philippines</v>
      </c>
      <c r="B112" s="28">
        <f>INDEX(Country_details!$A$9:$AS$156,MATCH(Country_results!A112,Country_details!$A$9:$A$156,0),MATCH(Country_results!$B$5,Country_details!$A$6:$AS$6,0))</f>
        <v>-4373.8210377041141</v>
      </c>
      <c r="C112" s="28">
        <f t="shared" si="1"/>
        <v>4150.2201472241632</v>
      </c>
      <c r="D112" s="28">
        <f>Country_details!BA113</f>
        <v>8101.8420040853307</v>
      </c>
      <c r="E112" s="28">
        <f>Country_details!BG113</f>
        <v>4150.2201472241632</v>
      </c>
      <c r="F112" s="28">
        <f>Country_details!CA113</f>
        <v>4712.9473826077301</v>
      </c>
      <c r="G112" s="28">
        <f>Country_details!CN113</f>
        <v>10718.241423471818</v>
      </c>
      <c r="H112" s="28">
        <f>Country_details!DA113</f>
        <v>6307.264733232184</v>
      </c>
      <c r="I112" s="28">
        <f>Country_details!DL113</f>
        <v>5612.0388976290105</v>
      </c>
      <c r="J112" s="28">
        <f>Country_details!DW113</f>
        <v>5039.6171565998384</v>
      </c>
      <c r="K112" s="28">
        <f>Country_details!EJ113</f>
        <v>8091.1237869115921</v>
      </c>
      <c r="L112" s="28">
        <f>Country_details!EW113</f>
        <v>14992.798179318581</v>
      </c>
      <c r="M112" s="28">
        <f>Country_details!FJ113</f>
        <v>6455.9219438459986</v>
      </c>
      <c r="N112" s="28">
        <f>Country_details!FT113</f>
        <v>8198.9815023257397</v>
      </c>
      <c r="O112" s="100">
        <f>Country_details!AZ113</f>
        <v>15.174315977013716</v>
      </c>
      <c r="P112" s="28">
        <f>Country_details!BY113</f>
        <v>764.47682815807798</v>
      </c>
      <c r="Q112" s="28">
        <f>Country_details!CK113</f>
        <v>531.15488749902079</v>
      </c>
      <c r="R112" s="28">
        <f>Country_details!CX113</f>
        <v>768.84257555725935</v>
      </c>
      <c r="S112" s="28">
        <f>Country_details!EG113</f>
        <v>1091.0431276750246</v>
      </c>
      <c r="T112" s="28">
        <f>Country_details!ET113</f>
        <v>1797.7620070332021</v>
      </c>
      <c r="U112" s="28">
        <f>Country_details!FG113</f>
        <v>2035.0704657904162</v>
      </c>
      <c r="V112" s="100">
        <f>Country_details!FY113</f>
        <v>2.3996306862104064</v>
      </c>
      <c r="W112" s="28">
        <f>Country_details!FZ113</f>
        <v>2480.6761638174635</v>
      </c>
      <c r="X112" s="28">
        <f>Country_details!GA113</f>
        <v>586.62414147406048</v>
      </c>
      <c r="Y112" s="28">
        <f>Country_details!GB113</f>
        <v>427.0749243465803</v>
      </c>
      <c r="Z112" s="28">
        <f>Country_details!GC113</f>
        <v>661.72218987560052</v>
      </c>
      <c r="AA112" s="28">
        <f>Country_details!GD113</f>
        <v>969.10535784572619</v>
      </c>
      <c r="AB112" s="28">
        <f>Country_details!GE113</f>
        <v>1700.8536853300548</v>
      </c>
      <c r="AC112" s="28">
        <f>Country_details!GF113</f>
        <v>1758.849628522531</v>
      </c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</row>
    <row r="113" spans="1:55" x14ac:dyDescent="0.2">
      <c r="A113" s="8" t="str">
        <f>Country_details!A114</f>
        <v>Portugal</v>
      </c>
      <c r="B113" s="28">
        <f>INDEX(Country_details!$A$9:$AS$156,MATCH(Country_results!A113,Country_details!$A$9:$A$156,0),MATCH(Country_results!$B$5,Country_details!$A$6:$AS$6,0))</f>
        <v>950.34776791028253</v>
      </c>
      <c r="C113" s="28">
        <f t="shared" si="1"/>
        <v>2530.5606185880961</v>
      </c>
      <c r="D113" s="28">
        <f>Country_details!BA114</f>
        <v>2905.3773840992621</v>
      </c>
      <c r="E113" s="28">
        <f>Country_details!BG114</f>
        <v>2530.5606185880961</v>
      </c>
      <c r="F113" s="28">
        <f>Country_details!CA114</f>
        <v>3803.6262623119974</v>
      </c>
      <c r="G113" s="28">
        <f>Country_details!CN114</f>
        <v>8332.6899903740887</v>
      </c>
      <c r="H113" s="28">
        <f>Country_details!DA114</f>
        <v>5376.7920420723613</v>
      </c>
      <c r="I113" s="28">
        <f>Country_details!DL114</f>
        <v>3655.5243420742595</v>
      </c>
      <c r="J113" s="28">
        <f>Country_details!DW114</f>
        <v>4348.6758643340545</v>
      </c>
      <c r="K113" s="28">
        <f>Country_details!EJ114</f>
        <v>7017.8223895869005</v>
      </c>
      <c r="L113" s="28">
        <f>Country_details!EW114</f>
        <v>13285.319994255258</v>
      </c>
      <c r="M113" s="28">
        <f>Country_details!FJ114</f>
        <v>5710.3074430842889</v>
      </c>
      <c r="N113" s="28">
        <f>Country_details!FT114</f>
        <v>7006.6312535185707</v>
      </c>
      <c r="O113" s="100">
        <f>Country_details!AZ114</f>
        <v>5.0249775632316886</v>
      </c>
      <c r="P113" s="28">
        <f>Country_details!BY114</f>
        <v>602.95268178975698</v>
      </c>
      <c r="Q113" s="28">
        <f>Country_details!CK114</f>
        <v>419.87342320300604</v>
      </c>
      <c r="R113" s="28">
        <f>Country_details!CX114</f>
        <v>638.83419966705162</v>
      </c>
      <c r="S113" s="28">
        <f>Country_details!EG114</f>
        <v>930.88000796793972</v>
      </c>
      <c r="T113" s="28">
        <f>Country_details!ET114</f>
        <v>1582.400666105354</v>
      </c>
      <c r="U113" s="28">
        <f>Country_details!FG114</f>
        <v>1749.1115383436452</v>
      </c>
      <c r="V113" s="100">
        <f>Country_details!FY114</f>
        <v>2.0162384852324275</v>
      </c>
      <c r="W113" s="28">
        <f>Country_details!FZ114</f>
        <v>2274.9064465428173</v>
      </c>
      <c r="X113" s="28">
        <f>Country_details!GA114</f>
        <v>536.50289966188325</v>
      </c>
      <c r="Y113" s="28">
        <f>Country_details!GB114</f>
        <v>389.24914808330249</v>
      </c>
      <c r="Z113" s="28">
        <f>Country_details!GC114</f>
        <v>604.65517598022643</v>
      </c>
      <c r="AA113" s="28">
        <f>Country_details!GD114</f>
        <v>885.3579663974192</v>
      </c>
      <c r="AB113" s="28">
        <f>Country_details!GE114</f>
        <v>1553.6090844583496</v>
      </c>
      <c r="AC113" s="28">
        <f>Country_details!GF114</f>
        <v>1607.8711089669684</v>
      </c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</row>
    <row r="114" spans="1:55" x14ac:dyDescent="0.2">
      <c r="A114" s="8" t="str">
        <f>Country_details!A115</f>
        <v>Puerto Rico</v>
      </c>
      <c r="B114" s="28">
        <f>INDEX(Country_details!$A$9:$AS$156,MATCH(Country_results!A114,Country_details!$A$9:$A$156,0),MATCH(Country_results!$B$5,Country_details!$A$6:$AS$6,0))</f>
        <v>85.902839270719198</v>
      </c>
      <c r="C114" s="28">
        <f t="shared" si="1"/>
        <v>3091.4166496847029</v>
      </c>
      <c r="D114" s="28">
        <f>Country_details!BA115</f>
        <v>9731.120667735222</v>
      </c>
      <c r="E114" s="28">
        <f>Country_details!BG115</f>
        <v>3091.4166496847029</v>
      </c>
      <c r="F114" s="28">
        <f>Country_details!CA115</f>
        <v>3731.7232234905182</v>
      </c>
      <c r="G114" s="28">
        <f>Country_details!CN115</f>
        <v>8277.976410990248</v>
      </c>
      <c r="H114" s="28">
        <f>Country_details!DA115</f>
        <v>5245.2404131830854</v>
      </c>
      <c r="I114" s="28">
        <f>Country_details!DL115</f>
        <v>3927.3280444296452</v>
      </c>
      <c r="J114" s="28">
        <f>Country_details!DW115</f>
        <v>4196.9150506952574</v>
      </c>
      <c r="K114" s="28">
        <f>Country_details!EJ115</f>
        <v>6792.884507411738</v>
      </c>
      <c r="L114" s="28">
        <f>Country_details!EW115</f>
        <v>12679.694994042069</v>
      </c>
      <c r="M114" s="28">
        <f>Country_details!FJ115</f>
        <v>5509.0490316300002</v>
      </c>
      <c r="N114" s="28">
        <f>Country_details!FT115</f>
        <v>6825.3553072394252</v>
      </c>
      <c r="O114" s="100">
        <f>Country_details!AZ115</f>
        <v>18.443334162507082</v>
      </c>
      <c r="P114" s="28">
        <f>Country_details!BY115</f>
        <v>590.18043147278377</v>
      </c>
      <c r="Q114" s="28">
        <f>Country_details!CK115</f>
        <v>413.01483690195903</v>
      </c>
      <c r="R114" s="28">
        <f>Country_details!CX115</f>
        <v>614.51441936633876</v>
      </c>
      <c r="S114" s="28">
        <f>Country_details!EG115</f>
        <v>890.23957987084293</v>
      </c>
      <c r="T114" s="28">
        <f>Country_details!ET115</f>
        <v>1499.262664444854</v>
      </c>
      <c r="U114" s="28">
        <f>Country_details!FG115</f>
        <v>1668.2647027184883</v>
      </c>
      <c r="V114" s="100">
        <f>Country_details!FY115</f>
        <v>1.8396150843537327</v>
      </c>
      <c r="W114" s="28">
        <f>Country_details!FZ115</f>
        <v>2127.5211773705332</v>
      </c>
      <c r="X114" s="28">
        <f>Country_details!GA115</f>
        <v>503.1670319514451</v>
      </c>
      <c r="Y114" s="28">
        <f>Country_details!GB115</f>
        <v>366.04681408626277</v>
      </c>
      <c r="Z114" s="28">
        <f>Country_details!GC115</f>
        <v>566.96038628182191</v>
      </c>
      <c r="AA114" s="28">
        <f>Country_details!GD115</f>
        <v>830.37058206244342</v>
      </c>
      <c r="AB114" s="28">
        <f>Country_details!GE115</f>
        <v>1457.4178157484835</v>
      </c>
      <c r="AC114" s="28">
        <f>Country_details!GF115</f>
        <v>1508.7756183034169</v>
      </c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</row>
    <row r="115" spans="1:55" x14ac:dyDescent="0.2">
      <c r="A115" s="8" t="str">
        <f>Country_details!A116</f>
        <v>Qatar</v>
      </c>
      <c r="B115" s="28">
        <f>INDEX(Country_details!$A$9:$AS$156,MATCH(Country_results!A115,Country_details!$A$9:$A$156,0),MATCH(Country_results!$B$5,Country_details!$A$6:$AS$6,0))</f>
        <v>-105.93466134438552</v>
      </c>
      <c r="C115" s="28">
        <f t="shared" si="1"/>
        <v>3212.5948147982649</v>
      </c>
      <c r="D115" s="28">
        <f>Country_details!BA116</f>
        <v>3466.4887993132165</v>
      </c>
      <c r="E115" s="28">
        <f>Country_details!BG116</f>
        <v>3212.5948147982649</v>
      </c>
      <c r="F115" s="28">
        <f>Country_details!CA116</f>
        <v>4380.4886035830514</v>
      </c>
      <c r="G115" s="28">
        <f>Country_details!CN116</f>
        <v>8881.6757190337285</v>
      </c>
      <c r="H115" s="28">
        <f>Country_details!DA116</f>
        <v>6075.1824426735602</v>
      </c>
      <c r="I115" s="28">
        <f>Country_details!DL116</f>
        <v>4989.2143538799301</v>
      </c>
      <c r="J115" s="28">
        <f>Country_details!DW116</f>
        <v>3666.3100695447415</v>
      </c>
      <c r="K115" s="28">
        <f>Country_details!EJ116</f>
        <v>7788.1365734672536</v>
      </c>
      <c r="L115" s="28">
        <f>Country_details!EW116</f>
        <v>14459.322727406226</v>
      </c>
      <c r="M115" s="28">
        <f>Country_details!FJ116</f>
        <v>6259.7853455207196</v>
      </c>
      <c r="N115" s="28">
        <f>Country_details!FT116</f>
        <v>7620.7009424043727</v>
      </c>
      <c r="O115" s="100">
        <f>Country_details!AZ116</f>
        <v>6.1172715387309182</v>
      </c>
      <c r="P115" s="28">
        <f>Country_details!BY116</f>
        <v>705.42165030500996</v>
      </c>
      <c r="Q115" s="28">
        <f>Country_details!CK116</f>
        <v>440.08731479778191</v>
      </c>
      <c r="R115" s="28">
        <f>Country_details!CX116</f>
        <v>718.71017853600358</v>
      </c>
      <c r="S115" s="28">
        <f>Country_details!EG116</f>
        <v>1022.2403093359804</v>
      </c>
      <c r="T115" s="28">
        <f>Country_details!ET116</f>
        <v>1690.0913531547358</v>
      </c>
      <c r="U115" s="28">
        <f>Country_details!FG116</f>
        <v>1923.7310420641302</v>
      </c>
      <c r="V115" s="100">
        <f>Country_details!FY116</f>
        <v>2.0275317117193983</v>
      </c>
      <c r="W115" s="28">
        <f>Country_details!FZ116</f>
        <v>2508.7824732065937</v>
      </c>
      <c r="X115" s="28">
        <f>Country_details!GA116</f>
        <v>571.09952804149088</v>
      </c>
      <c r="Y115" s="28">
        <f>Country_details!GB116</f>
        <v>361.75179031409255</v>
      </c>
      <c r="Z115" s="28">
        <f>Country_details!GC116</f>
        <v>637.14235817782389</v>
      </c>
      <c r="AA115" s="28">
        <f>Country_details!GD116</f>
        <v>927.86604378168272</v>
      </c>
      <c r="AB115" s="28">
        <f>Country_details!GE116</f>
        <v>1616.9264376903416</v>
      </c>
      <c r="AC115" s="28">
        <f>Country_details!GF116</f>
        <v>1702.4617279792012</v>
      </c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</row>
    <row r="116" spans="1:55" x14ac:dyDescent="0.2">
      <c r="A116" s="8" t="str">
        <f>Country_details!A117</f>
        <v>Russia</v>
      </c>
      <c r="B116" s="28">
        <f>INDEX(Country_details!$A$9:$AS$156,MATCH(Country_results!A116,Country_details!$A$9:$A$156,0),MATCH(Country_results!$B$5,Country_details!$A$6:$AS$6,0))</f>
        <v>122595.92811662705</v>
      </c>
      <c r="C116" s="28">
        <f t="shared" si="1"/>
        <v>3915.4782671985954</v>
      </c>
      <c r="D116" s="28">
        <f>Country_details!BA117</f>
        <v>5417.0361500789031</v>
      </c>
      <c r="E116" s="28">
        <f>Country_details!BG117</f>
        <v>3915.4782671985954</v>
      </c>
      <c r="F116" s="28">
        <f>Country_details!CA117</f>
        <v>5280.4387728593265</v>
      </c>
      <c r="G116" s="28">
        <f>Country_details!CN117</f>
        <v>11268.957428884481</v>
      </c>
      <c r="H116" s="28">
        <f>Country_details!DA117</f>
        <v>7163.3040582427002</v>
      </c>
      <c r="I116" s="28">
        <f>Country_details!DL117</f>
        <v>5351.2313604408855</v>
      </c>
      <c r="J116" s="28">
        <f>Country_details!DW117</f>
        <v>5809.955954056104</v>
      </c>
      <c r="K116" s="28">
        <f>Country_details!EJ117</f>
        <v>9263.7305629405982</v>
      </c>
      <c r="L116" s="28">
        <f>Country_details!EW117</f>
        <v>17457.381373095246</v>
      </c>
      <c r="M116" s="28">
        <f>Country_details!FJ117</f>
        <v>7460.6274539856659</v>
      </c>
      <c r="N116" s="28">
        <f>Country_details!FT117</f>
        <v>8813.7279428938764</v>
      </c>
      <c r="O116" s="100">
        <f>Country_details!AZ117</f>
        <v>9.9143269227404343</v>
      </c>
      <c r="P116" s="28">
        <f>Country_details!BY117</f>
        <v>865.28121984750624</v>
      </c>
      <c r="Q116" s="28">
        <f>Country_details!CK117</f>
        <v>560.58694041052445</v>
      </c>
      <c r="R116" s="28">
        <f>Country_details!CX117</f>
        <v>885.26694889083842</v>
      </c>
      <c r="S116" s="28">
        <f>Country_details!EG117</f>
        <v>1258.081533744423</v>
      </c>
      <c r="T116" s="28">
        <f>Country_details!ET117</f>
        <v>2081.0869962630286</v>
      </c>
      <c r="U116" s="28">
        <f>Country_details!FG117</f>
        <v>2384.1249645627381</v>
      </c>
      <c r="V116" s="100">
        <f>Country_details!FY117</f>
        <v>3.5791764777715738</v>
      </c>
      <c r="W116" s="28">
        <f>Country_details!FZ117</f>
        <v>3009.4491902612858</v>
      </c>
      <c r="X116" s="28">
        <f>Country_details!GA117</f>
        <v>689.19007222830589</v>
      </c>
      <c r="Y116" s="28">
        <f>Country_details!GB117</f>
        <v>488.80504460379603</v>
      </c>
      <c r="Z116" s="28">
        <f>Country_details!GC117</f>
        <v>776.58447789465299</v>
      </c>
      <c r="AA116" s="28">
        <f>Country_details!GD117</f>
        <v>1134.5624410753451</v>
      </c>
      <c r="AB116" s="28">
        <f>Country_details!GE117</f>
        <v>1987.60198972646</v>
      </c>
      <c r="AC116" s="28">
        <f>Country_details!GF117</f>
        <v>2054.3472287616482</v>
      </c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</row>
    <row r="117" spans="1:55" x14ac:dyDescent="0.2">
      <c r="A117" s="8" t="str">
        <f>Country_details!A118</f>
        <v>Rwanda</v>
      </c>
      <c r="B117" s="28">
        <f>INDEX(Country_details!$A$9:$AS$156,MATCH(Country_results!A117,Country_details!$A$9:$A$156,0),MATCH(Country_results!$B$5,Country_details!$A$6:$AS$6,0))</f>
        <v>-914.67609454626495</v>
      </c>
      <c r="C117" s="28">
        <f t="shared" si="1"/>
        <v>4767.0056307588447</v>
      </c>
      <c r="D117" s="28">
        <f>Country_details!BA118</f>
        <v>6140.3513936608624</v>
      </c>
      <c r="E117" s="28">
        <f>Country_details!BG118</f>
        <v>4767.0056307588447</v>
      </c>
      <c r="F117" s="28" t="str">
        <f>Country_details!CA118</f>
        <v/>
      </c>
      <c r="G117" s="28" t="str">
        <f>Country_details!CN118</f>
        <v/>
      </c>
      <c r="H117" s="28" t="str">
        <f>Country_details!DA118</f>
        <v/>
      </c>
      <c r="I117" s="28" t="str">
        <f>Country_details!DL118</f>
        <v/>
      </c>
      <c r="J117" s="28" t="str">
        <f>Country_details!DW118</f>
        <v/>
      </c>
      <c r="K117" s="28" t="str">
        <f>Country_details!EJ118</f>
        <v/>
      </c>
      <c r="L117" s="28" t="str">
        <f>Country_details!EW118</f>
        <v/>
      </c>
      <c r="M117" s="28" t="str">
        <f>Country_details!FJ118</f>
        <v/>
      </c>
      <c r="N117" s="28" t="str">
        <f>Country_details!FT118</f>
        <v/>
      </c>
      <c r="O117" s="100">
        <f>Country_details!AZ118</f>
        <v>11.322376842113528</v>
      </c>
      <c r="P117" s="28" t="str">
        <f>Country_details!BY118</f>
        <v/>
      </c>
      <c r="Q117" s="28" t="str">
        <f>Country_details!CK118</f>
        <v/>
      </c>
      <c r="R117" s="28" t="str">
        <f>Country_details!CX118</f>
        <v/>
      </c>
      <c r="S117" s="28" t="str">
        <f>Country_details!EG118</f>
        <v/>
      </c>
      <c r="T117" s="28" t="str">
        <f>Country_details!ET118</f>
        <v/>
      </c>
      <c r="U117" s="28" t="str">
        <f>Country_details!FG118</f>
        <v/>
      </c>
      <c r="V117" s="100">
        <f>Country_details!FY118</f>
        <v>2.8531989479668374</v>
      </c>
      <c r="W117" s="28">
        <f>Country_details!FZ118</f>
        <v>3576.0406579846554</v>
      </c>
      <c r="X117" s="28">
        <f>Country_details!GA118</f>
        <v>795.07362574785679</v>
      </c>
      <c r="Y117" s="28">
        <f>Country_details!GB118</f>
        <v>490.40478078020067</v>
      </c>
      <c r="Z117" s="28">
        <f>Country_details!GC118</f>
        <v>886.98658122482709</v>
      </c>
      <c r="AA117" s="28">
        <f>Country_details!GD118</f>
        <v>1289.0740855572908</v>
      </c>
      <c r="AB117" s="28">
        <f>Country_details!GE118</f>
        <v>2242.6112740737153</v>
      </c>
      <c r="AC117" s="28">
        <f>Country_details!GF118</f>
        <v>2359.4434170035497</v>
      </c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</row>
    <row r="118" spans="1:55" x14ac:dyDescent="0.2">
      <c r="A118" s="8" t="str">
        <f>Country_details!A119</f>
        <v>Saudi Arabia</v>
      </c>
      <c r="B118" s="28">
        <f>INDEX(Country_details!$A$9:$AS$156,MATCH(Country_results!A118,Country_details!$A$9:$A$156,0),MATCH(Country_results!$B$5,Country_details!$A$6:$AS$6,0))</f>
        <v>13546.617550056981</v>
      </c>
      <c r="C118" s="28">
        <f t="shared" si="1"/>
        <v>2898.9198793372639</v>
      </c>
      <c r="D118" s="28">
        <f>Country_details!BA119</f>
        <v>3324.157351738083</v>
      </c>
      <c r="E118" s="28">
        <f>Country_details!BG119</f>
        <v>2898.9198793372639</v>
      </c>
      <c r="F118" s="28">
        <f>Country_details!CA119</f>
        <v>4031.8702418516909</v>
      </c>
      <c r="G118" s="28">
        <f>Country_details!CN119</f>
        <v>8086.8405177971445</v>
      </c>
      <c r="H118" s="28">
        <f>Country_details!DA119</f>
        <v>5590.1906989857043</v>
      </c>
      <c r="I118" s="28">
        <f>Country_details!DL119</f>
        <v>4341.9061261121933</v>
      </c>
      <c r="J118" s="28">
        <f>Country_details!DW119</f>
        <v>3612.5829481248234</v>
      </c>
      <c r="K118" s="28">
        <f>Country_details!EJ119</f>
        <v>7147.9406384130789</v>
      </c>
      <c r="L118" s="28">
        <f>Country_details!EW119</f>
        <v>13147.945289121122</v>
      </c>
      <c r="M118" s="28">
        <f>Country_details!FJ119</f>
        <v>5838.2924321573446</v>
      </c>
      <c r="N118" s="28">
        <f>Country_details!FT119</f>
        <v>7271.625731576295</v>
      </c>
      <c r="O118" s="100">
        <f>Country_details!AZ119</f>
        <v>5.8402003929743804</v>
      </c>
      <c r="P118" s="28">
        <f>Country_details!BY119</f>
        <v>643.4960202606236</v>
      </c>
      <c r="Q118" s="28">
        <f>Country_details!CK119</f>
        <v>405.5092516238156</v>
      </c>
      <c r="R118" s="28">
        <f>Country_details!CX119</f>
        <v>657.82950701233415</v>
      </c>
      <c r="S118" s="28">
        <f>Country_details!EG119</f>
        <v>938.26590211641837</v>
      </c>
      <c r="T118" s="28">
        <f>Country_details!ET119</f>
        <v>1550.929629796671</v>
      </c>
      <c r="U118" s="28">
        <f>Country_details!FG119</f>
        <v>1780.4846822614668</v>
      </c>
      <c r="V118" s="100">
        <f>Country_details!FY119</f>
        <v>1.9352074779924808</v>
      </c>
      <c r="W118" s="28">
        <f>Country_details!FZ119</f>
        <v>2228.918761556854</v>
      </c>
      <c r="X118" s="28">
        <f>Country_details!GA119</f>
        <v>521.10159092887852</v>
      </c>
      <c r="Y118" s="28">
        <f>Country_details!GB119</f>
        <v>342.49805100516119</v>
      </c>
      <c r="Z118" s="28">
        <f>Country_details!GC119</f>
        <v>582.52215622568838</v>
      </c>
      <c r="AA118" s="28">
        <f>Country_details!GD119</f>
        <v>850.33760771218135</v>
      </c>
      <c r="AB118" s="28">
        <f>Country_details!GE119</f>
        <v>1484.9896943685001</v>
      </c>
      <c r="AC118" s="28">
        <f>Country_details!GF119</f>
        <v>1560.7990862204224</v>
      </c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</row>
    <row r="119" spans="1:55" x14ac:dyDescent="0.2">
      <c r="A119" s="8" t="str">
        <f>Country_details!A120</f>
        <v>Senegal</v>
      </c>
      <c r="B119" s="28">
        <f>INDEX(Country_details!$A$9:$AS$156,MATCH(Country_results!A119,Country_details!$A$9:$A$156,0),MATCH(Country_results!$B$5,Country_details!$A$6:$AS$6,0))</f>
        <v>-104.18146361989989</v>
      </c>
      <c r="C119" s="28">
        <f t="shared" si="1"/>
        <v>3936.5958896083066</v>
      </c>
      <c r="D119" s="28">
        <f>Country_details!BA120</f>
        <v>4760.1313056586914</v>
      </c>
      <c r="E119" s="28">
        <f>Country_details!BG120</f>
        <v>3936.5958896083066</v>
      </c>
      <c r="F119" s="28">
        <f>Country_details!CA120</f>
        <v>4947.9855564890977</v>
      </c>
      <c r="G119" s="28">
        <f>Country_details!CN120</f>
        <v>9794.1977871809813</v>
      </c>
      <c r="H119" s="28">
        <f>Country_details!DA120</f>
        <v>6804.1861572719272</v>
      </c>
      <c r="I119" s="28">
        <f>Country_details!DL120</f>
        <v>4890.4481655764357</v>
      </c>
      <c r="J119" s="28">
        <f>Country_details!DW120</f>
        <v>4227.2764641341037</v>
      </c>
      <c r="K119" s="28">
        <f>Country_details!EJ120</f>
        <v>8908.5093845474366</v>
      </c>
      <c r="L119" s="28">
        <f>Country_details!EW120</f>
        <v>17093.189781695764</v>
      </c>
      <c r="M119" s="28">
        <f>Country_details!FJ120</f>
        <v>7201.2146021169583</v>
      </c>
      <c r="N119" s="28">
        <f>Country_details!FT120</f>
        <v>8766.849909910321</v>
      </c>
      <c r="O119" s="100">
        <f>Country_details!AZ120</f>
        <v>8.6355555689926966</v>
      </c>
      <c r="P119" s="28">
        <f>Country_details!BY120</f>
        <v>806.22703009753138</v>
      </c>
      <c r="Q119" s="28">
        <f>Country_details!CK120</f>
        <v>499.36477086423764</v>
      </c>
      <c r="R119" s="28">
        <f>Country_details!CX120</f>
        <v>844.53684907161892</v>
      </c>
      <c r="S119" s="28">
        <f>Country_details!EG120</f>
        <v>1218.5621934169717</v>
      </c>
      <c r="T119" s="28">
        <f>Country_details!ET120</f>
        <v>2054.0537597630223</v>
      </c>
      <c r="U119" s="28">
        <f>Country_details!FG120</f>
        <v>2305.8302631524111</v>
      </c>
      <c r="V119" s="100">
        <f>Country_details!FY120</f>
        <v>2.5538791867938513</v>
      </c>
      <c r="W119" s="28">
        <f>Country_details!FZ120</f>
        <v>3095.9475948595236</v>
      </c>
      <c r="X119" s="28">
        <f>Country_details!GA120</f>
        <v>707.50827369595402</v>
      </c>
      <c r="Y119" s="28">
        <f>Country_details!GB120</f>
        <v>451.44019259139691</v>
      </c>
      <c r="Z119" s="28">
        <f>Country_details!GC120</f>
        <v>790.67691895536609</v>
      </c>
      <c r="AA119" s="28">
        <f>Country_details!GD120</f>
        <v>1151.8141774305618</v>
      </c>
      <c r="AB119" s="28">
        <f>Country_details!GE120</f>
        <v>2007.8104279608151</v>
      </c>
      <c r="AC119" s="28">
        <f>Country_details!GF120</f>
        <v>2110.2916158672442</v>
      </c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</row>
    <row r="120" spans="1:55" x14ac:dyDescent="0.2">
      <c r="A120" s="8" t="str">
        <f>Country_details!A121</f>
        <v>Serbia</v>
      </c>
      <c r="B120" s="28">
        <f>INDEX(Country_details!$A$9:$AS$156,MATCH(Country_results!A120,Country_details!$A$9:$A$156,0),MATCH(Country_results!$B$5,Country_details!$A$6:$AS$6,0))</f>
        <v>182.16911834919119</v>
      </c>
      <c r="C120" s="28">
        <f t="shared" si="1"/>
        <v>2910.3458187786759</v>
      </c>
      <c r="D120" s="28">
        <f>Country_details!BA121</f>
        <v>2910.3458187786759</v>
      </c>
      <c r="E120" s="28">
        <f>Country_details!BG121</f>
        <v>4187.0479178842752</v>
      </c>
      <c r="F120" s="28">
        <f>Country_details!CA121</f>
        <v>5773.6536286399842</v>
      </c>
      <c r="G120" s="28">
        <f>Country_details!CN121</f>
        <v>11291.807261644874</v>
      </c>
      <c r="H120" s="28">
        <f>Country_details!DA121</f>
        <v>8102.9671512778541</v>
      </c>
      <c r="I120" s="28">
        <f>Country_details!DL121</f>
        <v>5765.350383626318</v>
      </c>
      <c r="J120" s="28">
        <f>Country_details!DW121</f>
        <v>4572.700019897633</v>
      </c>
      <c r="K120" s="28">
        <f>Country_details!EJ121</f>
        <v>10662.881084476272</v>
      </c>
      <c r="L120" s="28">
        <f>Country_details!EW121</f>
        <v>20804.210780839836</v>
      </c>
      <c r="M120" s="28">
        <f>Country_details!FJ121</f>
        <v>8433.0925013090673</v>
      </c>
      <c r="N120" s="28">
        <f>Country_details!FT121</f>
        <v>9458.8423036544209</v>
      </c>
      <c r="O120" s="100">
        <f>Country_details!AZ121</f>
        <v>5.0346494236159867</v>
      </c>
      <c r="P120" s="28">
        <f>Country_details!BY121</f>
        <v>952.89175344012301</v>
      </c>
      <c r="Q120" s="28">
        <f>Country_details!CK121</f>
        <v>562.80144241398921</v>
      </c>
      <c r="R120" s="28">
        <f>Country_details!CX121</f>
        <v>1004.3860350220804</v>
      </c>
      <c r="S120" s="28">
        <f>Country_details!EG121</f>
        <v>1443.8592239586578</v>
      </c>
      <c r="T120" s="28">
        <f>Country_details!ET121</f>
        <v>2438.8376905707714</v>
      </c>
      <c r="U120" s="28">
        <f>Country_details!FG121</f>
        <v>2711.6201916164114</v>
      </c>
      <c r="V120" s="100" t="e">
        <f>Country_details!FY121</f>
        <v>#N/A</v>
      </c>
      <c r="W120" s="28">
        <f>Country_details!FZ121</f>
        <v>3923.3075764580358</v>
      </c>
      <c r="X120" s="28">
        <f>Country_details!GA121</f>
        <v>851.81285192872929</v>
      </c>
      <c r="Y120" s="28">
        <f>Country_details!GB121</f>
        <v>511.31171042356743</v>
      </c>
      <c r="Z120" s="28">
        <f>Country_details!GC121</f>
        <v>948.91228270506633</v>
      </c>
      <c r="AA120" s="28">
        <f>Country_details!GD121</f>
        <v>1376.3255421555923</v>
      </c>
      <c r="AB120" s="28">
        <f>Country_details!GE121</f>
        <v>2390.565504671602</v>
      </c>
      <c r="AC120" s="28">
        <f>Country_details!GF121</f>
        <v>2516.3816387354796</v>
      </c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</row>
    <row r="121" spans="1:55" x14ac:dyDescent="0.2">
      <c r="A121" s="8" t="str">
        <f>Country_details!A122</f>
        <v>Seychelles</v>
      </c>
      <c r="B121" s="28">
        <f>INDEX(Country_details!$A$9:$AS$156,MATCH(Country_results!A121,Country_details!$A$9:$A$156,0),MATCH(Country_results!$B$5,Country_details!$A$6:$AS$6,0))</f>
        <v>-3.34337964741905</v>
      </c>
      <c r="C121" s="28">
        <f t="shared" si="1"/>
        <v>3949.9518922918223</v>
      </c>
      <c r="D121" s="28">
        <f>Country_details!BA122</f>
        <v>6687.3728942847501</v>
      </c>
      <c r="E121" s="28">
        <f>Country_details!BG122</f>
        <v>4174.9226019433418</v>
      </c>
      <c r="F121" s="28">
        <f>Country_details!CA122</f>
        <v>4842.7770590214423</v>
      </c>
      <c r="G121" s="28">
        <f>Country_details!CN122</f>
        <v>9812.5577342976103</v>
      </c>
      <c r="H121" s="28">
        <f>Country_details!DA122</f>
        <v>6685.6683265150314</v>
      </c>
      <c r="I121" s="28">
        <f>Country_details!DL122</f>
        <v>5383.413155436594</v>
      </c>
      <c r="J121" s="28">
        <f>Country_details!DW122</f>
        <v>3949.9518922918223</v>
      </c>
      <c r="K121" s="28">
        <f>Country_details!EJ122</f>
        <v>8639.0876340875493</v>
      </c>
      <c r="L121" s="28">
        <f>Country_details!EW122</f>
        <v>16310.555706705969</v>
      </c>
      <c r="M121" s="28">
        <f>Country_details!FJ122</f>
        <v>6903.2086465870261</v>
      </c>
      <c r="N121" s="28">
        <f>Country_details!FT122</f>
        <v>8330.7070714213696</v>
      </c>
      <c r="O121" s="100">
        <f>Country_details!AZ122</f>
        <v>12.387242523686211</v>
      </c>
      <c r="P121" s="28">
        <f>Country_details!BY122</f>
        <v>787.53867857367163</v>
      </c>
      <c r="Q121" s="28">
        <f>Country_details!CK122</f>
        <v>488.87631968984022</v>
      </c>
      <c r="R121" s="28">
        <f>Country_details!CX122</f>
        <v>809.82927772106052</v>
      </c>
      <c r="S121" s="28">
        <f>Country_details!EG122</f>
        <v>1154.6817211952914</v>
      </c>
      <c r="T121" s="28">
        <f>Country_details!ET122</f>
        <v>1922.1576613803686</v>
      </c>
      <c r="U121" s="28">
        <f>Country_details!FG122</f>
        <v>2168.8923370582829</v>
      </c>
      <c r="V121" s="100" t="e">
        <f>Country_details!FY122</f>
        <v>#N/A</v>
      </c>
      <c r="W121" s="28">
        <f>Country_details!FZ122</f>
        <v>2903.0691325659682</v>
      </c>
      <c r="X121" s="28">
        <f>Country_details!GA122</f>
        <v>654.82647343564429</v>
      </c>
      <c r="Y121" s="28">
        <f>Country_details!GB122</f>
        <v>409.49311144944625</v>
      </c>
      <c r="Z121" s="28">
        <f>Country_details!GC122</f>
        <v>730.49270656893748</v>
      </c>
      <c r="AA121" s="28">
        <f>Country_details!GD122</f>
        <v>1062.8951537758758</v>
      </c>
      <c r="AB121" s="28">
        <f>Country_details!GE122</f>
        <v>1850.8019903587069</v>
      </c>
      <c r="AC121" s="28">
        <f>Country_details!GF122</f>
        <v>1948.696533673992</v>
      </c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</row>
    <row r="122" spans="1:55" x14ac:dyDescent="0.2">
      <c r="A122" s="8" t="str">
        <f>Country_details!A123</f>
        <v>Sierra Leone</v>
      </c>
      <c r="B122" s="28">
        <f>INDEX(Country_details!$A$9:$AS$156,MATCH(Country_results!A122,Country_details!$A$9:$A$156,0),MATCH(Country_results!$B$5,Country_details!$A$6:$AS$6,0))</f>
        <v>-117.75010902802831</v>
      </c>
      <c r="C122" s="28">
        <f t="shared" si="1"/>
        <v>4924.9918624050315</v>
      </c>
      <c r="D122" s="28">
        <f>Country_details!BA123</f>
        <v>5987.7996058608824</v>
      </c>
      <c r="E122" s="28">
        <f>Country_details!BG123</f>
        <v>5080.6643491530958</v>
      </c>
      <c r="F122" s="28">
        <f>Country_details!CA123</f>
        <v>6076.0699367932421</v>
      </c>
      <c r="G122" s="28">
        <f>Country_details!CN123</f>
        <v>12012.245585730938</v>
      </c>
      <c r="H122" s="28">
        <f>Country_details!DA123</f>
        <v>8336.5759975570109</v>
      </c>
      <c r="I122" s="28">
        <f>Country_details!DL123</f>
        <v>6020.2943704365534</v>
      </c>
      <c r="J122" s="28">
        <f>Country_details!DW123</f>
        <v>4924.9918624050315</v>
      </c>
      <c r="K122" s="28">
        <f>Country_details!EJ123</f>
        <v>10992.91408980577</v>
      </c>
      <c r="L122" s="28">
        <f>Country_details!EW123</f>
        <v>21478.858690324276</v>
      </c>
      <c r="M122" s="28">
        <f>Country_details!FJ123</f>
        <v>8745.6729164209992</v>
      </c>
      <c r="N122" s="28">
        <f>Country_details!FT123</f>
        <v>10242.896438899023</v>
      </c>
      <c r="O122" s="100">
        <f>Country_details!AZ123</f>
        <v>11.02541015377407</v>
      </c>
      <c r="P122" s="28">
        <f>Country_details!BY123</f>
        <v>1006.6104397568201</v>
      </c>
      <c r="Q122" s="28">
        <f>Country_details!CK123</f>
        <v>608.52827216181322</v>
      </c>
      <c r="R122" s="28">
        <f>Country_details!CX123</f>
        <v>1058.9972117382922</v>
      </c>
      <c r="S122" s="28">
        <f>Country_details!EG123</f>
        <v>1523.6812394041883</v>
      </c>
      <c r="T122" s="28">
        <f>Country_details!ET123</f>
        <v>2573.5084261254888</v>
      </c>
      <c r="U122" s="28">
        <f>Country_details!FG123</f>
        <v>2868.7419244230036</v>
      </c>
      <c r="V122" s="100">
        <f>Country_details!FY123</f>
        <v>3.233333839930447</v>
      </c>
      <c r="W122" s="28">
        <f>Country_details!FZ123</f>
        <v>4020.071463176916</v>
      </c>
      <c r="X122" s="28">
        <f>Country_details!GA123</f>
        <v>892.8147127407882</v>
      </c>
      <c r="Y122" s="28">
        <f>Country_details!GB123</f>
        <v>550.79545647831696</v>
      </c>
      <c r="Z122" s="28">
        <f>Country_details!GC123</f>
        <v>996.55662407499517</v>
      </c>
      <c r="AA122" s="28">
        <f>Country_details!GD123</f>
        <v>1448.1895873538117</v>
      </c>
      <c r="AB122" s="28">
        <f>Country_details!GE123</f>
        <v>2519.3198942975578</v>
      </c>
      <c r="AC122" s="28">
        <f>Country_details!GF123</f>
        <v>2648.8258772487129</v>
      </c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</row>
    <row r="123" spans="1:55" x14ac:dyDescent="0.2">
      <c r="A123" s="8" t="str">
        <f>Country_details!A124</f>
        <v>Somalia</v>
      </c>
      <c r="B123" s="28">
        <f>INDEX(Country_details!$A$9:$AS$156,MATCH(Country_results!A123,Country_details!$A$9:$A$156,0),MATCH(Country_results!$B$5,Country_details!$A$6:$AS$6,0))</f>
        <v>4708.26864756751</v>
      </c>
      <c r="C123" s="28">
        <f t="shared" si="1"/>
        <v>3702.5423434492063</v>
      </c>
      <c r="D123" s="28">
        <f>Country_details!BA124</f>
        <v>5264.1319274828693</v>
      </c>
      <c r="E123" s="28">
        <f>Country_details!BG124</f>
        <v>3702.5423434492063</v>
      </c>
      <c r="F123" s="28">
        <f>Country_details!CA124</f>
        <v>4640.836772948247</v>
      </c>
      <c r="G123" s="28">
        <f>Country_details!CN124</f>
        <v>9437.2218737440944</v>
      </c>
      <c r="H123" s="28">
        <f>Country_details!DA124</f>
        <v>6329.5425526787458</v>
      </c>
      <c r="I123" s="28">
        <f>Country_details!DL124</f>
        <v>5116.433240671764</v>
      </c>
      <c r="J123" s="28">
        <f>Country_details!DW124</f>
        <v>4004.5808252173938</v>
      </c>
      <c r="K123" s="28">
        <f>Country_details!EJ124</f>
        <v>8144.1957762013863</v>
      </c>
      <c r="L123" s="28">
        <f>Country_details!EW124</f>
        <v>15203.748640384087</v>
      </c>
      <c r="M123" s="28">
        <f>Country_details!FJ124</f>
        <v>6578.481806124898</v>
      </c>
      <c r="N123" s="28">
        <f>Country_details!FT124</f>
        <v>8193.0180668287394</v>
      </c>
      <c r="O123" s="100">
        <f>Country_details!AZ124</f>
        <v>9.6166741631608463</v>
      </c>
      <c r="P123" s="28">
        <f>Country_details!BY124</f>
        <v>751.66770670540666</v>
      </c>
      <c r="Q123" s="28">
        <f>Country_details!CK124</f>
        <v>474.08774447069129</v>
      </c>
      <c r="R123" s="28">
        <f>Country_details!CX124</f>
        <v>767.88801282745237</v>
      </c>
      <c r="S123" s="28">
        <f>Country_details!EG124</f>
        <v>1093.8266515001885</v>
      </c>
      <c r="T123" s="28">
        <f>Country_details!ET124</f>
        <v>1811.9271713524195</v>
      </c>
      <c r="U123" s="28">
        <f>Country_details!FG124</f>
        <v>2065.7211270085354</v>
      </c>
      <c r="V123" s="100">
        <f>Country_details!FY124</f>
        <v>2.2333817287570121</v>
      </c>
      <c r="W123" s="28">
        <f>Country_details!FZ124</f>
        <v>2637.1643167268981</v>
      </c>
      <c r="X123" s="28">
        <f>Country_details!GA124</f>
        <v>610.15518836247873</v>
      </c>
      <c r="Y123" s="28">
        <f>Country_details!GB124</f>
        <v>395.64004654780592</v>
      </c>
      <c r="Z123" s="28">
        <f>Country_details!GC124</f>
        <v>682.10632580800961</v>
      </c>
      <c r="AA123" s="28">
        <f>Country_details!GD124</f>
        <v>994.75746918537027</v>
      </c>
      <c r="AB123" s="28">
        <f>Country_details!GE124</f>
        <v>1735.7265523798962</v>
      </c>
      <c r="AC123" s="28">
        <f>Country_details!GF124</f>
        <v>1824.0544797763334</v>
      </c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</row>
    <row r="124" spans="1:55" x14ac:dyDescent="0.2">
      <c r="A124" s="8" t="str">
        <f>Country_details!A125</f>
        <v>South Africa</v>
      </c>
      <c r="B124" s="28">
        <f>INDEX(Country_details!$A$9:$AS$156,MATCH(Country_results!A124,Country_details!$A$9:$A$156,0),MATCH(Country_results!$B$5,Country_details!$A$6:$AS$6,0))</f>
        <v>10054.913915654201</v>
      </c>
      <c r="C124" s="28">
        <f t="shared" si="1"/>
        <v>3967.0019528622229</v>
      </c>
      <c r="D124" s="28">
        <f>Country_details!BA125</f>
        <v>5852.1094432694272</v>
      </c>
      <c r="E124" s="28">
        <f>Country_details!BG125</f>
        <v>4062.933427603095</v>
      </c>
      <c r="F124" s="28">
        <f>Country_details!CA125</f>
        <v>4593.1596713594954</v>
      </c>
      <c r="G124" s="28">
        <f>Country_details!CN125</f>
        <v>9261.7644323608565</v>
      </c>
      <c r="H124" s="28">
        <f>Country_details!DA125</f>
        <v>6215.6716449723581</v>
      </c>
      <c r="I124" s="28">
        <f>Country_details!DL125</f>
        <v>5139.090944216844</v>
      </c>
      <c r="J124" s="28">
        <f>Country_details!DW125</f>
        <v>3967.0019528622229</v>
      </c>
      <c r="K124" s="28">
        <f>Country_details!EJ125</f>
        <v>7984.9128278366916</v>
      </c>
      <c r="L124" s="28">
        <f>Country_details!EW125</f>
        <v>14812.589056091369</v>
      </c>
      <c r="M124" s="28">
        <f>Country_details!FJ125</f>
        <v>6479.3347807571245</v>
      </c>
      <c r="N124" s="28">
        <f>Country_details!FT125</f>
        <v>8094.4785985853196</v>
      </c>
      <c r="O124" s="100">
        <f>Country_details!AZ125</f>
        <v>10.761267341643535</v>
      </c>
      <c r="P124" s="28">
        <f>Country_details!BY125</f>
        <v>743.19874787056256</v>
      </c>
      <c r="Q124" s="28">
        <f>Country_details!CK125</f>
        <v>464.40345440908726</v>
      </c>
      <c r="R124" s="28">
        <f>Country_details!CX125</f>
        <v>750.09811595707106</v>
      </c>
      <c r="S124" s="28">
        <f>Country_details!EG125</f>
        <v>1067.9495374631704</v>
      </c>
      <c r="T124" s="28">
        <f>Country_details!ET125</f>
        <v>1762.0071112858252</v>
      </c>
      <c r="U124" s="28">
        <f>Country_details!FG125</f>
        <v>2026.5464252973229</v>
      </c>
      <c r="V124" s="100">
        <f>Country_details!FY125</f>
        <v>2.1553144379412053</v>
      </c>
      <c r="W124" s="28">
        <f>Country_details!FZ125</f>
        <v>2549.6528662965229</v>
      </c>
      <c r="X124" s="28">
        <f>Country_details!GA125</f>
        <v>591.42267452207125</v>
      </c>
      <c r="Y124" s="28">
        <f>Country_details!GB125</f>
        <v>384.34994063897659</v>
      </c>
      <c r="Z124" s="28">
        <f>Country_details!GC125</f>
        <v>661.1450946405987</v>
      </c>
      <c r="AA124" s="28">
        <f>Country_details!GD125</f>
        <v>964.38405742814462</v>
      </c>
      <c r="AB124" s="28">
        <f>Country_details!GE125</f>
        <v>1682.9878045107582</v>
      </c>
      <c r="AC124" s="28">
        <f>Country_details!GF125</f>
        <v>1768.9033480391358</v>
      </c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</row>
    <row r="125" spans="1:55" x14ac:dyDescent="0.2">
      <c r="A125" s="8" t="str">
        <f>Country_details!A126</f>
        <v>Spain</v>
      </c>
      <c r="B125" s="28">
        <f>INDEX(Country_details!$A$9:$AS$156,MATCH(Country_results!A125,Country_details!$A$9:$A$156,0),MATCH(Country_results!$B$5,Country_details!$A$6:$AS$6,0))</f>
        <v>3011.8714982246656</v>
      </c>
      <c r="C125" s="28">
        <f t="shared" si="1"/>
        <v>2121.936550588699</v>
      </c>
      <c r="D125" s="28">
        <f>Country_details!BA126</f>
        <v>2406.8357410826843</v>
      </c>
      <c r="E125" s="28">
        <f>Country_details!BG126</f>
        <v>2121.936550588699</v>
      </c>
      <c r="F125" s="28">
        <f>Country_details!CA126</f>
        <v>3394.6028659426024</v>
      </c>
      <c r="G125" s="28">
        <f>Country_details!CN126</f>
        <v>7359.9774288711487</v>
      </c>
      <c r="H125" s="28">
        <f>Country_details!DA126</f>
        <v>4858.0949813550196</v>
      </c>
      <c r="I125" s="28">
        <f>Country_details!DL126</f>
        <v>3379.3134455840964</v>
      </c>
      <c r="J125" s="28">
        <f>Country_details!DW126</f>
        <v>3876.841102697424</v>
      </c>
      <c r="K125" s="28">
        <f>Country_details!EJ126</f>
        <v>6271.7329264746204</v>
      </c>
      <c r="L125" s="28">
        <f>Country_details!EW126</f>
        <v>11630.020568979862</v>
      </c>
      <c r="M125" s="28">
        <f>Country_details!FJ126</f>
        <v>5140.1044606411187</v>
      </c>
      <c r="N125" s="28">
        <f>Country_details!FT126</f>
        <v>6302.3438987218315</v>
      </c>
      <c r="O125" s="100">
        <f>Country_details!AZ126</f>
        <v>4.0544857528042435</v>
      </c>
      <c r="P125" s="28">
        <f>Country_details!BY126</f>
        <v>530.29721006624607</v>
      </c>
      <c r="Q125" s="28">
        <f>Country_details!CK126</f>
        <v>367.09564568741354</v>
      </c>
      <c r="R125" s="28">
        <f>Country_details!CX126</f>
        <v>555.17552268628742</v>
      </c>
      <c r="S125" s="28">
        <f>Country_details!EG126</f>
        <v>806.55215544201678</v>
      </c>
      <c r="T125" s="28">
        <f>Country_details!ET126</f>
        <v>1361.2700620026824</v>
      </c>
      <c r="U125" s="28">
        <f>Country_details!FG126</f>
        <v>1521.070920653191</v>
      </c>
      <c r="V125" s="100">
        <f>Country_details!FY126</f>
        <v>1.7265839080718117</v>
      </c>
      <c r="W125" s="28">
        <f>Country_details!FZ126</f>
        <v>1936.2342490847179</v>
      </c>
      <c r="X125" s="28">
        <f>Country_details!GA126</f>
        <v>458.80928914037861</v>
      </c>
      <c r="Y125" s="28">
        <f>Country_details!GB126</f>
        <v>333.84821867717005</v>
      </c>
      <c r="Z125" s="28">
        <f>Country_details!GC126</f>
        <v>516.62232723699003</v>
      </c>
      <c r="AA125" s="28">
        <f>Country_details!GD126</f>
        <v>756.75958071870264</v>
      </c>
      <c r="AB125" s="28">
        <f>Country_details!GE126</f>
        <v>1328.3368535823472</v>
      </c>
      <c r="AC125" s="28">
        <f>Country_details!GF126</f>
        <v>1376.3232641803463</v>
      </c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</row>
    <row r="126" spans="1:55" x14ac:dyDescent="0.2">
      <c r="A126" s="8" t="str">
        <f>Country_details!A127</f>
        <v>Sri Lanka</v>
      </c>
      <c r="B126" s="28">
        <f>INDEX(Country_details!$A$9:$AS$156,MATCH(Country_results!A126,Country_details!$A$9:$A$156,0),MATCH(Country_results!$B$5,Country_details!$A$6:$AS$6,0))</f>
        <v>87.13495018610547</v>
      </c>
      <c r="C126" s="28">
        <f t="shared" si="1"/>
        <v>4215.6917831316096</v>
      </c>
      <c r="D126" s="28">
        <f>Country_details!BA127</f>
        <v>7718.782420183994</v>
      </c>
      <c r="E126" s="28">
        <f>Country_details!BG127</f>
        <v>4215.6917831316096</v>
      </c>
      <c r="F126" s="28">
        <f>Country_details!CA127</f>
        <v>4900.8777841337196</v>
      </c>
      <c r="G126" s="28">
        <f>Country_details!CN127</f>
        <v>11128.481544799777</v>
      </c>
      <c r="H126" s="28">
        <f>Country_details!DA127</f>
        <v>6594.2516688581836</v>
      </c>
      <c r="I126" s="28">
        <f>Country_details!DL127</f>
        <v>5407.3930848256459</v>
      </c>
      <c r="J126" s="28">
        <f>Country_details!DW127</f>
        <v>5344.9020233230331</v>
      </c>
      <c r="K126" s="28">
        <f>Country_details!EJ127</f>
        <v>8558.4168331387282</v>
      </c>
      <c r="L126" s="28">
        <f>Country_details!EW127</f>
        <v>16182.727896406865</v>
      </c>
      <c r="M126" s="28">
        <f>Country_details!FJ127</f>
        <v>6837.8681987446089</v>
      </c>
      <c r="N126" s="28">
        <f>Country_details!FT127</f>
        <v>8645.2184137544937</v>
      </c>
      <c r="O126" s="100">
        <f>Country_details!AZ127</f>
        <v>14.405737357629015</v>
      </c>
      <c r="P126" s="28">
        <f>Country_details!BY127</f>
        <v>797.85920211335235</v>
      </c>
      <c r="Q126" s="28">
        <f>Country_details!CK127</f>
        <v>558.42907220719155</v>
      </c>
      <c r="R126" s="28">
        <f>Country_details!CX127</f>
        <v>821.62908903341179</v>
      </c>
      <c r="S126" s="28">
        <f>Country_details!EG127</f>
        <v>1176.0122260185713</v>
      </c>
      <c r="T126" s="28">
        <f>Country_details!ET127</f>
        <v>1964.4841999008054</v>
      </c>
      <c r="U126" s="28">
        <f>Country_details!FG127</f>
        <v>2194.1019027713814</v>
      </c>
      <c r="V126" s="100">
        <f>Country_details!FY127</f>
        <v>2.4823039667001878</v>
      </c>
      <c r="W126" s="28">
        <f>Country_details!FZ127</f>
        <v>2751.9347967838657</v>
      </c>
      <c r="X126" s="28">
        <f>Country_details!GA127</f>
        <v>650.22723686906488</v>
      </c>
      <c r="Y126" s="28">
        <f>Country_details!GB127</f>
        <v>472.89902637583043</v>
      </c>
      <c r="Z126" s="28">
        <f>Country_details!GC127</f>
        <v>733.83331553568701</v>
      </c>
      <c r="AA126" s="28">
        <f>Country_details!GD127</f>
        <v>1074.5929644425432</v>
      </c>
      <c r="AB126" s="28">
        <f>Country_details!GE127</f>
        <v>1885.7968193151182</v>
      </c>
      <c r="AC126" s="28">
        <f>Country_details!GF127</f>
        <v>1949.1572959475534</v>
      </c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</row>
    <row r="127" spans="1:55" x14ac:dyDescent="0.2">
      <c r="A127" s="8" t="str">
        <f>Country_details!A128</f>
        <v>Sudan</v>
      </c>
      <c r="B127" s="28">
        <f>INDEX(Country_details!$A$9:$AS$156,MATCH(Country_results!A127,Country_details!$A$9:$A$156,0),MATCH(Country_results!$B$5,Country_details!$A$6:$AS$6,0))</f>
        <v>15561.224279893202</v>
      </c>
      <c r="C127" s="28">
        <f t="shared" si="1"/>
        <v>3707.5751377538613</v>
      </c>
      <c r="D127" s="28">
        <f>Country_details!BA128</f>
        <v>5147.5545892902819</v>
      </c>
      <c r="E127" s="28">
        <f>Country_details!BG128</f>
        <v>3707.5751377538613</v>
      </c>
      <c r="F127" s="28">
        <f>Country_details!CA128</f>
        <v>4715.0232053445934</v>
      </c>
      <c r="G127" s="28">
        <f>Country_details!CN128</f>
        <v>9474.7574833931176</v>
      </c>
      <c r="H127" s="28">
        <f>Country_details!DA128</f>
        <v>6438.4469183747997</v>
      </c>
      <c r="I127" s="28">
        <f>Country_details!DL128</f>
        <v>4965.399783059097</v>
      </c>
      <c r="J127" s="28">
        <f>Country_details!DW128</f>
        <v>4172.4039840949854</v>
      </c>
      <c r="K127" s="28">
        <f>Country_details!EJ128</f>
        <v>8299.5720982919756</v>
      </c>
      <c r="L127" s="28">
        <f>Country_details!EW128</f>
        <v>15541.655541000588</v>
      </c>
      <c r="M127" s="28">
        <f>Country_details!FJ128</f>
        <v>6729.9898224874978</v>
      </c>
      <c r="N127" s="28">
        <f>Country_details!FT128</f>
        <v>8315.6583431166</v>
      </c>
      <c r="O127" s="100">
        <f>Country_details!AZ128</f>
        <v>9.3897375499769087</v>
      </c>
      <c r="P127" s="28">
        <f>Country_details!BY128</f>
        <v>764.84555982844176</v>
      </c>
      <c r="Q127" s="28">
        <f>Country_details!CK128</f>
        <v>478.04680784240401</v>
      </c>
      <c r="R127" s="28">
        <f>Country_details!CX128</f>
        <v>785.58858421334457</v>
      </c>
      <c r="S127" s="28">
        <f>Country_details!EG128</f>
        <v>1119.954473425051</v>
      </c>
      <c r="T127" s="28">
        <f>Country_details!ET128</f>
        <v>1857.4799439648323</v>
      </c>
      <c r="U127" s="28">
        <f>Country_details!FG128</f>
        <v>2122.936251260217</v>
      </c>
      <c r="V127" s="100">
        <f>Country_details!FY128</f>
        <v>2.3803963149323337</v>
      </c>
      <c r="W127" s="28">
        <f>Country_details!FZ128</f>
        <v>2706.9178052524071</v>
      </c>
      <c r="X127" s="28">
        <f>Country_details!GA128</f>
        <v>626.23622637297069</v>
      </c>
      <c r="Y127" s="28">
        <f>Country_details!GB128</f>
        <v>408.31381903813821</v>
      </c>
      <c r="Z127" s="28">
        <f>Country_details!GC128</f>
        <v>700.4814273311672</v>
      </c>
      <c r="AA127" s="28">
        <f>Country_details!GD128</f>
        <v>1021.683083908907</v>
      </c>
      <c r="AB127" s="28">
        <f>Country_details!GE128</f>
        <v>1783.1355123788258</v>
      </c>
      <c r="AC127" s="28">
        <f>Country_details!GF128</f>
        <v>1871.9651599335</v>
      </c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</row>
    <row r="128" spans="1:55" x14ac:dyDescent="0.2">
      <c r="A128" s="8" t="str">
        <f>Country_details!A129</f>
        <v>Suriname</v>
      </c>
      <c r="B128" s="28">
        <f>INDEX(Country_details!$A$9:$AS$156,MATCH(Country_results!A128,Country_details!$A$9:$A$156,0),MATCH(Country_results!$B$5,Country_details!$A$6:$AS$6,0))</f>
        <v>2054.6750954068084</v>
      </c>
      <c r="C128" s="28">
        <f t="shared" si="1"/>
        <v>4222.69873301389</v>
      </c>
      <c r="D128" s="28">
        <f>Country_details!BA129</f>
        <v>13073.601544309229</v>
      </c>
      <c r="E128" s="28">
        <f>Country_details!BG129</f>
        <v>4513.7035578872174</v>
      </c>
      <c r="F128" s="28">
        <f>Country_details!CA129</f>
        <v>5071.8467765630839</v>
      </c>
      <c r="G128" s="28">
        <f>Country_details!CN129</f>
        <v>10084.3808098257</v>
      </c>
      <c r="H128" s="28">
        <f>Country_details!DA129</f>
        <v>7012.4814968052906</v>
      </c>
      <c r="I128" s="28">
        <f>Country_details!DL129</f>
        <v>5243.8686324284899</v>
      </c>
      <c r="J128" s="28">
        <f>Country_details!DW129</f>
        <v>4222.69873301389</v>
      </c>
      <c r="K128" s="28">
        <f>Country_details!EJ129</f>
        <v>9149.0900707196943</v>
      </c>
      <c r="L128" s="28">
        <f>Country_details!EW129</f>
        <v>17515.926925832493</v>
      </c>
      <c r="M128" s="28">
        <f>Country_details!FJ129</f>
        <v>7335.1117051330202</v>
      </c>
      <c r="N128" s="28">
        <f>Country_details!FT129</f>
        <v>8709.6203479470278</v>
      </c>
      <c r="O128" s="100">
        <f>Country_details!AZ129</f>
        <v>25.149756467029565</v>
      </c>
      <c r="P128" s="28">
        <f>Country_details!BY129</f>
        <v>828.22869418962114</v>
      </c>
      <c r="Q128" s="28">
        <f>Country_details!CK129</f>
        <v>506.62133373693683</v>
      </c>
      <c r="R128" s="28">
        <f>Country_details!CX129</f>
        <v>861.24145018187107</v>
      </c>
      <c r="S128" s="28">
        <f>Country_details!EG129</f>
        <v>1236.490323133198</v>
      </c>
      <c r="T128" s="28">
        <f>Country_details!ET129</f>
        <v>2075.4385347052544</v>
      </c>
      <c r="U128" s="28">
        <f>Country_details!FG129</f>
        <v>2332.8412362127456</v>
      </c>
      <c r="V128" s="100">
        <f>Country_details!FY129</f>
        <v>2.6114592037591651</v>
      </c>
      <c r="W128" s="28">
        <f>Country_details!FZ129</f>
        <v>3183.1133164721587</v>
      </c>
      <c r="X128" s="28">
        <f>Country_details!GA129</f>
        <v>714.33015309309849</v>
      </c>
      <c r="Y128" s="28">
        <f>Country_details!GB129</f>
        <v>446.87668718138298</v>
      </c>
      <c r="Z128" s="28">
        <f>Country_details!GC129</f>
        <v>797.28552843119701</v>
      </c>
      <c r="AA128" s="28">
        <f>Country_details!GD129</f>
        <v>1159.7383920404618</v>
      </c>
      <c r="AB128" s="28">
        <f>Country_details!GE129</f>
        <v>2019.239101839313</v>
      </c>
      <c r="AC128" s="28">
        <f>Country_details!GF129</f>
        <v>2123.5526242640376</v>
      </c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</row>
    <row r="129" spans="1:55" x14ac:dyDescent="0.2">
      <c r="A129" s="8" t="str">
        <f>Country_details!A130</f>
        <v>Swaziland</v>
      </c>
      <c r="B129" s="28">
        <f>INDEX(Country_details!$A$9:$AS$156,MATCH(Country_results!A129,Country_details!$A$9:$A$156,0),MATCH(Country_results!$B$5,Country_details!$A$6:$AS$6,0))</f>
        <v>38.171520098345383</v>
      </c>
      <c r="C129" s="28">
        <f t="shared" ref="C129:C153" si="2">MIN(D129:N129)</f>
        <v>4282.6995815154096</v>
      </c>
      <c r="D129" s="28">
        <f>Country_details!BA130</f>
        <v>6794.1610536423605</v>
      </c>
      <c r="E129" s="28">
        <f>Country_details!BG130</f>
        <v>4282.6995815154096</v>
      </c>
      <c r="F129" s="28" t="str">
        <f>Country_details!CA130</f>
        <v/>
      </c>
      <c r="G129" s="28" t="str">
        <f>Country_details!CN130</f>
        <v/>
      </c>
      <c r="H129" s="28" t="str">
        <f>Country_details!DA130</f>
        <v/>
      </c>
      <c r="I129" s="28" t="str">
        <f>Country_details!DL130</f>
        <v/>
      </c>
      <c r="J129" s="28" t="str">
        <f>Country_details!DW130</f>
        <v/>
      </c>
      <c r="K129" s="28" t="str">
        <f>Country_details!EJ130</f>
        <v/>
      </c>
      <c r="L129" s="28" t="str">
        <f>Country_details!EW130</f>
        <v/>
      </c>
      <c r="M129" s="28" t="str">
        <f>Country_details!FJ130</f>
        <v/>
      </c>
      <c r="N129" s="28" t="str">
        <f>Country_details!FT130</f>
        <v/>
      </c>
      <c r="O129" s="100">
        <f>Country_details!AZ130</f>
        <v>12.595122919554639</v>
      </c>
      <c r="P129" s="28" t="str">
        <f>Country_details!BY130</f>
        <v/>
      </c>
      <c r="Q129" s="28" t="str">
        <f>Country_details!CK130</f>
        <v/>
      </c>
      <c r="R129" s="28" t="str">
        <f>Country_details!CX130</f>
        <v/>
      </c>
      <c r="S129" s="28" t="str">
        <f>Country_details!EG130</f>
        <v/>
      </c>
      <c r="T129" s="28" t="str">
        <f>Country_details!ET130</f>
        <v/>
      </c>
      <c r="U129" s="28" t="str">
        <f>Country_details!FG130</f>
        <v/>
      </c>
      <c r="V129" s="100">
        <f>Country_details!FY130</f>
        <v>2.1840800077075251</v>
      </c>
      <c r="W129" s="28">
        <f>Country_details!FZ130</f>
        <v>2758.5116354775059</v>
      </c>
      <c r="X129" s="28">
        <f>Country_details!GA130</f>
        <v>632.68908379728509</v>
      </c>
      <c r="Y129" s="28">
        <f>Country_details!GB130</f>
        <v>402.75615205006329</v>
      </c>
      <c r="Z129" s="28">
        <f>Country_details!GC130</f>
        <v>706.48442747327101</v>
      </c>
      <c r="AA129" s="28">
        <f>Country_details!GD130</f>
        <v>1029.3442684901324</v>
      </c>
      <c r="AB129" s="28">
        <f>Country_details!GE130</f>
        <v>1794.311681463344</v>
      </c>
      <c r="AC129" s="28">
        <f>Country_details!GF130</f>
        <v>1888.5632545517171</v>
      </c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</row>
    <row r="130" spans="1:55" x14ac:dyDescent="0.2">
      <c r="A130" s="8" t="str">
        <f>Country_details!A131</f>
        <v>Sweden</v>
      </c>
      <c r="B130" s="28">
        <f>INDEX(Country_details!$A$9:$AS$156,MATCH(Country_results!A130,Country_details!$A$9:$A$156,0),MATCH(Country_results!$B$5,Country_details!$A$6:$AS$6,0))</f>
        <v>5097.8057367261117</v>
      </c>
      <c r="C130" s="28">
        <f t="shared" si="2"/>
        <v>2334.6194836746981</v>
      </c>
      <c r="D130" s="28">
        <f>Country_details!BA131</f>
        <v>2585.8361950434887</v>
      </c>
      <c r="E130" s="28">
        <f>Country_details!BG131</f>
        <v>2334.6194836746981</v>
      </c>
      <c r="F130" s="28">
        <f>Country_details!CA131</f>
        <v>3589.5754496980876</v>
      </c>
      <c r="G130" s="28">
        <f>Country_details!CN131</f>
        <v>7760.2679801719023</v>
      </c>
      <c r="H130" s="28">
        <f>Country_details!DA131</f>
        <v>5190.8861440439277</v>
      </c>
      <c r="I130" s="28">
        <f>Country_details!DL131</f>
        <v>3411.3089312104757</v>
      </c>
      <c r="J130" s="28">
        <f>Country_details!DW131</f>
        <v>4100.4532770073283</v>
      </c>
      <c r="K130" s="28">
        <f>Country_details!EJ131</f>
        <v>6740.4423974426154</v>
      </c>
      <c r="L130" s="28">
        <f>Country_details!EW131</f>
        <v>12704.523204992909</v>
      </c>
      <c r="M130" s="28">
        <f>Country_details!FJ131</f>
        <v>5481.4568645053505</v>
      </c>
      <c r="N130" s="28">
        <f>Country_details!FT131</f>
        <v>6509.359834096369</v>
      </c>
      <c r="O130" s="100">
        <f>Country_details!AZ131</f>
        <v>4.4029390406391755</v>
      </c>
      <c r="P130" s="28">
        <f>Country_details!BY131</f>
        <v>564.93049797018091</v>
      </c>
      <c r="Q130" s="28">
        <f>Country_details!CK131</f>
        <v>386.3059127342583</v>
      </c>
      <c r="R130" s="28">
        <f>Country_details!CX131</f>
        <v>599.08914386115543</v>
      </c>
      <c r="S130" s="28">
        <f>Country_details!EG131</f>
        <v>872.43080859576139</v>
      </c>
      <c r="T130" s="28">
        <f>Country_details!ET131</f>
        <v>1482.6178930372862</v>
      </c>
      <c r="U130" s="28">
        <f>Country_details!FG131</f>
        <v>1640.6068596034909</v>
      </c>
      <c r="V130" s="100">
        <f>Country_details!FY131</f>
        <v>3.0286219538749752</v>
      </c>
      <c r="W130" s="28">
        <f>Country_details!FZ131</f>
        <v>2179.2694671710628</v>
      </c>
      <c r="X130" s="28">
        <f>Country_details!GA131</f>
        <v>505.01631035145499</v>
      </c>
      <c r="Y130" s="28">
        <f>Country_details!GB131</f>
        <v>361.12501432256676</v>
      </c>
      <c r="Z130" s="28">
        <f>Country_details!GC131</f>
        <v>568.31294940489067</v>
      </c>
      <c r="AA130" s="28">
        <f>Country_details!GD131</f>
        <v>831.08929055094404</v>
      </c>
      <c r="AB130" s="28">
        <f>Country_details!GE131</f>
        <v>1456.9960308999507</v>
      </c>
      <c r="AC130" s="28">
        <f>Country_details!GF131</f>
        <v>1508.8487772204116</v>
      </c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</row>
    <row r="131" spans="1:55" x14ac:dyDescent="0.2">
      <c r="A131" s="8" t="str">
        <f>Country_details!A132</f>
        <v>Switzerland</v>
      </c>
      <c r="B131" s="28">
        <f>INDEX(Country_details!$A$9:$AS$156,MATCH(Country_results!A131,Country_details!$A$9:$A$156,0),MATCH(Country_results!$B$5,Country_details!$A$6:$AS$6,0))</f>
        <v>-180.30290370638198</v>
      </c>
      <c r="C131" s="28">
        <f t="shared" si="2"/>
        <v>2078.7938405591708</v>
      </c>
      <c r="D131" s="28">
        <f>Country_details!BA132</f>
        <v>2156.3868846922869</v>
      </c>
      <c r="E131" s="28">
        <f>Country_details!BG132</f>
        <v>2078.7938405591708</v>
      </c>
      <c r="F131" s="28" t="str">
        <f>Country_details!CA132</f>
        <v/>
      </c>
      <c r="G131" s="28" t="str">
        <f>Country_details!CN132</f>
        <v/>
      </c>
      <c r="H131" s="28" t="str">
        <f>Country_details!DA132</f>
        <v/>
      </c>
      <c r="I131" s="28" t="str">
        <f>Country_details!DL132</f>
        <v/>
      </c>
      <c r="J131" s="28" t="str">
        <f>Country_details!DW132</f>
        <v/>
      </c>
      <c r="K131" s="28" t="str">
        <f>Country_details!EJ132</f>
        <v/>
      </c>
      <c r="L131" s="28" t="str">
        <f>Country_details!EW132</f>
        <v/>
      </c>
      <c r="M131" s="28" t="str">
        <f>Country_details!FJ132</f>
        <v/>
      </c>
      <c r="N131" s="28" t="str">
        <f>Country_details!FT132</f>
        <v/>
      </c>
      <c r="O131" s="100">
        <f>Country_details!AZ132</f>
        <v>3.5669466124686453</v>
      </c>
      <c r="P131" s="28" t="str">
        <f>Country_details!BY132</f>
        <v/>
      </c>
      <c r="Q131" s="28" t="str">
        <f>Country_details!CK132</f>
        <v/>
      </c>
      <c r="R131" s="28" t="str">
        <f>Country_details!CX132</f>
        <v/>
      </c>
      <c r="S131" s="28" t="str">
        <f>Country_details!EG132</f>
        <v/>
      </c>
      <c r="T131" s="28" t="str">
        <f>Country_details!ET132</f>
        <v/>
      </c>
      <c r="U131" s="28" t="str">
        <f>Country_details!FG132</f>
        <v/>
      </c>
      <c r="V131" s="100">
        <f>Country_details!FY132</f>
        <v>2.0368424945740737</v>
      </c>
      <c r="W131" s="28">
        <f>Country_details!FZ132</f>
        <v>1998.8579570663799</v>
      </c>
      <c r="X131" s="28">
        <f>Country_details!GA132</f>
        <v>466.69262678302073</v>
      </c>
      <c r="Y131" s="28">
        <f>Country_details!GB132</f>
        <v>335.60961934572231</v>
      </c>
      <c r="Z131" s="28">
        <f>Country_details!GC132</f>
        <v>525.09920965786478</v>
      </c>
      <c r="AA131" s="28">
        <f>Country_details!GD132</f>
        <v>768.34071801802497</v>
      </c>
      <c r="AB131" s="28">
        <f>Country_details!GE132</f>
        <v>1347.5715866770258</v>
      </c>
      <c r="AC131" s="28">
        <f>Country_details!GF132</f>
        <v>1396.2943218589153</v>
      </c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</row>
    <row r="132" spans="1:55" x14ac:dyDescent="0.2">
      <c r="A132" s="8" t="str">
        <f>Country_details!A133</f>
        <v>Syria</v>
      </c>
      <c r="B132" s="28">
        <f>INDEX(Country_details!$A$9:$AS$156,MATCH(Country_results!A132,Country_details!$A$9:$A$156,0),MATCH(Country_results!$B$5,Country_details!$A$6:$AS$6,0))</f>
        <v>-359.90071977346543</v>
      </c>
      <c r="C132" s="28">
        <f t="shared" si="2"/>
        <v>3346.2185422377852</v>
      </c>
      <c r="D132" s="28">
        <f>Country_details!BA133</f>
        <v>3346.2185422377852</v>
      </c>
      <c r="E132" s="28">
        <f>Country_details!BG133</f>
        <v>3658.7380601717678</v>
      </c>
      <c r="F132" s="28">
        <f>Country_details!CA133</f>
        <v>4907.5642804498966</v>
      </c>
      <c r="G132" s="28">
        <f>Country_details!CN133</f>
        <v>9689.6251127354426</v>
      </c>
      <c r="H132" s="28">
        <f>Country_details!DA133</f>
        <v>6855.8805860089315</v>
      </c>
      <c r="I132" s="28">
        <f>Country_details!DL133</f>
        <v>5019.4080765061999</v>
      </c>
      <c r="J132" s="28">
        <f>Country_details!DW133</f>
        <v>4075.3639048746231</v>
      </c>
      <c r="K132" s="28">
        <f>Country_details!EJ133</f>
        <v>8945.6231756086545</v>
      </c>
      <c r="L132" s="28">
        <f>Country_details!EW133</f>
        <v>17127.177991861841</v>
      </c>
      <c r="M132" s="28">
        <f>Country_details!FJ133</f>
        <v>7169.2292855160777</v>
      </c>
      <c r="N132" s="28">
        <f>Country_details!FT133</f>
        <v>8396.4693776510048</v>
      </c>
      <c r="O132" s="100">
        <f>Country_details!AZ133</f>
        <v>5.8831460626253476</v>
      </c>
      <c r="P132" s="28">
        <f>Country_details!BY133</f>
        <v>799.04693501162069</v>
      </c>
      <c r="Q132" s="28">
        <f>Country_details!CK133</f>
        <v>485.03148594974999</v>
      </c>
      <c r="R132" s="28">
        <f>Country_details!CX133</f>
        <v>833.81871798229486</v>
      </c>
      <c r="S132" s="28">
        <f>Country_details!EG133</f>
        <v>1198.5754520811447</v>
      </c>
      <c r="T132" s="28">
        <f>Country_details!ET133</f>
        <v>2014.7693183006184</v>
      </c>
      <c r="U132" s="28">
        <f>Country_details!FG133</f>
        <v>2260.5488994055931</v>
      </c>
      <c r="V132" s="100">
        <f>Country_details!FY133</f>
        <v>2.5493895428191569</v>
      </c>
      <c r="W132" s="28">
        <f>Country_details!FZ133</f>
        <v>3122.4662691004228</v>
      </c>
      <c r="X132" s="28">
        <f>Country_details!GA133</f>
        <v>696.16725394808418</v>
      </c>
      <c r="Y132" s="28">
        <f>Country_details!GB133</f>
        <v>432.14412812499609</v>
      </c>
      <c r="Z132" s="28">
        <f>Country_details!GC133</f>
        <v>776.50579766126248</v>
      </c>
      <c r="AA132" s="28">
        <f>Country_details!GD133</f>
        <v>1128.9052509858586</v>
      </c>
      <c r="AB132" s="28">
        <f>Country_details!GE133</f>
        <v>1964.6849302104147</v>
      </c>
      <c r="AC132" s="28">
        <f>Country_details!GF133</f>
        <v>2067.079001520965</v>
      </c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</row>
    <row r="133" spans="1:55" x14ac:dyDescent="0.2">
      <c r="A133" s="8" t="str">
        <f>Country_details!A134</f>
        <v>Tajikistan</v>
      </c>
      <c r="B133" s="28">
        <f>INDEX(Country_details!$A$9:$AS$156,MATCH(Country_results!A133,Country_details!$A$9:$A$156,0),MATCH(Country_results!$B$5,Country_details!$A$6:$AS$6,0))</f>
        <v>320.82670185031793</v>
      </c>
      <c r="C133" s="28">
        <f t="shared" si="2"/>
        <v>4867.2340005560563</v>
      </c>
      <c r="D133" s="28">
        <f>Country_details!BA134</f>
        <v>5267.103246489628</v>
      </c>
      <c r="E133" s="28">
        <f>Country_details!BG134</f>
        <v>4867.2340005560563</v>
      </c>
      <c r="F133" s="28" t="str">
        <f>Country_details!CA134</f>
        <v/>
      </c>
      <c r="G133" s="28" t="str">
        <f>Country_details!CN134</f>
        <v/>
      </c>
      <c r="H133" s="28" t="str">
        <f>Country_details!DA134</f>
        <v/>
      </c>
      <c r="I133" s="28" t="str">
        <f>Country_details!DL134</f>
        <v/>
      </c>
      <c r="J133" s="28" t="str">
        <f>Country_details!DW134</f>
        <v/>
      </c>
      <c r="K133" s="28" t="str">
        <f>Country_details!EJ134</f>
        <v/>
      </c>
      <c r="L133" s="28" t="str">
        <f>Country_details!EW134</f>
        <v/>
      </c>
      <c r="M133" s="28" t="str">
        <f>Country_details!FJ134</f>
        <v/>
      </c>
      <c r="N133" s="28" t="str">
        <f>Country_details!FT134</f>
        <v/>
      </c>
      <c r="O133" s="100">
        <f>Country_details!AZ134</f>
        <v>9.6224583154029286</v>
      </c>
      <c r="P133" s="28" t="str">
        <f>Country_details!BY134</f>
        <v/>
      </c>
      <c r="Q133" s="28" t="str">
        <f>Country_details!CK134</f>
        <v/>
      </c>
      <c r="R133" s="28" t="str">
        <f>Country_details!CX134</f>
        <v/>
      </c>
      <c r="S133" s="28" t="str">
        <f>Country_details!EG134</f>
        <v/>
      </c>
      <c r="T133" s="28" t="str">
        <f>Country_details!ET134</f>
        <v/>
      </c>
      <c r="U133" s="28" t="str">
        <f>Country_details!FG134</f>
        <v/>
      </c>
      <c r="V133" s="100">
        <f>Country_details!FY134</f>
        <v>3.1709666382179869</v>
      </c>
      <c r="W133" s="28">
        <f>Country_details!FZ134</f>
        <v>3819.8460619501079</v>
      </c>
      <c r="X133" s="28">
        <f>Country_details!GA134</f>
        <v>853.3060378818459</v>
      </c>
      <c r="Y133" s="28">
        <f>Country_details!GB134</f>
        <v>532.27329436759351</v>
      </c>
      <c r="Z133" s="28">
        <f>Country_details!GC134</f>
        <v>952.99344139546838</v>
      </c>
      <c r="AA133" s="28">
        <f>Country_details!GD134</f>
        <v>1385.7164300514148</v>
      </c>
      <c r="AB133" s="28">
        <f>Country_details!GE134</f>
        <v>2412.0760317724616</v>
      </c>
      <c r="AC133" s="28">
        <f>Country_details!GF134</f>
        <v>2534.2865865389354</v>
      </c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</row>
    <row r="134" spans="1:55" x14ac:dyDescent="0.2">
      <c r="A134" s="8" t="str">
        <f>Country_details!A135</f>
        <v>Tanzania</v>
      </c>
      <c r="B134" s="28">
        <f>INDEX(Country_details!$A$9:$AS$156,MATCH(Country_results!A134,Country_details!$A$9:$A$156,0),MATCH(Country_results!$B$5,Country_details!$A$6:$AS$6,0))</f>
        <v>486.5131455475821</v>
      </c>
      <c r="C134" s="28">
        <f t="shared" si="2"/>
        <v>4431.0483364451311</v>
      </c>
      <c r="D134" s="28">
        <f>Country_details!BA135</f>
        <v>6304.6163096861519</v>
      </c>
      <c r="E134" s="28">
        <f>Country_details!BG135</f>
        <v>4431.0483364451311</v>
      </c>
      <c r="F134" s="28">
        <f>Country_details!CA135</f>
        <v>5359.9135942931489</v>
      </c>
      <c r="G134" s="28">
        <f>Country_details!CN135</f>
        <v>10847.396333041555</v>
      </c>
      <c r="H134" s="28">
        <f>Country_details!DA135</f>
        <v>7251.5373126454497</v>
      </c>
      <c r="I134" s="28">
        <f>Country_details!DL135</f>
        <v>5887.6117680107382</v>
      </c>
      <c r="J134" s="28">
        <f>Country_details!DW135</f>
        <v>4463.5845576009933</v>
      </c>
      <c r="K134" s="28">
        <f>Country_details!EJ135</f>
        <v>9369.4608014099904</v>
      </c>
      <c r="L134" s="28">
        <f>Country_details!EW135</f>
        <v>17707.727174613032</v>
      </c>
      <c r="M134" s="28">
        <f>Country_details!FJ135</f>
        <v>7505.7216432234918</v>
      </c>
      <c r="N134" s="28">
        <f>Country_details!FT135</f>
        <v>9155.9212941555361</v>
      </c>
      <c r="O134" s="100">
        <f>Country_details!AZ135</f>
        <v>11.642145025927601</v>
      </c>
      <c r="P134" s="28">
        <f>Country_details!BY135</f>
        <v>879.39845786535636</v>
      </c>
      <c r="Q134" s="28">
        <f>Country_details!CK135</f>
        <v>543.82393588212528</v>
      </c>
      <c r="R134" s="28">
        <f>Country_details!CX135</f>
        <v>898.25302642201825</v>
      </c>
      <c r="S134" s="28">
        <f>Country_details!EG135</f>
        <v>1275.5454585822881</v>
      </c>
      <c r="T134" s="28">
        <f>Country_details!ET135</f>
        <v>2113.5400289445538</v>
      </c>
      <c r="U134" s="28">
        <f>Country_details!FG135</f>
        <v>2407.1264156062416</v>
      </c>
      <c r="V134" s="100" t="e">
        <f>Country_details!FY135</f>
        <v>#N/A</v>
      </c>
      <c r="W134" s="28">
        <f>Country_details!FZ135</f>
        <v>3143.7670675541126</v>
      </c>
      <c r="X134" s="28">
        <f>Country_details!GA135</f>
        <v>714.0974802312769</v>
      </c>
      <c r="Y134" s="28">
        <f>Country_details!GB135</f>
        <v>452.75112297173672</v>
      </c>
      <c r="Z134" s="28">
        <f>Country_details!GC135</f>
        <v>797.74934759099358</v>
      </c>
      <c r="AA134" s="28">
        <f>Country_details!GD135</f>
        <v>1161.5548775161183</v>
      </c>
      <c r="AB134" s="28">
        <f>Country_details!GE135</f>
        <v>2024.0071795366625</v>
      </c>
      <c r="AC134" s="28">
        <f>Country_details!GF135</f>
        <v>2127.6070779217189</v>
      </c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</row>
    <row r="135" spans="1:55" x14ac:dyDescent="0.2">
      <c r="A135" s="8" t="str">
        <f>Country_details!A136</f>
        <v>Thailand</v>
      </c>
      <c r="B135" s="28">
        <f>INDEX(Country_details!$A$9:$AS$156,MATCH(Country_results!A135,Country_details!$A$9:$A$156,0),MATCH(Country_results!$B$5,Country_details!$A$6:$AS$6,0))</f>
        <v>935.26631645117095</v>
      </c>
      <c r="C135" s="28">
        <f t="shared" si="2"/>
        <v>3742.3640660100268</v>
      </c>
      <c r="D135" s="28">
        <f>Country_details!BA136</f>
        <v>5141.7880081880057</v>
      </c>
      <c r="E135" s="28">
        <f>Country_details!BG136</f>
        <v>3810.0425028351365</v>
      </c>
      <c r="F135" s="28">
        <f>Country_details!CA136</f>
        <v>4563.057129330894</v>
      </c>
      <c r="G135" s="28">
        <f>Country_details!CN136</f>
        <v>9313.3736907615803</v>
      </c>
      <c r="H135" s="28">
        <f>Country_details!DA136</f>
        <v>6210.5394208714351</v>
      </c>
      <c r="I135" s="28">
        <f>Country_details!DL136</f>
        <v>5493.2186324435334</v>
      </c>
      <c r="J135" s="28">
        <f>Country_details!DW136</f>
        <v>3742.3640660100268</v>
      </c>
      <c r="K135" s="28">
        <f>Country_details!EJ136</f>
        <v>7911.7477116670789</v>
      </c>
      <c r="L135" s="28">
        <f>Country_details!EW136</f>
        <v>14531.228544388818</v>
      </c>
      <c r="M135" s="28">
        <f>Country_details!FJ136</f>
        <v>6350.088128058238</v>
      </c>
      <c r="N135" s="28">
        <f>Country_details!FT136</f>
        <v>7858.191465098047</v>
      </c>
      <c r="O135" s="100">
        <f>Country_details!AZ136</f>
        <v>9.3785119686993639</v>
      </c>
      <c r="P135" s="28">
        <f>Country_details!BY136</f>
        <v>737.85158579969254</v>
      </c>
      <c r="Q135" s="28">
        <f>Country_details!CK136</f>
        <v>459.63299025947163</v>
      </c>
      <c r="R135" s="28">
        <f>Country_details!CX136</f>
        <v>737.10787201637504</v>
      </c>
      <c r="S135" s="28">
        <f>Country_details!EG136</f>
        <v>1040.5529702003639</v>
      </c>
      <c r="T135" s="28">
        <f>Country_details!ET136</f>
        <v>1701.6155499333711</v>
      </c>
      <c r="U135" s="28">
        <f>Country_details!FG136</f>
        <v>1959.5089109088367</v>
      </c>
      <c r="V135" s="100">
        <f>Country_details!FY136</f>
        <v>1.9420936951891805</v>
      </c>
      <c r="W135" s="28">
        <f>Country_details!FZ136</f>
        <v>2480.6039005892771</v>
      </c>
      <c r="X135" s="28">
        <f>Country_details!GA136</f>
        <v>567.62165837376847</v>
      </c>
      <c r="Y135" s="28">
        <f>Country_details!GB136</f>
        <v>359.8669174562171</v>
      </c>
      <c r="Z135" s="28">
        <f>Country_details!GC136</f>
        <v>633.26080009967598</v>
      </c>
      <c r="AA135" s="28">
        <f>Country_details!GD136</f>
        <v>922.49034364003842</v>
      </c>
      <c r="AB135" s="28">
        <f>Country_details!GE136</f>
        <v>1607.7605776826017</v>
      </c>
      <c r="AC135" s="28">
        <f>Country_details!GF136</f>
        <v>1693.7800372857548</v>
      </c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</row>
    <row r="136" spans="1:55" x14ac:dyDescent="0.2">
      <c r="A136" s="8" t="str">
        <f>Country_details!A137</f>
        <v>Togo</v>
      </c>
      <c r="B136" s="28">
        <f>INDEX(Country_details!$A$9:$AS$156,MATCH(Country_results!A136,Country_details!$A$9:$A$156,0),MATCH(Country_results!$B$5,Country_details!$A$6:$AS$6,0))</f>
        <v>-319.75353061425517</v>
      </c>
      <c r="C136" s="28">
        <f t="shared" si="2"/>
        <v>4260.0459542804792</v>
      </c>
      <c r="D136" s="28">
        <f>Country_details!BA137</f>
        <v>5102.8322462153501</v>
      </c>
      <c r="E136" s="28">
        <f>Country_details!BG137</f>
        <v>4260.0459542804792</v>
      </c>
      <c r="F136" s="28">
        <f>Country_details!CA137</f>
        <v>5312.9055339757751</v>
      </c>
      <c r="G136" s="28">
        <f>Country_details!CN137</f>
        <v>10564.460724752817</v>
      </c>
      <c r="H136" s="28">
        <f>Country_details!DA137</f>
        <v>7277.2773015800658</v>
      </c>
      <c r="I136" s="28">
        <f>Country_details!DL137</f>
        <v>5442.5753909015284</v>
      </c>
      <c r="J136" s="28">
        <f>Country_details!DW137</f>
        <v>4381.0382617610157</v>
      </c>
      <c r="K136" s="28">
        <f>Country_details!EJ137</f>
        <v>9522.7130324034788</v>
      </c>
      <c r="L136" s="28">
        <f>Country_details!EW137</f>
        <v>18317.806268775104</v>
      </c>
      <c r="M136" s="28">
        <f>Country_details!FJ137</f>
        <v>7640.0819293813747</v>
      </c>
      <c r="N136" s="28">
        <f>Country_details!FT137</f>
        <v>9195.7303351901974</v>
      </c>
      <c r="O136" s="100">
        <f>Country_details!AZ137</f>
        <v>9.3026782876157412</v>
      </c>
      <c r="P136" s="28">
        <f>Country_details!BY137</f>
        <v>871.04834188792813</v>
      </c>
      <c r="Q136" s="28">
        <f>Country_details!CK137</f>
        <v>534.89304208420094</v>
      </c>
      <c r="R136" s="28">
        <f>Country_details!CX137</f>
        <v>907.43863670544351</v>
      </c>
      <c r="S136" s="28">
        <f>Country_details!EG137</f>
        <v>1304.1731609949179</v>
      </c>
      <c r="T136" s="28">
        <f>Country_details!ET137</f>
        <v>2192.649886257208</v>
      </c>
      <c r="U136" s="28">
        <f>Country_details!FG137</f>
        <v>2461.664795719727</v>
      </c>
      <c r="V136" s="100">
        <f>Country_details!FY137</f>
        <v>2.6710347030375554</v>
      </c>
      <c r="W136" s="28">
        <f>Country_details!FZ137</f>
        <v>3342.8882499264741</v>
      </c>
      <c r="X136" s="28">
        <f>Country_details!GA137</f>
        <v>754.86604636419611</v>
      </c>
      <c r="Y136" s="28">
        <f>Country_details!GB137</f>
        <v>473.54052504285852</v>
      </c>
      <c r="Z136" s="28">
        <f>Country_details!GC137</f>
        <v>842.88486296785629</v>
      </c>
      <c r="AA136" s="28">
        <f>Country_details!GD137</f>
        <v>1226.5408691619193</v>
      </c>
      <c r="AB136" s="28">
        <f>Country_details!GE137</f>
        <v>2135.9930177919973</v>
      </c>
      <c r="AC136" s="28">
        <f>Country_details!GF137</f>
        <v>2246.6695573451921</v>
      </c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</row>
    <row r="137" spans="1:55" x14ac:dyDescent="0.2">
      <c r="A137" s="8" t="str">
        <f>Country_details!A138</f>
        <v>Trinidad &amp; Tobago</v>
      </c>
      <c r="B137" s="28">
        <f>INDEX(Country_details!$A$9:$AS$156,MATCH(Country_results!A137,Country_details!$A$9:$A$156,0),MATCH(Country_results!$B$5,Country_details!$A$6:$AS$6,0))</f>
        <v>486.20781237922711</v>
      </c>
      <c r="C137" s="28">
        <f t="shared" si="2"/>
        <v>3989.070077961027</v>
      </c>
      <c r="D137" s="28">
        <f>Country_details!BA138</f>
        <v>11711.669249094281</v>
      </c>
      <c r="E137" s="28">
        <f>Country_details!BG138</f>
        <v>4328.0144885171048</v>
      </c>
      <c r="F137" s="28">
        <f>Country_details!CA138</f>
        <v>4912.530253039914</v>
      </c>
      <c r="G137" s="28">
        <f>Country_details!CN138</f>
        <v>9717.0967601303946</v>
      </c>
      <c r="H137" s="28">
        <f>Country_details!DA138</f>
        <v>6867.7787199623936</v>
      </c>
      <c r="I137" s="28">
        <f>Country_details!DL138</f>
        <v>5123.0444557877627</v>
      </c>
      <c r="J137" s="28">
        <f>Country_details!DW138</f>
        <v>3989.070077961027</v>
      </c>
      <c r="K137" s="28">
        <f>Country_details!EJ138</f>
        <v>8956.1717501329895</v>
      </c>
      <c r="L137" s="28">
        <f>Country_details!EW138</f>
        <v>17143.92540512095</v>
      </c>
      <c r="M137" s="28">
        <f>Country_details!FJ138</f>
        <v>7160.5629124422712</v>
      </c>
      <c r="N137" s="28">
        <f>Country_details!FT138</f>
        <v>8375.1126428278894</v>
      </c>
      <c r="O137" s="100">
        <f>Country_details!AZ138</f>
        <v>22.417147527994754</v>
      </c>
      <c r="P137" s="28">
        <f>Country_details!BY138</f>
        <v>799.92904856379482</v>
      </c>
      <c r="Q137" s="28">
        <f>Country_details!CK138</f>
        <v>485.07528764755585</v>
      </c>
      <c r="R137" s="28">
        <f>Country_details!CX138</f>
        <v>833.29665911792711</v>
      </c>
      <c r="S137" s="28">
        <f>Country_details!EG138</f>
        <v>1197.0570700870478</v>
      </c>
      <c r="T137" s="28">
        <f>Country_details!ET138</f>
        <v>2011.5814657903634</v>
      </c>
      <c r="U137" s="28">
        <f>Country_details!FG138</f>
        <v>2254.1813287553032</v>
      </c>
      <c r="V137" s="100">
        <f>Country_details!FY138</f>
        <v>2.4689026784832291</v>
      </c>
      <c r="W137" s="28">
        <f>Country_details!FZ138</f>
        <v>3130.287362517171</v>
      </c>
      <c r="X137" s="28">
        <f>Country_details!GA138</f>
        <v>695.66802489632505</v>
      </c>
      <c r="Y137" s="28">
        <f>Country_details!GB138</f>
        <v>428.08643217035626</v>
      </c>
      <c r="Z137" s="28">
        <f>Country_details!GC138</f>
        <v>775.47377880259876</v>
      </c>
      <c r="AA137" s="28">
        <f>Country_details!GD138</f>
        <v>1126.9657441439408</v>
      </c>
      <c r="AB137" s="28">
        <f>Country_details!GE138</f>
        <v>1960.4539948339554</v>
      </c>
      <c r="AC137" s="28">
        <f>Country_details!GF138</f>
        <v>2064.4534208368786</v>
      </c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</row>
    <row r="138" spans="1:55" x14ac:dyDescent="0.2">
      <c r="A138" s="8" t="str">
        <f>Country_details!A139</f>
        <v>Tunisia</v>
      </c>
      <c r="B138" s="28">
        <f>INDEX(Country_details!$A$9:$AS$156,MATCH(Country_results!A138,Country_details!$A$9:$A$156,0),MATCH(Country_results!$B$5,Country_details!$A$6:$AS$6,0))</f>
        <v>1332.4156705126391</v>
      </c>
      <c r="C138" s="28">
        <f t="shared" si="2"/>
        <v>2569.1500392811322</v>
      </c>
      <c r="D138" s="28">
        <f>Country_details!BA139</f>
        <v>2569.1500392811322</v>
      </c>
      <c r="E138" s="28">
        <f>Country_details!BG139</f>
        <v>2844.0577527098444</v>
      </c>
      <c r="F138" s="28">
        <f>Country_details!CA139</f>
        <v>4103.7989892912019</v>
      </c>
      <c r="G138" s="28">
        <f>Country_details!CN139</f>
        <v>8067.0130029182574</v>
      </c>
      <c r="H138" s="28">
        <f>Country_details!DA139</f>
        <v>5820.9134945741853</v>
      </c>
      <c r="I138" s="28">
        <f>Country_details!DL139</f>
        <v>4115.4560975859049</v>
      </c>
      <c r="J138" s="28">
        <f>Country_details!DW139</f>
        <v>3554.4028674158285</v>
      </c>
      <c r="K138" s="28">
        <f>Country_details!EJ139</f>
        <v>7559.492189625259</v>
      </c>
      <c r="L138" s="28">
        <f>Country_details!EW139</f>
        <v>14284.592108516405</v>
      </c>
      <c r="M138" s="28">
        <f>Country_details!FJ139</f>
        <v>6132.6455530442554</v>
      </c>
      <c r="N138" s="28">
        <f>Country_details!FT139</f>
        <v>7301.0720282002021</v>
      </c>
      <c r="O138" s="100">
        <f>Country_details!AZ139</f>
        <v>4.3704567440412463</v>
      </c>
      <c r="P138" s="28">
        <f>Country_details!BY139</f>
        <v>656.2728372400104</v>
      </c>
      <c r="Q138" s="28">
        <f>Country_details!CK139</f>
        <v>404.53307460671999</v>
      </c>
      <c r="R138" s="28">
        <f>Country_details!CX139</f>
        <v>686.57122203863514</v>
      </c>
      <c r="S138" s="28">
        <f>Country_details!EG139</f>
        <v>991.83906726140731</v>
      </c>
      <c r="T138" s="28">
        <f>Country_details!ET139</f>
        <v>1670.4405413673553</v>
      </c>
      <c r="U138" s="28">
        <f>Country_details!FG139</f>
        <v>1876.8168049080873</v>
      </c>
      <c r="V138" s="100">
        <f>Country_details!FY139</f>
        <v>2.1281263021604739</v>
      </c>
      <c r="W138" s="28">
        <f>Country_details!FZ139</f>
        <v>2545.7848710655826</v>
      </c>
      <c r="X138" s="28">
        <f>Country_details!GA139</f>
        <v>577.12773153483886</v>
      </c>
      <c r="Y138" s="28">
        <f>Country_details!GB139</f>
        <v>365.81292150589519</v>
      </c>
      <c r="Z138" s="28">
        <f>Country_details!GC139</f>
        <v>643.95152482479216</v>
      </c>
      <c r="AA138" s="28">
        <f>Country_details!GD139</f>
        <v>937.58609663642869</v>
      </c>
      <c r="AB138" s="28">
        <f>Country_details!GE139</f>
        <v>1633.7971583863291</v>
      </c>
      <c r="AC138" s="28">
        <f>Country_details!GF139</f>
        <v>1719.0208351593224</v>
      </c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</row>
    <row r="139" spans="1:55" x14ac:dyDescent="0.2">
      <c r="A139" s="8" t="str">
        <f>Country_details!A140</f>
        <v>Turkey</v>
      </c>
      <c r="B139" s="28">
        <f>INDEX(Country_details!$A$9:$AS$156,MATCH(Country_results!A139,Country_details!$A$9:$A$156,0),MATCH(Country_results!$B$5,Country_details!$A$6:$AS$6,0))</f>
        <v>1200.5676557772649</v>
      </c>
      <c r="C139" s="28">
        <f t="shared" si="2"/>
        <v>2574.906795689657</v>
      </c>
      <c r="D139" s="28">
        <f>Country_details!BA140</f>
        <v>2574.906795689657</v>
      </c>
      <c r="E139" s="28">
        <f>Country_details!BG140</f>
        <v>2928.1859826171817</v>
      </c>
      <c r="F139" s="28">
        <f>Country_details!CA140</f>
        <v>4190.7284448960318</v>
      </c>
      <c r="G139" s="28">
        <f>Country_details!CN140</f>
        <v>8153.7300441826092</v>
      </c>
      <c r="H139" s="28">
        <f>Country_details!DA140</f>
        <v>5904.4046065351786</v>
      </c>
      <c r="I139" s="28">
        <f>Country_details!DL140</f>
        <v>4335.4782731798387</v>
      </c>
      <c r="J139" s="28">
        <f>Country_details!DW140</f>
        <v>3515.6235112338986</v>
      </c>
      <c r="K139" s="28">
        <f>Country_details!EJ140</f>
        <v>7632.9743078495403</v>
      </c>
      <c r="L139" s="28">
        <f>Country_details!EW140</f>
        <v>14321.981785562695</v>
      </c>
      <c r="M139" s="28">
        <f>Country_details!FJ140</f>
        <v>6192.9790294235445</v>
      </c>
      <c r="N139" s="28">
        <f>Country_details!FT140</f>
        <v>7370.5132245588247</v>
      </c>
      <c r="O139" s="100">
        <f>Country_details!AZ140</f>
        <v>4.381663199965959</v>
      </c>
      <c r="P139" s="28">
        <f>Country_details!BY140</f>
        <v>671.71425369613155</v>
      </c>
      <c r="Q139" s="28">
        <f>Country_details!CK140</f>
        <v>407.14828460727074</v>
      </c>
      <c r="R139" s="28">
        <f>Country_details!CX140</f>
        <v>695.0222289489044</v>
      </c>
      <c r="S139" s="28">
        <f>Country_details!EG140</f>
        <v>998.53032439499725</v>
      </c>
      <c r="T139" s="28">
        <f>Country_details!ET140</f>
        <v>1669.3575916603243</v>
      </c>
      <c r="U139" s="28">
        <f>Country_details!FG140</f>
        <v>1893.6785871028319</v>
      </c>
      <c r="V139" s="100">
        <f>Country_details!FY140</f>
        <v>1.9791905884116219</v>
      </c>
      <c r="W139" s="28">
        <f>Country_details!FZ140</f>
        <v>2538.7160809964398</v>
      </c>
      <c r="X139" s="28">
        <f>Country_details!GA140</f>
        <v>573.91294077234443</v>
      </c>
      <c r="Y139" s="28">
        <f>Country_details!GB140</f>
        <v>359.01765074042055</v>
      </c>
      <c r="Z139" s="28">
        <f>Country_details!GC140</f>
        <v>639.73053253824639</v>
      </c>
      <c r="AA139" s="28">
        <f>Country_details!GD140</f>
        <v>930.99737157910761</v>
      </c>
      <c r="AB139" s="28">
        <f>Country_details!GE140</f>
        <v>1621.2954368811052</v>
      </c>
      <c r="AC139" s="28">
        <f>Country_details!GF140</f>
        <v>1708.7364236620228</v>
      </c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</row>
    <row r="140" spans="1:55" x14ac:dyDescent="0.2">
      <c r="A140" s="8" t="str">
        <f>Country_details!A141</f>
        <v>Turkmenistan</v>
      </c>
      <c r="B140" s="28">
        <f>INDEX(Country_details!$A$9:$AS$156,MATCH(Country_results!A140,Country_details!$A$9:$A$156,0),MATCH(Country_results!$B$5,Country_details!$A$6:$AS$6,0))</f>
        <v>3611.0515885492096</v>
      </c>
      <c r="C140" s="28">
        <f t="shared" si="2"/>
        <v>5184.0162507494024</v>
      </c>
      <c r="D140" s="28">
        <f>Country_details!BA141</f>
        <v>5184.0162507494024</v>
      </c>
      <c r="E140" s="28">
        <f>Country_details!BG141</f>
        <v>5200.8278514332815</v>
      </c>
      <c r="F140" s="28" t="str">
        <f>Country_details!CA141</f>
        <v/>
      </c>
      <c r="G140" s="28" t="str">
        <f>Country_details!CN141</f>
        <v/>
      </c>
      <c r="H140" s="28" t="str">
        <f>Country_details!DA141</f>
        <v/>
      </c>
      <c r="I140" s="28" t="str">
        <f>Country_details!DL141</f>
        <v/>
      </c>
      <c r="J140" s="28" t="str">
        <f>Country_details!DW141</f>
        <v/>
      </c>
      <c r="K140" s="28" t="str">
        <f>Country_details!EJ141</f>
        <v/>
      </c>
      <c r="L140" s="28" t="str">
        <f>Country_details!EW141</f>
        <v/>
      </c>
      <c r="M140" s="28" t="str">
        <f>Country_details!FJ141</f>
        <v/>
      </c>
      <c r="N140" s="28" t="str">
        <f>Country_details!FT141</f>
        <v/>
      </c>
      <c r="O140" s="100">
        <f>Country_details!AZ141</f>
        <v>9.4607160616746331</v>
      </c>
      <c r="P140" s="28" t="str">
        <f>Country_details!BY141</f>
        <v/>
      </c>
      <c r="Q140" s="28" t="str">
        <f>Country_details!CK141</f>
        <v/>
      </c>
      <c r="R140" s="28" t="str">
        <f>Country_details!CX141</f>
        <v/>
      </c>
      <c r="S140" s="28" t="str">
        <f>Country_details!EG141</f>
        <v/>
      </c>
      <c r="T140" s="28" t="str">
        <f>Country_details!ET141</f>
        <v/>
      </c>
      <c r="U140" s="28" t="str">
        <f>Country_details!FG141</f>
        <v/>
      </c>
      <c r="V140" s="100">
        <f>Country_details!FY141</f>
        <v>3.425353628125491</v>
      </c>
      <c r="W140" s="28">
        <f>Country_details!FZ141</f>
        <v>4244.9800783480978</v>
      </c>
      <c r="X140" s="28">
        <f>Country_details!GA141</f>
        <v>942.01882569630288</v>
      </c>
      <c r="Y140" s="28">
        <f>Country_details!GB141</f>
        <v>580.95103970725859</v>
      </c>
      <c r="Z140" s="28">
        <f>Country_details!GC141</f>
        <v>1051.6639290781993</v>
      </c>
      <c r="AA140" s="28">
        <f>Country_details!GD141</f>
        <v>1528.1712879724651</v>
      </c>
      <c r="AB140" s="28">
        <f>Country_details!GE141</f>
        <v>2658.3492967036964</v>
      </c>
      <c r="AC140" s="28">
        <f>Country_details!GF141</f>
        <v>2794.3041186290652</v>
      </c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</row>
    <row r="141" spans="1:55" x14ac:dyDescent="0.2">
      <c r="A141" s="8" t="str">
        <f>Country_details!A142</f>
        <v>Uganda</v>
      </c>
      <c r="B141" s="28">
        <f>INDEX(Country_details!$A$9:$AS$156,MATCH(Country_results!A141,Country_details!$A$9:$A$156,0),MATCH(Country_results!$B$5,Country_details!$A$6:$AS$6,0))</f>
        <v>-3390.0803276816655</v>
      </c>
      <c r="C141" s="28">
        <f t="shared" si="2"/>
        <v>4658.7712637805107</v>
      </c>
      <c r="D141" s="28">
        <f>Country_details!BA142</f>
        <v>6283.0398157535528</v>
      </c>
      <c r="E141" s="28">
        <f>Country_details!BG142</f>
        <v>4658.7712637805107</v>
      </c>
      <c r="F141" s="28" t="str">
        <f>Country_details!CA142</f>
        <v/>
      </c>
      <c r="G141" s="28" t="str">
        <f>Country_details!CN142</f>
        <v/>
      </c>
      <c r="H141" s="28" t="str">
        <f>Country_details!DA142</f>
        <v/>
      </c>
      <c r="I141" s="28" t="str">
        <f>Country_details!DL142</f>
        <v/>
      </c>
      <c r="J141" s="28" t="str">
        <f>Country_details!DW142</f>
        <v/>
      </c>
      <c r="K141" s="28" t="str">
        <f>Country_details!EJ142</f>
        <v/>
      </c>
      <c r="L141" s="28" t="str">
        <f>Country_details!EW142</f>
        <v/>
      </c>
      <c r="M141" s="28" t="str">
        <f>Country_details!FJ142</f>
        <v/>
      </c>
      <c r="N141" s="28" t="str">
        <f>Country_details!FT142</f>
        <v/>
      </c>
      <c r="O141" s="100">
        <f>Country_details!AZ142</f>
        <v>11.600142896411155</v>
      </c>
      <c r="P141" s="28" t="str">
        <f>Country_details!BY142</f>
        <v/>
      </c>
      <c r="Q141" s="28" t="str">
        <f>Country_details!CK142</f>
        <v/>
      </c>
      <c r="R141" s="28" t="str">
        <f>Country_details!CX142</f>
        <v/>
      </c>
      <c r="S141" s="28" t="str">
        <f>Country_details!EG142</f>
        <v/>
      </c>
      <c r="T141" s="28" t="str">
        <f>Country_details!ET142</f>
        <v/>
      </c>
      <c r="U141" s="28" t="str">
        <f>Country_details!FG142</f>
        <v/>
      </c>
      <c r="V141" s="100">
        <f>Country_details!FY142</f>
        <v>2.8508788816878914</v>
      </c>
      <c r="W141" s="28">
        <f>Country_details!FZ142</f>
        <v>3440.5285513503013</v>
      </c>
      <c r="X141" s="28">
        <f>Country_details!GA142</f>
        <v>779.62066440144145</v>
      </c>
      <c r="Y141" s="28">
        <f>Country_details!GB142</f>
        <v>493.49980555139268</v>
      </c>
      <c r="Z141" s="28">
        <f>Country_details!GC142</f>
        <v>871.2014407904453</v>
      </c>
      <c r="AA141" s="28">
        <f>Country_details!GD142</f>
        <v>1268.253867349116</v>
      </c>
      <c r="AB141" s="28">
        <f>Country_details!GE142</f>
        <v>2209.6262860450979</v>
      </c>
      <c r="AC141" s="28">
        <f>Country_details!GF142</f>
        <v>2321.6600026719329</v>
      </c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</row>
    <row r="142" spans="1:55" x14ac:dyDescent="0.2">
      <c r="A142" s="8" t="str">
        <f>Country_details!A143</f>
        <v>Ukraine</v>
      </c>
      <c r="B142" s="28">
        <f>INDEX(Country_details!$A$9:$AS$156,MATCH(Country_results!A142,Country_details!$A$9:$A$156,0),MATCH(Country_results!$B$5,Country_details!$A$6:$AS$6,0))</f>
        <v>2483.2431355315548</v>
      </c>
      <c r="C142" s="28">
        <f t="shared" si="2"/>
        <v>2685.3131950091288</v>
      </c>
      <c r="D142" s="28">
        <f>Country_details!BA143</f>
        <v>2685.3131950091288</v>
      </c>
      <c r="E142" s="28">
        <f>Country_details!BG143</f>
        <v>3841.636367931409</v>
      </c>
      <c r="F142" s="28">
        <f>Country_details!CA143</f>
        <v>5320.8407495612973</v>
      </c>
      <c r="G142" s="28">
        <f>Country_details!CN143</f>
        <v>10322.529187868564</v>
      </c>
      <c r="H142" s="28">
        <f>Country_details!DA143</f>
        <v>7579.1913876075496</v>
      </c>
      <c r="I142" s="28">
        <f>Country_details!DL143</f>
        <v>5518.7584687543149</v>
      </c>
      <c r="J142" s="28">
        <f>Country_details!DW143</f>
        <v>4139.5911879941514</v>
      </c>
      <c r="K142" s="28">
        <f>Country_details!EJ143</f>
        <v>9893.4140080670386</v>
      </c>
      <c r="L142" s="28">
        <f>Country_details!EW143</f>
        <v>19078.986870195975</v>
      </c>
      <c r="M142" s="28">
        <f>Country_details!FJ143</f>
        <v>7811.8037997635201</v>
      </c>
      <c r="N142" s="28">
        <f>Country_details!FT143</f>
        <v>8514.8105935024414</v>
      </c>
      <c r="O142" s="100">
        <f>Country_details!AZ143</f>
        <v>4.5965870841775063</v>
      </c>
      <c r="P142" s="28">
        <f>Country_details!BY143</f>
        <v>872.45788676167217</v>
      </c>
      <c r="Q142" s="28">
        <f>Country_details!CK143</f>
        <v>504.98479517895623</v>
      </c>
      <c r="R142" s="28">
        <f>Country_details!CX143</f>
        <v>911.17323380658684</v>
      </c>
      <c r="S142" s="28">
        <f>Country_details!EG143</f>
        <v>1303.3263275789845</v>
      </c>
      <c r="T142" s="28">
        <f>Country_details!ET143</f>
        <v>2187.6750708287927</v>
      </c>
      <c r="U142" s="28">
        <f>Country_details!FG143</f>
        <v>2447.9194350255752</v>
      </c>
      <c r="V142" s="100">
        <f>Country_details!FY143</f>
        <v>2.7833470870824488</v>
      </c>
      <c r="W142" s="28">
        <f>Country_details!FZ143</f>
        <v>3570.2109995589944</v>
      </c>
      <c r="X142" s="28">
        <f>Country_details!GA143</f>
        <v>763.20254969893676</v>
      </c>
      <c r="Y142" s="28">
        <f>Country_details!GB143</f>
        <v>448.42015951023598</v>
      </c>
      <c r="Z142" s="28">
        <f>Country_details!GC143</f>
        <v>848.61976110460353</v>
      </c>
      <c r="AA142" s="28">
        <f>Country_details!GD143</f>
        <v>1229.1838630092179</v>
      </c>
      <c r="AB142" s="28">
        <f>Country_details!GE143</f>
        <v>2132.5255228739575</v>
      </c>
      <c r="AC142" s="28">
        <f>Country_details!GF143</f>
        <v>2247.960367150652</v>
      </c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</row>
    <row r="143" spans="1:55" x14ac:dyDescent="0.2">
      <c r="A143" s="8" t="str">
        <f>Country_details!A144</f>
        <v>United Arab Emirates</v>
      </c>
      <c r="B143" s="28">
        <f>INDEX(Country_details!$A$9:$AS$156,MATCH(Country_results!A143,Country_details!$A$9:$A$156,0),MATCH(Country_results!$B$5,Country_details!$A$6:$AS$6,0))</f>
        <v>-67.761269605083157</v>
      </c>
      <c r="C143" s="28">
        <f t="shared" si="2"/>
        <v>3010.1082574856705</v>
      </c>
      <c r="D143" s="28">
        <f>Country_details!BA144</f>
        <v>4361.5553252908703</v>
      </c>
      <c r="E143" s="28">
        <f>Country_details!BG144</f>
        <v>3010.1082574856705</v>
      </c>
      <c r="F143" s="28">
        <f>Country_details!CA144</f>
        <v>4126.8145725982195</v>
      </c>
      <c r="G143" s="28">
        <f>Country_details!CN144</f>
        <v>9321.7863760548662</v>
      </c>
      <c r="H143" s="28">
        <f>Country_details!DA144</f>
        <v>5654.7323858826912</v>
      </c>
      <c r="I143" s="28">
        <f>Country_details!DL144</f>
        <v>4635.9720036548988</v>
      </c>
      <c r="J143" s="28">
        <f>Country_details!DW144</f>
        <v>4547.1237517132222</v>
      </c>
      <c r="K143" s="28">
        <f>Country_details!EJ144</f>
        <v>7281.6472619567276</v>
      </c>
      <c r="L143" s="28">
        <f>Country_details!EW144</f>
        <v>13514.581283556427</v>
      </c>
      <c r="M143" s="28">
        <f>Country_details!FJ144</f>
        <v>5863.4451974823678</v>
      </c>
      <c r="N143" s="28">
        <f>Country_details!FT144</f>
        <v>7453.3943206696167</v>
      </c>
      <c r="O143" s="100">
        <f>Country_details!AZ144</f>
        <v>7.859663062923353</v>
      </c>
      <c r="P143" s="28">
        <f>Country_details!BY144</f>
        <v>660.36113164323069</v>
      </c>
      <c r="Q143" s="28">
        <f>Country_details!CK144</f>
        <v>465.26065172322399</v>
      </c>
      <c r="R143" s="28">
        <f>Country_details!CX144</f>
        <v>678.02609672360597</v>
      </c>
      <c r="S143" s="28">
        <f>Country_details!EG144</f>
        <v>971.70632646741569</v>
      </c>
      <c r="T143" s="28">
        <f>Country_details!ET144</f>
        <v>1617.981399984712</v>
      </c>
      <c r="U143" s="28">
        <f>Country_details!FG144</f>
        <v>1814.0207794628911</v>
      </c>
      <c r="V143" s="100">
        <f>Country_details!FY144</f>
        <v>1.8830017960403234</v>
      </c>
      <c r="W143" s="28">
        <f>Country_details!FZ144</f>
        <v>2236.1171027122</v>
      </c>
      <c r="X143" s="28">
        <f>Country_details!GA144</f>
        <v>534.04612997783374</v>
      </c>
      <c r="Y143" s="28">
        <f>Country_details!GB144</f>
        <v>391.61875315879274</v>
      </c>
      <c r="Z143" s="28">
        <f>Country_details!GC144</f>
        <v>602.37162301302351</v>
      </c>
      <c r="AA143" s="28">
        <f>Country_details!GD144</f>
        <v>882.83749915253236</v>
      </c>
      <c r="AB143" s="28">
        <f>Country_details!GE144</f>
        <v>1550.2951973398854</v>
      </c>
      <c r="AC143" s="28">
        <f>Country_details!GF144</f>
        <v>1604.0510662460683</v>
      </c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</row>
    <row r="144" spans="1:55" x14ac:dyDescent="0.2">
      <c r="A144" s="8" t="str">
        <f>Country_details!A145</f>
        <v>United Kingdom</v>
      </c>
      <c r="B144" s="28">
        <f>INDEX(Country_details!$A$9:$AS$156,MATCH(Country_results!A144,Country_details!$A$9:$A$156,0),MATCH(Country_results!$B$5,Country_details!$A$6:$AS$6,0))</f>
        <v>10197.484842156417</v>
      </c>
      <c r="C144" s="28">
        <f t="shared" si="2"/>
        <v>2097.857876975318</v>
      </c>
      <c r="D144" s="28">
        <f>Country_details!BA145</f>
        <v>2463.6501135415615</v>
      </c>
      <c r="E144" s="28">
        <f>Country_details!BG145</f>
        <v>2097.857876975318</v>
      </c>
      <c r="F144" s="28">
        <f>Country_details!CA145</f>
        <v>3354.5819469471908</v>
      </c>
      <c r="G144" s="28">
        <f>Country_details!CN145</f>
        <v>7229.5686887969478</v>
      </c>
      <c r="H144" s="28">
        <f>Country_details!DA145</f>
        <v>4884.4577871266383</v>
      </c>
      <c r="I144" s="28">
        <f>Country_details!DL145</f>
        <v>3162.452969904683</v>
      </c>
      <c r="J144" s="28">
        <f>Country_details!DW145</f>
        <v>3859.337106464975</v>
      </c>
      <c r="K144" s="28">
        <f>Country_details!EJ145</f>
        <v>6326.9752269745213</v>
      </c>
      <c r="L144" s="28">
        <f>Country_details!EW145</f>
        <v>11853.639051347787</v>
      </c>
      <c r="M144" s="28">
        <f>Country_details!FJ145</f>
        <v>5175.2858430377237</v>
      </c>
      <c r="N144" s="28">
        <f>Country_details!FT145</f>
        <v>6196.2150445548323</v>
      </c>
      <c r="O144" s="100">
        <f>Country_details!AZ145</f>
        <v>4.1650841029285912</v>
      </c>
      <c r="P144" s="28">
        <f>Country_details!BY145</f>
        <v>523.18823103416639</v>
      </c>
      <c r="Q144" s="28">
        <f>Country_details!CK145</f>
        <v>360.1455522070205</v>
      </c>
      <c r="R144" s="28">
        <f>Country_details!CX145</f>
        <v>555.25645831392001</v>
      </c>
      <c r="S144" s="28">
        <f>Country_details!EG145</f>
        <v>810.4213926336663</v>
      </c>
      <c r="T144" s="28">
        <f>Country_details!ET145</f>
        <v>1378.9671022638672</v>
      </c>
      <c r="U144" s="28">
        <f>Country_details!FG145</f>
        <v>1526.8344833763911</v>
      </c>
      <c r="V144" s="100">
        <f>Country_details!FY145</f>
        <v>2.7628086208715721</v>
      </c>
      <c r="W144" s="28">
        <f>Country_details!FZ145</f>
        <v>2011.3708504546501</v>
      </c>
      <c r="X144" s="28">
        <f>Country_details!GA145</f>
        <v>469.91852778254321</v>
      </c>
      <c r="Y144" s="28">
        <f>Country_details!GB145</f>
        <v>338.12287552837392</v>
      </c>
      <c r="Z144" s="28">
        <f>Country_details!GC145</f>
        <v>528.7798590309161</v>
      </c>
      <c r="AA144" s="28">
        <f>Country_details!GD145</f>
        <v>773.76146587622679</v>
      </c>
      <c r="AB144" s="28">
        <f>Country_details!GE145</f>
        <v>1357.1253205858341</v>
      </c>
      <c r="AC144" s="28">
        <f>Country_details!GF145</f>
        <v>1406.1018798283344</v>
      </c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</row>
    <row r="145" spans="1:55" x14ac:dyDescent="0.2">
      <c r="A145" s="8" t="str">
        <f>Country_details!A146</f>
        <v>United States</v>
      </c>
      <c r="B145" s="28">
        <f>INDEX(Country_details!$A$9:$AS$156,MATCH(Country_results!A145,Country_details!$A$9:$A$156,0),MATCH(Country_results!$B$5,Country_details!$A$6:$AS$6,0))</f>
        <v>82276.395038700779</v>
      </c>
      <c r="C145" s="28">
        <f t="shared" si="2"/>
        <v>3081.0878134280015</v>
      </c>
      <c r="D145" s="28">
        <f>Country_details!BA146</f>
        <v>9273.5619969547915</v>
      </c>
      <c r="E145" s="28">
        <f>Country_details!BG146</f>
        <v>3081.0878134280015</v>
      </c>
      <c r="F145" s="28">
        <f>Country_details!CA146</f>
        <v>4011.443807992709</v>
      </c>
      <c r="G145" s="28">
        <f>Country_details!CN146</f>
        <v>8625.2472542399119</v>
      </c>
      <c r="H145" s="28">
        <f>Country_details!DA146</f>
        <v>5521.8249577057986</v>
      </c>
      <c r="I145" s="28">
        <f>Country_details!DL146</f>
        <v>4361.1074891835742</v>
      </c>
      <c r="J145" s="28">
        <f>Country_details!DW146</f>
        <v>4448.9697915971774</v>
      </c>
      <c r="K145" s="28">
        <f>Country_details!EJ146</f>
        <v>7050.2417899415068</v>
      </c>
      <c r="L145" s="28">
        <f>Country_details!EW146</f>
        <v>12870.165870919713</v>
      </c>
      <c r="M145" s="28">
        <f>Country_details!FJ146</f>
        <v>5749.5854856410033</v>
      </c>
      <c r="N145" s="28">
        <f>Country_details!FT146</f>
        <v>7055.1225582225834</v>
      </c>
      <c r="O145" s="100">
        <f>Country_details!AZ146</f>
        <v>17.525279044568816</v>
      </c>
      <c r="P145" s="28">
        <f>Country_details!BY146</f>
        <v>639.86764056198865</v>
      </c>
      <c r="Q145" s="28">
        <f>Country_details!CK146</f>
        <v>426.41530019777218</v>
      </c>
      <c r="R145" s="28">
        <f>Country_details!CX146</f>
        <v>645.91850749605703</v>
      </c>
      <c r="S145" s="28">
        <f>Country_details!EG146</f>
        <v>919.60016878659337</v>
      </c>
      <c r="T145" s="28">
        <f>Country_details!ET146</f>
        <v>1511.9181752636275</v>
      </c>
      <c r="U145" s="28">
        <f>Country_details!FG146</f>
        <v>1743.5862501960523</v>
      </c>
      <c r="V145" s="100">
        <f>Country_details!FY146</f>
        <v>2.1163376190799337</v>
      </c>
      <c r="W145" s="28">
        <f>Country_details!FZ146</f>
        <v>2102.6391344186136</v>
      </c>
      <c r="X145" s="28">
        <f>Country_details!GA146</f>
        <v>495.95483791708091</v>
      </c>
      <c r="Y145" s="28">
        <f>Country_details!GB146</f>
        <v>360.31474133940452</v>
      </c>
      <c r="Z145" s="28">
        <f>Country_details!GC146</f>
        <v>558.72715444252231</v>
      </c>
      <c r="AA145" s="28">
        <f>Country_details!GD146</f>
        <v>818.17704122022371</v>
      </c>
      <c r="AB145" s="28">
        <f>Country_details!GE146</f>
        <v>1435.8736178971076</v>
      </c>
      <c r="AC145" s="28">
        <f>Country_details!GF146</f>
        <v>1486.4558519300344</v>
      </c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</row>
    <row r="146" spans="1:55" x14ac:dyDescent="0.2">
      <c r="A146" s="8" t="str">
        <f>Country_details!A147</f>
        <v>Uruguay</v>
      </c>
      <c r="B146" s="28">
        <f>INDEX(Country_details!$A$9:$AS$156,MATCH(Country_results!A146,Country_details!$A$9:$A$156,0),MATCH(Country_results!$B$5,Country_details!$A$6:$AS$6,0))</f>
        <v>2472.0726285670262</v>
      </c>
      <c r="C146" s="28">
        <f t="shared" si="2"/>
        <v>4686.0080445159438</v>
      </c>
      <c r="D146" s="28">
        <f>Country_details!BA147</f>
        <v>16123.65395184215</v>
      </c>
      <c r="E146" s="28">
        <f>Country_details!BG147</f>
        <v>4686.0080445159438</v>
      </c>
      <c r="F146" s="28">
        <f>Country_details!CA147</f>
        <v>4897.5407807749807</v>
      </c>
      <c r="G146" s="28">
        <f>Country_details!CN147</f>
        <v>10991.299393845507</v>
      </c>
      <c r="H146" s="28">
        <f>Country_details!DA147</f>
        <v>6654.3489351620274</v>
      </c>
      <c r="I146" s="28">
        <f>Country_details!DL147</f>
        <v>5290.4840467551567</v>
      </c>
      <c r="J146" s="28">
        <f>Country_details!DW147</f>
        <v>5348.4154751337219</v>
      </c>
      <c r="K146" s="28">
        <f>Country_details!EJ147</f>
        <v>8667.7955431250084</v>
      </c>
      <c r="L146" s="28">
        <f>Country_details!EW147</f>
        <v>16474.282594825843</v>
      </c>
      <c r="M146" s="28">
        <f>Country_details!FJ147</f>
        <v>6920.2904902909268</v>
      </c>
      <c r="N146" s="28">
        <f>Country_details!FT147</f>
        <v>8493.4652187847532</v>
      </c>
      <c r="O146" s="100">
        <f>Country_details!AZ147</f>
        <v>31.269444283106861</v>
      </c>
      <c r="P146" s="28">
        <f>Country_details!BY147</f>
        <v>797.2664449377869</v>
      </c>
      <c r="Q146" s="28">
        <f>Country_details!CK147</f>
        <v>548.78229032787669</v>
      </c>
      <c r="R146" s="28">
        <f>Country_details!CX147</f>
        <v>822.8040551202912</v>
      </c>
      <c r="S146" s="28">
        <f>Country_details!EG147</f>
        <v>1181.0529158090715</v>
      </c>
      <c r="T146" s="28">
        <f>Country_details!ET147</f>
        <v>1979.2530043677225</v>
      </c>
      <c r="U146" s="28">
        <f>Country_details!FG147</f>
        <v>2207.7249809583454</v>
      </c>
      <c r="V146" s="100">
        <f>Country_details!FY147</f>
        <v>2.5471678745161643</v>
      </c>
      <c r="W146" s="28">
        <f>Country_details!FZ147</f>
        <v>2843.2082079783986</v>
      </c>
      <c r="X146" s="28">
        <f>Country_details!GA147</f>
        <v>660.47381259356371</v>
      </c>
      <c r="Y146" s="28">
        <f>Country_details!GB147</f>
        <v>473.89942848593211</v>
      </c>
      <c r="Z146" s="28">
        <f>Country_details!GC147</f>
        <v>744.70578696144423</v>
      </c>
      <c r="AA146" s="28">
        <f>Country_details!GD147</f>
        <v>1089.1569690218812</v>
      </c>
      <c r="AB146" s="28">
        <f>Country_details!GE147</f>
        <v>1909.5847223477535</v>
      </c>
      <c r="AC146" s="28">
        <f>Country_details!GF147</f>
        <v>1973.889406496791</v>
      </c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</row>
    <row r="147" spans="1:55" x14ac:dyDescent="0.2">
      <c r="A147" s="8" t="str">
        <f>Country_details!A148</f>
        <v>Uzbekistan</v>
      </c>
      <c r="B147" s="28">
        <f>INDEX(Country_details!$A$9:$AS$156,MATCH(Country_results!A147,Country_details!$A$9:$A$156,0),MATCH(Country_results!$B$5,Country_details!$A$6:$AS$6,0))</f>
        <v>1176.4739771184331</v>
      </c>
      <c r="C147" s="28">
        <f t="shared" si="2"/>
        <v>5291.8201383060514</v>
      </c>
      <c r="D147" s="28">
        <f>Country_details!BA148</f>
        <v>5296.6141070956528</v>
      </c>
      <c r="E147" s="28">
        <f>Country_details!BG148</f>
        <v>5291.8201383060514</v>
      </c>
      <c r="F147" s="28" t="str">
        <f>Country_details!CA148</f>
        <v/>
      </c>
      <c r="G147" s="28" t="str">
        <f>Country_details!CN148</f>
        <v/>
      </c>
      <c r="H147" s="28" t="str">
        <f>Country_details!DA148</f>
        <v/>
      </c>
      <c r="I147" s="28" t="str">
        <f>Country_details!DL148</f>
        <v/>
      </c>
      <c r="J147" s="28" t="str">
        <f>Country_details!DW148</f>
        <v/>
      </c>
      <c r="K147" s="28" t="str">
        <f>Country_details!EJ148</f>
        <v/>
      </c>
      <c r="L147" s="28" t="str">
        <f>Country_details!EW148</f>
        <v/>
      </c>
      <c r="M147" s="28" t="str">
        <f>Country_details!FJ148</f>
        <v/>
      </c>
      <c r="N147" s="28" t="str">
        <f>Country_details!FT148</f>
        <v/>
      </c>
      <c r="O147" s="100">
        <f>Country_details!AZ148</f>
        <v>9.679905970855577</v>
      </c>
      <c r="P147" s="28" t="str">
        <f>Country_details!BY148</f>
        <v/>
      </c>
      <c r="Q147" s="28" t="str">
        <f>Country_details!CK148</f>
        <v/>
      </c>
      <c r="R147" s="28" t="str">
        <f>Country_details!CX148</f>
        <v/>
      </c>
      <c r="S147" s="28" t="str">
        <f>Country_details!EG148</f>
        <v/>
      </c>
      <c r="T147" s="28" t="str">
        <f>Country_details!ET148</f>
        <v/>
      </c>
      <c r="U147" s="28" t="str">
        <f>Country_details!FG148</f>
        <v/>
      </c>
      <c r="V147" s="100">
        <f>Country_details!FY148</f>
        <v>3.4720505479887454</v>
      </c>
      <c r="W147" s="28">
        <f>Country_details!FZ148</f>
        <v>4305.0772476365373</v>
      </c>
      <c r="X147" s="28">
        <f>Country_details!GA148</f>
        <v>951.74738831156401</v>
      </c>
      <c r="Y147" s="28">
        <f>Country_details!GB148</f>
        <v>584.47547731429597</v>
      </c>
      <c r="Z147" s="28">
        <f>Country_details!GC148</f>
        <v>1062.2728350300022</v>
      </c>
      <c r="AA147" s="28">
        <f>Country_details!GD148</f>
        <v>1543.1036232230238</v>
      </c>
      <c r="AB147" s="28">
        <f>Country_details!GE148</f>
        <v>2683.6514119261242</v>
      </c>
      <c r="AC147" s="28">
        <f>Country_details!GF148</f>
        <v>2821.1401331001298</v>
      </c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</row>
    <row r="148" spans="1:55" x14ac:dyDescent="0.2">
      <c r="A148" s="8" t="str">
        <f>Country_details!A149</f>
        <v>Venezuela</v>
      </c>
      <c r="B148" s="28">
        <f>INDEX(Country_details!$A$9:$AS$156,MATCH(Country_results!A148,Country_details!$A$9:$A$156,0),MATCH(Country_results!$B$5,Country_details!$A$6:$AS$6,0))</f>
        <v>6407.9814053650261</v>
      </c>
      <c r="C148" s="28">
        <f t="shared" si="2"/>
        <v>4871.0886685345231</v>
      </c>
      <c r="D148" s="28">
        <f>Country_details!BA149</f>
        <v>16701.299458824233</v>
      </c>
      <c r="E148" s="28">
        <f>Country_details!BG149</f>
        <v>4871.0886685345231</v>
      </c>
      <c r="F148" s="28">
        <f>Country_details!CA149</f>
        <v>5478.6068806912735</v>
      </c>
      <c r="G148" s="28">
        <f>Country_details!CN149</f>
        <v>12212.796928927797</v>
      </c>
      <c r="H148" s="28">
        <f>Country_details!DA149</f>
        <v>7393.6560086304089</v>
      </c>
      <c r="I148" s="28">
        <f>Country_details!DL149</f>
        <v>5542.7515825240353</v>
      </c>
      <c r="J148" s="28">
        <f>Country_details!DW149</f>
        <v>6076.8103909956026</v>
      </c>
      <c r="K148" s="28">
        <f>Country_details!EJ149</f>
        <v>9707.9106302374475</v>
      </c>
      <c r="L148" s="28">
        <f>Country_details!EW149</f>
        <v>18724.934072108277</v>
      </c>
      <c r="M148" s="28">
        <f>Country_details!FJ149</f>
        <v>7750.7947823408276</v>
      </c>
      <c r="N148" s="28">
        <f>Country_details!FT149</f>
        <v>9459.0616592298866</v>
      </c>
      <c r="O148" s="100">
        <f>Country_details!AZ149</f>
        <v>32.428444096473797</v>
      </c>
      <c r="P148" s="28">
        <f>Country_details!BY149</f>
        <v>900.48213373870738</v>
      </c>
      <c r="Q148" s="28">
        <f>Country_details!CK149</f>
        <v>615.97554489529296</v>
      </c>
      <c r="R148" s="28">
        <f>Country_details!CX149</f>
        <v>940.27363047019753</v>
      </c>
      <c r="S148" s="28">
        <f>Country_details!EG149</f>
        <v>1352.8915064707528</v>
      </c>
      <c r="T148" s="28">
        <f>Country_details!ET149</f>
        <v>2278.7669588368872</v>
      </c>
      <c r="U148" s="28">
        <f>Country_details!FG149</f>
        <v>2534.3557576656121</v>
      </c>
      <c r="V148" s="100">
        <f>Country_details!FY149</f>
        <v>3.1671436406508158</v>
      </c>
      <c r="W148" s="28">
        <f>Country_details!FZ149</f>
        <v>3295.0669071437933</v>
      </c>
      <c r="X148" s="28">
        <f>Country_details!GA149</f>
        <v>764.10274132095276</v>
      </c>
      <c r="Y148" s="28">
        <f>Country_details!GB149</f>
        <v>548.71641477259175</v>
      </c>
      <c r="Z148" s="28">
        <f>Country_details!GC149</f>
        <v>862.24430089040447</v>
      </c>
      <c r="AA148" s="28">
        <f>Country_details!GD149</f>
        <v>1260.913081767779</v>
      </c>
      <c r="AB148" s="28">
        <f>Country_details!GE149</f>
        <v>2210.6393413281517</v>
      </c>
      <c r="AC148" s="28">
        <f>Country_details!GF149</f>
        <v>2282.6688089408481</v>
      </c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</row>
    <row r="149" spans="1:55" x14ac:dyDescent="0.2">
      <c r="A149" s="8" t="str">
        <f>Country_details!A150</f>
        <v>Vietnam</v>
      </c>
      <c r="B149" s="28">
        <f>INDEX(Country_details!$A$9:$AS$156,MATCH(Country_results!A149,Country_details!$A$9:$A$156,0),MATCH(Country_results!$B$5,Country_details!$A$6:$AS$6,0))</f>
        <v>32.843523169904074</v>
      </c>
      <c r="C149" s="28">
        <f t="shared" si="2"/>
        <v>4533.806787646613</v>
      </c>
      <c r="D149" s="28">
        <f>Country_details!BA150</f>
        <v>6633.0073758294593</v>
      </c>
      <c r="E149" s="28">
        <f>Country_details!BG150</f>
        <v>5055.1960249276244</v>
      </c>
      <c r="F149" s="28">
        <f>Country_details!CA150</f>
        <v>5740.4393445540718</v>
      </c>
      <c r="G149" s="28">
        <f>Country_details!CN150</f>
        <v>11689.409296260143</v>
      </c>
      <c r="H149" s="28">
        <f>Country_details!DA150</f>
        <v>7780.5333679638006</v>
      </c>
      <c r="I149" s="28">
        <f>Country_details!DL150</f>
        <v>6641.2851089143796</v>
      </c>
      <c r="J149" s="28">
        <f>Country_details!DW150</f>
        <v>4533.806787646613</v>
      </c>
      <c r="K149" s="28">
        <f>Country_details!EJ150</f>
        <v>10024.335369982284</v>
      </c>
      <c r="L149" s="28">
        <f>Country_details!EW150</f>
        <v>18967.409411028188</v>
      </c>
      <c r="M149" s="28">
        <f>Country_details!FJ150</f>
        <v>7935.2283336223409</v>
      </c>
      <c r="N149" s="28">
        <f>Country_details!FT150</f>
        <v>9398.4639541711367</v>
      </c>
      <c r="O149" s="100">
        <f>Country_details!AZ150</f>
        <v>12.281411263309941</v>
      </c>
      <c r="P149" s="28">
        <f>Country_details!BY150</f>
        <v>946.99184771433602</v>
      </c>
      <c r="Q149" s="28">
        <f>Country_details!CK150</f>
        <v>576.59535339704735</v>
      </c>
      <c r="R149" s="28">
        <f>Country_details!CX150</f>
        <v>957.82487964815095</v>
      </c>
      <c r="S149" s="28">
        <f>Country_details!EG150</f>
        <v>1351.5619627586364</v>
      </c>
      <c r="T149" s="28">
        <f>Country_details!ET150</f>
        <v>2230.1579638081294</v>
      </c>
      <c r="U149" s="28">
        <f>Country_details!FG150</f>
        <v>2539.4534058916502</v>
      </c>
      <c r="V149" s="100">
        <f>Country_details!FY150</f>
        <v>2.6981416436924386</v>
      </c>
      <c r="W149" s="28">
        <f>Country_details!FZ150</f>
        <v>3400.6963414231982</v>
      </c>
      <c r="X149" s="28">
        <f>Country_details!GA150</f>
        <v>753.63392368045118</v>
      </c>
      <c r="Y149" s="28">
        <f>Country_details!GB150</f>
        <v>462.80695628735464</v>
      </c>
      <c r="Z149" s="28">
        <f>Country_details!GC150</f>
        <v>840.33657801393372</v>
      </c>
      <c r="AA149" s="28">
        <f>Country_details!GD150</f>
        <v>1220.948848912388</v>
      </c>
      <c r="AB149" s="28">
        <f>Country_details!GE150</f>
        <v>2123.5998215768736</v>
      </c>
      <c r="AC149" s="28">
        <f>Country_details!GF150</f>
        <v>2235.2146029967871</v>
      </c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</row>
    <row r="150" spans="1:55" x14ac:dyDescent="0.2">
      <c r="A150" s="8" t="str">
        <f>Country_details!A151</f>
        <v>West Bank</v>
      </c>
      <c r="B150" s="28">
        <f>INDEX(Country_details!$A$9:$AS$156,MATCH(Country_results!A150,Country_details!$A$9:$A$156,0),MATCH(Country_results!$B$5,Country_details!$A$6:$AS$6,0))</f>
        <v>41.210993615049809</v>
      </c>
      <c r="C150" s="28">
        <f t="shared" si="2"/>
        <v>3006.1303291166355</v>
      </c>
      <c r="D150" s="28">
        <f>Country_details!BA151</f>
        <v>3048.6613213890137</v>
      </c>
      <c r="E150" s="28">
        <f>Country_details!BG151</f>
        <v>3006.1303291166355</v>
      </c>
      <c r="F150" s="28" t="str">
        <f>Country_details!CA151</f>
        <v/>
      </c>
      <c r="G150" s="28" t="str">
        <f>Country_details!CN151</f>
        <v/>
      </c>
      <c r="H150" s="28" t="str">
        <f>Country_details!DA151</f>
        <v/>
      </c>
      <c r="I150" s="28" t="str">
        <f>Country_details!DL151</f>
        <v/>
      </c>
      <c r="J150" s="28" t="str">
        <f>Country_details!DW151</f>
        <v/>
      </c>
      <c r="K150" s="28" t="str">
        <f>Country_details!EJ151</f>
        <v/>
      </c>
      <c r="L150" s="28" t="str">
        <f>Country_details!EW151</f>
        <v/>
      </c>
      <c r="M150" s="28" t="str">
        <f>Country_details!FJ151</f>
        <v/>
      </c>
      <c r="N150" s="28" t="str">
        <f>Country_details!FT151</f>
        <v/>
      </c>
      <c r="O150" s="100">
        <f>Country_details!AZ151</f>
        <v>5.3039028840215492</v>
      </c>
      <c r="P150" s="28" t="str">
        <f>Country_details!BY151</f>
        <v/>
      </c>
      <c r="Q150" s="28" t="str">
        <f>Country_details!CK151</f>
        <v/>
      </c>
      <c r="R150" s="28" t="str">
        <f>Country_details!CX151</f>
        <v/>
      </c>
      <c r="S150" s="28" t="str">
        <f>Country_details!EG151</f>
        <v/>
      </c>
      <c r="T150" s="28" t="str">
        <f>Country_details!ET151</f>
        <v/>
      </c>
      <c r="U150" s="28" t="str">
        <f>Country_details!FG151</f>
        <v/>
      </c>
      <c r="V150" s="100" t="e">
        <f>Country_details!FY151</f>
        <v>#N/A</v>
      </c>
      <c r="W150" s="28">
        <f>Country_details!FZ151</f>
        <v>2468.2083961009066</v>
      </c>
      <c r="X150" s="28">
        <f>Country_details!GA151</f>
        <v>574.18610159525292</v>
      </c>
      <c r="Y150" s="28">
        <f>Country_details!GB151</f>
        <v>372.25483450672539</v>
      </c>
      <c r="Z150" s="28">
        <f>Country_details!GC151</f>
        <v>641.60549540451211</v>
      </c>
      <c r="AA150" s="28">
        <f>Country_details!GD151</f>
        <v>935.97642898426341</v>
      </c>
      <c r="AB150" s="28">
        <f>Country_details!GE151</f>
        <v>1633.3305056952543</v>
      </c>
      <c r="AC150" s="28">
        <f>Country_details!GF151</f>
        <v>1718.3175977964738</v>
      </c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</row>
    <row r="151" spans="1:55" x14ac:dyDescent="0.2">
      <c r="A151" s="8" t="str">
        <f>Country_details!A152</f>
        <v>Yemen</v>
      </c>
      <c r="B151" s="28">
        <f>INDEX(Country_details!$A$9:$AS$156,MATCH(Country_results!A151,Country_details!$A$9:$A$156,0),MATCH(Country_results!$B$5,Country_details!$A$6:$AS$6,0))</f>
        <v>2045.9706756882761</v>
      </c>
      <c r="C151" s="28">
        <f t="shared" si="2"/>
        <v>4031.8902960447631</v>
      </c>
      <c r="D151" s="28">
        <f>Country_details!BA152</f>
        <v>4989.2772619722118</v>
      </c>
      <c r="E151" s="28">
        <f>Country_details!BG152</f>
        <v>4031.8902960447631</v>
      </c>
      <c r="F151" s="28">
        <f>Country_details!CA152</f>
        <v>5051.2401539220809</v>
      </c>
      <c r="G151" s="28">
        <f>Country_details!CN152</f>
        <v>10256.363060657553</v>
      </c>
      <c r="H151" s="28">
        <f>Country_details!DA152</f>
        <v>6803.5149410210197</v>
      </c>
      <c r="I151" s="28">
        <f>Country_details!DL152</f>
        <v>5278.6870299068887</v>
      </c>
      <c r="J151" s="28">
        <f>Country_details!DW152</f>
        <v>4413.1675101496467</v>
      </c>
      <c r="K151" s="28">
        <f>Country_details!EJ152</f>
        <v>8830.1926264016056</v>
      </c>
      <c r="L151" s="28">
        <f>Country_details!EW152</f>
        <v>16725.04278893624</v>
      </c>
      <c r="M151" s="28">
        <f>Country_details!FJ152</f>
        <v>7149.5207662258035</v>
      </c>
      <c r="N151" s="28">
        <f>Country_details!FT152</f>
        <v>9036.8067941868394</v>
      </c>
      <c r="O151" s="100">
        <f>Country_details!AZ152</f>
        <v>9.0816251744307337</v>
      </c>
      <c r="P151" s="28">
        <f>Country_details!BY152</f>
        <v>824.56830727312706</v>
      </c>
      <c r="Q151" s="28">
        <f>Country_details!CK152</f>
        <v>523.68426112395036</v>
      </c>
      <c r="R151" s="28">
        <f>Country_details!CX152</f>
        <v>851.84765320214785</v>
      </c>
      <c r="S151" s="28">
        <f>Country_details!EG152</f>
        <v>1219.0475228123462</v>
      </c>
      <c r="T151" s="28">
        <f>Country_details!ET152</f>
        <v>2033.8675926361279</v>
      </c>
      <c r="U151" s="28">
        <f>Country_details!FG152</f>
        <v>2306.027752011601</v>
      </c>
      <c r="V151" s="100">
        <f>Country_details!FY152</f>
        <v>2.5240993133787448</v>
      </c>
      <c r="W151" s="28">
        <f>Country_details!FZ152</f>
        <v>2945.0630265458371</v>
      </c>
      <c r="X151" s="28">
        <f>Country_details!GA152</f>
        <v>687.81582662727806</v>
      </c>
      <c r="Y151" s="28">
        <f>Country_details!GB152</f>
        <v>450.97763652296953</v>
      </c>
      <c r="Z151" s="28">
        <f>Country_details!GC152</f>
        <v>770.03033362661427</v>
      </c>
      <c r="AA151" s="28">
        <f>Country_details!GD152</f>
        <v>1123.7974549841695</v>
      </c>
      <c r="AB151" s="28">
        <f>Country_details!GE152</f>
        <v>1962.0808753260876</v>
      </c>
      <c r="AC151" s="28">
        <f>Country_details!GF152</f>
        <v>2059.5003651369502</v>
      </c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</row>
    <row r="152" spans="1:55" x14ac:dyDescent="0.2">
      <c r="A152" s="8" t="str">
        <f>Country_details!A153</f>
        <v>Zambia</v>
      </c>
      <c r="B152" s="28">
        <f>INDEX(Country_details!$A$9:$AS$156,MATCH(Country_results!A152,Country_details!$A$9:$A$156,0),MATCH(Country_results!$B$5,Country_details!$A$6:$AS$6,0))</f>
        <v>4136.0023684282914</v>
      </c>
      <c r="C152" s="28">
        <f t="shared" si="2"/>
        <v>4757.8874952692768</v>
      </c>
      <c r="D152" s="28">
        <f>Country_details!BA153</f>
        <v>7134.8104610620185</v>
      </c>
      <c r="E152" s="28">
        <f>Country_details!BG153</f>
        <v>4757.8874952692768</v>
      </c>
      <c r="F152" s="28" t="str">
        <f>Country_details!CA153</f>
        <v/>
      </c>
      <c r="G152" s="28" t="str">
        <f>Country_details!CN153</f>
        <v/>
      </c>
      <c r="H152" s="28" t="str">
        <f>Country_details!DA153</f>
        <v/>
      </c>
      <c r="I152" s="28" t="str">
        <f>Country_details!DL153</f>
        <v/>
      </c>
      <c r="J152" s="28" t="str">
        <f>Country_details!DW153</f>
        <v/>
      </c>
      <c r="K152" s="28" t="str">
        <f>Country_details!EJ153</f>
        <v/>
      </c>
      <c r="L152" s="28" t="str">
        <f>Country_details!EW153</f>
        <v/>
      </c>
      <c r="M152" s="28" t="str">
        <f>Country_details!FJ153</f>
        <v/>
      </c>
      <c r="N152" s="28" t="str">
        <f>Country_details!FT153</f>
        <v/>
      </c>
      <c r="O152" s="100">
        <f>Country_details!AZ153</f>
        <v>13.25825199765403</v>
      </c>
      <c r="P152" s="28" t="str">
        <f>Country_details!BY153</f>
        <v/>
      </c>
      <c r="Q152" s="28" t="str">
        <f>Country_details!CK153</f>
        <v/>
      </c>
      <c r="R152" s="28" t="str">
        <f>Country_details!CX153</f>
        <v/>
      </c>
      <c r="S152" s="28" t="str">
        <f>Country_details!EG153</f>
        <v/>
      </c>
      <c r="T152" s="28" t="str">
        <f>Country_details!ET153</f>
        <v/>
      </c>
      <c r="U152" s="28" t="str">
        <f>Country_details!FG153</f>
        <v/>
      </c>
      <c r="V152" s="100">
        <f>Country_details!FY153</f>
        <v>2.7094750090977135</v>
      </c>
      <c r="W152" s="28">
        <f>Country_details!FZ153</f>
        <v>3270.563437775565</v>
      </c>
      <c r="X152" s="28">
        <f>Country_details!GA153</f>
        <v>747.93156955617428</v>
      </c>
      <c r="Y152" s="28">
        <f>Country_details!GB153</f>
        <v>477.89468742777143</v>
      </c>
      <c r="Z152" s="28">
        <f>Country_details!GC153</f>
        <v>836.1531965771884</v>
      </c>
      <c r="AA152" s="28">
        <f>Country_details!GD153</f>
        <v>1218.1263460663247</v>
      </c>
      <c r="AB152" s="28">
        <f>Country_details!GE153</f>
        <v>2123.5227081338217</v>
      </c>
      <c r="AC152" s="28">
        <f>Country_details!GF153</f>
        <v>2231.0627833416388</v>
      </c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</row>
    <row r="153" spans="1:55" x14ac:dyDescent="0.2">
      <c r="A153" s="8" t="str">
        <f>Country_details!A154</f>
        <v>Zimbabwe</v>
      </c>
      <c r="B153" s="28">
        <f>INDEX(Country_details!$A$9:$AS$156,MATCH(Country_results!A153,Country_details!$A$9:$A$156,0),MATCH(Country_results!$B$5,Country_details!$A$6:$AS$6,0))</f>
        <v>1641.8763616821593</v>
      </c>
      <c r="C153" s="28">
        <f t="shared" si="2"/>
        <v>42327.672027481916</v>
      </c>
      <c r="D153" s="28">
        <f>Country_details!BA154</f>
        <v>68656.493310346385</v>
      </c>
      <c r="E153" s="28">
        <f>Country_details!BG154</f>
        <v>42327.672027481916</v>
      </c>
      <c r="F153" s="28" t="str">
        <f>Country_details!CA154</f>
        <v/>
      </c>
      <c r="G153" s="28" t="str">
        <f>Country_details!CN154</f>
        <v/>
      </c>
      <c r="H153" s="28" t="str">
        <f>Country_details!DA154</f>
        <v/>
      </c>
      <c r="I153" s="28" t="str">
        <f>Country_details!DL154</f>
        <v/>
      </c>
      <c r="J153" s="28" t="str">
        <f>Country_details!DW154</f>
        <v/>
      </c>
      <c r="K153" s="28" t="str">
        <f>Country_details!EJ154</f>
        <v/>
      </c>
      <c r="L153" s="28" t="str">
        <f>Country_details!EW154</f>
        <v/>
      </c>
      <c r="M153" s="28" t="str">
        <f>Country_details!FJ154</f>
        <v/>
      </c>
      <c r="N153" s="28" t="str">
        <f>Country_details!FT154</f>
        <v/>
      </c>
      <c r="O153" s="100">
        <f>Country_details!AZ154</f>
        <v>136.67241249840427</v>
      </c>
      <c r="P153" s="28" t="str">
        <f>Country_details!BY154</f>
        <v/>
      </c>
      <c r="Q153" s="28" t="str">
        <f>Country_details!CK154</f>
        <v/>
      </c>
      <c r="R153" s="28" t="str">
        <f>Country_details!CX154</f>
        <v/>
      </c>
      <c r="S153" s="28" t="str">
        <f>Country_details!EG154</f>
        <v/>
      </c>
      <c r="T153" s="28" t="str">
        <f>Country_details!ET154</f>
        <v/>
      </c>
      <c r="U153" s="28" t="str">
        <f>Country_details!FG154</f>
        <v/>
      </c>
      <c r="V153" s="100">
        <f>Country_details!FY154</f>
        <v>25.919764808350187</v>
      </c>
      <c r="W153" s="28">
        <f>Country_details!FZ154</f>
        <v>28657.961491609862</v>
      </c>
      <c r="X153" s="28">
        <f>Country_details!GA154</f>
        <v>6462.411878244081</v>
      </c>
      <c r="Y153" s="28">
        <f>Country_details!GB154</f>
        <v>4130.8730034028104</v>
      </c>
      <c r="Z153" s="28">
        <f>Country_details!GC154</f>
        <v>7256.3296701216532</v>
      </c>
      <c r="AA153" s="28">
        <f>Country_details!GD154</f>
        <v>10560.519700087696</v>
      </c>
      <c r="AB153" s="28">
        <f>Country_details!GE154</f>
        <v>18400.94019022632</v>
      </c>
      <c r="AC153" s="28">
        <f>Country_details!GF154</f>
        <v>19218.111886836927</v>
      </c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</row>
    <row r="154" spans="1:55" x14ac:dyDescent="0.2">
      <c r="A154" s="8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100"/>
      <c r="P154" s="28"/>
      <c r="Q154" s="28"/>
      <c r="R154" s="28"/>
      <c r="S154" s="28"/>
      <c r="T154" s="28"/>
      <c r="U154" s="28"/>
      <c r="V154" s="100"/>
      <c r="W154" s="28"/>
      <c r="X154" s="28"/>
      <c r="Y154" s="28"/>
      <c r="Z154" s="28"/>
      <c r="AA154" s="28"/>
      <c r="AB154" s="28"/>
      <c r="AC154" s="28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</row>
    <row r="155" spans="1:55" x14ac:dyDescent="0.2">
      <c r="A155" s="8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100"/>
      <c r="P155" s="28"/>
      <c r="Q155" s="28"/>
      <c r="R155" s="28"/>
      <c r="S155" s="28"/>
      <c r="T155" s="28"/>
      <c r="U155" s="28"/>
      <c r="V155" s="100"/>
      <c r="W155" s="28"/>
      <c r="X155" s="28"/>
      <c r="Y155" s="28"/>
      <c r="Z155" s="28"/>
      <c r="AA155" s="28"/>
      <c r="AB155" s="28"/>
      <c r="AC155" s="28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</row>
    <row r="156" spans="1:55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</row>
    <row r="157" spans="1:55" x14ac:dyDescent="0.2">
      <c r="A157" s="12" t="str">
        <f>Country_details!A156</f>
        <v>Net</v>
      </c>
      <c r="B157" s="16">
        <f>INDEX(Country_details!$A$9:$AS$156,MATCH(Country_results!A157,Country_details!$A$9:$A$156,0),MATCH(Country_results!$B$5,Country_details!$A$6:$AS$6,0))</f>
        <v>930422.7164176408</v>
      </c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</row>
    <row r="158" spans="1:55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</row>
    <row r="159" spans="1:55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</row>
    <row r="160" spans="1:55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</row>
    <row r="161" spans="1:55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</row>
    <row r="162" spans="1:55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</row>
    <row r="163" spans="1:55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</row>
    <row r="164" spans="1:55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</row>
    <row r="165" spans="1:55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</row>
    <row r="166" spans="1:55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</row>
    <row r="167" spans="1:55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</row>
    <row r="168" spans="1:55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</row>
    <row r="169" spans="1:55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</row>
    <row r="170" spans="1:55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</row>
    <row r="171" spans="1:55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</row>
    <row r="172" spans="1:55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</row>
    <row r="173" spans="1:55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</row>
    <row r="174" spans="1:55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</row>
    <row r="175" spans="1:55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</row>
    <row r="176" spans="1:55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</row>
    <row r="177" spans="1:55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</row>
    <row r="178" spans="1:55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</row>
    <row r="179" spans="1:55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</row>
    <row r="180" spans="1:55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</row>
    <row r="181" spans="1:55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</row>
    <row r="182" spans="1:55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</row>
    <row r="183" spans="1:55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</row>
    <row r="184" spans="1:55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</row>
    <row r="185" spans="1:55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</row>
    <row r="186" spans="1:55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</row>
    <row r="187" spans="1:55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</row>
    <row r="188" spans="1:55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</row>
    <row r="189" spans="1:55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</row>
    <row r="190" spans="1:55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</row>
    <row r="191" spans="1:55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</row>
    <row r="192" spans="1:55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</row>
    <row r="193" spans="1:55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</row>
    <row r="194" spans="1:55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</row>
    <row r="195" spans="1:55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</row>
    <row r="196" spans="1:55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</row>
    <row r="197" spans="1:55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</row>
    <row r="198" spans="1:55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</row>
    <row r="199" spans="1:55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</row>
    <row r="200" spans="1:55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</row>
    <row r="201" spans="1:55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</row>
    <row r="202" spans="1:55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</row>
    <row r="203" spans="1:55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</row>
    <row r="204" spans="1:55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</row>
    <row r="205" spans="1:55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</row>
    <row r="206" spans="1:55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</row>
    <row r="207" spans="1:55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</row>
    <row r="208" spans="1:55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</row>
    <row r="209" spans="1:55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</row>
    <row r="210" spans="1:55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</row>
    <row r="211" spans="1:55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</row>
    <row r="212" spans="1:55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</row>
    <row r="213" spans="1:55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</row>
    <row r="214" spans="1:55" x14ac:dyDescent="0.2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</row>
    <row r="215" spans="1:55" x14ac:dyDescent="0.2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</row>
    <row r="216" spans="1:55" x14ac:dyDescent="0.2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</row>
    <row r="217" spans="1:55" x14ac:dyDescent="0.2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</row>
    <row r="218" spans="1:55" x14ac:dyDescent="0.2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</row>
    <row r="219" spans="1:55" x14ac:dyDescent="0.2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</row>
    <row r="220" spans="1:55" x14ac:dyDescent="0.2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</row>
    <row r="221" spans="1:55" x14ac:dyDescent="0.2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</row>
    <row r="222" spans="1:55" x14ac:dyDescent="0.2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</row>
    <row r="223" spans="1:55" x14ac:dyDescent="0.2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</row>
    <row r="224" spans="1:55" x14ac:dyDescent="0.2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</row>
    <row r="225" spans="1:55" x14ac:dyDescent="0.2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</row>
    <row r="226" spans="1:55" x14ac:dyDescent="0.2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</row>
    <row r="227" spans="1:55" x14ac:dyDescent="0.2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</row>
    <row r="228" spans="1:55" x14ac:dyDescent="0.2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</row>
    <row r="229" spans="1:55" x14ac:dyDescent="0.2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</row>
    <row r="230" spans="1:55" x14ac:dyDescent="0.2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</row>
    <row r="231" spans="1:55" x14ac:dyDescent="0.2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</row>
    <row r="232" spans="1:55" x14ac:dyDescent="0.2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</row>
    <row r="233" spans="1:55" x14ac:dyDescent="0.2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</row>
    <row r="234" spans="1:55" x14ac:dyDescent="0.2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</row>
    <row r="235" spans="1:55" x14ac:dyDescent="0.2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</row>
    <row r="236" spans="1:55" x14ac:dyDescent="0.2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</row>
    <row r="237" spans="1:55" x14ac:dyDescent="0.2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</row>
    <row r="238" spans="1:55" x14ac:dyDescent="0.2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</row>
    <row r="239" spans="1:55" x14ac:dyDescent="0.2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</row>
    <row r="240" spans="1:55" x14ac:dyDescent="0.2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</row>
    <row r="241" spans="1:55" x14ac:dyDescent="0.2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</row>
    <row r="242" spans="1:55" x14ac:dyDescent="0.2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</row>
    <row r="243" spans="1:55" x14ac:dyDescent="0.2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</row>
    <row r="244" spans="1:55" x14ac:dyDescent="0.2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</row>
    <row r="245" spans="1:55" x14ac:dyDescent="0.2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</row>
    <row r="246" spans="1:55" x14ac:dyDescent="0.2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</row>
    <row r="247" spans="1:55" x14ac:dyDescent="0.2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</row>
    <row r="248" spans="1:55" x14ac:dyDescent="0.2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</row>
    <row r="249" spans="1:55" x14ac:dyDescent="0.2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</row>
    <row r="250" spans="1:55" x14ac:dyDescent="0.2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</row>
    <row r="251" spans="1:55" x14ac:dyDescent="0.2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</row>
    <row r="252" spans="1:55" x14ac:dyDescent="0.2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</row>
    <row r="253" spans="1:55" x14ac:dyDescent="0.2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</row>
    <row r="254" spans="1:55" x14ac:dyDescent="0.2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</row>
    <row r="255" spans="1:55" x14ac:dyDescent="0.2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</row>
    <row r="256" spans="1:55" x14ac:dyDescent="0.2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</row>
    <row r="257" spans="1:55" x14ac:dyDescent="0.2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</row>
    <row r="258" spans="1:55" x14ac:dyDescent="0.2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</row>
    <row r="259" spans="1:55" x14ac:dyDescent="0.2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</row>
    <row r="260" spans="1:55" x14ac:dyDescent="0.2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</row>
    <row r="261" spans="1:55" x14ac:dyDescent="0.2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</row>
    <row r="262" spans="1:55" x14ac:dyDescent="0.2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</row>
    <row r="263" spans="1:55" x14ac:dyDescent="0.2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</row>
    <row r="264" spans="1:55" x14ac:dyDescent="0.2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</row>
    <row r="265" spans="1:55" x14ac:dyDescent="0.2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</row>
    <row r="266" spans="1:55" x14ac:dyDescent="0.2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</row>
    <row r="267" spans="1:55" x14ac:dyDescent="0.2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</row>
    <row r="268" spans="1:55" x14ac:dyDescent="0.2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</row>
    <row r="269" spans="1:55" x14ac:dyDescent="0.2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</row>
    <row r="270" spans="1:55" x14ac:dyDescent="0.2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</row>
    <row r="271" spans="1:55" x14ac:dyDescent="0.2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</row>
    <row r="272" spans="1:55" x14ac:dyDescent="0.2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</row>
    <row r="273" spans="1:55" x14ac:dyDescent="0.2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</row>
    <row r="274" spans="1:55" x14ac:dyDescent="0.2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</row>
  </sheetData>
  <conditionalFormatting sqref="D8:N155">
    <cfRule type="cellIs" dxfId="0" priority="109" operator="lessThan">
      <formula>$C$2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70"/>
  <sheetViews>
    <sheetView workbookViewId="0">
      <selection activeCell="A2" sqref="A2:XFD2"/>
    </sheetView>
  </sheetViews>
  <sheetFormatPr defaultColWidth="11" defaultRowHeight="12.75" x14ac:dyDescent="0.2"/>
  <cols>
    <col min="1" max="1" width="19.125" style="26" customWidth="1"/>
    <col min="2" max="2" width="5.875" style="26" customWidth="1"/>
    <col min="3" max="3" width="11" style="26"/>
    <col min="4" max="4" width="4.125" style="26" customWidth="1"/>
    <col min="5" max="8" width="11" style="26"/>
    <col min="9" max="9" width="11.625" style="26" bestFit="1" customWidth="1"/>
    <col min="10" max="16384" width="11" style="26"/>
  </cols>
  <sheetData>
    <row r="1" spans="1:44" s="211" customFormat="1" ht="23.25" x14ac:dyDescent="0.35">
      <c r="A1" s="207" t="s">
        <v>1613</v>
      </c>
    </row>
    <row r="2" spans="1:44" s="237" customFormat="1" ht="12.75" customHeight="1" x14ac:dyDescent="0.35">
      <c r="A2" s="7"/>
    </row>
    <row r="3" spans="1:44" s="25" customFormat="1" x14ac:dyDescent="0.2">
      <c r="E3" s="40" t="s">
        <v>690</v>
      </c>
      <c r="F3" s="40"/>
      <c r="G3" s="40" t="s">
        <v>853</v>
      </c>
      <c r="H3" s="40"/>
      <c r="I3" s="40" t="s">
        <v>4</v>
      </c>
      <c r="J3" s="40"/>
      <c r="K3" s="40" t="s">
        <v>1036</v>
      </c>
      <c r="L3" s="40"/>
      <c r="M3" s="40" t="s">
        <v>6</v>
      </c>
      <c r="N3" s="40"/>
      <c r="O3" s="40" t="s">
        <v>964</v>
      </c>
      <c r="P3" s="40"/>
      <c r="Q3" s="40" t="s">
        <v>1411</v>
      </c>
      <c r="R3" s="40"/>
      <c r="S3" s="40" t="s">
        <v>806</v>
      </c>
      <c r="T3" s="40"/>
      <c r="U3" s="40" t="s">
        <v>3</v>
      </c>
      <c r="V3" s="40"/>
      <c r="W3" s="40" t="s">
        <v>982</v>
      </c>
      <c r="Y3" s="40" t="s">
        <v>957</v>
      </c>
      <c r="AA3" s="40" t="s">
        <v>1327</v>
      </c>
    </row>
    <row r="4" spans="1:44" s="25" customFormat="1" x14ac:dyDescent="0.2">
      <c r="E4" s="25" t="s">
        <v>1012</v>
      </c>
      <c r="G4" s="25" t="s">
        <v>974</v>
      </c>
      <c r="I4" s="25" t="s">
        <v>1255</v>
      </c>
      <c r="K4" s="25" t="s">
        <v>1256</v>
      </c>
      <c r="M4" s="25" t="s">
        <v>1257</v>
      </c>
      <c r="O4" s="25" t="s">
        <v>1409</v>
      </c>
      <c r="Q4" s="25" t="s">
        <v>1417</v>
      </c>
      <c r="S4" s="25" t="s">
        <v>1010</v>
      </c>
      <c r="U4" s="25" t="s">
        <v>1009</v>
      </c>
      <c r="W4" s="25" t="s">
        <v>1254</v>
      </c>
      <c r="Y4" s="25" t="s">
        <v>1298</v>
      </c>
    </row>
    <row r="5" spans="1:44" s="25" customFormat="1" x14ac:dyDescent="0.2">
      <c r="K5" s="25" t="s">
        <v>1037</v>
      </c>
      <c r="O5" s="25" t="s">
        <v>1418</v>
      </c>
      <c r="Q5" s="25" t="s">
        <v>1416</v>
      </c>
    </row>
    <row r="6" spans="1:44" x14ac:dyDescent="0.2">
      <c r="A6" s="40" t="s">
        <v>1013</v>
      </c>
      <c r="B6" s="25"/>
      <c r="C6" s="25" t="s">
        <v>955</v>
      </c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>
        <v>70</v>
      </c>
      <c r="X6" s="12"/>
      <c r="Y6" s="12">
        <v>7</v>
      </c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</row>
    <row r="7" spans="1:44" x14ac:dyDescent="0.2">
      <c r="A7" s="40" t="s">
        <v>1014</v>
      </c>
      <c r="B7" s="25"/>
      <c r="C7" s="25"/>
      <c r="D7" s="12"/>
      <c r="E7" s="82">
        <f>3.024/17.024</f>
        <v>0.17763157894736842</v>
      </c>
      <c r="F7" s="12"/>
      <c r="G7" s="82">
        <f>2.016/46.016</f>
        <v>4.3810848400556331E-2</v>
      </c>
      <c r="H7" s="12"/>
      <c r="I7" s="82">
        <f>4.032/32.032</f>
        <v>0.12587412587412589</v>
      </c>
      <c r="J7" s="12"/>
      <c r="K7" s="82">
        <v>6.2E-2</v>
      </c>
      <c r="L7" s="12"/>
      <c r="M7" s="82">
        <f>1/4.7</f>
        <v>0.21276595744680851</v>
      </c>
      <c r="N7" s="12" t="s">
        <v>1253</v>
      </c>
      <c r="O7" s="82">
        <f>6*1.008/O9</f>
        <v>0.13134120917303682</v>
      </c>
      <c r="P7" s="82"/>
      <c r="Q7" s="82">
        <f>8*1.008/Q9</f>
        <v>0.10601598653765251</v>
      </c>
      <c r="R7" s="82"/>
      <c r="S7" s="82">
        <f>4.032/12.032</f>
        <v>0.33510638297872342</v>
      </c>
      <c r="T7" s="12"/>
      <c r="U7" s="82">
        <v>1</v>
      </c>
      <c r="V7" s="12"/>
      <c r="W7" s="82">
        <v>1</v>
      </c>
      <c r="X7" s="12"/>
      <c r="Y7" s="82">
        <v>0</v>
      </c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</row>
    <row r="8" spans="1:44" x14ac:dyDescent="0.2">
      <c r="A8" s="40" t="s">
        <v>909</v>
      </c>
      <c r="B8" s="25"/>
      <c r="C8" s="25" t="s">
        <v>1001</v>
      </c>
      <c r="D8" s="12"/>
      <c r="E8" s="12">
        <v>0.68259999999999998</v>
      </c>
      <c r="F8" s="12"/>
      <c r="G8" s="12">
        <v>1.22</v>
      </c>
      <c r="H8" s="12"/>
      <c r="I8" s="12">
        <v>0.79200000000000004</v>
      </c>
      <c r="J8" s="12"/>
      <c r="K8" s="12">
        <v>0.871</v>
      </c>
      <c r="L8" s="12"/>
      <c r="M8" s="12">
        <v>1.07</v>
      </c>
      <c r="N8" s="12"/>
      <c r="O8" s="12">
        <v>0.73499999999999999</v>
      </c>
      <c r="P8" s="12"/>
      <c r="Q8" s="12">
        <v>0.87</v>
      </c>
      <c r="R8" s="12"/>
      <c r="S8" s="12">
        <v>0.45</v>
      </c>
      <c r="T8" s="12"/>
      <c r="U8" s="12">
        <v>7.0989999999999998E-2</v>
      </c>
      <c r="V8" s="12"/>
      <c r="W8" s="12">
        <v>8.0000000000000002E-3</v>
      </c>
      <c r="X8" s="12"/>
      <c r="Y8" s="12">
        <v>1.1559999999999999</v>
      </c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</row>
    <row r="9" spans="1:44" x14ac:dyDescent="0.2">
      <c r="A9" s="40" t="s">
        <v>1080</v>
      </c>
      <c r="B9" s="25"/>
      <c r="C9" s="25" t="s">
        <v>1081</v>
      </c>
      <c r="D9" s="12"/>
      <c r="E9" s="12">
        <f>14+3*1.008</f>
        <v>17.024000000000001</v>
      </c>
      <c r="F9" s="12"/>
      <c r="G9" s="12">
        <f>12+2*16+2*1.008</f>
        <v>46.015999999999998</v>
      </c>
      <c r="H9" s="12"/>
      <c r="I9" s="12">
        <f>12+16+4*1.008</f>
        <v>32.031999999999996</v>
      </c>
      <c r="J9" s="12"/>
      <c r="K9" s="12">
        <v>272.39100000000002</v>
      </c>
      <c r="L9" s="12"/>
      <c r="M9" s="12">
        <v>37.832000000000001</v>
      </c>
      <c r="N9" s="12"/>
      <c r="O9" s="12">
        <f>2*12+16+6*1.008</f>
        <v>46.048000000000002</v>
      </c>
      <c r="P9" s="12"/>
      <c r="Q9" s="12">
        <f>3*12+2*16+8*1.008</f>
        <v>76.063999999999993</v>
      </c>
      <c r="R9" s="12"/>
      <c r="S9" s="12">
        <f>12+1.008*4</f>
        <v>16.032</v>
      </c>
      <c r="T9" s="12"/>
      <c r="U9" s="12">
        <f>2*1.008</f>
        <v>2.016</v>
      </c>
      <c r="V9" s="12"/>
      <c r="W9" s="12">
        <f>2*1.008</f>
        <v>2.016</v>
      </c>
      <c r="X9" s="12"/>
      <c r="Y9" s="12">
        <f>12+2*16</f>
        <v>44</v>
      </c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</row>
    <row r="10" spans="1:44" x14ac:dyDescent="0.2">
      <c r="A10" s="40" t="s">
        <v>1108</v>
      </c>
      <c r="B10" s="25"/>
      <c r="C10" s="25" t="s">
        <v>1109</v>
      </c>
      <c r="D10" s="12"/>
      <c r="E10" s="82">
        <f>18.646/3.6</f>
        <v>5.179444444444445</v>
      </c>
      <c r="F10" s="12"/>
      <c r="G10" s="82">
        <f>G7*W10</f>
        <v>1.4603616133518778</v>
      </c>
      <c r="H10" s="12"/>
      <c r="I10" s="12">
        <v>5.54</v>
      </c>
      <c r="J10" s="12"/>
      <c r="K10" s="159">
        <f>K7*W10</f>
        <v>2.0666666666666669</v>
      </c>
      <c r="L10" s="12"/>
      <c r="M10" s="82">
        <f>M7*W10</f>
        <v>7.0921985815602842</v>
      </c>
      <c r="N10" s="12"/>
      <c r="O10" s="12">
        <v>8.0299999999999994</v>
      </c>
      <c r="P10" s="12"/>
      <c r="Q10" s="12">
        <v>6.5</v>
      </c>
      <c r="R10" s="12"/>
      <c r="S10" s="12">
        <v>13.5</v>
      </c>
      <c r="T10" s="12"/>
      <c r="U10" s="24">
        <f>120/3.6</f>
        <v>33.333333333333336</v>
      </c>
      <c r="V10" s="12"/>
      <c r="W10" s="24">
        <f>120/3.6</f>
        <v>33.333333333333336</v>
      </c>
      <c r="X10" s="12"/>
      <c r="Y10" s="12"/>
      <c r="Z10" s="12"/>
      <c r="AA10" s="12">
        <v>10.38</v>
      </c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</row>
    <row r="11" spans="1:44" x14ac:dyDescent="0.2">
      <c r="A11" s="40" t="s">
        <v>1110</v>
      </c>
      <c r="B11" s="25"/>
      <c r="C11" s="25" t="s">
        <v>1109</v>
      </c>
      <c r="D11" s="12"/>
      <c r="E11" s="12">
        <f>22.5/3.6</f>
        <v>6.25</v>
      </c>
      <c r="F11" s="12"/>
      <c r="G11" s="12"/>
      <c r="H11" s="12"/>
      <c r="I11" s="12">
        <v>6.39</v>
      </c>
      <c r="J11" s="12"/>
      <c r="K11" s="12"/>
      <c r="L11" s="12"/>
      <c r="M11" s="12"/>
      <c r="N11" s="12"/>
      <c r="O11" s="12">
        <v>8.81</v>
      </c>
      <c r="P11" s="12"/>
      <c r="Q11" s="12"/>
      <c r="R11" s="12"/>
      <c r="S11" s="12">
        <v>15.33</v>
      </c>
      <c r="T11" s="12"/>
      <c r="U11" s="12"/>
      <c r="V11" s="12"/>
      <c r="W11" s="12"/>
      <c r="X11" s="12"/>
      <c r="Y11" s="12"/>
      <c r="Z11" s="12"/>
      <c r="AA11" s="12">
        <v>11.61</v>
      </c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</row>
    <row r="12" spans="1:44" x14ac:dyDescent="0.2">
      <c r="A12" s="8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</row>
    <row r="13" spans="1:44" x14ac:dyDescent="0.2">
      <c r="A13" s="8" t="s">
        <v>803</v>
      </c>
      <c r="B13" s="12"/>
      <c r="C13" s="12"/>
      <c r="D13" s="12"/>
      <c r="E13" s="12"/>
      <c r="F13" s="12"/>
      <c r="G13" s="12"/>
      <c r="H13" s="12"/>
      <c r="I13" s="12"/>
      <c r="J13" s="12"/>
      <c r="K13" s="58" t="s">
        <v>1067</v>
      </c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</row>
    <row r="14" spans="1:44" x14ac:dyDescent="0.2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</row>
    <row r="15" spans="1:44" x14ac:dyDescent="0.2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</row>
    <row r="16" spans="1:44" x14ac:dyDescent="0.2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</row>
    <row r="17" spans="1:44" x14ac:dyDescent="0.2">
      <c r="A17" s="25"/>
      <c r="B17" s="25"/>
      <c r="C17" s="25"/>
      <c r="D17" s="25"/>
      <c r="E17" s="25"/>
      <c r="F17" s="25"/>
      <c r="G17" s="25" t="s">
        <v>1304</v>
      </c>
      <c r="H17" s="25"/>
      <c r="I17" s="25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</row>
    <row r="18" spans="1:44" x14ac:dyDescent="0.2">
      <c r="A18" s="25"/>
      <c r="B18" s="25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</row>
    <row r="19" spans="1:44" x14ac:dyDescent="0.2">
      <c r="A19" s="25"/>
      <c r="B19" s="25"/>
      <c r="C19" s="12"/>
      <c r="D19" s="12"/>
      <c r="E19" s="12"/>
      <c r="F19" s="12" t="s">
        <v>1305</v>
      </c>
      <c r="G19" s="82">
        <f>(G8*Y9/G9)</f>
        <v>1.1665507649513214</v>
      </c>
      <c r="H19" s="12"/>
      <c r="I19" s="82">
        <f>(I8*Y9/I9)</f>
        <v>1.087912087912088</v>
      </c>
      <c r="J19" s="12"/>
      <c r="K19" s="12"/>
      <c r="L19" s="12"/>
      <c r="M19" s="12"/>
      <c r="N19" s="12"/>
      <c r="O19" s="12"/>
      <c r="P19" s="12"/>
      <c r="Q19" s="12"/>
      <c r="R19" s="12"/>
      <c r="S19" s="82">
        <f>(S8*Y9/S9)</f>
        <v>1.2350299401197604</v>
      </c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</row>
    <row r="20" spans="1:44" x14ac:dyDescent="0.2">
      <c r="A20" s="25"/>
      <c r="B20" s="25"/>
      <c r="C20" s="12"/>
      <c r="D20" s="12"/>
      <c r="E20" s="12"/>
      <c r="F20" s="12" t="s">
        <v>1306</v>
      </c>
      <c r="G20" s="12">
        <f>Y8</f>
        <v>1.1559999999999999</v>
      </c>
      <c r="H20" s="12"/>
      <c r="I20" s="12">
        <f>G20</f>
        <v>1.1559999999999999</v>
      </c>
      <c r="J20" s="12"/>
      <c r="K20" s="12"/>
      <c r="L20" s="12"/>
      <c r="M20" s="12"/>
      <c r="N20" s="12"/>
      <c r="O20" s="12"/>
      <c r="P20" s="12"/>
      <c r="Q20" s="12"/>
      <c r="R20" s="12"/>
      <c r="S20" s="12">
        <f>G20</f>
        <v>1.1559999999999999</v>
      </c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</row>
    <row r="21" spans="1:44" x14ac:dyDescent="0.2">
      <c r="A21" s="25" t="s">
        <v>1308</v>
      </c>
      <c r="B21" s="25"/>
      <c r="C21" s="12"/>
      <c r="D21" s="12"/>
      <c r="E21" s="12"/>
      <c r="F21" s="12" t="s">
        <v>1307</v>
      </c>
      <c r="G21" s="31">
        <f>IF(G19&gt;G20,1-G20/G19,0)</f>
        <v>9.0444113263786763E-3</v>
      </c>
      <c r="H21" s="12"/>
      <c r="I21" s="31">
        <f>IF(I19&gt;I20,1-I20/I19,0)</f>
        <v>0</v>
      </c>
      <c r="J21" s="12"/>
      <c r="K21" s="12"/>
      <c r="L21" s="12"/>
      <c r="M21" s="12"/>
      <c r="N21" s="12"/>
      <c r="O21" s="12"/>
      <c r="P21" s="12"/>
      <c r="Q21" s="12"/>
      <c r="R21" s="12"/>
      <c r="S21" s="31">
        <f>IF(S19&gt;S20,1-S20/S19,0)</f>
        <v>6.3990303030303064E-2</v>
      </c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</row>
    <row r="22" spans="1:44" x14ac:dyDescent="0.2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</row>
    <row r="23" spans="1:44" x14ac:dyDescent="0.2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</row>
    <row r="24" spans="1:44" x14ac:dyDescent="0.2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</row>
    <row r="25" spans="1:44" x14ac:dyDescent="0.2">
      <c r="A25" s="12"/>
      <c r="B25" s="12"/>
      <c r="C25" s="75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</row>
    <row r="26" spans="1:44" x14ac:dyDescent="0.2">
      <c r="A26" s="12"/>
      <c r="B26" s="12"/>
      <c r="C26" s="12"/>
      <c r="D26" s="12"/>
      <c r="E26" s="24"/>
      <c r="F26" s="12"/>
      <c r="G26" s="24"/>
      <c r="H26" s="12"/>
      <c r="I26" s="24"/>
      <c r="J26" s="12"/>
      <c r="K26" s="24"/>
      <c r="L26" s="12"/>
      <c r="M26" s="24"/>
      <c r="N26" s="12"/>
      <c r="O26" s="12"/>
      <c r="P26" s="12"/>
      <c r="Q26" s="12"/>
      <c r="R26" s="12"/>
      <c r="S26" s="24"/>
      <c r="T26" s="12"/>
      <c r="U26" s="24"/>
      <c r="V26" s="12"/>
      <c r="W26" s="24"/>
      <c r="X26" s="12"/>
      <c r="Y26" s="12"/>
      <c r="Z26" s="12"/>
      <c r="AA26" s="24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</row>
    <row r="27" spans="1:44" x14ac:dyDescent="0.2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</row>
    <row r="28" spans="1:44" x14ac:dyDescent="0.2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</row>
    <row r="29" spans="1:44" x14ac:dyDescent="0.2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</row>
    <row r="30" spans="1:44" x14ac:dyDescent="0.2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</row>
    <row r="31" spans="1:44" x14ac:dyDescent="0.2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</row>
    <row r="32" spans="1:44" x14ac:dyDescent="0.2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</row>
    <row r="33" spans="1:44" x14ac:dyDescent="0.2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</row>
    <row r="34" spans="1:44" x14ac:dyDescent="0.2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</row>
    <row r="35" spans="1:44" x14ac:dyDescent="0.2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</row>
    <row r="36" spans="1:44" x14ac:dyDescent="0.2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</row>
    <row r="37" spans="1:44" x14ac:dyDescent="0.2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</row>
    <row r="38" spans="1:44" x14ac:dyDescent="0.2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</row>
    <row r="39" spans="1:44" x14ac:dyDescent="0.2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</row>
    <row r="40" spans="1:44" x14ac:dyDescent="0.2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</row>
    <row r="41" spans="1:44" x14ac:dyDescent="0.2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</row>
    <row r="42" spans="1:44" x14ac:dyDescent="0.2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</row>
    <row r="43" spans="1:44" x14ac:dyDescent="0.2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</row>
    <row r="44" spans="1:44" x14ac:dyDescent="0.2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</row>
    <row r="45" spans="1:44" x14ac:dyDescent="0.2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</row>
    <row r="46" spans="1:44" x14ac:dyDescent="0.2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</row>
    <row r="47" spans="1:44" x14ac:dyDescent="0.2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</row>
    <row r="48" spans="1:44" x14ac:dyDescent="0.2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</row>
    <row r="49" spans="1:44" x14ac:dyDescent="0.2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</row>
    <row r="50" spans="1:44" x14ac:dyDescent="0.2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</row>
    <row r="51" spans="1:44" x14ac:dyDescent="0.2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</row>
    <row r="52" spans="1:44" x14ac:dyDescent="0.2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</row>
    <row r="53" spans="1:44" x14ac:dyDescent="0.2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</row>
    <row r="54" spans="1:44" x14ac:dyDescent="0.2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</row>
    <row r="55" spans="1:44" x14ac:dyDescent="0.2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</row>
    <row r="56" spans="1:44" x14ac:dyDescent="0.2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</row>
    <row r="57" spans="1:44" x14ac:dyDescent="0.2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</row>
    <row r="58" spans="1:44" x14ac:dyDescent="0.2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</row>
    <row r="59" spans="1:44" x14ac:dyDescent="0.2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</row>
    <row r="60" spans="1:44" x14ac:dyDescent="0.2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</row>
    <row r="61" spans="1:44" x14ac:dyDescent="0.2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</row>
    <row r="62" spans="1:44" x14ac:dyDescent="0.2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</row>
    <row r="63" spans="1:44" x14ac:dyDescent="0.2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</row>
    <row r="64" spans="1:44" x14ac:dyDescent="0.2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</row>
    <row r="65" spans="1:44" x14ac:dyDescent="0.2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</row>
    <row r="66" spans="1:44" x14ac:dyDescent="0.2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</row>
    <row r="67" spans="1:44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</row>
    <row r="68" spans="1:44" x14ac:dyDescent="0.2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</row>
    <row r="69" spans="1:44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</row>
    <row r="70" spans="1:44" x14ac:dyDescent="0.2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</row>
  </sheetData>
  <pageMargins left="0.7" right="0.7" top="0.75" bottom="0.75" header="0.3" footer="0.3"/>
  <pageSetup paperSize="9" orientation="portrait" horizontalDpi="0" verticalDpi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14"/>
  <sheetViews>
    <sheetView zoomScaleNormal="100" workbookViewId="0">
      <pane ySplit="3" topLeftCell="A4" activePane="bottomLeft" state="frozen"/>
      <selection activeCell="A5" sqref="A4:A5"/>
      <selection pane="bottomLeft" activeCell="A2" sqref="A2:XFD2"/>
    </sheetView>
  </sheetViews>
  <sheetFormatPr defaultColWidth="11" defaultRowHeight="12.75" x14ac:dyDescent="0.2"/>
  <cols>
    <col min="1" max="4" width="11" style="26"/>
    <col min="5" max="5" width="24.5" style="26" customWidth="1"/>
    <col min="6" max="16384" width="11" style="26"/>
  </cols>
  <sheetData>
    <row r="1" spans="1:35" s="211" customFormat="1" ht="23.25" x14ac:dyDescent="0.35">
      <c r="A1" s="207" t="s">
        <v>1612</v>
      </c>
    </row>
    <row r="2" spans="1:35" s="237" customFormat="1" ht="12.75" customHeight="1" x14ac:dyDescent="0.35">
      <c r="A2" s="7"/>
    </row>
    <row r="3" spans="1:35" s="236" customFormat="1" ht="20.100000000000001" customHeight="1" x14ac:dyDescent="0.25">
      <c r="A3" s="231" t="s">
        <v>1003</v>
      </c>
      <c r="B3" s="231"/>
      <c r="C3" s="231" t="s">
        <v>1004</v>
      </c>
      <c r="D3" s="231"/>
      <c r="E3" s="232" t="s">
        <v>1005</v>
      </c>
      <c r="F3" s="232"/>
      <c r="G3" s="232" t="s">
        <v>914</v>
      </c>
      <c r="H3" s="232"/>
      <c r="I3" s="233"/>
      <c r="J3" s="233"/>
      <c r="K3" s="233"/>
      <c r="L3" s="233"/>
      <c r="M3" s="233"/>
      <c r="N3" s="233"/>
      <c r="O3" s="230"/>
      <c r="P3" s="234"/>
      <c r="Q3" s="234"/>
      <c r="R3" s="234"/>
      <c r="S3" s="234"/>
      <c r="T3" s="234"/>
      <c r="U3" s="234"/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  <c r="AG3" s="235"/>
      <c r="AH3" s="235"/>
      <c r="AI3" s="235"/>
    </row>
    <row r="4" spans="1:35" x14ac:dyDescent="0.2">
      <c r="A4" s="12" t="s">
        <v>1058</v>
      </c>
      <c r="B4" s="12"/>
      <c r="C4" s="12" t="s">
        <v>0</v>
      </c>
      <c r="D4" s="12"/>
      <c r="E4" s="12" t="s">
        <v>1460</v>
      </c>
      <c r="F4" s="12"/>
      <c r="G4" s="12" t="s">
        <v>1526</v>
      </c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</row>
    <row r="5" spans="1:35" x14ac:dyDescent="0.2">
      <c r="A5" s="12" t="s">
        <v>1058</v>
      </c>
      <c r="B5" s="12"/>
      <c r="C5" s="12" t="s">
        <v>2</v>
      </c>
      <c r="D5" s="12"/>
      <c r="E5" s="12" t="s">
        <v>1460</v>
      </c>
      <c r="F5" s="12"/>
      <c r="G5" s="12" t="s">
        <v>1459</v>
      </c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</row>
    <row r="6" spans="1:35" x14ac:dyDescent="0.2">
      <c r="A6" s="12" t="s">
        <v>1058</v>
      </c>
      <c r="B6" s="12"/>
      <c r="C6" s="12" t="s">
        <v>1</v>
      </c>
      <c r="D6" s="12"/>
      <c r="E6" s="12" t="s">
        <v>1460</v>
      </c>
      <c r="F6" s="12"/>
      <c r="G6" s="12" t="s">
        <v>1459</v>
      </c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</row>
    <row r="7" spans="1:35" x14ac:dyDescent="0.2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</row>
    <row r="8" spans="1:35" x14ac:dyDescent="0.2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</row>
    <row r="9" spans="1:35" x14ac:dyDescent="0.2">
      <c r="A9" s="12" t="s">
        <v>1527</v>
      </c>
      <c r="B9" s="12"/>
      <c r="C9" s="12" t="s">
        <v>1120</v>
      </c>
      <c r="D9" s="12"/>
      <c r="E9" s="12" t="s">
        <v>1528</v>
      </c>
      <c r="F9" s="12"/>
      <c r="G9" s="12" t="s">
        <v>1334</v>
      </c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</row>
    <row r="10" spans="1:35" x14ac:dyDescent="0.2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</row>
    <row r="11" spans="1:35" x14ac:dyDescent="0.2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</row>
    <row r="12" spans="1:35" x14ac:dyDescent="0.2">
      <c r="A12" s="12" t="s">
        <v>7</v>
      </c>
      <c r="B12" s="12"/>
      <c r="C12" s="12" t="s">
        <v>7</v>
      </c>
      <c r="D12" s="12"/>
      <c r="E12" s="12" t="s">
        <v>1528</v>
      </c>
      <c r="F12" s="12"/>
      <c r="G12" s="12" t="s">
        <v>915</v>
      </c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</row>
    <row r="13" spans="1:35" x14ac:dyDescent="0.2">
      <c r="A13" s="12"/>
      <c r="B13" s="12"/>
      <c r="C13" s="12" t="s">
        <v>7</v>
      </c>
      <c r="D13" s="12"/>
      <c r="E13" s="12" t="s">
        <v>805</v>
      </c>
      <c r="F13" s="12"/>
      <c r="G13" s="12" t="s">
        <v>1598</v>
      </c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</row>
    <row r="14" spans="1:35" x14ac:dyDescent="0.2">
      <c r="A14" s="12"/>
      <c r="B14" s="12"/>
      <c r="C14" s="12" t="s">
        <v>7</v>
      </c>
      <c r="D14" s="12"/>
      <c r="E14" s="12" t="s">
        <v>816</v>
      </c>
      <c r="F14" s="12"/>
      <c r="G14" s="12" t="s">
        <v>1592</v>
      </c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</row>
    <row r="15" spans="1:35" x14ac:dyDescent="0.2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</row>
    <row r="16" spans="1:35" x14ac:dyDescent="0.2">
      <c r="A16" s="12" t="s">
        <v>1006</v>
      </c>
      <c r="B16" s="12"/>
      <c r="C16" s="12" t="s">
        <v>1440</v>
      </c>
      <c r="D16" s="12"/>
      <c r="E16" s="12" t="s">
        <v>10</v>
      </c>
      <c r="F16" s="12"/>
      <c r="G16" s="12" t="s">
        <v>1436</v>
      </c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</row>
    <row r="17" spans="1:35" x14ac:dyDescent="0.2">
      <c r="A17" s="12" t="s">
        <v>1006</v>
      </c>
      <c r="B17" s="12"/>
      <c r="C17" s="12" t="s">
        <v>1440</v>
      </c>
      <c r="D17" s="12"/>
      <c r="E17" s="12" t="s">
        <v>811</v>
      </c>
      <c r="F17" s="12"/>
      <c r="G17" s="12" t="s">
        <v>1435</v>
      </c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</row>
    <row r="18" spans="1:35" x14ac:dyDescent="0.2">
      <c r="A18" s="12" t="s">
        <v>1006</v>
      </c>
      <c r="B18" s="12"/>
      <c r="C18" s="12" t="s">
        <v>1440</v>
      </c>
      <c r="D18" s="12"/>
      <c r="E18" s="12" t="s">
        <v>816</v>
      </c>
      <c r="F18" s="12"/>
      <c r="G18" s="12" t="s">
        <v>1437</v>
      </c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</row>
    <row r="19" spans="1:35" x14ac:dyDescent="0.2">
      <c r="A19" s="12" t="s">
        <v>1006</v>
      </c>
      <c r="B19" s="12"/>
      <c r="C19" s="12" t="s">
        <v>1461</v>
      </c>
      <c r="D19" s="12"/>
      <c r="E19" s="12" t="s">
        <v>1470</v>
      </c>
      <c r="F19" s="12"/>
      <c r="G19" s="12" t="s">
        <v>1469</v>
      </c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</row>
    <row r="20" spans="1:35" x14ac:dyDescent="0.2">
      <c r="A20" s="12" t="s">
        <v>1006</v>
      </c>
      <c r="B20" s="12"/>
      <c r="C20" s="12" t="s">
        <v>1462</v>
      </c>
      <c r="D20" s="12"/>
      <c r="E20" s="12" t="s">
        <v>1470</v>
      </c>
      <c r="F20" s="12"/>
      <c r="G20" s="12" t="s">
        <v>1469</v>
      </c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</row>
    <row r="21" spans="1:35" x14ac:dyDescent="0.2">
      <c r="A21" s="12" t="s">
        <v>1006</v>
      </c>
      <c r="B21" s="12"/>
      <c r="C21" s="12" t="s">
        <v>948</v>
      </c>
      <c r="D21" s="12"/>
      <c r="E21" s="12" t="s">
        <v>1007</v>
      </c>
      <c r="F21" s="12"/>
      <c r="G21" s="12" t="s">
        <v>950</v>
      </c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</row>
    <row r="22" spans="1:35" x14ac:dyDescent="0.2">
      <c r="A22" s="12" t="s">
        <v>1006</v>
      </c>
      <c r="B22" s="12"/>
      <c r="C22" s="12" t="s">
        <v>948</v>
      </c>
      <c r="D22" s="12"/>
      <c r="E22" s="12"/>
      <c r="F22" s="12"/>
      <c r="G22" s="12" t="s">
        <v>949</v>
      </c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</row>
    <row r="23" spans="1:35" x14ac:dyDescent="0.2">
      <c r="A23" s="12" t="s">
        <v>1006</v>
      </c>
      <c r="B23" s="12"/>
      <c r="C23" s="12" t="s">
        <v>957</v>
      </c>
      <c r="D23" s="12"/>
      <c r="E23" s="12" t="s">
        <v>1470</v>
      </c>
      <c r="F23" s="12"/>
      <c r="G23" s="12" t="s">
        <v>1472</v>
      </c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</row>
    <row r="24" spans="1:35" x14ac:dyDescent="0.2">
      <c r="A24" s="12" t="s">
        <v>1006</v>
      </c>
      <c r="B24" s="12"/>
      <c r="C24" s="12" t="s">
        <v>973</v>
      </c>
      <c r="D24" s="12"/>
      <c r="E24" s="12" t="s">
        <v>1007</v>
      </c>
      <c r="F24" s="12"/>
      <c r="G24" s="12" t="s">
        <v>950</v>
      </c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</row>
    <row r="25" spans="1:35" x14ac:dyDescent="0.2">
      <c r="A25" s="12" t="s">
        <v>1006</v>
      </c>
      <c r="B25" s="12"/>
      <c r="C25" s="12" t="s">
        <v>1247</v>
      </c>
      <c r="D25" s="12"/>
      <c r="E25" s="12" t="s">
        <v>910</v>
      </c>
      <c r="F25" s="12"/>
      <c r="G25" s="12" t="s">
        <v>959</v>
      </c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</row>
    <row r="26" spans="1:35" x14ac:dyDescent="0.2">
      <c r="A26" s="12" t="s">
        <v>1006</v>
      </c>
      <c r="B26" s="12"/>
      <c r="C26" s="12" t="s">
        <v>1247</v>
      </c>
      <c r="D26" s="12"/>
      <c r="E26" s="12" t="s">
        <v>1463</v>
      </c>
      <c r="F26" s="12"/>
      <c r="G26" s="12" t="s">
        <v>960</v>
      </c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</row>
    <row r="27" spans="1:35" x14ac:dyDescent="0.2">
      <c r="A27" s="12" t="s">
        <v>1006</v>
      </c>
      <c r="B27" s="12"/>
      <c r="C27" s="12" t="s">
        <v>1247</v>
      </c>
      <c r="D27" s="12"/>
      <c r="E27" s="12" t="s">
        <v>1463</v>
      </c>
      <c r="F27" s="12"/>
      <c r="G27" s="12" t="s">
        <v>961</v>
      </c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</row>
    <row r="28" spans="1:35" x14ac:dyDescent="0.2">
      <c r="A28" s="12" t="s">
        <v>1006</v>
      </c>
      <c r="B28" s="12"/>
      <c r="C28" s="12" t="s">
        <v>4</v>
      </c>
      <c r="D28" s="12"/>
      <c r="E28" s="12" t="s">
        <v>805</v>
      </c>
      <c r="F28" s="12"/>
      <c r="G28" s="12" t="s">
        <v>1465</v>
      </c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</row>
    <row r="29" spans="1:35" x14ac:dyDescent="0.2">
      <c r="A29" s="12" t="s">
        <v>1006</v>
      </c>
      <c r="B29" s="12"/>
      <c r="C29" s="12" t="s">
        <v>4</v>
      </c>
      <c r="D29" s="12"/>
      <c r="E29" s="12" t="s">
        <v>920</v>
      </c>
      <c r="F29" s="12"/>
      <c r="G29" s="14" t="s">
        <v>956</v>
      </c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</row>
    <row r="30" spans="1:35" x14ac:dyDescent="0.2">
      <c r="A30" s="12" t="s">
        <v>1006</v>
      </c>
      <c r="B30" s="12"/>
      <c r="C30" s="12" t="s">
        <v>4</v>
      </c>
      <c r="D30" s="12"/>
      <c r="E30" s="12" t="s">
        <v>920</v>
      </c>
      <c r="F30" s="12"/>
      <c r="G30" s="12" t="s">
        <v>958</v>
      </c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</row>
    <row r="31" spans="1:35" x14ac:dyDescent="0.2">
      <c r="A31" s="12" t="s">
        <v>1006</v>
      </c>
      <c r="B31" s="12"/>
      <c r="C31" s="12" t="s">
        <v>1036</v>
      </c>
      <c r="D31" s="12"/>
      <c r="E31" s="12" t="s">
        <v>1466</v>
      </c>
      <c r="F31" s="12"/>
      <c r="G31" s="58" t="s">
        <v>1068</v>
      </c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</row>
    <row r="32" spans="1:35" x14ac:dyDescent="0.2">
      <c r="A32" s="12" t="s">
        <v>1006</v>
      </c>
      <c r="B32" s="12"/>
      <c r="C32" s="12" t="s">
        <v>1036</v>
      </c>
      <c r="D32" s="12"/>
      <c r="E32" s="12" t="s">
        <v>920</v>
      </c>
      <c r="F32" s="12"/>
      <c r="G32" s="58" t="s">
        <v>1345</v>
      </c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</row>
    <row r="33" spans="1:35" x14ac:dyDescent="0.2">
      <c r="A33" s="12" t="s">
        <v>1006</v>
      </c>
      <c r="B33" s="12"/>
      <c r="C33" s="12" t="s">
        <v>1036</v>
      </c>
      <c r="D33" s="12"/>
      <c r="E33" s="12" t="s">
        <v>1481</v>
      </c>
      <c r="F33" s="12"/>
      <c r="G33" s="58" t="s">
        <v>1067</v>
      </c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</row>
    <row r="34" spans="1:35" x14ac:dyDescent="0.2">
      <c r="A34" s="12" t="s">
        <v>1006</v>
      </c>
      <c r="B34" s="12"/>
      <c r="C34" s="12" t="s">
        <v>6</v>
      </c>
      <c r="D34" s="12"/>
      <c r="E34" s="12" t="s">
        <v>1482</v>
      </c>
      <c r="F34" s="12"/>
      <c r="G34" s="58" t="s">
        <v>1484</v>
      </c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</row>
    <row r="35" spans="1:35" x14ac:dyDescent="0.2">
      <c r="A35" s="12" t="s">
        <v>1006</v>
      </c>
      <c r="B35" s="12"/>
      <c r="C35" s="12" t="s">
        <v>6</v>
      </c>
      <c r="D35" s="12"/>
      <c r="E35" s="12" t="s">
        <v>920</v>
      </c>
      <c r="F35" s="12"/>
      <c r="G35" s="58" t="s">
        <v>1485</v>
      </c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</row>
    <row r="36" spans="1:35" x14ac:dyDescent="0.2">
      <c r="A36" s="12" t="s">
        <v>1006</v>
      </c>
      <c r="B36" s="12"/>
      <c r="C36" s="12" t="s">
        <v>6</v>
      </c>
      <c r="D36" s="12"/>
      <c r="E36" s="12" t="s">
        <v>1486</v>
      </c>
      <c r="F36" s="12"/>
      <c r="G36" s="58" t="s">
        <v>1483</v>
      </c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</row>
    <row r="37" spans="1:35" x14ac:dyDescent="0.2">
      <c r="A37" s="12" t="s">
        <v>1006</v>
      </c>
      <c r="B37" s="12"/>
      <c r="C37" s="12" t="s">
        <v>964</v>
      </c>
      <c r="D37" s="12"/>
      <c r="E37" s="12" t="s">
        <v>805</v>
      </c>
      <c r="F37" s="12"/>
      <c r="G37" s="12" t="s">
        <v>1425</v>
      </c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</row>
    <row r="38" spans="1:35" x14ac:dyDescent="0.2">
      <c r="A38" s="12" t="s">
        <v>1006</v>
      </c>
      <c r="B38" s="12"/>
      <c r="C38" s="12" t="s">
        <v>964</v>
      </c>
      <c r="D38" s="12"/>
      <c r="E38" s="12" t="s">
        <v>938</v>
      </c>
      <c r="F38" s="12"/>
      <c r="G38" s="12" t="s">
        <v>1467</v>
      </c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</row>
    <row r="39" spans="1:35" x14ac:dyDescent="0.2">
      <c r="A39" s="12" t="s">
        <v>1006</v>
      </c>
      <c r="B39" s="12"/>
      <c r="C39" s="12" t="s">
        <v>1411</v>
      </c>
      <c r="D39" s="12"/>
      <c r="E39" s="12" t="s">
        <v>805</v>
      </c>
      <c r="F39" s="12"/>
      <c r="G39" s="12" t="s">
        <v>1423</v>
      </c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</row>
    <row r="40" spans="1:35" x14ac:dyDescent="0.2">
      <c r="A40" s="12" t="s">
        <v>1006</v>
      </c>
      <c r="B40" s="12"/>
      <c r="C40" s="12" t="s">
        <v>1411</v>
      </c>
      <c r="D40" s="12"/>
      <c r="E40" s="12" t="s">
        <v>920</v>
      </c>
      <c r="F40" s="12"/>
      <c r="G40" s="12" t="s">
        <v>1424</v>
      </c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</row>
    <row r="41" spans="1:35" x14ac:dyDescent="0.2">
      <c r="A41" s="12" t="s">
        <v>1006</v>
      </c>
      <c r="B41" s="12"/>
      <c r="C41" s="12" t="s">
        <v>962</v>
      </c>
      <c r="D41" s="12"/>
      <c r="E41" s="12" t="s">
        <v>805</v>
      </c>
      <c r="F41" s="12"/>
      <c r="G41" s="12" t="s">
        <v>959</v>
      </c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</row>
    <row r="42" spans="1:35" x14ac:dyDescent="0.2">
      <c r="A42" s="12" t="s">
        <v>1006</v>
      </c>
      <c r="B42" s="12"/>
      <c r="C42" s="12" t="s">
        <v>962</v>
      </c>
      <c r="D42" s="12"/>
      <c r="E42" s="12" t="s">
        <v>920</v>
      </c>
      <c r="F42" s="12"/>
      <c r="G42" s="12" t="s">
        <v>963</v>
      </c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</row>
    <row r="43" spans="1:35" x14ac:dyDescent="0.2">
      <c r="A43" s="12" t="s">
        <v>1006</v>
      </c>
      <c r="B43" s="12"/>
      <c r="C43" s="12" t="s">
        <v>806</v>
      </c>
      <c r="D43" s="12"/>
      <c r="E43" s="12" t="s">
        <v>805</v>
      </c>
      <c r="F43" s="12"/>
      <c r="G43" s="12" t="s">
        <v>1011</v>
      </c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</row>
    <row r="44" spans="1:35" x14ac:dyDescent="0.2">
      <c r="A44" s="12" t="s">
        <v>1006</v>
      </c>
      <c r="B44" s="12"/>
      <c r="C44" s="12" t="s">
        <v>806</v>
      </c>
      <c r="D44" s="12"/>
      <c r="E44" s="12" t="s">
        <v>920</v>
      </c>
      <c r="F44" s="12"/>
      <c r="G44" s="12" t="s">
        <v>1468</v>
      </c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</row>
    <row r="45" spans="1:35" x14ac:dyDescent="0.2">
      <c r="A45" s="12" t="s">
        <v>1006</v>
      </c>
      <c r="B45" s="12"/>
      <c r="C45" s="12" t="s">
        <v>3</v>
      </c>
      <c r="D45" s="12"/>
      <c r="E45" s="12" t="s">
        <v>805</v>
      </c>
      <c r="F45" s="12"/>
      <c r="G45" s="12" t="s">
        <v>1473</v>
      </c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</row>
    <row r="46" spans="1:35" x14ac:dyDescent="0.2">
      <c r="A46" s="12" t="s">
        <v>1006</v>
      </c>
      <c r="B46" s="12"/>
      <c r="C46" s="12" t="s">
        <v>3</v>
      </c>
      <c r="D46" s="12"/>
      <c r="E46" s="12" t="s">
        <v>920</v>
      </c>
      <c r="F46" s="12"/>
      <c r="G46" s="12" t="s">
        <v>1473</v>
      </c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</row>
    <row r="47" spans="1:35" x14ac:dyDescent="0.2">
      <c r="A47" s="12" t="s">
        <v>1006</v>
      </c>
      <c r="B47" s="12"/>
      <c r="C47" s="12" t="s">
        <v>957</v>
      </c>
      <c r="D47" s="12"/>
      <c r="E47" s="12" t="s">
        <v>805</v>
      </c>
      <c r="F47" s="12"/>
      <c r="G47" s="12" t="s">
        <v>1309</v>
      </c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</row>
    <row r="48" spans="1:35" x14ac:dyDescent="0.2">
      <c r="A48" s="12" t="s">
        <v>1006</v>
      </c>
      <c r="B48" s="12"/>
      <c r="C48" s="12" t="s">
        <v>957</v>
      </c>
      <c r="D48" s="12"/>
      <c r="E48" s="12" t="s">
        <v>920</v>
      </c>
      <c r="F48" s="12"/>
      <c r="G48" s="12" t="s">
        <v>1310</v>
      </c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</row>
    <row r="49" spans="1:35" x14ac:dyDescent="0.2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</row>
    <row r="50" spans="1:35" x14ac:dyDescent="0.2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</row>
    <row r="51" spans="1:35" x14ac:dyDescent="0.2">
      <c r="A51" s="12" t="s">
        <v>1438</v>
      </c>
      <c r="B51" s="12"/>
      <c r="C51" s="12" t="s">
        <v>1440</v>
      </c>
      <c r="D51" s="12"/>
      <c r="E51" s="12" t="s">
        <v>816</v>
      </c>
      <c r="F51" s="12"/>
      <c r="G51" s="12" t="s">
        <v>1454</v>
      </c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</row>
    <row r="52" spans="1:35" x14ac:dyDescent="0.2">
      <c r="A52" s="12" t="s">
        <v>1438</v>
      </c>
      <c r="B52" s="12"/>
      <c r="C52" s="12" t="s">
        <v>1440</v>
      </c>
      <c r="D52" s="12"/>
      <c r="E52" s="12" t="s">
        <v>807</v>
      </c>
      <c r="F52" s="12"/>
      <c r="G52" s="12" t="s">
        <v>808</v>
      </c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</row>
    <row r="53" spans="1:35" x14ac:dyDescent="0.2">
      <c r="A53" s="12" t="s">
        <v>1438</v>
      </c>
      <c r="B53" s="12"/>
      <c r="C53" s="12" t="s">
        <v>1440</v>
      </c>
      <c r="D53" s="12"/>
      <c r="E53" s="12" t="s">
        <v>987</v>
      </c>
      <c r="F53" s="12"/>
      <c r="G53" s="12" t="s">
        <v>988</v>
      </c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</row>
    <row r="54" spans="1:35" x14ac:dyDescent="0.2">
      <c r="A54" s="12" t="s">
        <v>1438</v>
      </c>
      <c r="B54" s="12"/>
      <c r="C54" s="12" t="s">
        <v>1440</v>
      </c>
      <c r="D54" s="12"/>
      <c r="E54" s="12" t="s">
        <v>907</v>
      </c>
      <c r="F54" s="12"/>
      <c r="G54" s="12" t="s">
        <v>814</v>
      </c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</row>
    <row r="55" spans="1:35" x14ac:dyDescent="0.2">
      <c r="A55" s="12" t="s">
        <v>1438</v>
      </c>
      <c r="B55" s="12"/>
      <c r="C55" s="12" t="s">
        <v>1440</v>
      </c>
      <c r="D55" s="12"/>
      <c r="E55" s="12" t="s">
        <v>830</v>
      </c>
      <c r="F55" s="12"/>
      <c r="G55" s="12" t="s">
        <v>802</v>
      </c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</row>
    <row r="56" spans="1:35" x14ac:dyDescent="0.2">
      <c r="A56" s="12" t="s">
        <v>1438</v>
      </c>
      <c r="B56" s="12"/>
      <c r="C56" s="12" t="s">
        <v>1440</v>
      </c>
      <c r="D56" s="12"/>
      <c r="E56" s="12" t="s">
        <v>1450</v>
      </c>
      <c r="F56" s="12"/>
      <c r="G56" s="12" t="s">
        <v>850</v>
      </c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</row>
    <row r="57" spans="1:35" x14ac:dyDescent="0.2">
      <c r="A57" s="12" t="s">
        <v>1438</v>
      </c>
      <c r="B57" s="12"/>
      <c r="C57" s="12" t="s">
        <v>1440</v>
      </c>
      <c r="D57" s="12"/>
      <c r="E57" s="12" t="s">
        <v>835</v>
      </c>
      <c r="F57" s="12"/>
      <c r="G57" s="12" t="s">
        <v>1564</v>
      </c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</row>
    <row r="58" spans="1:35" x14ac:dyDescent="0.2">
      <c r="A58" s="12" t="s">
        <v>1438</v>
      </c>
      <c r="B58" s="12"/>
      <c r="C58" s="12" t="s">
        <v>1440</v>
      </c>
      <c r="D58" s="12"/>
      <c r="E58" s="12" t="s">
        <v>1451</v>
      </c>
      <c r="F58" s="12"/>
      <c r="G58" s="12" t="s">
        <v>1563</v>
      </c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</row>
    <row r="59" spans="1:35" x14ac:dyDescent="0.2">
      <c r="A59" s="12" t="s">
        <v>1438</v>
      </c>
      <c r="B59" s="12"/>
      <c r="C59" s="12" t="s">
        <v>1440</v>
      </c>
      <c r="D59" s="12"/>
      <c r="E59" s="12" t="s">
        <v>1562</v>
      </c>
      <c r="F59" s="12"/>
      <c r="G59" s="12" t="s">
        <v>1561</v>
      </c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</row>
    <row r="60" spans="1:35" x14ac:dyDescent="0.2">
      <c r="A60" s="12" t="s">
        <v>1438</v>
      </c>
      <c r="B60" s="12"/>
      <c r="C60" s="12" t="s">
        <v>1440</v>
      </c>
      <c r="D60" s="12"/>
      <c r="E60" s="12" t="s">
        <v>1451</v>
      </c>
      <c r="F60" s="12"/>
      <c r="G60" s="12" t="s">
        <v>1560</v>
      </c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</row>
    <row r="61" spans="1:35" x14ac:dyDescent="0.2">
      <c r="A61" s="12" t="s">
        <v>1438</v>
      </c>
      <c r="B61" s="12"/>
      <c r="C61" s="12" t="s">
        <v>1440</v>
      </c>
      <c r="D61" s="12"/>
      <c r="E61" s="12" t="s">
        <v>1451</v>
      </c>
      <c r="F61" s="12"/>
      <c r="G61" s="12" t="s">
        <v>1559</v>
      </c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</row>
    <row r="62" spans="1:35" x14ac:dyDescent="0.2">
      <c r="A62" s="12" t="s">
        <v>1438</v>
      </c>
      <c r="B62" s="12"/>
      <c r="C62" s="12" t="s">
        <v>973</v>
      </c>
      <c r="D62" s="12"/>
      <c r="E62" s="12" t="s">
        <v>805</v>
      </c>
      <c r="F62" s="12"/>
      <c r="G62" s="12" t="s">
        <v>857</v>
      </c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</row>
    <row r="63" spans="1:35" x14ac:dyDescent="0.2">
      <c r="A63" s="12" t="s">
        <v>1438</v>
      </c>
      <c r="B63" s="12"/>
      <c r="C63" s="12" t="s">
        <v>973</v>
      </c>
      <c r="D63" s="12"/>
      <c r="E63" s="12" t="s">
        <v>805</v>
      </c>
      <c r="F63" s="12"/>
      <c r="G63" s="12" t="s">
        <v>1594</v>
      </c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</row>
    <row r="64" spans="1:35" x14ac:dyDescent="0.2">
      <c r="A64" s="12" t="s">
        <v>1438</v>
      </c>
      <c r="B64" s="12"/>
      <c r="C64" s="12" t="s">
        <v>973</v>
      </c>
      <c r="D64" s="12"/>
      <c r="E64" s="12" t="s">
        <v>1439</v>
      </c>
      <c r="F64" s="12"/>
      <c r="G64" s="12" t="s">
        <v>1096</v>
      </c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</row>
    <row r="65" spans="1:35" x14ac:dyDescent="0.2">
      <c r="A65" s="12" t="s">
        <v>1438</v>
      </c>
      <c r="B65" s="12"/>
      <c r="C65" s="12" t="s">
        <v>1247</v>
      </c>
      <c r="D65" s="12"/>
      <c r="E65" s="12" t="s">
        <v>1449</v>
      </c>
      <c r="F65" s="12"/>
      <c r="G65" s="12" t="s">
        <v>855</v>
      </c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</row>
    <row r="66" spans="1:35" x14ac:dyDescent="0.2">
      <c r="A66" s="12" t="s">
        <v>1438</v>
      </c>
      <c r="B66" s="12"/>
      <c r="C66" s="12" t="s">
        <v>4</v>
      </c>
      <c r="D66" s="12"/>
      <c r="E66" s="12" t="s">
        <v>883</v>
      </c>
      <c r="F66" s="12"/>
      <c r="G66" s="12" t="s">
        <v>852</v>
      </c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</row>
    <row r="67" spans="1:35" x14ac:dyDescent="0.2">
      <c r="A67" s="12" t="s">
        <v>1438</v>
      </c>
      <c r="B67" s="12"/>
      <c r="C67" s="12" t="s">
        <v>4</v>
      </c>
      <c r="D67" s="12"/>
      <c r="E67" s="12" t="s">
        <v>885</v>
      </c>
      <c r="F67" s="12"/>
      <c r="G67" s="12" t="s">
        <v>848</v>
      </c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</row>
    <row r="68" spans="1:35" x14ac:dyDescent="0.2">
      <c r="A68" s="12" t="s">
        <v>1438</v>
      </c>
      <c r="B68" s="12"/>
      <c r="C68" s="12" t="s">
        <v>4</v>
      </c>
      <c r="D68" s="12"/>
      <c r="E68" s="12" t="s">
        <v>889</v>
      </c>
      <c r="F68" s="12"/>
      <c r="G68" s="12" t="s">
        <v>847</v>
      </c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</row>
    <row r="69" spans="1:35" x14ac:dyDescent="0.2">
      <c r="A69" s="12" t="s">
        <v>1438</v>
      </c>
      <c r="B69" s="12"/>
      <c r="C69" s="12" t="s">
        <v>1036</v>
      </c>
      <c r="D69" s="12"/>
      <c r="E69" s="12" t="s">
        <v>890</v>
      </c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</row>
    <row r="70" spans="1:35" x14ac:dyDescent="0.2">
      <c r="A70" s="12" t="s">
        <v>1438</v>
      </c>
      <c r="B70" s="12"/>
      <c r="C70" s="12" t="s">
        <v>6</v>
      </c>
      <c r="D70" s="12"/>
      <c r="E70" s="14" t="s">
        <v>1087</v>
      </c>
      <c r="F70" s="12"/>
      <c r="G70" s="14" t="s">
        <v>966</v>
      </c>
      <c r="H70" s="14"/>
      <c r="I70" s="14"/>
      <c r="J70" s="14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</row>
    <row r="71" spans="1:35" x14ac:dyDescent="0.2">
      <c r="A71" s="12" t="s">
        <v>1438</v>
      </c>
      <c r="B71" s="12"/>
      <c r="C71" s="12" t="s">
        <v>6</v>
      </c>
      <c r="D71" s="12"/>
      <c r="E71" s="14" t="s">
        <v>1085</v>
      </c>
      <c r="F71" s="12"/>
      <c r="G71" s="14" t="s">
        <v>1086</v>
      </c>
      <c r="H71" s="14"/>
      <c r="I71" s="14"/>
      <c r="J71" s="14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</row>
    <row r="72" spans="1:35" x14ac:dyDescent="0.2">
      <c r="A72" s="12" t="s">
        <v>1438</v>
      </c>
      <c r="B72" s="12"/>
      <c r="C72" s="12" t="s">
        <v>6</v>
      </c>
      <c r="D72" s="12"/>
      <c r="E72" s="14" t="s">
        <v>1090</v>
      </c>
      <c r="F72" s="12"/>
      <c r="G72" s="14" t="s">
        <v>1091</v>
      </c>
      <c r="H72" s="14"/>
      <c r="I72" s="14"/>
      <c r="J72" s="14"/>
      <c r="K72" s="14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</row>
    <row r="73" spans="1:35" x14ac:dyDescent="0.2">
      <c r="A73" s="12" t="s">
        <v>1438</v>
      </c>
      <c r="B73" s="12"/>
      <c r="C73" s="12" t="s">
        <v>964</v>
      </c>
      <c r="D73" s="12"/>
      <c r="E73" s="12" t="s">
        <v>1593</v>
      </c>
      <c r="F73" s="12"/>
      <c r="G73" s="12"/>
      <c r="H73" s="14"/>
      <c r="I73" s="14"/>
      <c r="J73" s="14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</row>
    <row r="74" spans="1:35" x14ac:dyDescent="0.2">
      <c r="A74" s="12" t="s">
        <v>1438</v>
      </c>
      <c r="B74" s="12"/>
      <c r="C74" s="12" t="s">
        <v>1411</v>
      </c>
      <c r="D74" s="12"/>
      <c r="E74" s="12" t="s">
        <v>890</v>
      </c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</row>
    <row r="75" spans="1:35" x14ac:dyDescent="0.2">
      <c r="A75" s="12" t="s">
        <v>1438</v>
      </c>
      <c r="B75" s="12"/>
      <c r="C75" s="12" t="s">
        <v>806</v>
      </c>
      <c r="D75" s="12"/>
      <c r="E75" s="12" t="s">
        <v>891</v>
      </c>
      <c r="F75" s="12"/>
      <c r="G75" s="12" t="s">
        <v>995</v>
      </c>
      <c r="H75" s="12"/>
      <c r="I75" s="12" t="s">
        <v>857</v>
      </c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</row>
    <row r="76" spans="1:35" x14ac:dyDescent="0.2">
      <c r="A76" s="12" t="s">
        <v>1438</v>
      </c>
      <c r="B76" s="12"/>
      <c r="C76" s="12" t="s">
        <v>806</v>
      </c>
      <c r="D76" s="12"/>
      <c r="E76" s="12" t="s">
        <v>869</v>
      </c>
      <c r="F76" s="12"/>
      <c r="G76" s="12" t="s">
        <v>874</v>
      </c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</row>
    <row r="77" spans="1:35" x14ac:dyDescent="0.2">
      <c r="A77" s="12" t="s">
        <v>1438</v>
      </c>
      <c r="B77" s="12"/>
      <c r="C77" s="12" t="s">
        <v>806</v>
      </c>
      <c r="D77" s="12"/>
      <c r="E77" s="12" t="s">
        <v>1457</v>
      </c>
      <c r="F77" s="12"/>
      <c r="G77" s="12" t="s">
        <v>895</v>
      </c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</row>
    <row r="78" spans="1:35" x14ac:dyDescent="0.2">
      <c r="A78" s="12" t="s">
        <v>1438</v>
      </c>
      <c r="B78" s="12"/>
      <c r="C78" s="12" t="s">
        <v>806</v>
      </c>
      <c r="D78" s="12"/>
      <c r="E78" s="12" t="s">
        <v>844</v>
      </c>
      <c r="F78" s="12"/>
      <c r="G78" s="12" t="s">
        <v>859</v>
      </c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</row>
    <row r="79" spans="1:35" x14ac:dyDescent="0.2">
      <c r="A79" s="12" t="s">
        <v>1438</v>
      </c>
      <c r="B79" s="12"/>
      <c r="C79" s="12" t="s">
        <v>806</v>
      </c>
      <c r="D79" s="12"/>
      <c r="E79" s="12"/>
      <c r="F79" s="12"/>
      <c r="G79" s="12" t="s">
        <v>996</v>
      </c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</row>
    <row r="80" spans="1:35" x14ac:dyDescent="0.2">
      <c r="A80" s="12" t="s">
        <v>1438</v>
      </c>
      <c r="B80" s="12"/>
      <c r="C80" s="12" t="s">
        <v>3</v>
      </c>
      <c r="D80" s="12"/>
      <c r="E80" s="12" t="s">
        <v>1455</v>
      </c>
      <c r="F80" s="12"/>
      <c r="G80" s="12" t="s">
        <v>1456</v>
      </c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</row>
    <row r="81" spans="1:35" x14ac:dyDescent="0.2">
      <c r="A81" s="12" t="s">
        <v>1438</v>
      </c>
      <c r="B81" s="12"/>
      <c r="C81" s="12" t="s">
        <v>3</v>
      </c>
      <c r="D81" s="12"/>
      <c r="E81" s="12" t="s">
        <v>844</v>
      </c>
      <c r="F81" s="12"/>
      <c r="G81" s="160"/>
      <c r="H81" s="12"/>
      <c r="I81" s="12" t="s">
        <v>896</v>
      </c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</row>
    <row r="82" spans="1:35" x14ac:dyDescent="0.2">
      <c r="A82" s="12" t="s">
        <v>1438</v>
      </c>
      <c r="B82" s="12"/>
      <c r="C82" s="12" t="s">
        <v>1324</v>
      </c>
      <c r="D82" s="12"/>
      <c r="E82" s="12" t="s">
        <v>805</v>
      </c>
      <c r="F82" s="12"/>
      <c r="G82" s="12" t="s">
        <v>1594</v>
      </c>
      <c r="H82" s="12"/>
      <c r="I82" s="12" t="s">
        <v>860</v>
      </c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</row>
    <row r="83" spans="1:35" x14ac:dyDescent="0.2">
      <c r="A83" s="12" t="s">
        <v>1438</v>
      </c>
      <c r="B83" s="12"/>
      <c r="C83" s="12" t="s">
        <v>1324</v>
      </c>
      <c r="D83" s="12"/>
      <c r="E83" s="12" t="s">
        <v>1451</v>
      </c>
      <c r="F83" s="12"/>
      <c r="G83" s="12" t="s">
        <v>1559</v>
      </c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</row>
    <row r="84" spans="1:35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</row>
    <row r="85" spans="1:35" x14ac:dyDescent="0.2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</row>
    <row r="86" spans="1:35" x14ac:dyDescent="0.2">
      <c r="A86" s="12" t="s">
        <v>1207</v>
      </c>
      <c r="B86" s="12"/>
      <c r="C86" s="12" t="s">
        <v>1440</v>
      </c>
      <c r="D86" s="12"/>
      <c r="E86" s="12" t="s">
        <v>816</v>
      </c>
      <c r="F86" s="12"/>
      <c r="G86" s="12" t="s">
        <v>1433</v>
      </c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</row>
    <row r="87" spans="1:35" x14ac:dyDescent="0.2">
      <c r="A87" s="12" t="s">
        <v>1207</v>
      </c>
      <c r="B87" s="12"/>
      <c r="C87" s="12" t="s">
        <v>1440</v>
      </c>
      <c r="D87" s="12"/>
      <c r="E87" s="12" t="s">
        <v>1434</v>
      </c>
      <c r="F87" s="12"/>
      <c r="G87" s="12" t="s">
        <v>1595</v>
      </c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</row>
    <row r="88" spans="1:35" x14ac:dyDescent="0.2">
      <c r="A88" s="12" t="s">
        <v>1207</v>
      </c>
      <c r="B88" s="12"/>
      <c r="C88" s="12" t="s">
        <v>1440</v>
      </c>
      <c r="D88" s="12"/>
      <c r="E88" s="12" t="s">
        <v>811</v>
      </c>
      <c r="F88" s="12"/>
      <c r="G88" s="12" t="s">
        <v>1596</v>
      </c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</row>
    <row r="89" spans="1:35" x14ac:dyDescent="0.2">
      <c r="A89" s="12" t="s">
        <v>1207</v>
      </c>
      <c r="B89" s="12"/>
      <c r="C89" s="12" t="s">
        <v>973</v>
      </c>
      <c r="D89" s="12"/>
      <c r="E89" s="12" t="s">
        <v>910</v>
      </c>
      <c r="F89" s="12"/>
      <c r="G89" s="12" t="s">
        <v>1594</v>
      </c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</row>
    <row r="90" spans="1:35" x14ac:dyDescent="0.2">
      <c r="A90" s="12" t="s">
        <v>1207</v>
      </c>
      <c r="B90" s="12"/>
      <c r="C90" s="12" t="s">
        <v>1247</v>
      </c>
      <c r="D90" s="12"/>
      <c r="E90" s="12" t="s">
        <v>910</v>
      </c>
      <c r="F90" s="12"/>
      <c r="G90" s="12" t="s">
        <v>1594</v>
      </c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</row>
    <row r="91" spans="1:35" x14ac:dyDescent="0.2">
      <c r="A91" s="12" t="s">
        <v>1207</v>
      </c>
      <c r="B91" s="12"/>
      <c r="C91" s="12" t="s">
        <v>4</v>
      </c>
      <c r="D91" s="12"/>
      <c r="E91" s="12" t="s">
        <v>910</v>
      </c>
      <c r="F91" s="12"/>
      <c r="G91" s="12" t="s">
        <v>1594</v>
      </c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</row>
    <row r="92" spans="1:35" x14ac:dyDescent="0.2">
      <c r="A92" s="12" t="s">
        <v>1207</v>
      </c>
      <c r="B92" s="12"/>
      <c r="C92" s="12" t="s">
        <v>1036</v>
      </c>
      <c r="D92" s="12"/>
      <c r="E92" s="12" t="s">
        <v>910</v>
      </c>
      <c r="F92" s="12"/>
      <c r="G92" s="14" t="s">
        <v>1035</v>
      </c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</row>
    <row r="93" spans="1:35" x14ac:dyDescent="0.2">
      <c r="A93" s="12" t="s">
        <v>1207</v>
      </c>
      <c r="B93" s="12"/>
      <c r="C93" s="12" t="s">
        <v>6</v>
      </c>
      <c r="D93" s="12"/>
      <c r="E93" s="12" t="s">
        <v>910</v>
      </c>
      <c r="F93" s="12"/>
      <c r="G93" s="12" t="s">
        <v>1597</v>
      </c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</row>
    <row r="94" spans="1:35" x14ac:dyDescent="0.2">
      <c r="A94" s="12" t="s">
        <v>1207</v>
      </c>
      <c r="B94" s="12"/>
      <c r="C94" s="12" t="s">
        <v>964</v>
      </c>
      <c r="D94" s="12"/>
      <c r="E94" s="12" t="s">
        <v>910</v>
      </c>
      <c r="F94" s="12"/>
      <c r="G94" s="12" t="s">
        <v>1594</v>
      </c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</row>
    <row r="95" spans="1:35" x14ac:dyDescent="0.2">
      <c r="A95" s="12" t="s">
        <v>1207</v>
      </c>
      <c r="B95" s="12"/>
      <c r="C95" s="12" t="s">
        <v>1411</v>
      </c>
      <c r="D95" s="12"/>
      <c r="E95" s="12" t="s">
        <v>910</v>
      </c>
      <c r="F95" s="12"/>
      <c r="G95" s="12" t="s">
        <v>1594</v>
      </c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</row>
    <row r="96" spans="1:35" x14ac:dyDescent="0.2">
      <c r="A96" s="12" t="s">
        <v>1207</v>
      </c>
      <c r="B96" s="12"/>
      <c r="C96" s="12" t="s">
        <v>806</v>
      </c>
      <c r="D96" s="12"/>
      <c r="E96" s="12" t="s">
        <v>910</v>
      </c>
      <c r="F96" s="12"/>
      <c r="G96" s="14" t="s">
        <v>1594</v>
      </c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</row>
    <row r="97" spans="1:35" x14ac:dyDescent="0.2">
      <c r="A97" s="12" t="s">
        <v>1207</v>
      </c>
      <c r="B97" s="12"/>
      <c r="C97" s="12" t="s">
        <v>3</v>
      </c>
      <c r="D97" s="12"/>
      <c r="E97" s="12" t="s">
        <v>910</v>
      </c>
      <c r="F97" s="12"/>
      <c r="G97" s="14" t="s">
        <v>1594</v>
      </c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</row>
    <row r="98" spans="1:35" x14ac:dyDescent="0.2">
      <c r="A98" s="12" t="s">
        <v>1207</v>
      </c>
      <c r="B98" s="12"/>
      <c r="C98" s="12" t="s">
        <v>1030</v>
      </c>
      <c r="D98" s="12"/>
      <c r="E98" s="12" t="s">
        <v>910</v>
      </c>
      <c r="F98" s="12"/>
      <c r="G98" s="58" t="s">
        <v>1068</v>
      </c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</row>
    <row r="99" spans="1:35" x14ac:dyDescent="0.2">
      <c r="A99" s="12" t="s">
        <v>1207</v>
      </c>
      <c r="B99" s="12"/>
      <c r="C99" s="12" t="s">
        <v>1030</v>
      </c>
      <c r="D99" s="12"/>
      <c r="E99" s="12" t="s">
        <v>910</v>
      </c>
      <c r="F99" s="12"/>
      <c r="G99" s="58" t="s">
        <v>1599</v>
      </c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</row>
    <row r="100" spans="1:35" x14ac:dyDescent="0.2">
      <c r="A100" s="12" t="s">
        <v>1207</v>
      </c>
      <c r="B100" s="12"/>
      <c r="C100" s="12" t="s">
        <v>957</v>
      </c>
      <c r="D100" s="12"/>
      <c r="E100" s="12" t="s">
        <v>910</v>
      </c>
      <c r="F100" s="12"/>
      <c r="G100" s="14" t="s">
        <v>1314</v>
      </c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</row>
    <row r="101" spans="1:35" x14ac:dyDescent="0.2">
      <c r="A101" s="12" t="s">
        <v>1207</v>
      </c>
      <c r="B101" s="12"/>
      <c r="C101" s="12" t="s">
        <v>1406</v>
      </c>
      <c r="D101" s="12"/>
      <c r="E101" s="12" t="s">
        <v>1407</v>
      </c>
      <c r="F101" s="12"/>
      <c r="G101" s="14" t="s">
        <v>1405</v>
      </c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</row>
    <row r="102" spans="1:35" x14ac:dyDescent="0.2">
      <c r="A102" s="12" t="s">
        <v>1207</v>
      </c>
      <c r="B102" s="12"/>
      <c r="C102" s="12" t="s">
        <v>1406</v>
      </c>
      <c r="D102" s="12"/>
      <c r="E102" s="12" t="s">
        <v>1407</v>
      </c>
      <c r="F102" s="12"/>
      <c r="G102" s="12" t="s">
        <v>1400</v>
      </c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</row>
    <row r="103" spans="1:35" x14ac:dyDescent="0.2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</row>
    <row r="104" spans="1:35" x14ac:dyDescent="0.2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</row>
    <row r="105" spans="1:35" x14ac:dyDescent="0.2">
      <c r="A105" s="12" t="s">
        <v>1441</v>
      </c>
      <c r="B105" s="12"/>
      <c r="C105" s="12" t="s">
        <v>1440</v>
      </c>
      <c r="D105" s="12"/>
      <c r="E105" s="12" t="s">
        <v>10</v>
      </c>
      <c r="F105" s="12"/>
      <c r="G105" s="12" t="s">
        <v>1436</v>
      </c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</row>
    <row r="106" spans="1:35" x14ac:dyDescent="0.2">
      <c r="A106" s="12" t="s">
        <v>1441</v>
      </c>
      <c r="B106" s="12"/>
      <c r="C106" s="12" t="s">
        <v>1440</v>
      </c>
      <c r="D106" s="12"/>
      <c r="E106" s="12" t="s">
        <v>811</v>
      </c>
      <c r="F106" s="12"/>
      <c r="G106" s="12" t="s">
        <v>1435</v>
      </c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</row>
    <row r="107" spans="1:35" x14ac:dyDescent="0.2">
      <c r="A107" s="12" t="s">
        <v>1441</v>
      </c>
      <c r="B107" s="12"/>
      <c r="C107" s="12" t="s">
        <v>1440</v>
      </c>
      <c r="D107" s="12"/>
      <c r="E107" s="12" t="s">
        <v>816</v>
      </c>
      <c r="F107" s="12"/>
      <c r="G107" s="12" t="s">
        <v>1437</v>
      </c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</row>
    <row r="108" spans="1:35" x14ac:dyDescent="0.2">
      <c r="A108" s="12" t="s">
        <v>1441</v>
      </c>
      <c r="B108" s="12"/>
      <c r="C108" s="12" t="s">
        <v>973</v>
      </c>
      <c r="D108" s="12"/>
      <c r="E108" s="12" t="s">
        <v>805</v>
      </c>
      <c r="F108" s="12"/>
      <c r="G108" s="58" t="s">
        <v>1066</v>
      </c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</row>
    <row r="109" spans="1:35" x14ac:dyDescent="0.2">
      <c r="A109" s="12" t="s">
        <v>1441</v>
      </c>
      <c r="B109" s="12"/>
      <c r="C109" s="12" t="s">
        <v>973</v>
      </c>
      <c r="D109" s="12"/>
      <c r="E109" s="12" t="s">
        <v>920</v>
      </c>
      <c r="F109" s="12"/>
      <c r="G109" s="58" t="s">
        <v>1442</v>
      </c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</row>
    <row r="110" spans="1:35" x14ac:dyDescent="0.2">
      <c r="A110" s="12" t="s">
        <v>1441</v>
      </c>
      <c r="B110" s="12"/>
      <c r="C110" s="12" t="s">
        <v>1247</v>
      </c>
      <c r="D110" s="12"/>
      <c r="E110" s="12" t="s">
        <v>805</v>
      </c>
      <c r="F110" s="12"/>
      <c r="G110" s="58" t="s">
        <v>1568</v>
      </c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</row>
    <row r="111" spans="1:35" x14ac:dyDescent="0.2">
      <c r="A111" s="12" t="s">
        <v>1441</v>
      </c>
      <c r="B111" s="12"/>
      <c r="C111" s="12" t="s">
        <v>1247</v>
      </c>
      <c r="D111" s="12"/>
      <c r="E111" s="12" t="s">
        <v>920</v>
      </c>
      <c r="F111" s="12"/>
      <c r="G111" s="12" t="s">
        <v>1107</v>
      </c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</row>
    <row r="112" spans="1:35" x14ac:dyDescent="0.2">
      <c r="A112" s="12" t="s">
        <v>1441</v>
      </c>
      <c r="B112" s="12"/>
      <c r="C112" s="12" t="s">
        <v>1247</v>
      </c>
      <c r="D112" s="12"/>
      <c r="E112" s="12" t="s">
        <v>920</v>
      </c>
      <c r="F112" s="12"/>
      <c r="G112" s="12" t="s">
        <v>1079</v>
      </c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</row>
    <row r="113" spans="1:35" x14ac:dyDescent="0.2">
      <c r="A113" s="12" t="s">
        <v>1441</v>
      </c>
      <c r="B113" s="12"/>
      <c r="C113" s="12" t="s">
        <v>4</v>
      </c>
      <c r="D113" s="12"/>
      <c r="E113" s="12" t="s">
        <v>1466</v>
      </c>
      <c r="F113" s="12"/>
      <c r="G113" s="58" t="s">
        <v>1525</v>
      </c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</row>
    <row r="114" spans="1:35" x14ac:dyDescent="0.2">
      <c r="A114" s="12" t="s">
        <v>1441</v>
      </c>
      <c r="B114" s="12"/>
      <c r="C114" s="12" t="s">
        <v>1036</v>
      </c>
      <c r="D114" s="12"/>
      <c r="E114" s="12" t="s">
        <v>1466</v>
      </c>
      <c r="F114" s="12"/>
      <c r="G114" s="58" t="s">
        <v>1068</v>
      </c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</row>
    <row r="115" spans="1:35" x14ac:dyDescent="0.2">
      <c r="A115" s="12" t="s">
        <v>1441</v>
      </c>
      <c r="B115" s="12"/>
      <c r="C115" s="12" t="s">
        <v>6</v>
      </c>
      <c r="D115" s="12"/>
      <c r="E115" s="12" t="s">
        <v>805</v>
      </c>
      <c r="F115" s="12"/>
      <c r="G115" s="58" t="s">
        <v>1570</v>
      </c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</row>
    <row r="116" spans="1:35" x14ac:dyDescent="0.2">
      <c r="A116" s="12" t="s">
        <v>1441</v>
      </c>
      <c r="B116" s="12"/>
      <c r="C116" s="12" t="s">
        <v>964</v>
      </c>
      <c r="D116" s="12"/>
      <c r="E116" s="12" t="s">
        <v>1466</v>
      </c>
      <c r="F116" s="12"/>
      <c r="G116" s="58" t="s">
        <v>1525</v>
      </c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</row>
    <row r="117" spans="1:35" x14ac:dyDescent="0.2">
      <c r="A117" s="12" t="s">
        <v>1441</v>
      </c>
      <c r="B117" s="12"/>
      <c r="C117" s="12" t="s">
        <v>1411</v>
      </c>
      <c r="D117" s="12"/>
      <c r="E117" s="12" t="s">
        <v>1466</v>
      </c>
      <c r="F117" s="12"/>
      <c r="G117" s="58" t="s">
        <v>1525</v>
      </c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</row>
    <row r="118" spans="1:35" x14ac:dyDescent="0.2">
      <c r="A118" s="12" t="s">
        <v>1441</v>
      </c>
      <c r="B118" s="12"/>
      <c r="C118" s="12" t="s">
        <v>806</v>
      </c>
      <c r="D118" s="12"/>
      <c r="E118" s="12" t="s">
        <v>1466</v>
      </c>
      <c r="F118" s="12"/>
      <c r="G118" s="58" t="s">
        <v>1525</v>
      </c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</row>
    <row r="119" spans="1:35" x14ac:dyDescent="0.2">
      <c r="A119" s="12" t="s">
        <v>1441</v>
      </c>
      <c r="B119" s="12"/>
      <c r="C119" s="12" t="s">
        <v>3</v>
      </c>
      <c r="D119" s="12"/>
      <c r="E119" s="12" t="s">
        <v>1466</v>
      </c>
      <c r="F119" s="12"/>
      <c r="G119" s="58" t="s">
        <v>1068</v>
      </c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</row>
    <row r="120" spans="1:35" x14ac:dyDescent="0.2">
      <c r="A120" s="12"/>
      <c r="B120" s="12"/>
      <c r="C120" s="12"/>
      <c r="D120" s="12"/>
      <c r="E120" s="12"/>
      <c r="F120" s="12"/>
      <c r="G120" s="58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</row>
    <row r="121" spans="1:35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</row>
    <row r="122" spans="1:35" x14ac:dyDescent="0.2">
      <c r="A122" s="12" t="s">
        <v>1529</v>
      </c>
      <c r="B122" s="12"/>
      <c r="C122" s="12" t="s">
        <v>1367</v>
      </c>
      <c r="D122" s="12"/>
      <c r="E122" s="12" t="s">
        <v>1368</v>
      </c>
      <c r="F122" s="12"/>
      <c r="G122" s="12" t="s">
        <v>1369</v>
      </c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</row>
    <row r="123" spans="1:35" x14ac:dyDescent="0.2">
      <c r="A123" s="12" t="s">
        <v>1529</v>
      </c>
      <c r="B123" s="12"/>
      <c r="C123" s="12" t="s">
        <v>1367</v>
      </c>
      <c r="D123" s="12"/>
      <c r="E123" s="12" t="s">
        <v>1371</v>
      </c>
      <c r="F123" s="12"/>
      <c r="G123" s="12" t="s">
        <v>1373</v>
      </c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</row>
    <row r="124" spans="1:35" x14ac:dyDescent="0.2">
      <c r="A124" s="12" t="s">
        <v>1529</v>
      </c>
      <c r="B124" s="12"/>
      <c r="C124" s="12" t="s">
        <v>1367</v>
      </c>
      <c r="D124" s="12"/>
      <c r="E124" s="12" t="s">
        <v>1372</v>
      </c>
      <c r="F124" s="12"/>
      <c r="G124" s="12" t="s">
        <v>1373</v>
      </c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</row>
    <row r="125" spans="1:35" x14ac:dyDescent="0.2">
      <c r="A125" s="12" t="s">
        <v>1529</v>
      </c>
      <c r="B125" s="12"/>
      <c r="C125" s="12" t="s">
        <v>1367</v>
      </c>
      <c r="D125" s="12"/>
      <c r="E125" s="12" t="s">
        <v>694</v>
      </c>
      <c r="F125" s="12"/>
      <c r="G125" s="12" t="s">
        <v>1375</v>
      </c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</row>
    <row r="126" spans="1:35" x14ac:dyDescent="0.2">
      <c r="A126" s="12" t="s">
        <v>1529</v>
      </c>
      <c r="B126" s="12"/>
      <c r="C126" s="12" t="s">
        <v>1367</v>
      </c>
      <c r="D126" s="12"/>
      <c r="E126" s="12" t="s">
        <v>1374</v>
      </c>
      <c r="F126" s="12"/>
      <c r="G126" s="12" t="s">
        <v>1370</v>
      </c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</row>
    <row r="127" spans="1:35" x14ac:dyDescent="0.2">
      <c r="A127" s="12" t="s">
        <v>1529</v>
      </c>
      <c r="B127" s="12"/>
      <c r="C127" s="12" t="s">
        <v>1367</v>
      </c>
      <c r="D127" s="12"/>
      <c r="E127" s="12" t="s">
        <v>691</v>
      </c>
      <c r="F127" s="12"/>
      <c r="G127" s="12" t="s">
        <v>1376</v>
      </c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</row>
    <row r="128" spans="1:35" x14ac:dyDescent="0.2">
      <c r="A128" s="12" t="s">
        <v>1529</v>
      </c>
      <c r="B128" s="12"/>
      <c r="C128" s="12" t="s">
        <v>1367</v>
      </c>
      <c r="D128" s="12"/>
      <c r="E128" s="12" t="s">
        <v>1377</v>
      </c>
      <c r="F128" s="12"/>
      <c r="G128" s="12" t="s">
        <v>1567</v>
      </c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</row>
    <row r="129" spans="1:35" x14ac:dyDescent="0.2">
      <c r="A129" s="12" t="s">
        <v>1529</v>
      </c>
      <c r="B129" s="12"/>
      <c r="C129" s="12" t="s">
        <v>1367</v>
      </c>
      <c r="D129" s="12"/>
      <c r="E129" s="12" t="s">
        <v>1355</v>
      </c>
      <c r="F129" s="12"/>
      <c r="G129" s="12" t="s">
        <v>1359</v>
      </c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</row>
    <row r="130" spans="1:35" x14ac:dyDescent="0.2">
      <c r="A130" s="12" t="s">
        <v>1529</v>
      </c>
      <c r="B130" s="12"/>
      <c r="C130" s="12" t="s">
        <v>1367</v>
      </c>
      <c r="D130" s="12"/>
      <c r="E130" s="12" t="s">
        <v>13</v>
      </c>
      <c r="F130" s="12"/>
      <c r="G130" s="12" t="s">
        <v>1378</v>
      </c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</row>
    <row r="131" spans="1:35" x14ac:dyDescent="0.2">
      <c r="A131" s="12" t="s">
        <v>1529</v>
      </c>
      <c r="B131" s="12"/>
      <c r="C131" s="12" t="s">
        <v>301</v>
      </c>
      <c r="D131" s="12"/>
      <c r="E131" s="12" t="s">
        <v>1379</v>
      </c>
      <c r="F131" s="12"/>
      <c r="G131" s="12" t="s">
        <v>1380</v>
      </c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</row>
    <row r="132" spans="1:35" x14ac:dyDescent="0.2">
      <c r="A132" s="12" t="s">
        <v>1529</v>
      </c>
      <c r="B132" s="12"/>
      <c r="C132" s="12" t="s">
        <v>301</v>
      </c>
      <c r="D132" s="12"/>
      <c r="E132" s="12" t="s">
        <v>1381</v>
      </c>
      <c r="F132" s="12"/>
      <c r="G132" s="12" t="s">
        <v>1382</v>
      </c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</row>
    <row r="133" spans="1:35" x14ac:dyDescent="0.2">
      <c r="A133" s="12" t="s">
        <v>1529</v>
      </c>
      <c r="B133" s="12"/>
      <c r="C133" s="12" t="s">
        <v>0</v>
      </c>
      <c r="D133" s="12"/>
      <c r="E133" s="12" t="s">
        <v>15</v>
      </c>
      <c r="F133" s="12"/>
      <c r="G133" s="12" t="s">
        <v>1242</v>
      </c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</row>
    <row r="134" spans="1:35" x14ac:dyDescent="0.2">
      <c r="A134" s="12" t="s">
        <v>1529</v>
      </c>
      <c r="B134" s="12"/>
      <c r="C134" s="12" t="s">
        <v>0</v>
      </c>
      <c r="D134" s="12"/>
      <c r="E134" s="12" t="s">
        <v>1366</v>
      </c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</row>
    <row r="135" spans="1:35" x14ac:dyDescent="0.2">
      <c r="A135" s="12" t="s">
        <v>1529</v>
      </c>
      <c r="B135" s="12"/>
      <c r="C135" s="12" t="s">
        <v>0</v>
      </c>
      <c r="D135" s="12"/>
      <c r="E135" s="12"/>
      <c r="F135" s="12"/>
      <c r="G135" s="12" t="s">
        <v>1569</v>
      </c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</row>
    <row r="136" spans="1:35" x14ac:dyDescent="0.2">
      <c r="A136" s="12" t="s">
        <v>1529</v>
      </c>
      <c r="B136" s="12"/>
      <c r="C136" s="12" t="s">
        <v>0</v>
      </c>
      <c r="D136" s="12"/>
      <c r="E136" s="12" t="s">
        <v>10</v>
      </c>
      <c r="F136" s="12"/>
      <c r="G136" s="12" t="s">
        <v>1387</v>
      </c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</row>
    <row r="137" spans="1:35" x14ac:dyDescent="0.2">
      <c r="A137" s="12" t="s">
        <v>1529</v>
      </c>
      <c r="B137" s="12"/>
      <c r="C137" s="12" t="s">
        <v>2</v>
      </c>
      <c r="D137" s="12"/>
      <c r="E137" s="12" t="s">
        <v>10</v>
      </c>
      <c r="F137" s="12"/>
      <c r="G137" s="12" t="s">
        <v>1388</v>
      </c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</row>
    <row r="138" spans="1:35" x14ac:dyDescent="0.2">
      <c r="A138" s="12" t="s">
        <v>1529</v>
      </c>
      <c r="B138" s="12"/>
      <c r="C138" s="12" t="s">
        <v>1</v>
      </c>
      <c r="D138" s="12"/>
      <c r="E138" s="12" t="s">
        <v>10</v>
      </c>
      <c r="F138" s="12"/>
      <c r="G138" s="12" t="s">
        <v>1389</v>
      </c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</row>
    <row r="139" spans="1:35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</row>
    <row r="140" spans="1:35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</row>
    <row r="141" spans="1:35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</row>
    <row r="142" spans="1:35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</row>
    <row r="143" spans="1:35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</row>
    <row r="144" spans="1:35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</row>
    <row r="145" spans="1:35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</row>
    <row r="146" spans="1:35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</row>
    <row r="147" spans="1:35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</row>
    <row r="148" spans="1:35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</row>
    <row r="149" spans="1:35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</row>
    <row r="150" spans="1:35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</row>
    <row r="151" spans="1:35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</row>
    <row r="152" spans="1:35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</row>
    <row r="153" spans="1:35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</row>
    <row r="154" spans="1:35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</row>
    <row r="155" spans="1:35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</row>
    <row r="156" spans="1:35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</row>
    <row r="157" spans="1:35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</row>
    <row r="158" spans="1:35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</row>
    <row r="159" spans="1:35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</row>
    <row r="160" spans="1:35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</row>
    <row r="161" spans="1:35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</row>
    <row r="162" spans="1:35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</row>
    <row r="163" spans="1:35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</row>
    <row r="164" spans="1:35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</row>
    <row r="165" spans="1:35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</row>
    <row r="166" spans="1:35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</row>
    <row r="167" spans="1:35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</row>
    <row r="168" spans="1:35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</row>
    <row r="169" spans="1:35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</row>
    <row r="170" spans="1:35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</row>
    <row r="171" spans="1:35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</row>
    <row r="172" spans="1:35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</row>
    <row r="173" spans="1:35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</row>
    <row r="174" spans="1:35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</row>
    <row r="175" spans="1:35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</row>
    <row r="176" spans="1:35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</row>
    <row r="177" spans="1:35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</row>
    <row r="178" spans="1:35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</row>
    <row r="179" spans="1:35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</row>
    <row r="180" spans="1:35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</row>
    <row r="181" spans="1:35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</row>
    <row r="182" spans="1:35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</row>
    <row r="183" spans="1:35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</row>
    <row r="184" spans="1:35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</row>
    <row r="185" spans="1:35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</row>
    <row r="186" spans="1:35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</row>
    <row r="187" spans="1:35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</row>
    <row r="188" spans="1:35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</row>
    <row r="189" spans="1:35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</row>
    <row r="190" spans="1:35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</row>
    <row r="191" spans="1:35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</row>
    <row r="192" spans="1:35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</row>
    <row r="193" spans="1:35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</row>
    <row r="194" spans="1:35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</row>
    <row r="195" spans="1:35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</row>
    <row r="196" spans="1:35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</row>
    <row r="197" spans="1:35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</row>
    <row r="198" spans="1:35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</row>
    <row r="199" spans="1:35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</row>
    <row r="200" spans="1:35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</row>
    <row r="201" spans="1:35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</row>
    <row r="202" spans="1:35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</row>
    <row r="203" spans="1:35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</row>
    <row r="204" spans="1:35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</row>
    <row r="205" spans="1:35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</row>
    <row r="206" spans="1:35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</row>
    <row r="207" spans="1:35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</row>
    <row r="208" spans="1:35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</row>
    <row r="209" spans="1:35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</row>
    <row r="210" spans="1:35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</row>
    <row r="211" spans="1:35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</row>
    <row r="212" spans="1:35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</row>
    <row r="213" spans="1:35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</row>
    <row r="214" spans="1:35" x14ac:dyDescent="0.2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</row>
  </sheetData>
  <pageMargins left="0.7" right="0.7" top="0.75" bottom="0.75" header="0.3" footer="0.3"/>
  <pageSetup paperSize="9" orientation="portrait" horizontalDpi="0" verticalDpi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821"/>
  <sheetViews>
    <sheetView zoomScaleNormal="100" workbookViewId="0">
      <pane xSplit="1" topLeftCell="B1" activePane="topRight" state="frozen"/>
      <selection activeCell="A5" sqref="A4:A5"/>
      <selection pane="topRight" activeCell="A2" sqref="A2:XFD2"/>
    </sheetView>
  </sheetViews>
  <sheetFormatPr defaultColWidth="8.875" defaultRowHeight="12.75" x14ac:dyDescent="0.2"/>
  <cols>
    <col min="1" max="1" width="36.5" style="162" bestFit="1" customWidth="1"/>
    <col min="2" max="2" width="5.5" style="162" bestFit="1" customWidth="1"/>
    <col min="3" max="3" width="5.5" style="162" customWidth="1"/>
    <col min="4" max="4" width="16.375" style="162" customWidth="1"/>
    <col min="5" max="5" width="17.5" style="162" bestFit="1" customWidth="1"/>
    <col min="6" max="6" width="13.875" style="162" bestFit="1" customWidth="1"/>
    <col min="7" max="7" width="10.375" style="162" bestFit="1" customWidth="1"/>
    <col min="8" max="8" width="9.875" style="162" bestFit="1" customWidth="1"/>
    <col min="9" max="9" width="14.875" style="162" customWidth="1"/>
    <col min="10" max="12" width="8.875" style="162"/>
    <col min="13" max="13" width="11.375" style="162" customWidth="1"/>
    <col min="14" max="14" width="8.875" style="162"/>
    <col min="15" max="15" width="52.625" style="162" customWidth="1"/>
    <col min="16" max="16384" width="8.875" style="162"/>
  </cols>
  <sheetData>
    <row r="1" spans="1:35" s="208" customFormat="1" ht="23.25" x14ac:dyDescent="0.35">
      <c r="A1" s="207" t="s">
        <v>1610</v>
      </c>
    </row>
    <row r="2" spans="1:35" s="239" customFormat="1" ht="12.75" customHeight="1" x14ac:dyDescent="0.35">
      <c r="A2" s="7"/>
    </row>
    <row r="3" spans="1:35" s="236" customFormat="1" ht="20.100000000000001" customHeight="1" x14ac:dyDescent="0.25">
      <c r="A3" s="231" t="s">
        <v>9</v>
      </c>
      <c r="B3" s="231" t="s">
        <v>149</v>
      </c>
      <c r="C3" s="231" t="s">
        <v>149</v>
      </c>
      <c r="D3" s="231" t="s">
        <v>150</v>
      </c>
      <c r="E3" s="232" t="s">
        <v>151</v>
      </c>
      <c r="F3" s="232" t="s">
        <v>152</v>
      </c>
      <c r="G3" s="232" t="s">
        <v>153</v>
      </c>
      <c r="H3" s="232" t="s">
        <v>154</v>
      </c>
      <c r="I3" s="233" t="s">
        <v>1239</v>
      </c>
      <c r="J3" s="233" t="s">
        <v>155</v>
      </c>
      <c r="K3" s="233" t="s">
        <v>300</v>
      </c>
      <c r="L3" s="233" t="s">
        <v>1236</v>
      </c>
      <c r="M3" s="233" t="s">
        <v>849</v>
      </c>
      <c r="N3" s="233" t="s">
        <v>1240</v>
      </c>
      <c r="O3" s="230" t="s">
        <v>156</v>
      </c>
      <c r="P3" s="234"/>
      <c r="Q3" s="234"/>
      <c r="R3" s="234"/>
      <c r="S3" s="234"/>
      <c r="T3" s="234"/>
      <c r="U3" s="234"/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  <c r="AG3" s="235"/>
      <c r="AH3" s="235"/>
      <c r="AI3" s="235"/>
    </row>
    <row r="4" spans="1:35" x14ac:dyDescent="0.2">
      <c r="A4" s="167" t="s">
        <v>30</v>
      </c>
      <c r="B4" s="162">
        <v>9</v>
      </c>
      <c r="C4" s="162">
        <f>(0.5*B4+0.25)*365</f>
        <v>1733.75</v>
      </c>
      <c r="D4" s="162" t="s">
        <v>157</v>
      </c>
      <c r="E4" s="168">
        <v>4186065254.0100002</v>
      </c>
      <c r="F4" s="168">
        <v>4186065.2540100003</v>
      </c>
      <c r="G4" s="168">
        <v>4186.06525401</v>
      </c>
      <c r="H4" s="168">
        <v>4.1860652540099998</v>
      </c>
      <c r="I4" s="164">
        <f>H4*$O$9/0.1*INDEX(Country_details!$N$9:N154,MATCH(Solar_data!A4,Country_details!$A$9:$A$154,0))</f>
        <v>10.046556609624</v>
      </c>
      <c r="J4" s="164">
        <f>(0.5*B4+0.25)*365</f>
        <v>1733.75</v>
      </c>
      <c r="K4" s="164">
        <f>E4/((0.5*B4+0.25)*365*0.1)/1000000</f>
        <v>24.144572481672675</v>
      </c>
      <c r="L4" s="164">
        <f>K4*solar_module_eff</f>
        <v>7.2433717445018022</v>
      </c>
      <c r="M4" s="164">
        <f>L4*J4*INDEX(Country_details!$N$9:N154,MATCH(Solar_data!A4,Country_details!$A$9:$A$154,0))</f>
        <v>10046.556609624</v>
      </c>
      <c r="N4" s="164">
        <f>M4/L4</f>
        <v>1387</v>
      </c>
      <c r="O4" s="169" t="s">
        <v>158</v>
      </c>
      <c r="P4" s="165"/>
      <c r="Q4" s="165"/>
      <c r="R4" s="165"/>
      <c r="S4" s="165"/>
      <c r="T4" s="165"/>
      <c r="U4" s="165"/>
      <c r="V4" s="166"/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66"/>
      <c r="AI4" s="166"/>
    </row>
    <row r="5" spans="1:35" x14ac:dyDescent="0.2">
      <c r="A5" s="167" t="s">
        <v>30</v>
      </c>
      <c r="B5" s="162">
        <v>10</v>
      </c>
      <c r="C5" s="162">
        <f t="shared" ref="C5:C68" si="0">(0.5*B5+0.25)*365</f>
        <v>1916.25</v>
      </c>
      <c r="D5" s="162" t="s">
        <v>159</v>
      </c>
      <c r="E5" s="168">
        <v>558576333293.86108</v>
      </c>
      <c r="F5" s="168">
        <v>558576333.29386115</v>
      </c>
      <c r="G5" s="168">
        <v>558576.33329386113</v>
      </c>
      <c r="H5" s="168">
        <v>558.57633329386113</v>
      </c>
      <c r="I5" s="164">
        <f>H5*$O$9/0.1*INDEX(Country_details!$N$9:N155,MATCH(Solar_data!A5,Country_details!$A$9:$A$154,0))</f>
        <v>1340.5831999052666</v>
      </c>
      <c r="J5" s="164">
        <f>(0.5*B5+0.25)*365</f>
        <v>1916.25</v>
      </c>
      <c r="K5" s="164">
        <f>E5/((0.5*B5+0.25)*365*0.1)/1000000</f>
        <v>2914.9449878348914</v>
      </c>
      <c r="L5" s="164">
        <f>K5*solar_module_eff</f>
        <v>874.48349635046736</v>
      </c>
      <c r="M5" s="164">
        <f>L5*J5*INDEX(Country_details!$N$9:N155,MATCH(Solar_data!A5,Country_details!$A$9:$A$154,0))</f>
        <v>1340583.1999052665</v>
      </c>
      <c r="N5" s="164">
        <f>M5/L5</f>
        <v>1533</v>
      </c>
      <c r="O5" s="169" t="s">
        <v>160</v>
      </c>
      <c r="P5" s="165"/>
      <c r="Q5" s="165"/>
      <c r="R5" s="165"/>
      <c r="S5" s="165"/>
      <c r="T5" s="165"/>
      <c r="U5" s="165"/>
      <c r="V5" s="166"/>
      <c r="W5" s="166"/>
      <c r="X5" s="166"/>
      <c r="Y5" s="166"/>
      <c r="Z5" s="166"/>
      <c r="AA5" s="166"/>
      <c r="AB5" s="166"/>
      <c r="AC5" s="166"/>
      <c r="AD5" s="166"/>
      <c r="AE5" s="166"/>
      <c r="AF5" s="166"/>
      <c r="AG5" s="166"/>
      <c r="AH5" s="166"/>
      <c r="AI5" s="166"/>
    </row>
    <row r="6" spans="1:35" x14ac:dyDescent="0.2">
      <c r="A6" s="167" t="s">
        <v>30</v>
      </c>
      <c r="B6" s="162">
        <v>11</v>
      </c>
      <c r="C6" s="162">
        <f t="shared" si="0"/>
        <v>2098.75</v>
      </c>
      <c r="D6" s="162" t="s">
        <v>161</v>
      </c>
      <c r="E6" s="168">
        <v>1328890559074.5889</v>
      </c>
      <c r="F6" s="168">
        <v>1328890559.0745888</v>
      </c>
      <c r="G6" s="168">
        <v>1328890.5590745888</v>
      </c>
      <c r="H6" s="168">
        <v>1328.8905590745887</v>
      </c>
      <c r="I6" s="164">
        <f>H6*$O$9/0.1*INDEX(Country_details!$N$9:N156,MATCH(Solar_data!A6,Country_details!$A$9:$A$154,0))</f>
        <v>3189.3373417790131</v>
      </c>
      <c r="J6" s="164">
        <f>(0.5*B6+0.25)*365</f>
        <v>2098.75</v>
      </c>
      <c r="K6" s="164"/>
      <c r="L6" s="164"/>
      <c r="M6" s="164"/>
      <c r="N6" s="164"/>
      <c r="O6" s="166"/>
      <c r="P6" s="165"/>
      <c r="Q6" s="165"/>
      <c r="R6" s="165"/>
      <c r="S6" s="165"/>
      <c r="T6" s="165"/>
      <c r="U6" s="165"/>
      <c r="V6" s="166"/>
      <c r="W6" s="166"/>
      <c r="X6" s="166"/>
      <c r="Y6" s="166"/>
      <c r="Z6" s="166"/>
      <c r="AA6" s="166"/>
      <c r="AB6" s="166"/>
      <c r="AC6" s="166"/>
      <c r="AD6" s="166"/>
      <c r="AE6" s="166"/>
      <c r="AF6" s="166"/>
      <c r="AG6" s="166"/>
      <c r="AH6" s="166"/>
      <c r="AI6" s="166"/>
    </row>
    <row r="7" spans="1:35" x14ac:dyDescent="0.2">
      <c r="A7" s="167" t="s">
        <v>30</v>
      </c>
      <c r="B7" s="162">
        <v>12</v>
      </c>
      <c r="C7" s="162">
        <f t="shared" si="0"/>
        <v>2281.25</v>
      </c>
      <c r="D7" s="162" t="s">
        <v>162</v>
      </c>
      <c r="E7" s="168">
        <v>85101229778.439194</v>
      </c>
      <c r="F7" s="168">
        <v>85101229.778439194</v>
      </c>
      <c r="G7" s="168">
        <v>85101.229778439199</v>
      </c>
      <c r="H7" s="168">
        <v>85.101229778439205</v>
      </c>
      <c r="I7" s="164">
        <f>H7*$O$9/0.1*INDEX(Country_details!$N$9:N157,MATCH(Solar_data!A7,Country_details!$A$9:$A$154,0))</f>
        <v>204.24295146825409</v>
      </c>
      <c r="J7" s="164">
        <f>(0.5*B7+0.25)*365</f>
        <v>2281.25</v>
      </c>
      <c r="K7" s="164"/>
      <c r="L7" s="164"/>
      <c r="M7" s="164"/>
      <c r="N7" s="164"/>
      <c r="O7" s="166"/>
      <c r="P7" s="165"/>
      <c r="Q7" s="165"/>
      <c r="R7" s="165"/>
      <c r="S7" s="165"/>
      <c r="T7" s="165"/>
      <c r="U7" s="165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</row>
    <row r="8" spans="1:35" x14ac:dyDescent="0.2">
      <c r="A8" s="167" t="s">
        <v>30</v>
      </c>
      <c r="B8" s="162">
        <v>13</v>
      </c>
      <c r="C8" s="162">
        <f t="shared" si="0"/>
        <v>2463.75</v>
      </c>
      <c r="D8" s="162" t="s">
        <v>163</v>
      </c>
      <c r="E8" s="168">
        <v>6003624586.8498001</v>
      </c>
      <c r="F8" s="168">
        <v>6003624.5868498003</v>
      </c>
      <c r="G8" s="168">
        <v>6003.6245868498008</v>
      </c>
      <c r="H8" s="168">
        <v>6.003624586849801</v>
      </c>
      <c r="I8" s="164">
        <f>H8*$O$9/0.1*INDEX(Country_details!$N$9:N158,MATCH(Solar_data!A8,Country_details!$A$9:$A$154,0))</f>
        <v>14.408699008439521</v>
      </c>
      <c r="J8" s="164">
        <f>(0.5*B8+0.25)*365</f>
        <v>2463.75</v>
      </c>
      <c r="K8" s="164"/>
      <c r="L8" s="164"/>
      <c r="M8" s="164"/>
      <c r="N8" s="164"/>
      <c r="O8" s="166" t="s">
        <v>1238</v>
      </c>
      <c r="P8" s="165"/>
      <c r="Q8" s="165"/>
      <c r="R8" s="165"/>
      <c r="S8" s="165"/>
      <c r="T8" s="165"/>
      <c r="U8" s="165"/>
      <c r="V8" s="166"/>
      <c r="W8" s="166"/>
      <c r="X8" s="166"/>
      <c r="Y8" s="166"/>
      <c r="Z8" s="166"/>
      <c r="AA8" s="166"/>
      <c r="AB8" s="166"/>
      <c r="AC8" s="166"/>
      <c r="AD8" s="166"/>
      <c r="AE8" s="166"/>
      <c r="AF8" s="166"/>
      <c r="AG8" s="166"/>
      <c r="AH8" s="166"/>
      <c r="AI8" s="166"/>
    </row>
    <row r="9" spans="1:35" x14ac:dyDescent="0.2">
      <c r="A9" s="167" t="s">
        <v>31</v>
      </c>
      <c r="B9" s="162">
        <v>8</v>
      </c>
      <c r="C9" s="162">
        <f t="shared" si="0"/>
        <v>1551.25</v>
      </c>
      <c r="D9" s="162" t="s">
        <v>164</v>
      </c>
      <c r="E9" s="168">
        <v>1933898156.0144999</v>
      </c>
      <c r="F9" s="168">
        <v>1933898.1560145</v>
      </c>
      <c r="G9" s="168">
        <v>1933.8981560145</v>
      </c>
      <c r="H9" s="168">
        <v>1.9338981560145001</v>
      </c>
      <c r="I9" s="164">
        <f>H9*$O$9/0.1*INDEX(Country_details!$N$9:N159,MATCH(Solar_data!A9,Country_details!$A$9:$A$154,0))</f>
        <v>5.2215250212391497</v>
      </c>
      <c r="J9" s="164">
        <f t="shared" ref="J9:J72" si="1">(0.5*B9+0.25)*365</f>
        <v>1551.25</v>
      </c>
      <c r="K9" s="164"/>
      <c r="L9" s="166"/>
      <c r="M9" s="166"/>
      <c r="N9" s="166"/>
      <c r="O9" s="170">
        <v>0.3</v>
      </c>
      <c r="P9" s="165"/>
      <c r="Q9" s="165" t="s">
        <v>1342</v>
      </c>
      <c r="R9" s="165"/>
      <c r="S9" s="165"/>
      <c r="T9" s="165"/>
      <c r="U9" s="165"/>
      <c r="V9" s="166"/>
      <c r="W9" s="166"/>
      <c r="X9" s="166"/>
      <c r="Y9" s="166"/>
      <c r="Z9" s="166"/>
      <c r="AA9" s="166"/>
      <c r="AB9" s="166"/>
      <c r="AC9" s="166"/>
      <c r="AD9" s="166"/>
      <c r="AE9" s="166"/>
      <c r="AF9" s="166"/>
      <c r="AG9" s="166"/>
      <c r="AH9" s="166"/>
      <c r="AI9" s="166"/>
    </row>
    <row r="10" spans="1:35" x14ac:dyDescent="0.2">
      <c r="A10" s="167" t="s">
        <v>31</v>
      </c>
      <c r="B10" s="162">
        <v>9</v>
      </c>
      <c r="C10" s="162">
        <f t="shared" si="0"/>
        <v>1733.75</v>
      </c>
      <c r="D10" s="162" t="s">
        <v>157</v>
      </c>
      <c r="E10" s="168">
        <v>71204925830.832397</v>
      </c>
      <c r="F10" s="168">
        <v>71204925.830832392</v>
      </c>
      <c r="G10" s="168">
        <v>71204.925830832392</v>
      </c>
      <c r="H10" s="168">
        <v>71.204925830832394</v>
      </c>
      <c r="I10" s="164">
        <f>H10*$O$9/0.1*INDEX(Country_details!$N$9:N160,MATCH(Solar_data!A10,Country_details!$A$9:$A$154,0))</f>
        <v>192.25329974324748</v>
      </c>
      <c r="J10" s="164">
        <f t="shared" si="1"/>
        <v>1733.75</v>
      </c>
      <c r="K10" s="164"/>
      <c r="L10" s="164"/>
      <c r="M10" s="164"/>
      <c r="N10" s="164"/>
      <c r="O10" s="166"/>
      <c r="P10" s="165"/>
      <c r="Q10" s="165" t="s">
        <v>886</v>
      </c>
      <c r="R10" s="165"/>
      <c r="S10" s="165"/>
      <c r="T10" s="165"/>
      <c r="U10" s="165"/>
      <c r="V10" s="166"/>
      <c r="W10" s="166"/>
      <c r="X10" s="166"/>
      <c r="Y10" s="166"/>
      <c r="Z10" s="166"/>
      <c r="AA10" s="166"/>
      <c r="AB10" s="166"/>
      <c r="AC10" s="166"/>
      <c r="AD10" s="166"/>
      <c r="AE10" s="166"/>
      <c r="AF10" s="166"/>
      <c r="AG10" s="166"/>
      <c r="AH10" s="166"/>
      <c r="AI10" s="166"/>
    </row>
    <row r="11" spans="1:35" x14ac:dyDescent="0.2">
      <c r="A11" s="167" t="s">
        <v>31</v>
      </c>
      <c r="B11" s="162">
        <v>10</v>
      </c>
      <c r="C11" s="162">
        <f t="shared" si="0"/>
        <v>1916.25</v>
      </c>
      <c r="D11" s="162" t="s">
        <v>159</v>
      </c>
      <c r="E11" s="168">
        <v>1707996637.6672001</v>
      </c>
      <c r="F11" s="168">
        <v>1707996.6376672001</v>
      </c>
      <c r="G11" s="168">
        <v>1707.9966376672</v>
      </c>
      <c r="H11" s="168">
        <v>1.7079966376672</v>
      </c>
      <c r="I11" s="164">
        <f>H11*$O$9/0.1*INDEX(Country_details!$N$9:N161,MATCH(Solar_data!A11,Country_details!$A$9:$A$154,0))</f>
        <v>4.6115909217014401</v>
      </c>
      <c r="J11" s="164">
        <f t="shared" si="1"/>
        <v>1916.25</v>
      </c>
      <c r="K11" s="164"/>
      <c r="L11" s="164"/>
      <c r="M11" s="164"/>
      <c r="N11" s="164"/>
      <c r="O11" s="166"/>
      <c r="P11" s="165"/>
      <c r="Q11" s="165"/>
      <c r="R11" s="165"/>
      <c r="S11" s="165"/>
      <c r="T11" s="165"/>
      <c r="U11" s="165"/>
      <c r="V11" s="166"/>
      <c r="W11" s="166"/>
      <c r="X11" s="166"/>
      <c r="Y11" s="166"/>
      <c r="Z11" s="166"/>
      <c r="AA11" s="166"/>
      <c r="AB11" s="166"/>
      <c r="AC11" s="166"/>
      <c r="AD11" s="166"/>
      <c r="AE11" s="166"/>
      <c r="AF11" s="166"/>
      <c r="AG11" s="166"/>
      <c r="AH11" s="166"/>
      <c r="AI11" s="166"/>
    </row>
    <row r="12" spans="1:35" x14ac:dyDescent="0.2">
      <c r="A12" s="167" t="s">
        <v>32</v>
      </c>
      <c r="B12" s="162">
        <v>9</v>
      </c>
      <c r="C12" s="162">
        <f t="shared" si="0"/>
        <v>1733.75</v>
      </c>
      <c r="D12" s="162" t="s">
        <v>157</v>
      </c>
      <c r="E12" s="168">
        <v>18296242326.2202</v>
      </c>
      <c r="F12" s="168">
        <v>18296242.326220199</v>
      </c>
      <c r="G12" s="168">
        <v>18296.242326220199</v>
      </c>
      <c r="H12" s="168">
        <v>18.296242326220199</v>
      </c>
      <c r="I12" s="164">
        <f>H12*$O$9/0.1*INDEX(Country_details!$N$9:N162,MATCH(Solar_data!A12,Country_details!$A$9:$A$154,0))</f>
        <v>41.166545233995443</v>
      </c>
      <c r="J12" s="164">
        <f t="shared" si="1"/>
        <v>1733.75</v>
      </c>
      <c r="K12" s="164"/>
      <c r="L12" s="164"/>
      <c r="M12" s="164"/>
      <c r="N12" s="164"/>
      <c r="O12" s="171" t="s">
        <v>688</v>
      </c>
      <c r="P12" s="165"/>
      <c r="Q12" s="165"/>
      <c r="R12" s="165"/>
      <c r="S12" s="165"/>
      <c r="T12" s="165"/>
      <c r="U12" s="165"/>
      <c r="V12" s="166"/>
      <c r="W12" s="166"/>
      <c r="X12" s="166"/>
      <c r="Y12" s="166"/>
      <c r="Z12" s="166"/>
      <c r="AA12" s="166"/>
      <c r="AB12" s="166"/>
      <c r="AC12" s="166"/>
      <c r="AD12" s="166"/>
      <c r="AE12" s="166"/>
      <c r="AF12" s="166"/>
      <c r="AG12" s="166"/>
      <c r="AH12" s="166"/>
      <c r="AI12" s="166"/>
    </row>
    <row r="13" spans="1:35" x14ac:dyDescent="0.2">
      <c r="A13" s="167" t="s">
        <v>32</v>
      </c>
      <c r="B13" s="162">
        <v>10</v>
      </c>
      <c r="C13" s="162">
        <f t="shared" si="0"/>
        <v>1916.25</v>
      </c>
      <c r="D13" s="162" t="s">
        <v>159</v>
      </c>
      <c r="E13" s="168">
        <v>808835105085.59692</v>
      </c>
      <c r="F13" s="168">
        <v>808835105.08559692</v>
      </c>
      <c r="G13" s="168">
        <v>808835.10508559691</v>
      </c>
      <c r="H13" s="168">
        <v>808.83510508559698</v>
      </c>
      <c r="I13" s="164">
        <f>H13*$O$9/0.1*INDEX(Country_details!$N$9:N163,MATCH(Solar_data!A13,Country_details!$A$9:$A$154,0))</f>
        <v>1819.878986442593</v>
      </c>
      <c r="J13" s="164">
        <f t="shared" si="1"/>
        <v>1916.25</v>
      </c>
      <c r="K13" s="164"/>
      <c r="L13" s="164"/>
      <c r="M13" s="164"/>
      <c r="N13" s="164"/>
      <c r="O13" s="172" t="s">
        <v>903</v>
      </c>
      <c r="P13" s="165"/>
      <c r="Q13" s="165"/>
      <c r="R13" s="165"/>
      <c r="S13" s="165"/>
      <c r="T13" s="165"/>
      <c r="U13" s="165"/>
      <c r="V13" s="166"/>
      <c r="W13" s="166"/>
      <c r="X13" s="166"/>
      <c r="Y13" s="166"/>
      <c r="Z13" s="166"/>
      <c r="AA13" s="166"/>
      <c r="AB13" s="166"/>
      <c r="AC13" s="166"/>
      <c r="AD13" s="166"/>
      <c r="AE13" s="166"/>
      <c r="AF13" s="166"/>
      <c r="AG13" s="166"/>
      <c r="AH13" s="166"/>
      <c r="AI13" s="166"/>
    </row>
    <row r="14" spans="1:35" x14ac:dyDescent="0.2">
      <c r="A14" s="167" t="s">
        <v>32</v>
      </c>
      <c r="B14" s="162">
        <v>11</v>
      </c>
      <c r="C14" s="162">
        <f t="shared" si="0"/>
        <v>2098.75</v>
      </c>
      <c r="D14" s="162" t="s">
        <v>161</v>
      </c>
      <c r="E14" s="168">
        <v>369231211728.99933</v>
      </c>
      <c r="F14" s="168">
        <v>369231211.72899932</v>
      </c>
      <c r="G14" s="168">
        <v>369231.21172899933</v>
      </c>
      <c r="H14" s="168">
        <v>369.23121172899931</v>
      </c>
      <c r="I14" s="164">
        <f>H14*$O$9/0.1*INDEX(Country_details!$N$9:N164,MATCH(Solar_data!A14,Country_details!$A$9:$A$154,0))</f>
        <v>830.77022639024835</v>
      </c>
      <c r="J14" s="164">
        <f t="shared" si="1"/>
        <v>2098.75</v>
      </c>
      <c r="K14" s="164"/>
      <c r="L14" s="164"/>
      <c r="M14" s="164"/>
      <c r="N14" s="164"/>
      <c r="O14" s="166"/>
      <c r="P14" s="165"/>
      <c r="Q14" s="165"/>
      <c r="R14" s="165"/>
      <c r="S14" s="165"/>
      <c r="T14" s="165"/>
      <c r="U14" s="165"/>
      <c r="V14" s="166"/>
      <c r="W14" s="166"/>
      <c r="X14" s="166"/>
      <c r="Y14" s="166"/>
      <c r="Z14" s="166"/>
      <c r="AA14" s="166"/>
      <c r="AB14" s="166"/>
      <c r="AC14" s="166"/>
      <c r="AD14" s="166"/>
      <c r="AE14" s="166"/>
      <c r="AF14" s="166"/>
      <c r="AG14" s="166"/>
      <c r="AH14" s="166"/>
      <c r="AI14" s="166"/>
    </row>
    <row r="15" spans="1:35" x14ac:dyDescent="0.2">
      <c r="A15" s="167" t="s">
        <v>32</v>
      </c>
      <c r="B15" s="162">
        <v>12</v>
      </c>
      <c r="C15" s="162">
        <f t="shared" si="0"/>
        <v>2281.25</v>
      </c>
      <c r="D15" s="162" t="s">
        <v>162</v>
      </c>
      <c r="E15" s="168">
        <v>915524418806.1958</v>
      </c>
      <c r="F15" s="168">
        <v>915524418.80619586</v>
      </c>
      <c r="G15" s="168">
        <v>915524.41880619584</v>
      </c>
      <c r="H15" s="168">
        <v>915.52441880619585</v>
      </c>
      <c r="I15" s="164">
        <f>H15*$O$9/0.1*INDEX(Country_details!$N$9:N165,MATCH(Solar_data!A15,Country_details!$A$9:$A$154,0))</f>
        <v>2059.9299423139405</v>
      </c>
      <c r="J15" s="164">
        <f t="shared" si="1"/>
        <v>2281.25</v>
      </c>
      <c r="K15" s="164"/>
      <c r="L15" s="164"/>
      <c r="M15" s="164"/>
      <c r="N15" s="164"/>
      <c r="O15" s="166"/>
      <c r="P15" s="165"/>
      <c r="Q15" s="165"/>
      <c r="R15" s="165"/>
      <c r="S15" s="165"/>
      <c r="T15" s="165"/>
      <c r="U15" s="165"/>
      <c r="V15" s="166"/>
      <c r="W15" s="166"/>
      <c r="X15" s="166"/>
      <c r="Y15" s="166"/>
      <c r="Z15" s="166"/>
      <c r="AA15" s="166"/>
      <c r="AB15" s="166"/>
      <c r="AC15" s="166"/>
      <c r="AD15" s="166"/>
      <c r="AE15" s="166"/>
      <c r="AF15" s="166"/>
      <c r="AG15" s="166"/>
      <c r="AH15" s="166"/>
      <c r="AI15" s="166"/>
    </row>
    <row r="16" spans="1:35" x14ac:dyDescent="0.2">
      <c r="A16" s="167" t="s">
        <v>32</v>
      </c>
      <c r="B16" s="162">
        <v>13</v>
      </c>
      <c r="C16" s="162">
        <f t="shared" si="0"/>
        <v>2463.75</v>
      </c>
      <c r="D16" s="162" t="s">
        <v>163</v>
      </c>
      <c r="E16" s="168">
        <v>5997965681593.6758</v>
      </c>
      <c r="F16" s="168">
        <v>5997965681.5936756</v>
      </c>
      <c r="G16" s="168">
        <v>5997965.6815936761</v>
      </c>
      <c r="H16" s="168">
        <v>5997.965681593676</v>
      </c>
      <c r="I16" s="164">
        <f>H16*$O$9/0.1*INDEX(Country_details!$N$9:N166,MATCH(Solar_data!A16,Country_details!$A$9:$A$154,0))</f>
        <v>13495.422783585767</v>
      </c>
      <c r="J16" s="164">
        <f t="shared" si="1"/>
        <v>2463.75</v>
      </c>
      <c r="K16" s="164"/>
      <c r="L16" s="164"/>
      <c r="M16" s="164"/>
      <c r="N16" s="164"/>
      <c r="O16" s="166"/>
      <c r="P16" s="165"/>
      <c r="Q16" s="165"/>
      <c r="R16" s="165"/>
      <c r="S16" s="165"/>
      <c r="T16" s="165"/>
      <c r="U16" s="165"/>
      <c r="V16" s="166"/>
      <c r="W16" s="166"/>
      <c r="X16" s="166"/>
      <c r="Y16" s="166"/>
      <c r="Z16" s="166"/>
      <c r="AA16" s="166"/>
      <c r="AB16" s="166"/>
      <c r="AC16" s="166"/>
      <c r="AD16" s="166"/>
      <c r="AE16" s="166"/>
      <c r="AF16" s="166"/>
      <c r="AG16" s="166"/>
      <c r="AH16" s="166"/>
      <c r="AI16" s="166"/>
    </row>
    <row r="17" spans="1:35" x14ac:dyDescent="0.2">
      <c r="A17" s="167" t="s">
        <v>32</v>
      </c>
      <c r="B17" s="162">
        <v>14</v>
      </c>
      <c r="C17" s="162">
        <f t="shared" si="0"/>
        <v>2646.25</v>
      </c>
      <c r="D17" s="162" t="s">
        <v>165</v>
      </c>
      <c r="E17" s="168">
        <v>52367662545.330002</v>
      </c>
      <c r="F17" s="168">
        <v>52367662.545330003</v>
      </c>
      <c r="G17" s="168">
        <v>52367.662545330008</v>
      </c>
      <c r="H17" s="168">
        <v>52.367662545330006</v>
      </c>
      <c r="I17" s="164">
        <f>H17*$O$9/0.1*INDEX(Country_details!$N$9:N167,MATCH(Solar_data!A17,Country_details!$A$9:$A$154,0))</f>
        <v>117.8272407269925</v>
      </c>
      <c r="J17" s="164">
        <f t="shared" si="1"/>
        <v>2646.25</v>
      </c>
      <c r="K17" s="164"/>
      <c r="L17" s="164"/>
      <c r="M17" s="164"/>
      <c r="N17" s="164"/>
      <c r="O17" s="166"/>
      <c r="P17" s="166"/>
      <c r="Q17" s="166"/>
      <c r="R17" s="166"/>
      <c r="S17" s="166"/>
      <c r="T17" s="166"/>
      <c r="U17" s="166"/>
      <c r="V17" s="166"/>
      <c r="W17" s="166"/>
      <c r="X17" s="166"/>
      <c r="Y17" s="166"/>
      <c r="Z17" s="166"/>
      <c r="AA17" s="166"/>
      <c r="AB17" s="166"/>
      <c r="AC17" s="166"/>
      <c r="AD17" s="166"/>
      <c r="AE17" s="166"/>
      <c r="AF17" s="166"/>
      <c r="AG17" s="166"/>
      <c r="AH17" s="166"/>
      <c r="AI17" s="166"/>
    </row>
    <row r="18" spans="1:35" x14ac:dyDescent="0.2">
      <c r="A18" s="167" t="s">
        <v>166</v>
      </c>
      <c r="B18" s="162">
        <v>11</v>
      </c>
      <c r="C18" s="162">
        <f t="shared" si="0"/>
        <v>2098.75</v>
      </c>
      <c r="D18" s="162" t="s">
        <v>161</v>
      </c>
      <c r="E18" s="168">
        <v>257184981.58500001</v>
      </c>
      <c r="F18" s="168">
        <v>257184.981585</v>
      </c>
      <c r="G18" s="168">
        <v>257.184981585</v>
      </c>
      <c r="H18" s="168">
        <v>0.25718498158500003</v>
      </c>
      <c r="I18" s="164" t="e">
        <f>H18*$O$9/0.1*INDEX(Country_details!$N$9:N168,MATCH(Solar_data!A18,Country_details!$A$9:$A$154,0))</f>
        <v>#N/A</v>
      </c>
      <c r="J18" s="164">
        <f t="shared" si="1"/>
        <v>2098.75</v>
      </c>
      <c r="K18" s="164"/>
      <c r="L18" s="164"/>
      <c r="M18" s="164"/>
      <c r="N18" s="164"/>
      <c r="O18" s="166"/>
      <c r="P18" s="166"/>
      <c r="Q18" s="166"/>
      <c r="R18" s="166"/>
      <c r="S18" s="166"/>
      <c r="T18" s="166"/>
      <c r="U18" s="166"/>
      <c r="V18" s="166"/>
      <c r="W18" s="166"/>
      <c r="X18" s="166"/>
      <c r="Y18" s="166"/>
      <c r="Z18" s="166"/>
      <c r="AA18" s="166"/>
      <c r="AB18" s="166"/>
      <c r="AC18" s="166"/>
      <c r="AD18" s="166"/>
      <c r="AE18" s="166"/>
      <c r="AF18" s="166"/>
      <c r="AG18" s="166"/>
      <c r="AH18" s="166"/>
      <c r="AI18" s="166"/>
    </row>
    <row r="19" spans="1:35" x14ac:dyDescent="0.2">
      <c r="A19" s="167" t="s">
        <v>167</v>
      </c>
      <c r="B19" s="162">
        <v>9</v>
      </c>
      <c r="C19" s="162">
        <f t="shared" si="0"/>
        <v>1733.75</v>
      </c>
      <c r="D19" s="162" t="s">
        <v>157</v>
      </c>
      <c r="E19" s="168">
        <v>230276664.7712</v>
      </c>
      <c r="F19" s="168">
        <v>230276.66477120001</v>
      </c>
      <c r="G19" s="168">
        <v>230.27666477120002</v>
      </c>
      <c r="H19" s="168">
        <v>0.23027666477120001</v>
      </c>
      <c r="I19" s="164" t="e">
        <f>H19*$O$9/0.1*INDEX(Country_details!$N$9:N169,MATCH(Solar_data!A19,Country_details!$A$9:$A$154,0))</f>
        <v>#N/A</v>
      </c>
      <c r="J19" s="164">
        <f t="shared" si="1"/>
        <v>1733.75</v>
      </c>
      <c r="K19" s="164"/>
      <c r="L19" s="164"/>
      <c r="M19" s="164"/>
      <c r="N19" s="164"/>
      <c r="O19" s="166"/>
      <c r="P19" s="166"/>
      <c r="Q19" s="166"/>
      <c r="R19" s="166"/>
      <c r="S19" s="166"/>
      <c r="T19" s="166"/>
      <c r="U19" s="166"/>
      <c r="V19" s="166"/>
      <c r="W19" s="166"/>
      <c r="X19" s="166"/>
      <c r="Y19" s="166"/>
      <c r="Z19" s="166"/>
      <c r="AA19" s="166"/>
      <c r="AB19" s="166"/>
      <c r="AC19" s="166"/>
      <c r="AD19" s="166"/>
      <c r="AE19" s="166"/>
      <c r="AF19" s="166"/>
      <c r="AG19" s="166"/>
      <c r="AH19" s="166"/>
      <c r="AI19" s="166"/>
    </row>
    <row r="20" spans="1:35" x14ac:dyDescent="0.2">
      <c r="A20" s="167" t="s">
        <v>167</v>
      </c>
      <c r="B20" s="162">
        <v>10</v>
      </c>
      <c r="C20" s="162">
        <f t="shared" si="0"/>
        <v>1916.25</v>
      </c>
      <c r="D20" s="162" t="s">
        <v>159</v>
      </c>
      <c r="E20" s="168">
        <v>712639935.62049997</v>
      </c>
      <c r="F20" s="168">
        <v>712639.93562050001</v>
      </c>
      <c r="G20" s="168">
        <v>712.63993562050007</v>
      </c>
      <c r="H20" s="168">
        <v>0.7126399356205001</v>
      </c>
      <c r="I20" s="164" t="e">
        <f>H20*$O$9/0.1*INDEX(Country_details!$N$9:N170,MATCH(Solar_data!A20,Country_details!$A$9:$A$154,0))</f>
        <v>#N/A</v>
      </c>
      <c r="J20" s="164">
        <f t="shared" si="1"/>
        <v>1916.25</v>
      </c>
      <c r="K20" s="164"/>
      <c r="L20" s="164"/>
      <c r="M20" s="164"/>
      <c r="N20" s="164"/>
      <c r="O20" s="166"/>
      <c r="P20" s="166"/>
      <c r="Q20" s="166"/>
      <c r="R20" s="166"/>
      <c r="S20" s="166"/>
      <c r="T20" s="166"/>
      <c r="U20" s="166"/>
      <c r="V20" s="166"/>
      <c r="W20" s="166"/>
      <c r="X20" s="166"/>
      <c r="Y20" s="166"/>
      <c r="Z20" s="166"/>
      <c r="AA20" s="166"/>
      <c r="AB20" s="166"/>
      <c r="AC20" s="166"/>
      <c r="AD20" s="166"/>
      <c r="AE20" s="166"/>
      <c r="AF20" s="166"/>
      <c r="AG20" s="166"/>
      <c r="AH20" s="166"/>
      <c r="AI20" s="166"/>
    </row>
    <row r="21" spans="1:35" x14ac:dyDescent="0.2">
      <c r="A21" s="167" t="s">
        <v>33</v>
      </c>
      <c r="B21" s="162">
        <v>8</v>
      </c>
      <c r="C21" s="162">
        <f t="shared" si="0"/>
        <v>1551.25</v>
      </c>
      <c r="D21" s="162" t="s">
        <v>164</v>
      </c>
      <c r="E21" s="168">
        <v>79177067391.233597</v>
      </c>
      <c r="F21" s="168">
        <v>79177067.391233593</v>
      </c>
      <c r="G21" s="168">
        <v>79177.067391233591</v>
      </c>
      <c r="H21" s="168">
        <v>79.177067391233592</v>
      </c>
      <c r="I21" s="164">
        <f>H21*$O$9/0.1*INDEX(Country_details!$N$9:N171,MATCH(Solar_data!A21,Country_details!$A$9:$A$154,0))</f>
        <v>190.02496173896063</v>
      </c>
      <c r="J21" s="164">
        <f t="shared" si="1"/>
        <v>1551.25</v>
      </c>
      <c r="K21" s="164"/>
      <c r="L21" s="164"/>
      <c r="M21" s="164"/>
      <c r="N21" s="164"/>
      <c r="O21" s="166"/>
      <c r="P21" s="166"/>
      <c r="Q21" s="166"/>
      <c r="R21" s="166"/>
      <c r="S21" s="166"/>
      <c r="T21" s="166"/>
      <c r="U21" s="166"/>
      <c r="V21" s="166"/>
      <c r="W21" s="166"/>
      <c r="X21" s="166"/>
      <c r="Y21" s="166"/>
      <c r="Z21" s="166"/>
      <c r="AA21" s="166"/>
      <c r="AB21" s="166"/>
      <c r="AC21" s="166"/>
      <c r="AD21" s="166"/>
      <c r="AE21" s="166"/>
      <c r="AF21" s="166"/>
      <c r="AG21" s="166"/>
      <c r="AH21" s="166"/>
      <c r="AI21" s="166"/>
    </row>
    <row r="22" spans="1:35" x14ac:dyDescent="0.2">
      <c r="A22" s="167" t="s">
        <v>33</v>
      </c>
      <c r="B22" s="162">
        <v>9</v>
      </c>
      <c r="C22" s="162">
        <f t="shared" si="0"/>
        <v>1733.75</v>
      </c>
      <c r="D22" s="162" t="s">
        <v>157</v>
      </c>
      <c r="E22" s="168">
        <v>309997999595.5636</v>
      </c>
      <c r="F22" s="168">
        <v>309997999.59556359</v>
      </c>
      <c r="G22" s="168">
        <v>309997.99959556363</v>
      </c>
      <c r="H22" s="168">
        <v>309.99799959556361</v>
      </c>
      <c r="I22" s="164">
        <f>H22*$O$9/0.1*INDEX(Country_details!$N$9:N172,MATCH(Solar_data!A22,Country_details!$A$9:$A$154,0))</f>
        <v>743.99519902935265</v>
      </c>
      <c r="J22" s="164">
        <f t="shared" si="1"/>
        <v>1733.75</v>
      </c>
      <c r="K22" s="164"/>
      <c r="L22" s="164"/>
      <c r="M22" s="164"/>
      <c r="N22" s="164"/>
      <c r="O22" s="166"/>
      <c r="P22" s="166"/>
      <c r="Q22" s="166"/>
      <c r="R22" s="166"/>
      <c r="S22" s="166"/>
      <c r="T22" s="166"/>
      <c r="U22" s="166"/>
      <c r="V22" s="166"/>
      <c r="W22" s="166"/>
      <c r="X22" s="166"/>
      <c r="Y22" s="166"/>
      <c r="Z22" s="166"/>
      <c r="AA22" s="166"/>
      <c r="AB22" s="166"/>
      <c r="AC22" s="166"/>
      <c r="AD22" s="166"/>
      <c r="AE22" s="166"/>
      <c r="AF22" s="166"/>
      <c r="AG22" s="166"/>
      <c r="AH22" s="166"/>
      <c r="AI22" s="166"/>
    </row>
    <row r="23" spans="1:35" x14ac:dyDescent="0.2">
      <c r="A23" s="167" t="s">
        <v>33</v>
      </c>
      <c r="B23" s="162">
        <v>10</v>
      </c>
      <c r="C23" s="162">
        <f t="shared" si="0"/>
        <v>1916.25</v>
      </c>
      <c r="D23" s="162" t="s">
        <v>159</v>
      </c>
      <c r="E23" s="168">
        <v>938883098796.58484</v>
      </c>
      <c r="F23" s="168">
        <v>938883098.79658484</v>
      </c>
      <c r="G23" s="168">
        <v>938883.09879658488</v>
      </c>
      <c r="H23" s="168">
        <v>938.88309879658493</v>
      </c>
      <c r="I23" s="164">
        <f>H23*$O$9/0.1*INDEX(Country_details!$N$9:N173,MATCH(Solar_data!A23,Country_details!$A$9:$A$154,0))</f>
        <v>2253.3194371118038</v>
      </c>
      <c r="J23" s="164">
        <f t="shared" si="1"/>
        <v>1916.25</v>
      </c>
      <c r="K23" s="164"/>
      <c r="L23" s="164"/>
      <c r="M23" s="164"/>
      <c r="N23" s="164"/>
      <c r="O23" s="166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  <c r="AA23" s="166"/>
      <c r="AB23" s="166"/>
      <c r="AC23" s="166"/>
      <c r="AD23" s="166"/>
      <c r="AE23" s="166"/>
      <c r="AF23" s="166"/>
      <c r="AG23" s="166"/>
      <c r="AH23" s="166"/>
      <c r="AI23" s="166"/>
    </row>
    <row r="24" spans="1:35" x14ac:dyDescent="0.2">
      <c r="A24" s="167" t="s">
        <v>33</v>
      </c>
      <c r="B24" s="162">
        <v>11</v>
      </c>
      <c r="C24" s="162">
        <f t="shared" si="0"/>
        <v>2098.75</v>
      </c>
      <c r="D24" s="162" t="s">
        <v>161</v>
      </c>
      <c r="E24" s="168">
        <v>1157646839142.0635</v>
      </c>
      <c r="F24" s="168">
        <v>1157646839.1420636</v>
      </c>
      <c r="G24" s="168">
        <v>1157646.8391420636</v>
      </c>
      <c r="H24" s="168">
        <v>1157.6468391420638</v>
      </c>
      <c r="I24" s="164">
        <f>H24*$O$9/0.1*INDEX(Country_details!$N$9:N174,MATCH(Solar_data!A24,Country_details!$A$9:$A$154,0))</f>
        <v>2778.3524139409528</v>
      </c>
      <c r="J24" s="164">
        <f t="shared" si="1"/>
        <v>2098.75</v>
      </c>
      <c r="K24" s="164"/>
      <c r="L24" s="164"/>
      <c r="M24" s="164"/>
      <c r="N24" s="164"/>
      <c r="O24" s="166"/>
      <c r="P24" s="166"/>
      <c r="Q24" s="166"/>
      <c r="R24" s="166"/>
      <c r="S24" s="166"/>
      <c r="T24" s="166"/>
      <c r="U24" s="166"/>
      <c r="V24" s="166"/>
      <c r="W24" s="166"/>
      <c r="X24" s="166"/>
      <c r="Y24" s="166"/>
      <c r="Z24" s="166"/>
      <c r="AA24" s="166"/>
      <c r="AB24" s="166"/>
      <c r="AC24" s="166"/>
      <c r="AD24" s="166"/>
      <c r="AE24" s="166"/>
      <c r="AF24" s="166"/>
      <c r="AG24" s="166"/>
      <c r="AH24" s="166"/>
      <c r="AI24" s="166"/>
    </row>
    <row r="25" spans="1:35" x14ac:dyDescent="0.2">
      <c r="A25" s="167" t="s">
        <v>33</v>
      </c>
      <c r="B25" s="162">
        <v>12</v>
      </c>
      <c r="C25" s="162">
        <f t="shared" si="0"/>
        <v>2281.25</v>
      </c>
      <c r="D25" s="162" t="s">
        <v>162</v>
      </c>
      <c r="E25" s="168">
        <v>1223387435170.1523</v>
      </c>
      <c r="F25" s="168">
        <v>1223387435.1701524</v>
      </c>
      <c r="G25" s="168">
        <v>1223387.4351701525</v>
      </c>
      <c r="H25" s="168">
        <v>1223.3874351701525</v>
      </c>
      <c r="I25" s="164">
        <f>H25*$O$9/0.1*INDEX(Country_details!$N$9:N175,MATCH(Solar_data!A25,Country_details!$A$9:$A$154,0))</f>
        <v>2936.1298444083659</v>
      </c>
      <c r="J25" s="164">
        <f t="shared" si="1"/>
        <v>2281.25</v>
      </c>
      <c r="K25" s="164"/>
      <c r="L25" s="164"/>
      <c r="M25" s="164"/>
      <c r="N25" s="164"/>
      <c r="O25" s="166"/>
      <c r="P25" s="166"/>
      <c r="Q25" s="166"/>
      <c r="R25" s="166"/>
      <c r="S25" s="166"/>
      <c r="T25" s="166"/>
      <c r="U25" s="166"/>
      <c r="V25" s="166"/>
      <c r="W25" s="166"/>
      <c r="X25" s="166"/>
      <c r="Y25" s="166"/>
      <c r="Z25" s="166"/>
      <c r="AA25" s="166"/>
      <c r="AB25" s="166"/>
      <c r="AC25" s="166"/>
      <c r="AD25" s="166"/>
      <c r="AE25" s="166"/>
      <c r="AF25" s="166"/>
      <c r="AG25" s="166"/>
      <c r="AH25" s="166"/>
      <c r="AI25" s="166"/>
    </row>
    <row r="26" spans="1:35" x14ac:dyDescent="0.2">
      <c r="A26" s="167" t="s">
        <v>33</v>
      </c>
      <c r="B26" s="162">
        <v>13</v>
      </c>
      <c r="C26" s="162">
        <f t="shared" si="0"/>
        <v>2463.75</v>
      </c>
      <c r="D26" s="162" t="s">
        <v>163</v>
      </c>
      <c r="E26" s="168">
        <v>165662194273.32101</v>
      </c>
      <c r="F26" s="168">
        <v>165662194.27332103</v>
      </c>
      <c r="G26" s="168">
        <v>165662.19427332105</v>
      </c>
      <c r="H26" s="168">
        <v>165.66219427332103</v>
      </c>
      <c r="I26" s="164">
        <f>H26*$O$9/0.1*INDEX(Country_details!$N$9:N176,MATCH(Solar_data!A26,Country_details!$A$9:$A$154,0))</f>
        <v>397.58926625597047</v>
      </c>
      <c r="J26" s="164">
        <f t="shared" si="1"/>
        <v>2463.75</v>
      </c>
      <c r="K26" s="164"/>
      <c r="L26" s="164"/>
      <c r="M26" s="164"/>
      <c r="N26" s="164"/>
      <c r="O26" s="166"/>
      <c r="P26" s="166"/>
      <c r="Q26" s="166"/>
      <c r="R26" s="166"/>
      <c r="S26" s="166"/>
      <c r="T26" s="166"/>
      <c r="U26" s="166"/>
      <c r="V26" s="166"/>
      <c r="W26" s="166"/>
      <c r="X26" s="166"/>
      <c r="Y26" s="166"/>
      <c r="Z26" s="166"/>
      <c r="AA26" s="166"/>
      <c r="AB26" s="166"/>
      <c r="AC26" s="166"/>
      <c r="AD26" s="166"/>
      <c r="AE26" s="166"/>
      <c r="AF26" s="166"/>
      <c r="AG26" s="166"/>
      <c r="AH26" s="166"/>
      <c r="AI26" s="166"/>
    </row>
    <row r="27" spans="1:35" x14ac:dyDescent="0.2">
      <c r="A27" s="167" t="s">
        <v>168</v>
      </c>
      <c r="B27" s="162">
        <v>10</v>
      </c>
      <c r="C27" s="162">
        <f t="shared" si="0"/>
        <v>1916.25</v>
      </c>
      <c r="D27" s="162" t="s">
        <v>159</v>
      </c>
      <c r="E27" s="168">
        <v>218478974.09830001</v>
      </c>
      <c r="F27" s="168">
        <v>218478.97409830001</v>
      </c>
      <c r="G27" s="168">
        <v>218.4789740983</v>
      </c>
      <c r="H27" s="168">
        <v>0.2184789740983</v>
      </c>
      <c r="I27" s="164" t="e">
        <f>H27*$O$9/0.1*INDEX(Country_details!$N$9:N177,MATCH(Solar_data!A27,Country_details!$A$9:$A$154,0))</f>
        <v>#N/A</v>
      </c>
      <c r="J27" s="164">
        <f t="shared" si="1"/>
        <v>1916.25</v>
      </c>
      <c r="K27" s="164"/>
      <c r="L27" s="164"/>
      <c r="M27" s="164"/>
      <c r="N27" s="164"/>
      <c r="O27" s="166"/>
      <c r="P27" s="166"/>
      <c r="Q27" s="166"/>
      <c r="R27" s="166"/>
      <c r="S27" s="166"/>
      <c r="T27" s="166"/>
      <c r="U27" s="166"/>
      <c r="V27" s="166"/>
      <c r="W27" s="166"/>
      <c r="X27" s="166"/>
      <c r="Y27" s="166"/>
      <c r="Z27" s="166"/>
      <c r="AA27" s="166"/>
      <c r="AB27" s="166"/>
      <c r="AC27" s="166"/>
      <c r="AD27" s="166"/>
      <c r="AE27" s="166"/>
      <c r="AF27" s="166"/>
      <c r="AG27" s="166"/>
      <c r="AH27" s="166"/>
      <c r="AI27" s="166"/>
    </row>
    <row r="28" spans="1:35" x14ac:dyDescent="0.2">
      <c r="A28" s="167" t="s">
        <v>169</v>
      </c>
      <c r="B28" s="162">
        <v>3</v>
      </c>
      <c r="C28" s="162">
        <f t="shared" si="0"/>
        <v>638.75</v>
      </c>
      <c r="D28" s="162" t="s">
        <v>170</v>
      </c>
      <c r="E28" s="168">
        <v>816013353.83399999</v>
      </c>
      <c r="F28" s="168">
        <v>816013.35383399995</v>
      </c>
      <c r="G28" s="168">
        <v>816.01335383399999</v>
      </c>
      <c r="H28" s="168">
        <v>0.81601335383399998</v>
      </c>
      <c r="I28" s="164">
        <f>H28*$O$9/0.1*INDEX(Country_details!$N$9:N178,MATCH(Solar_data!A28,Country_details!$A$9:$A$154,0))</f>
        <v>2.0808340522766997</v>
      </c>
      <c r="J28" s="164">
        <f t="shared" si="1"/>
        <v>638.75</v>
      </c>
      <c r="K28" s="164"/>
      <c r="L28" s="164"/>
      <c r="M28" s="164"/>
      <c r="N28" s="164"/>
      <c r="O28" s="166"/>
      <c r="P28" s="166"/>
      <c r="Q28" s="166"/>
      <c r="R28" s="166"/>
      <c r="S28" s="166"/>
      <c r="T28" s="166"/>
      <c r="U28" s="166"/>
      <c r="V28" s="166"/>
      <c r="W28" s="166"/>
      <c r="X28" s="166"/>
      <c r="Y28" s="166"/>
      <c r="Z28" s="166"/>
      <c r="AA28" s="166"/>
      <c r="AB28" s="166"/>
      <c r="AC28" s="166"/>
      <c r="AD28" s="166"/>
      <c r="AE28" s="166"/>
      <c r="AF28" s="166"/>
      <c r="AG28" s="166"/>
      <c r="AH28" s="166"/>
      <c r="AI28" s="166"/>
    </row>
    <row r="29" spans="1:35" x14ac:dyDescent="0.2">
      <c r="A29" s="167" t="s">
        <v>169</v>
      </c>
      <c r="B29" s="162">
        <v>4</v>
      </c>
      <c r="C29" s="162">
        <f t="shared" si="0"/>
        <v>821.25</v>
      </c>
      <c r="D29" s="162" t="s">
        <v>171</v>
      </c>
      <c r="E29" s="168">
        <v>83245246041.188995</v>
      </c>
      <c r="F29" s="168">
        <v>83245246.041189</v>
      </c>
      <c r="G29" s="168">
        <v>83245.246041189006</v>
      </c>
      <c r="H29" s="168">
        <v>83.245246041189006</v>
      </c>
      <c r="I29" s="164">
        <f>H29*$O$9/0.1*INDEX(Country_details!$N$9:N179,MATCH(Solar_data!A29,Country_details!$A$9:$A$154,0))</f>
        <v>212.27537740503195</v>
      </c>
      <c r="J29" s="164">
        <f t="shared" si="1"/>
        <v>821.25</v>
      </c>
      <c r="K29" s="164"/>
      <c r="L29" s="164"/>
      <c r="M29" s="164"/>
      <c r="N29" s="164"/>
      <c r="O29" s="166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  <c r="AA29" s="166"/>
      <c r="AB29" s="166"/>
      <c r="AC29" s="166"/>
      <c r="AD29" s="166"/>
      <c r="AE29" s="166"/>
      <c r="AF29" s="166"/>
      <c r="AG29" s="166"/>
      <c r="AH29" s="166"/>
      <c r="AI29" s="166"/>
    </row>
    <row r="30" spans="1:35" x14ac:dyDescent="0.2">
      <c r="A30" s="167" t="s">
        <v>169</v>
      </c>
      <c r="B30" s="162">
        <v>5</v>
      </c>
      <c r="C30" s="162">
        <f t="shared" si="0"/>
        <v>1003.75</v>
      </c>
      <c r="D30" s="162" t="s">
        <v>172</v>
      </c>
      <c r="E30" s="168">
        <v>838950934488.34216</v>
      </c>
      <c r="F30" s="168">
        <v>838950934.48834217</v>
      </c>
      <c r="G30" s="168">
        <v>838950.93448834214</v>
      </c>
      <c r="H30" s="168">
        <v>838.95093448834211</v>
      </c>
      <c r="I30" s="164">
        <f>H30*$O$9/0.1*INDEX(Country_details!$N$9:N180,MATCH(Solar_data!A30,Country_details!$A$9:$A$154,0))</f>
        <v>2139.3248829452723</v>
      </c>
      <c r="J30" s="164">
        <f t="shared" si="1"/>
        <v>1003.75</v>
      </c>
      <c r="K30" s="164"/>
      <c r="L30" s="164"/>
      <c r="M30" s="164"/>
      <c r="N30" s="164"/>
      <c r="O30" s="166"/>
      <c r="P30" s="166"/>
      <c r="Q30" s="166"/>
      <c r="R30" s="166"/>
      <c r="S30" s="166"/>
      <c r="T30" s="166"/>
      <c r="U30" s="166"/>
      <c r="V30" s="166"/>
      <c r="W30" s="166"/>
      <c r="X30" s="166"/>
      <c r="Y30" s="166"/>
      <c r="Z30" s="166"/>
      <c r="AA30" s="166"/>
      <c r="AB30" s="166"/>
      <c r="AC30" s="166"/>
      <c r="AD30" s="166"/>
      <c r="AE30" s="166"/>
      <c r="AF30" s="166"/>
      <c r="AG30" s="166"/>
      <c r="AH30" s="166"/>
      <c r="AI30" s="166"/>
    </row>
    <row r="31" spans="1:35" x14ac:dyDescent="0.2">
      <c r="A31" s="167" t="s">
        <v>169</v>
      </c>
      <c r="B31" s="162">
        <v>6</v>
      </c>
      <c r="C31" s="162">
        <f t="shared" si="0"/>
        <v>1186.25</v>
      </c>
      <c r="D31" s="162" t="s">
        <v>173</v>
      </c>
      <c r="E31" s="168">
        <v>2918712741913.4873</v>
      </c>
      <c r="F31" s="168">
        <v>2918712741.9134874</v>
      </c>
      <c r="G31" s="168">
        <v>2918712.7419134877</v>
      </c>
      <c r="H31" s="168">
        <v>2918.7127419134877</v>
      </c>
      <c r="I31" s="164">
        <f>H31*$O$9/0.1*INDEX(Country_details!$N$9:N181,MATCH(Solar_data!A31,Country_details!$A$9:$A$154,0))</f>
        <v>7442.7174918793926</v>
      </c>
      <c r="J31" s="164">
        <f t="shared" si="1"/>
        <v>1186.25</v>
      </c>
      <c r="K31" s="164"/>
      <c r="L31" s="164"/>
      <c r="M31" s="164"/>
      <c r="N31" s="164"/>
      <c r="O31" s="166"/>
      <c r="P31" s="166"/>
      <c r="Q31" s="166"/>
      <c r="R31" s="166"/>
      <c r="S31" s="166"/>
      <c r="T31" s="166"/>
      <c r="U31" s="166"/>
      <c r="V31" s="166"/>
      <c r="W31" s="166"/>
      <c r="X31" s="166"/>
      <c r="Y31" s="166"/>
      <c r="Z31" s="166"/>
      <c r="AA31" s="166"/>
      <c r="AB31" s="166"/>
      <c r="AC31" s="166"/>
      <c r="AD31" s="166"/>
      <c r="AE31" s="166"/>
      <c r="AF31" s="166"/>
      <c r="AG31" s="166"/>
      <c r="AH31" s="166"/>
      <c r="AI31" s="166"/>
    </row>
    <row r="32" spans="1:35" x14ac:dyDescent="0.2">
      <c r="A32" s="167" t="s">
        <v>169</v>
      </c>
      <c r="B32" s="162">
        <v>7</v>
      </c>
      <c r="C32" s="162">
        <f t="shared" si="0"/>
        <v>1368.75</v>
      </c>
      <c r="D32" s="162" t="s">
        <v>174</v>
      </c>
      <c r="E32" s="168">
        <v>3076259684056.0024</v>
      </c>
      <c r="F32" s="168">
        <v>3076259684.0560026</v>
      </c>
      <c r="G32" s="168">
        <v>3076259.6840560026</v>
      </c>
      <c r="H32" s="168">
        <v>3076.2596840560027</v>
      </c>
      <c r="I32" s="164">
        <f>H32*$O$9/0.1*INDEX(Country_details!$N$9:N182,MATCH(Solar_data!A32,Country_details!$A$9:$A$154,0))</f>
        <v>7844.4621943428056</v>
      </c>
      <c r="J32" s="164">
        <f t="shared" si="1"/>
        <v>1368.75</v>
      </c>
      <c r="K32" s="164"/>
      <c r="L32" s="164"/>
      <c r="M32" s="164"/>
      <c r="N32" s="164"/>
      <c r="O32" s="166"/>
      <c r="P32" s="166"/>
      <c r="Q32" s="166"/>
      <c r="R32" s="166"/>
      <c r="S32" s="166"/>
      <c r="T32" s="166"/>
      <c r="U32" s="166"/>
      <c r="V32" s="166"/>
      <c r="W32" s="166"/>
      <c r="X32" s="166"/>
      <c r="Y32" s="166"/>
      <c r="Z32" s="166"/>
      <c r="AA32" s="166"/>
      <c r="AB32" s="166"/>
      <c r="AC32" s="166"/>
      <c r="AD32" s="166"/>
      <c r="AE32" s="166"/>
      <c r="AF32" s="166"/>
      <c r="AG32" s="166"/>
      <c r="AH32" s="166"/>
      <c r="AI32" s="166"/>
    </row>
    <row r="33" spans="1:35" x14ac:dyDescent="0.2">
      <c r="A33" s="167" t="s">
        <v>169</v>
      </c>
      <c r="B33" s="162">
        <v>8</v>
      </c>
      <c r="C33" s="162">
        <f t="shared" si="0"/>
        <v>1551.25</v>
      </c>
      <c r="D33" s="162" t="s">
        <v>164</v>
      </c>
      <c r="E33" s="168">
        <v>3925445622851.2231</v>
      </c>
      <c r="F33" s="168">
        <v>3925445622.851223</v>
      </c>
      <c r="G33" s="168">
        <v>3925445.6228512232</v>
      </c>
      <c r="H33" s="168">
        <v>3925.4456228512231</v>
      </c>
      <c r="I33" s="164">
        <f>H33*$O$9/0.1*INDEX(Country_details!$N$9:N183,MATCH(Solar_data!A33,Country_details!$A$9:$A$154,0))</f>
        <v>10009.886338270617</v>
      </c>
      <c r="J33" s="164">
        <f t="shared" si="1"/>
        <v>1551.25</v>
      </c>
      <c r="K33" s="164"/>
      <c r="L33" s="164"/>
      <c r="M33" s="164"/>
      <c r="N33" s="164"/>
      <c r="O33" s="166"/>
      <c r="P33" s="166"/>
      <c r="Q33" s="166"/>
      <c r="R33" s="166"/>
      <c r="S33" s="166"/>
      <c r="T33" s="166"/>
      <c r="U33" s="166"/>
      <c r="V33" s="166"/>
      <c r="W33" s="166"/>
      <c r="X33" s="166"/>
      <c r="Y33" s="166"/>
      <c r="Z33" s="166"/>
      <c r="AA33" s="166"/>
      <c r="AB33" s="166"/>
      <c r="AC33" s="166"/>
      <c r="AD33" s="166"/>
      <c r="AE33" s="166"/>
      <c r="AF33" s="166"/>
      <c r="AG33" s="166"/>
      <c r="AH33" s="166"/>
      <c r="AI33" s="166"/>
    </row>
    <row r="34" spans="1:35" x14ac:dyDescent="0.2">
      <c r="A34" s="167" t="s">
        <v>169</v>
      </c>
      <c r="B34" s="162">
        <v>9</v>
      </c>
      <c r="C34" s="162">
        <f t="shared" si="0"/>
        <v>1733.75</v>
      </c>
      <c r="D34" s="162" t="s">
        <v>157</v>
      </c>
      <c r="E34" s="168">
        <v>12405818102182.641</v>
      </c>
      <c r="F34" s="168">
        <v>12405818102.18264</v>
      </c>
      <c r="G34" s="168">
        <v>12405818.10218264</v>
      </c>
      <c r="H34" s="168">
        <v>12405.81810218264</v>
      </c>
      <c r="I34" s="164">
        <f>H34*$O$9/0.1*INDEX(Country_details!$N$9:N184,MATCH(Solar_data!A34,Country_details!$A$9:$A$154,0))</f>
        <v>31634.836160565726</v>
      </c>
      <c r="J34" s="164">
        <f t="shared" si="1"/>
        <v>1733.75</v>
      </c>
      <c r="K34" s="164"/>
      <c r="L34" s="164"/>
      <c r="M34" s="164"/>
      <c r="N34" s="164"/>
      <c r="O34" s="166"/>
      <c r="P34" s="166"/>
      <c r="Q34" s="166"/>
      <c r="R34" s="166"/>
      <c r="S34" s="166"/>
      <c r="T34" s="166"/>
      <c r="U34" s="166"/>
      <c r="V34" s="166"/>
      <c r="W34" s="166"/>
      <c r="X34" s="166"/>
      <c r="Y34" s="166"/>
      <c r="Z34" s="166"/>
      <c r="AA34" s="166"/>
      <c r="AB34" s="166"/>
      <c r="AC34" s="166"/>
      <c r="AD34" s="166"/>
      <c r="AE34" s="166"/>
      <c r="AF34" s="166"/>
      <c r="AG34" s="166"/>
      <c r="AH34" s="166"/>
      <c r="AI34" s="166"/>
    </row>
    <row r="35" spans="1:35" x14ac:dyDescent="0.2">
      <c r="A35" s="167" t="s">
        <v>169</v>
      </c>
      <c r="B35" s="162">
        <v>10</v>
      </c>
      <c r="C35" s="162">
        <f t="shared" si="0"/>
        <v>1916.25</v>
      </c>
      <c r="D35" s="162" t="s">
        <v>159</v>
      </c>
      <c r="E35" s="168">
        <v>4098574440305.0781</v>
      </c>
      <c r="F35" s="168">
        <v>4098574440.305078</v>
      </c>
      <c r="G35" s="168">
        <v>4098574.4403050779</v>
      </c>
      <c r="H35" s="168">
        <v>4098.5744403050776</v>
      </c>
      <c r="I35" s="164">
        <f>H35*$O$9/0.1*INDEX(Country_details!$N$9:N185,MATCH(Solar_data!A35,Country_details!$A$9:$A$154,0))</f>
        <v>10451.364822777947</v>
      </c>
      <c r="J35" s="164">
        <f t="shared" si="1"/>
        <v>1916.25</v>
      </c>
      <c r="K35" s="164"/>
      <c r="L35" s="164"/>
      <c r="M35" s="164"/>
      <c r="N35" s="164"/>
      <c r="O35" s="166"/>
      <c r="P35" s="166"/>
      <c r="Q35" s="166"/>
      <c r="R35" s="166"/>
      <c r="S35" s="166"/>
      <c r="T35" s="166"/>
      <c r="U35" s="166"/>
      <c r="V35" s="166"/>
      <c r="W35" s="166"/>
      <c r="X35" s="166"/>
      <c r="Y35" s="166"/>
      <c r="Z35" s="166"/>
      <c r="AA35" s="166"/>
      <c r="AB35" s="166"/>
      <c r="AC35" s="166"/>
      <c r="AD35" s="166"/>
      <c r="AE35" s="166"/>
      <c r="AF35" s="166"/>
      <c r="AG35" s="166"/>
      <c r="AH35" s="166"/>
      <c r="AI35" s="166"/>
    </row>
    <row r="36" spans="1:35" x14ac:dyDescent="0.2">
      <c r="A36" s="167" t="s">
        <v>169</v>
      </c>
      <c r="B36" s="162">
        <v>11</v>
      </c>
      <c r="C36" s="162">
        <f t="shared" si="0"/>
        <v>2098.75</v>
      </c>
      <c r="D36" s="162" t="s">
        <v>161</v>
      </c>
      <c r="E36" s="168">
        <v>2104715742501.5962</v>
      </c>
      <c r="F36" s="168">
        <v>2104715742.5015962</v>
      </c>
      <c r="G36" s="168">
        <v>2104715.7425015965</v>
      </c>
      <c r="H36" s="168">
        <v>2104.7157425015967</v>
      </c>
      <c r="I36" s="164">
        <f>H36*$O$9/0.1*INDEX(Country_details!$N$9:N186,MATCH(Solar_data!A36,Country_details!$A$9:$A$154,0))</f>
        <v>5367.0251433790709</v>
      </c>
      <c r="J36" s="164">
        <f t="shared" si="1"/>
        <v>2098.75</v>
      </c>
      <c r="K36" s="164"/>
      <c r="L36" s="164"/>
      <c r="M36" s="164"/>
      <c r="N36" s="164"/>
      <c r="O36" s="166"/>
      <c r="P36" s="166"/>
      <c r="Q36" s="166"/>
      <c r="R36" s="166"/>
      <c r="S36" s="166"/>
      <c r="T36" s="166"/>
      <c r="U36" s="166"/>
      <c r="V36" s="166"/>
      <c r="W36" s="166"/>
      <c r="X36" s="166"/>
      <c r="Y36" s="166"/>
      <c r="Z36" s="166"/>
      <c r="AA36" s="166"/>
      <c r="AB36" s="166"/>
      <c r="AC36" s="166"/>
      <c r="AD36" s="166"/>
      <c r="AE36" s="166"/>
      <c r="AF36" s="166"/>
      <c r="AG36" s="166"/>
      <c r="AH36" s="166"/>
      <c r="AI36" s="166"/>
    </row>
    <row r="37" spans="1:35" x14ac:dyDescent="0.2">
      <c r="A37" s="167" t="s">
        <v>169</v>
      </c>
      <c r="B37" s="162">
        <v>12</v>
      </c>
      <c r="C37" s="162">
        <f t="shared" si="0"/>
        <v>2281.25</v>
      </c>
      <c r="D37" s="162" t="s">
        <v>162</v>
      </c>
      <c r="E37" s="168">
        <v>346503688027.12982</v>
      </c>
      <c r="F37" s="168">
        <v>346503688.02712983</v>
      </c>
      <c r="G37" s="168">
        <v>346503.68802712986</v>
      </c>
      <c r="H37" s="168">
        <v>346.50368802712984</v>
      </c>
      <c r="I37" s="164">
        <f>H37*$O$9/0.1*INDEX(Country_details!$N$9:N187,MATCH(Solar_data!A37,Country_details!$A$9:$A$154,0))</f>
        <v>883.5844044691811</v>
      </c>
      <c r="J37" s="164">
        <f t="shared" si="1"/>
        <v>2281.25</v>
      </c>
      <c r="K37" s="164"/>
      <c r="L37" s="164"/>
      <c r="M37" s="164"/>
      <c r="N37" s="164"/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66"/>
      <c r="Z37" s="166"/>
      <c r="AA37" s="166"/>
      <c r="AB37" s="166"/>
      <c r="AC37" s="166"/>
      <c r="AD37" s="166"/>
      <c r="AE37" s="166"/>
      <c r="AF37" s="166"/>
      <c r="AG37" s="166"/>
      <c r="AH37" s="166"/>
      <c r="AI37" s="166"/>
    </row>
    <row r="38" spans="1:35" x14ac:dyDescent="0.2">
      <c r="A38" s="167" t="s">
        <v>175</v>
      </c>
      <c r="B38" s="162">
        <v>9</v>
      </c>
      <c r="C38" s="162">
        <f t="shared" si="0"/>
        <v>1733.75</v>
      </c>
      <c r="D38" s="162" t="s">
        <v>157</v>
      </c>
      <c r="E38" s="168">
        <v>688527829.12600005</v>
      </c>
      <c r="F38" s="168">
        <v>688527.82912600006</v>
      </c>
      <c r="G38" s="168">
        <v>688.52782912600003</v>
      </c>
      <c r="H38" s="168">
        <v>0.68852782912600008</v>
      </c>
      <c r="I38" s="164" t="e">
        <f>H38*$O$9/0.1*INDEX(Country_details!$N$9:N188,MATCH(Solar_data!A38,Country_details!$A$9:$A$154,0))</f>
        <v>#N/A</v>
      </c>
      <c r="J38" s="164">
        <f t="shared" si="1"/>
        <v>1733.75</v>
      </c>
      <c r="K38" s="164"/>
      <c r="L38" s="164"/>
      <c r="M38" s="164"/>
      <c r="N38" s="164"/>
      <c r="O38" s="165"/>
      <c r="P38" s="166"/>
      <c r="Q38" s="166"/>
      <c r="R38" s="166"/>
      <c r="S38" s="166"/>
      <c r="T38" s="166"/>
      <c r="U38" s="166"/>
      <c r="V38" s="166"/>
      <c r="W38" s="166"/>
      <c r="X38" s="166"/>
      <c r="Y38" s="166"/>
      <c r="Z38" s="166"/>
      <c r="AA38" s="166"/>
      <c r="AB38" s="166"/>
      <c r="AC38" s="166"/>
      <c r="AD38" s="166"/>
      <c r="AE38" s="166"/>
      <c r="AF38" s="166"/>
      <c r="AG38" s="166"/>
      <c r="AH38" s="166"/>
      <c r="AI38" s="166"/>
    </row>
    <row r="39" spans="1:35" x14ac:dyDescent="0.2">
      <c r="A39" s="167" t="s">
        <v>175</v>
      </c>
      <c r="B39" s="162">
        <v>10</v>
      </c>
      <c r="C39" s="162">
        <f t="shared" si="0"/>
        <v>1916.25</v>
      </c>
      <c r="D39" s="162" t="s">
        <v>159</v>
      </c>
      <c r="E39" s="168">
        <v>4845659.9085999997</v>
      </c>
      <c r="F39" s="168">
        <v>4845.6599085999997</v>
      </c>
      <c r="G39" s="168">
        <v>4.8456599086000001</v>
      </c>
      <c r="H39" s="168">
        <v>4.8456599086000003E-3</v>
      </c>
      <c r="I39" s="164" t="e">
        <f>H39*$O$9/0.1*INDEX(Country_details!$N$9:N189,MATCH(Solar_data!A39,Country_details!$A$9:$A$154,0))</f>
        <v>#N/A</v>
      </c>
      <c r="J39" s="164">
        <f t="shared" si="1"/>
        <v>1916.25</v>
      </c>
      <c r="K39" s="164"/>
      <c r="L39" s="164"/>
      <c r="M39" s="164"/>
      <c r="N39" s="164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Y39" s="166"/>
      <c r="Z39" s="166"/>
      <c r="AA39" s="166"/>
      <c r="AB39" s="166"/>
      <c r="AC39" s="166"/>
      <c r="AD39" s="166"/>
      <c r="AE39" s="166"/>
      <c r="AF39" s="166"/>
      <c r="AG39" s="166"/>
      <c r="AH39" s="166"/>
      <c r="AI39" s="166"/>
    </row>
    <row r="40" spans="1:35" x14ac:dyDescent="0.2">
      <c r="A40" s="167" t="s">
        <v>34</v>
      </c>
      <c r="B40" s="162">
        <v>4</v>
      </c>
      <c r="C40" s="162">
        <f t="shared" si="0"/>
        <v>821.25</v>
      </c>
      <c r="D40" s="162" t="s">
        <v>171</v>
      </c>
      <c r="E40" s="168">
        <v>28840946531.09</v>
      </c>
      <c r="F40" s="168">
        <v>28840946.531090003</v>
      </c>
      <c r="G40" s="168">
        <v>28840.946531090001</v>
      </c>
      <c r="H40" s="168">
        <v>28.840946531090001</v>
      </c>
      <c r="I40" s="164">
        <f>H40*$O$9/0.1*INDEX(Country_details!$N$9:N190,MATCH(Solar_data!A40,Country_details!$A$9:$A$154,0))</f>
        <v>64.892129694952501</v>
      </c>
      <c r="J40" s="164">
        <f t="shared" si="1"/>
        <v>821.25</v>
      </c>
      <c r="K40" s="164"/>
      <c r="L40" s="164"/>
      <c r="M40" s="164"/>
      <c r="N40" s="164"/>
      <c r="O40" s="166"/>
      <c r="P40" s="166"/>
      <c r="Q40" s="166"/>
      <c r="R40" s="166"/>
      <c r="S40" s="166"/>
      <c r="T40" s="166"/>
      <c r="U40" s="166"/>
      <c r="V40" s="166"/>
      <c r="W40" s="166"/>
      <c r="X40" s="166"/>
      <c r="Y40" s="166"/>
      <c r="Z40" s="166"/>
      <c r="AA40" s="166"/>
      <c r="AB40" s="166"/>
      <c r="AC40" s="166"/>
      <c r="AD40" s="166"/>
      <c r="AE40" s="166"/>
      <c r="AF40" s="166"/>
      <c r="AG40" s="166"/>
      <c r="AH40" s="166"/>
      <c r="AI40" s="166"/>
    </row>
    <row r="41" spans="1:35" x14ac:dyDescent="0.2">
      <c r="A41" s="167" t="s">
        <v>34</v>
      </c>
      <c r="B41" s="162">
        <v>5</v>
      </c>
      <c r="C41" s="162">
        <f t="shared" si="0"/>
        <v>1003.75</v>
      </c>
      <c r="D41" s="162" t="s">
        <v>172</v>
      </c>
      <c r="E41" s="168">
        <v>32181133632.5359</v>
      </c>
      <c r="F41" s="168">
        <v>32181133.632535901</v>
      </c>
      <c r="G41" s="168">
        <v>32181.133632535901</v>
      </c>
      <c r="H41" s="168">
        <v>32.181133632535904</v>
      </c>
      <c r="I41" s="164">
        <f>H41*$O$9/0.1*INDEX(Country_details!$N$9:N191,MATCH(Solar_data!A41,Country_details!$A$9:$A$154,0))</f>
        <v>72.407550673205776</v>
      </c>
      <c r="J41" s="164">
        <f t="shared" si="1"/>
        <v>1003.75</v>
      </c>
      <c r="K41" s="164"/>
      <c r="L41" s="164"/>
      <c r="M41" s="164"/>
      <c r="N41" s="164"/>
      <c r="O41" s="166"/>
      <c r="P41" s="166"/>
      <c r="Q41" s="166"/>
      <c r="R41" s="166"/>
      <c r="S41" s="166"/>
      <c r="T41" s="166"/>
      <c r="U41" s="166"/>
      <c r="V41" s="166"/>
      <c r="W41" s="166"/>
      <c r="X41" s="166"/>
      <c r="Y41" s="166"/>
      <c r="Z41" s="166"/>
      <c r="AA41" s="166"/>
      <c r="AB41" s="166"/>
      <c r="AC41" s="166"/>
      <c r="AD41" s="166"/>
      <c r="AE41" s="166"/>
      <c r="AF41" s="166"/>
      <c r="AG41" s="166"/>
      <c r="AH41" s="166"/>
      <c r="AI41" s="166"/>
    </row>
    <row r="42" spans="1:35" x14ac:dyDescent="0.2">
      <c r="A42" s="167" t="s">
        <v>34</v>
      </c>
      <c r="B42" s="162">
        <v>6</v>
      </c>
      <c r="C42" s="162">
        <f t="shared" si="0"/>
        <v>1186.25</v>
      </c>
      <c r="D42" s="162" t="s">
        <v>173</v>
      </c>
      <c r="E42" s="168">
        <v>85198403738.919495</v>
      </c>
      <c r="F42" s="168">
        <v>85198403.738919497</v>
      </c>
      <c r="G42" s="168">
        <v>85198.4037389195</v>
      </c>
      <c r="H42" s="168">
        <v>85.198403738919495</v>
      </c>
      <c r="I42" s="164">
        <f>H42*$O$9/0.1*INDEX(Country_details!$N$9:N192,MATCH(Solar_data!A42,Country_details!$A$9:$A$154,0))</f>
        <v>191.69640841256884</v>
      </c>
      <c r="J42" s="164">
        <f t="shared" si="1"/>
        <v>1186.25</v>
      </c>
      <c r="K42" s="164"/>
      <c r="L42" s="164"/>
      <c r="M42" s="164"/>
      <c r="N42" s="164"/>
      <c r="O42" s="166"/>
      <c r="P42" s="166"/>
      <c r="Q42" s="166"/>
      <c r="R42" s="166"/>
      <c r="S42" s="166"/>
      <c r="T42" s="166"/>
      <c r="U42" s="166"/>
      <c r="V42" s="166"/>
      <c r="W42" s="166"/>
      <c r="X42" s="166"/>
      <c r="Y42" s="166"/>
      <c r="Z42" s="166"/>
      <c r="AA42" s="166"/>
      <c r="AB42" s="166"/>
      <c r="AC42" s="166"/>
      <c r="AD42" s="166"/>
      <c r="AE42" s="166"/>
      <c r="AF42" s="166"/>
      <c r="AG42" s="166"/>
      <c r="AH42" s="166"/>
      <c r="AI42" s="166"/>
    </row>
    <row r="43" spans="1:35" x14ac:dyDescent="0.2">
      <c r="A43" s="167" t="s">
        <v>34</v>
      </c>
      <c r="B43" s="162">
        <v>7</v>
      </c>
      <c r="C43" s="162">
        <f t="shared" si="0"/>
        <v>1368.75</v>
      </c>
      <c r="D43" s="162" t="s">
        <v>174</v>
      </c>
      <c r="E43" s="168">
        <v>319741049424.87543</v>
      </c>
      <c r="F43" s="168">
        <v>319741049.42487544</v>
      </c>
      <c r="G43" s="168">
        <v>319741.04942487547</v>
      </c>
      <c r="H43" s="168">
        <v>319.74104942487548</v>
      </c>
      <c r="I43" s="164">
        <f>H43*$O$9/0.1*INDEX(Country_details!$N$9:N193,MATCH(Solar_data!A43,Country_details!$A$9:$A$154,0))</f>
        <v>719.41736120596977</v>
      </c>
      <c r="J43" s="164">
        <f t="shared" si="1"/>
        <v>1368.75</v>
      </c>
      <c r="K43" s="164"/>
      <c r="L43" s="164"/>
      <c r="M43" s="164"/>
      <c r="N43" s="164"/>
      <c r="O43" s="166"/>
      <c r="P43" s="166"/>
      <c r="Q43" s="166"/>
      <c r="R43" s="166"/>
      <c r="S43" s="166"/>
      <c r="T43" s="166"/>
      <c r="U43" s="166"/>
      <c r="V43" s="166"/>
      <c r="W43" s="166"/>
      <c r="X43" s="166"/>
      <c r="Y43" s="166"/>
      <c r="Z43" s="166"/>
      <c r="AA43" s="166"/>
      <c r="AB43" s="166"/>
      <c r="AC43" s="166"/>
      <c r="AD43" s="166"/>
      <c r="AE43" s="166"/>
      <c r="AF43" s="166"/>
      <c r="AG43" s="166"/>
      <c r="AH43" s="166"/>
      <c r="AI43" s="166"/>
    </row>
    <row r="44" spans="1:35" x14ac:dyDescent="0.2">
      <c r="A44" s="167" t="s">
        <v>34</v>
      </c>
      <c r="B44" s="162">
        <v>8</v>
      </c>
      <c r="C44" s="162">
        <f t="shared" si="0"/>
        <v>1551.25</v>
      </c>
      <c r="D44" s="162" t="s">
        <v>164</v>
      </c>
      <c r="E44" s="168">
        <v>239504467933.32819</v>
      </c>
      <c r="F44" s="168">
        <v>239504467.93332818</v>
      </c>
      <c r="G44" s="168">
        <v>239504.46793332818</v>
      </c>
      <c r="H44" s="168">
        <v>239.50446793332819</v>
      </c>
      <c r="I44" s="164">
        <f>H44*$O$9/0.1*INDEX(Country_details!$N$9:N194,MATCH(Solar_data!A44,Country_details!$A$9:$A$154,0))</f>
        <v>538.88505284998837</v>
      </c>
      <c r="J44" s="164">
        <f t="shared" si="1"/>
        <v>1551.25</v>
      </c>
      <c r="K44" s="164"/>
      <c r="L44" s="164"/>
      <c r="M44" s="164"/>
      <c r="N44" s="164"/>
      <c r="O44" s="166"/>
      <c r="P44" s="166"/>
      <c r="Q44" s="166"/>
      <c r="R44" s="166"/>
      <c r="S44" s="166"/>
      <c r="T44" s="166"/>
      <c r="U44" s="166"/>
      <c r="V44" s="166"/>
      <c r="W44" s="166"/>
      <c r="X44" s="166"/>
      <c r="Y44" s="166"/>
      <c r="Z44" s="166"/>
      <c r="AA44" s="166"/>
      <c r="AB44" s="166"/>
      <c r="AC44" s="166"/>
      <c r="AD44" s="166"/>
      <c r="AE44" s="166"/>
      <c r="AF44" s="166"/>
      <c r="AG44" s="166"/>
      <c r="AH44" s="166"/>
      <c r="AI44" s="166"/>
    </row>
    <row r="45" spans="1:35" x14ac:dyDescent="0.2">
      <c r="A45" s="167" t="s">
        <v>34</v>
      </c>
      <c r="B45" s="162">
        <v>9</v>
      </c>
      <c r="C45" s="162">
        <f t="shared" si="0"/>
        <v>1733.75</v>
      </c>
      <c r="D45" s="162" t="s">
        <v>157</v>
      </c>
      <c r="E45" s="168">
        <v>863998757784.83862</v>
      </c>
      <c r="F45" s="168">
        <v>863998757.78483868</v>
      </c>
      <c r="G45" s="168">
        <v>863998.75778483867</v>
      </c>
      <c r="H45" s="168">
        <v>863.99875778483874</v>
      </c>
      <c r="I45" s="164">
        <f>H45*$O$9/0.1*INDEX(Country_details!$N$9:N195,MATCH(Solar_data!A45,Country_details!$A$9:$A$154,0))</f>
        <v>1943.9972050158872</v>
      </c>
      <c r="J45" s="164">
        <f t="shared" si="1"/>
        <v>1733.75</v>
      </c>
      <c r="K45" s="164"/>
      <c r="L45" s="164"/>
      <c r="M45" s="164"/>
      <c r="N45" s="164"/>
      <c r="O45" s="166"/>
      <c r="P45" s="166"/>
      <c r="Q45" s="166"/>
      <c r="R45" s="166"/>
      <c r="S45" s="166"/>
      <c r="T45" s="166"/>
      <c r="U45" s="166"/>
      <c r="V45" s="166"/>
      <c r="W45" s="166"/>
      <c r="X45" s="166"/>
      <c r="Y45" s="166"/>
      <c r="Z45" s="166"/>
      <c r="AA45" s="166"/>
      <c r="AB45" s="166"/>
      <c r="AC45" s="166"/>
      <c r="AD45" s="166"/>
      <c r="AE45" s="166"/>
      <c r="AF45" s="166"/>
      <c r="AG45" s="166"/>
      <c r="AH45" s="166"/>
      <c r="AI45" s="166"/>
    </row>
    <row r="46" spans="1:35" x14ac:dyDescent="0.2">
      <c r="A46" s="167" t="s">
        <v>34</v>
      </c>
      <c r="B46" s="162">
        <v>10</v>
      </c>
      <c r="C46" s="162">
        <f t="shared" si="0"/>
        <v>1916.25</v>
      </c>
      <c r="D46" s="162" t="s">
        <v>159</v>
      </c>
      <c r="E46" s="168">
        <v>4413581198542.1445</v>
      </c>
      <c r="F46" s="168">
        <v>4413581198.5421448</v>
      </c>
      <c r="G46" s="168">
        <v>4413581.1985421451</v>
      </c>
      <c r="H46" s="168">
        <v>4413.5811985421451</v>
      </c>
      <c r="I46" s="164">
        <f>H46*$O$9/0.1*INDEX(Country_details!$N$9:N196,MATCH(Solar_data!A46,Country_details!$A$9:$A$154,0))</f>
        <v>9930.5576967198249</v>
      </c>
      <c r="J46" s="164">
        <f t="shared" si="1"/>
        <v>1916.25</v>
      </c>
      <c r="K46" s="164"/>
      <c r="L46" s="164"/>
      <c r="M46" s="164"/>
      <c r="N46" s="164"/>
      <c r="O46" s="166"/>
      <c r="P46" s="166"/>
      <c r="Q46" s="166"/>
      <c r="R46" s="166"/>
      <c r="S46" s="166"/>
      <c r="T46" s="166"/>
      <c r="U46" s="166"/>
      <c r="V46" s="166"/>
      <c r="W46" s="166"/>
      <c r="X46" s="166"/>
      <c r="Y46" s="166"/>
      <c r="Z46" s="166"/>
      <c r="AA46" s="166"/>
      <c r="AB46" s="166"/>
      <c r="AC46" s="166"/>
      <c r="AD46" s="166"/>
      <c r="AE46" s="166"/>
      <c r="AF46" s="166"/>
      <c r="AG46" s="166"/>
      <c r="AH46" s="166"/>
      <c r="AI46" s="166"/>
    </row>
    <row r="47" spans="1:35" x14ac:dyDescent="0.2">
      <c r="A47" s="167" t="s">
        <v>34</v>
      </c>
      <c r="B47" s="162">
        <v>11</v>
      </c>
      <c r="C47" s="162">
        <f t="shared" si="0"/>
        <v>2098.75</v>
      </c>
      <c r="D47" s="162" t="s">
        <v>161</v>
      </c>
      <c r="E47" s="168">
        <v>875094620048.17737</v>
      </c>
      <c r="F47" s="168">
        <v>875094620.04817736</v>
      </c>
      <c r="G47" s="168">
        <v>875094.62004817743</v>
      </c>
      <c r="H47" s="168">
        <v>875.09462004817749</v>
      </c>
      <c r="I47" s="164">
        <f>H47*$O$9/0.1*INDEX(Country_details!$N$9:N197,MATCH(Solar_data!A47,Country_details!$A$9:$A$154,0))</f>
        <v>1968.9628951083992</v>
      </c>
      <c r="J47" s="164">
        <f t="shared" si="1"/>
        <v>2098.75</v>
      </c>
      <c r="K47" s="164"/>
      <c r="L47" s="164"/>
      <c r="M47" s="164"/>
      <c r="N47" s="164"/>
      <c r="O47" s="166"/>
      <c r="P47" s="166"/>
      <c r="Q47" s="166"/>
      <c r="R47" s="166"/>
      <c r="S47" s="166"/>
      <c r="T47" s="166"/>
      <c r="U47" s="166"/>
      <c r="V47" s="166"/>
      <c r="W47" s="166"/>
      <c r="X47" s="166"/>
      <c r="Y47" s="166"/>
      <c r="Z47" s="166"/>
      <c r="AA47" s="166"/>
      <c r="AB47" s="166"/>
      <c r="AC47" s="166"/>
      <c r="AD47" s="166"/>
      <c r="AE47" s="166"/>
      <c r="AF47" s="166"/>
      <c r="AG47" s="166"/>
      <c r="AH47" s="166"/>
      <c r="AI47" s="166"/>
    </row>
    <row r="48" spans="1:35" x14ac:dyDescent="0.2">
      <c r="A48" s="167" t="s">
        <v>34</v>
      </c>
      <c r="B48" s="162">
        <v>12</v>
      </c>
      <c r="C48" s="162">
        <f t="shared" si="0"/>
        <v>2281.25</v>
      </c>
      <c r="D48" s="162" t="s">
        <v>162</v>
      </c>
      <c r="E48" s="168">
        <v>420254507940.44</v>
      </c>
      <c r="F48" s="168">
        <v>420254507.94044</v>
      </c>
      <c r="G48" s="168">
        <v>420254.50794044003</v>
      </c>
      <c r="H48" s="168">
        <v>420.25450794044002</v>
      </c>
      <c r="I48" s="164">
        <f>H48*$O$9/0.1*INDEX(Country_details!$N$9:N198,MATCH(Solar_data!A48,Country_details!$A$9:$A$154,0))</f>
        <v>945.57264286599002</v>
      </c>
      <c r="J48" s="164">
        <f t="shared" si="1"/>
        <v>2281.25</v>
      </c>
      <c r="K48" s="164"/>
      <c r="L48" s="164"/>
      <c r="M48" s="164"/>
      <c r="N48" s="164"/>
      <c r="O48" s="166"/>
      <c r="P48" s="166"/>
      <c r="Q48" s="166"/>
      <c r="R48" s="166"/>
      <c r="S48" s="166"/>
      <c r="T48" s="166"/>
      <c r="U48" s="166"/>
      <c r="V48" s="166"/>
      <c r="W48" s="166"/>
      <c r="X48" s="166"/>
      <c r="Y48" s="166"/>
      <c r="Z48" s="166"/>
      <c r="AA48" s="166"/>
      <c r="AB48" s="166"/>
      <c r="AC48" s="166"/>
      <c r="AD48" s="166"/>
      <c r="AE48" s="166"/>
      <c r="AF48" s="166"/>
      <c r="AG48" s="166"/>
      <c r="AH48" s="166"/>
      <c r="AI48" s="166"/>
    </row>
    <row r="49" spans="1:35" x14ac:dyDescent="0.2">
      <c r="A49" s="167" t="s">
        <v>34</v>
      </c>
      <c r="B49" s="162">
        <v>13</v>
      </c>
      <c r="C49" s="162">
        <f t="shared" si="0"/>
        <v>2463.75</v>
      </c>
      <c r="D49" s="162" t="s">
        <v>163</v>
      </c>
      <c r="E49" s="168">
        <v>390648566743.73102</v>
      </c>
      <c r="F49" s="168">
        <v>390648566.74373102</v>
      </c>
      <c r="G49" s="168">
        <v>390648.56674373103</v>
      </c>
      <c r="H49" s="168">
        <v>390.64856674373107</v>
      </c>
      <c r="I49" s="164">
        <f>H49*$O$9/0.1*INDEX(Country_details!$N$9:N199,MATCH(Solar_data!A49,Country_details!$A$9:$A$154,0))</f>
        <v>878.95927517339487</v>
      </c>
      <c r="J49" s="164">
        <f t="shared" si="1"/>
        <v>2463.75</v>
      </c>
      <c r="K49" s="164"/>
      <c r="L49" s="164"/>
      <c r="M49" s="164"/>
      <c r="N49" s="164"/>
      <c r="O49" s="166"/>
      <c r="P49" s="166"/>
      <c r="Q49" s="166"/>
      <c r="R49" s="166"/>
      <c r="S49" s="166"/>
      <c r="T49" s="166"/>
      <c r="U49" s="166"/>
      <c r="V49" s="166"/>
      <c r="W49" s="166"/>
      <c r="X49" s="166"/>
      <c r="Y49" s="166"/>
      <c r="Z49" s="166"/>
      <c r="AA49" s="166"/>
      <c r="AB49" s="166"/>
      <c r="AC49" s="166"/>
      <c r="AD49" s="166"/>
      <c r="AE49" s="166"/>
      <c r="AF49" s="166"/>
      <c r="AG49" s="166"/>
      <c r="AH49" s="166"/>
      <c r="AI49" s="166"/>
    </row>
    <row r="50" spans="1:35" x14ac:dyDescent="0.2">
      <c r="A50" s="167" t="s">
        <v>34</v>
      </c>
      <c r="B50" s="162">
        <v>14</v>
      </c>
      <c r="C50" s="162">
        <f t="shared" si="0"/>
        <v>2646.25</v>
      </c>
      <c r="D50" s="162" t="s">
        <v>165</v>
      </c>
      <c r="E50" s="168">
        <v>184390204120.14999</v>
      </c>
      <c r="F50" s="168">
        <v>184390204.12015</v>
      </c>
      <c r="G50" s="168">
        <v>184390.20412015001</v>
      </c>
      <c r="H50" s="168">
        <v>184.39020412015</v>
      </c>
      <c r="I50" s="164">
        <f>H50*$O$9/0.1*INDEX(Country_details!$N$9:N200,MATCH(Solar_data!A50,Country_details!$A$9:$A$154,0))</f>
        <v>414.87795927033744</v>
      </c>
      <c r="J50" s="164">
        <f t="shared" si="1"/>
        <v>2646.25</v>
      </c>
      <c r="K50" s="164"/>
      <c r="L50" s="164"/>
      <c r="M50" s="164"/>
      <c r="N50" s="164"/>
      <c r="O50" s="166"/>
      <c r="P50" s="166"/>
      <c r="Q50" s="166"/>
      <c r="R50" s="166"/>
      <c r="S50" s="166"/>
      <c r="T50" s="166"/>
      <c r="U50" s="166"/>
      <c r="V50" s="166"/>
      <c r="W50" s="166"/>
      <c r="X50" s="166"/>
      <c r="Y50" s="166"/>
      <c r="Z50" s="166"/>
      <c r="AA50" s="166"/>
      <c r="AB50" s="166"/>
      <c r="AC50" s="166"/>
      <c r="AD50" s="166"/>
      <c r="AE50" s="166"/>
      <c r="AF50" s="166"/>
      <c r="AG50" s="166"/>
      <c r="AH50" s="166"/>
      <c r="AI50" s="166"/>
    </row>
    <row r="51" spans="1:35" x14ac:dyDescent="0.2">
      <c r="A51" s="167" t="s">
        <v>35</v>
      </c>
      <c r="B51" s="162">
        <v>7</v>
      </c>
      <c r="C51" s="162">
        <f t="shared" si="0"/>
        <v>1368.75</v>
      </c>
      <c r="D51" s="162" t="s">
        <v>174</v>
      </c>
      <c r="E51" s="168">
        <v>683471599.21539998</v>
      </c>
      <c r="F51" s="168">
        <v>683471.59921539994</v>
      </c>
      <c r="G51" s="168">
        <v>683.47159921539992</v>
      </c>
      <c r="H51" s="168">
        <v>0.68347159921539991</v>
      </c>
      <c r="I51" s="164">
        <f>H51*$O$9/0.1*INDEX(Country_details!$N$9:N201,MATCH(Solar_data!A51,Country_details!$A$9:$A$154,0))</f>
        <v>1.8453733178815799</v>
      </c>
      <c r="J51" s="164">
        <f t="shared" si="1"/>
        <v>1368.75</v>
      </c>
      <c r="K51" s="164"/>
      <c r="L51" s="164"/>
      <c r="M51" s="164"/>
      <c r="N51" s="164"/>
      <c r="O51" s="166"/>
      <c r="P51" s="166"/>
      <c r="Q51" s="166"/>
      <c r="R51" s="166"/>
      <c r="S51" s="166"/>
      <c r="T51" s="166"/>
      <c r="U51" s="166"/>
      <c r="V51" s="166"/>
      <c r="W51" s="166"/>
      <c r="X51" s="166"/>
      <c r="Y51" s="166"/>
      <c r="Z51" s="166"/>
      <c r="AA51" s="166"/>
      <c r="AB51" s="166"/>
      <c r="AC51" s="166"/>
      <c r="AD51" s="166"/>
      <c r="AE51" s="166"/>
      <c r="AF51" s="166"/>
      <c r="AG51" s="166"/>
      <c r="AH51" s="166"/>
      <c r="AI51" s="166"/>
    </row>
    <row r="52" spans="1:35" x14ac:dyDescent="0.2">
      <c r="A52" s="167" t="s">
        <v>35</v>
      </c>
      <c r="B52" s="162">
        <v>8</v>
      </c>
      <c r="C52" s="162">
        <f t="shared" si="0"/>
        <v>1551.25</v>
      </c>
      <c r="D52" s="162" t="s">
        <v>164</v>
      </c>
      <c r="E52" s="168">
        <v>49946337886.342796</v>
      </c>
      <c r="F52" s="168">
        <v>49946337.886342794</v>
      </c>
      <c r="G52" s="168">
        <v>49946.337886342793</v>
      </c>
      <c r="H52" s="168">
        <v>49.946337886342796</v>
      </c>
      <c r="I52" s="164">
        <f>H52*$O$9/0.1*INDEX(Country_details!$N$9:N202,MATCH(Solar_data!A52,Country_details!$A$9:$A$154,0))</f>
        <v>134.85511229312556</v>
      </c>
      <c r="J52" s="164">
        <f t="shared" si="1"/>
        <v>1551.25</v>
      </c>
      <c r="K52" s="164"/>
      <c r="L52" s="164"/>
      <c r="M52" s="164"/>
      <c r="N52" s="164"/>
      <c r="O52" s="166"/>
      <c r="P52" s="166"/>
      <c r="Q52" s="166"/>
      <c r="R52" s="166"/>
      <c r="S52" s="166"/>
      <c r="T52" s="166"/>
      <c r="U52" s="166"/>
      <c r="V52" s="166"/>
      <c r="W52" s="166"/>
      <c r="X52" s="166"/>
      <c r="Y52" s="166"/>
      <c r="Z52" s="166"/>
      <c r="AA52" s="166"/>
      <c r="AB52" s="166"/>
      <c r="AC52" s="166"/>
      <c r="AD52" s="166"/>
      <c r="AE52" s="166"/>
      <c r="AF52" s="166"/>
      <c r="AG52" s="166"/>
      <c r="AH52" s="166"/>
      <c r="AI52" s="166"/>
    </row>
    <row r="53" spans="1:35" x14ac:dyDescent="0.2">
      <c r="A53" s="167" t="s">
        <v>35</v>
      </c>
      <c r="B53" s="162">
        <v>9</v>
      </c>
      <c r="C53" s="162">
        <f t="shared" si="0"/>
        <v>1733.75</v>
      </c>
      <c r="D53" s="162" t="s">
        <v>157</v>
      </c>
      <c r="E53" s="168">
        <v>9924812961.0259991</v>
      </c>
      <c r="F53" s="168">
        <v>9924812.9610259999</v>
      </c>
      <c r="G53" s="168">
        <v>9924.8129610260003</v>
      </c>
      <c r="H53" s="168">
        <v>9.9248129610260012</v>
      </c>
      <c r="I53" s="164">
        <f>H53*$O$9/0.1*INDEX(Country_details!$N$9:N203,MATCH(Solar_data!A53,Country_details!$A$9:$A$154,0))</f>
        <v>26.796994994770202</v>
      </c>
      <c r="J53" s="164">
        <f t="shared" si="1"/>
        <v>1733.75</v>
      </c>
      <c r="K53" s="164"/>
      <c r="L53" s="164"/>
      <c r="M53" s="164"/>
      <c r="N53" s="164"/>
      <c r="O53" s="166"/>
      <c r="P53" s="166"/>
      <c r="Q53" s="166"/>
      <c r="R53" s="166"/>
      <c r="S53" s="166"/>
      <c r="T53" s="166"/>
      <c r="U53" s="166"/>
      <c r="V53" s="166"/>
      <c r="W53" s="166"/>
      <c r="X53" s="166"/>
      <c r="Y53" s="166"/>
      <c r="Z53" s="166"/>
      <c r="AA53" s="166"/>
      <c r="AB53" s="166"/>
      <c r="AC53" s="166"/>
      <c r="AD53" s="166"/>
      <c r="AE53" s="166"/>
      <c r="AF53" s="166"/>
      <c r="AG53" s="166"/>
      <c r="AH53" s="166"/>
      <c r="AI53" s="166"/>
    </row>
    <row r="54" spans="1:35" x14ac:dyDescent="0.2">
      <c r="A54" s="167" t="s">
        <v>35</v>
      </c>
      <c r="B54" s="162">
        <v>10</v>
      </c>
      <c r="C54" s="162">
        <f t="shared" si="0"/>
        <v>1916.25</v>
      </c>
      <c r="D54" s="162" t="s">
        <v>159</v>
      </c>
      <c r="E54" s="168">
        <v>13714632486.562799</v>
      </c>
      <c r="F54" s="168">
        <v>13714632.4865628</v>
      </c>
      <c r="G54" s="168">
        <v>13714.632486562799</v>
      </c>
      <c r="H54" s="168">
        <v>13.714632486562799</v>
      </c>
      <c r="I54" s="164">
        <f>H54*$O$9/0.1*INDEX(Country_details!$N$9:N204,MATCH(Solar_data!A54,Country_details!$A$9:$A$154,0))</f>
        <v>37.029507713719561</v>
      </c>
      <c r="J54" s="164">
        <f t="shared" si="1"/>
        <v>1916.25</v>
      </c>
      <c r="K54" s="164"/>
      <c r="L54" s="164"/>
      <c r="M54" s="164"/>
      <c r="N54" s="164"/>
      <c r="O54" s="166"/>
      <c r="P54" s="166"/>
      <c r="Q54" s="166"/>
      <c r="R54" s="166"/>
      <c r="S54" s="166"/>
      <c r="T54" s="166"/>
      <c r="U54" s="166"/>
      <c r="V54" s="166"/>
      <c r="W54" s="166"/>
      <c r="X54" s="166"/>
      <c r="Y54" s="166"/>
      <c r="Z54" s="166"/>
      <c r="AA54" s="166"/>
      <c r="AB54" s="166"/>
      <c r="AC54" s="166"/>
      <c r="AD54" s="166"/>
      <c r="AE54" s="166"/>
      <c r="AF54" s="166"/>
      <c r="AG54" s="166"/>
      <c r="AH54" s="166"/>
      <c r="AI54" s="166"/>
    </row>
    <row r="55" spans="1:35" x14ac:dyDescent="0.2">
      <c r="A55" s="167" t="s">
        <v>176</v>
      </c>
      <c r="B55" s="162">
        <v>10</v>
      </c>
      <c r="C55" s="162">
        <f t="shared" si="0"/>
        <v>1916.25</v>
      </c>
      <c r="D55" s="162" t="s">
        <v>159</v>
      </c>
      <c r="E55" s="168">
        <v>66044156.747599997</v>
      </c>
      <c r="F55" s="168">
        <v>66044.156747599991</v>
      </c>
      <c r="G55" s="168">
        <v>66.044156747599999</v>
      </c>
      <c r="H55" s="168">
        <v>6.6044156747600002E-2</v>
      </c>
      <c r="I55" s="164" t="e">
        <f>H55*$O$9/0.1*INDEX(Country_details!$N$9:N205,MATCH(Solar_data!A55,Country_details!$A$9:$A$154,0))</f>
        <v>#N/A</v>
      </c>
      <c r="J55" s="164">
        <f t="shared" si="1"/>
        <v>1916.25</v>
      </c>
      <c r="K55" s="164"/>
      <c r="L55" s="164"/>
      <c r="M55" s="164"/>
      <c r="N55" s="164"/>
      <c r="O55" s="166"/>
      <c r="P55" s="166"/>
      <c r="Q55" s="166"/>
      <c r="R55" s="166"/>
      <c r="S55" s="166"/>
      <c r="T55" s="166"/>
      <c r="U55" s="166"/>
      <c r="V55" s="166"/>
      <c r="W55" s="166"/>
      <c r="X55" s="166"/>
      <c r="Y55" s="166"/>
      <c r="Z55" s="166"/>
      <c r="AA55" s="166"/>
      <c r="AB55" s="166"/>
      <c r="AC55" s="166"/>
      <c r="AD55" s="166"/>
      <c r="AE55" s="166"/>
      <c r="AF55" s="166"/>
      <c r="AG55" s="166"/>
      <c r="AH55" s="166"/>
      <c r="AI55" s="166"/>
    </row>
    <row r="56" spans="1:35" x14ac:dyDescent="0.2">
      <c r="A56" s="167" t="s">
        <v>176</v>
      </c>
      <c r="B56" s="162">
        <v>11</v>
      </c>
      <c r="C56" s="162">
        <f t="shared" si="0"/>
        <v>2098.75</v>
      </c>
      <c r="D56" s="162" t="s">
        <v>161</v>
      </c>
      <c r="E56" s="168">
        <v>362737214.99199998</v>
      </c>
      <c r="F56" s="168">
        <v>362737.21499199996</v>
      </c>
      <c r="G56" s="168">
        <v>362.73721499199996</v>
      </c>
      <c r="H56" s="168">
        <v>0.36273721499199996</v>
      </c>
      <c r="I56" s="164" t="e">
        <f>H56*$O$9/0.1*INDEX(Country_details!$N$9:N206,MATCH(Solar_data!A56,Country_details!$A$9:$A$154,0))</f>
        <v>#N/A</v>
      </c>
      <c r="J56" s="164">
        <f t="shared" si="1"/>
        <v>2098.75</v>
      </c>
      <c r="K56" s="164"/>
      <c r="L56" s="164"/>
      <c r="M56" s="164"/>
      <c r="N56" s="164"/>
      <c r="O56" s="166"/>
      <c r="P56" s="166"/>
      <c r="Q56" s="166"/>
      <c r="R56" s="166"/>
      <c r="S56" s="166"/>
      <c r="T56" s="166"/>
      <c r="U56" s="166"/>
      <c r="V56" s="166"/>
      <c r="W56" s="166"/>
      <c r="X56" s="166"/>
      <c r="Y56" s="166"/>
      <c r="Z56" s="166"/>
      <c r="AA56" s="166"/>
      <c r="AB56" s="166"/>
      <c r="AC56" s="166"/>
      <c r="AD56" s="166"/>
      <c r="AE56" s="166"/>
      <c r="AF56" s="166"/>
      <c r="AG56" s="166"/>
      <c r="AH56" s="166"/>
      <c r="AI56" s="166"/>
    </row>
    <row r="57" spans="1:35" x14ac:dyDescent="0.2">
      <c r="A57" s="167" t="s">
        <v>36</v>
      </c>
      <c r="B57" s="162">
        <v>7</v>
      </c>
      <c r="C57" s="162">
        <f t="shared" si="0"/>
        <v>1368.75</v>
      </c>
      <c r="D57" s="162" t="s">
        <v>174</v>
      </c>
      <c r="E57" s="168">
        <v>48128602003.900002</v>
      </c>
      <c r="F57" s="168">
        <v>48128602.003899999</v>
      </c>
      <c r="G57" s="168">
        <v>48128.6020039</v>
      </c>
      <c r="H57" s="168">
        <v>48.128602003899999</v>
      </c>
      <c r="I57" s="164">
        <f>H57*$O$9/0.1*INDEX(Country_details!$N$9:N207,MATCH(Solar_data!A57,Country_details!$A$9:$A$154,0))</f>
        <v>115.50864480935998</v>
      </c>
      <c r="J57" s="164">
        <f t="shared" si="1"/>
        <v>1368.75</v>
      </c>
      <c r="K57" s="164"/>
      <c r="L57" s="164"/>
      <c r="M57" s="164"/>
      <c r="N57" s="164"/>
      <c r="O57" s="166"/>
      <c r="P57" s="166"/>
      <c r="Q57" s="166"/>
      <c r="R57" s="166"/>
      <c r="S57" s="166"/>
      <c r="T57" s="166"/>
      <c r="U57" s="166"/>
      <c r="V57" s="166"/>
      <c r="W57" s="166"/>
      <c r="X57" s="166"/>
      <c r="Y57" s="166"/>
      <c r="Z57" s="166"/>
      <c r="AA57" s="166"/>
      <c r="AB57" s="166"/>
      <c r="AC57" s="166"/>
      <c r="AD57" s="166"/>
      <c r="AE57" s="166"/>
      <c r="AF57" s="166"/>
      <c r="AG57" s="166"/>
      <c r="AH57" s="166"/>
      <c r="AI57" s="166"/>
    </row>
    <row r="58" spans="1:35" x14ac:dyDescent="0.2">
      <c r="A58" s="167" t="s">
        <v>36</v>
      </c>
      <c r="B58" s="162">
        <v>8</v>
      </c>
      <c r="C58" s="162">
        <f t="shared" si="0"/>
        <v>1551.25</v>
      </c>
      <c r="D58" s="162" t="s">
        <v>164</v>
      </c>
      <c r="E58" s="168">
        <v>184713363940.17801</v>
      </c>
      <c r="F58" s="168">
        <v>184713363.94017801</v>
      </c>
      <c r="G58" s="168">
        <v>184713.36394017801</v>
      </c>
      <c r="H58" s="168">
        <v>184.71336394017803</v>
      </c>
      <c r="I58" s="164">
        <f>H58*$O$9/0.1*INDEX(Country_details!$N$9:N208,MATCH(Solar_data!A58,Country_details!$A$9:$A$154,0))</f>
        <v>443.31207345642724</v>
      </c>
      <c r="J58" s="164">
        <f t="shared" si="1"/>
        <v>1551.25</v>
      </c>
      <c r="K58" s="164"/>
      <c r="L58" s="164"/>
      <c r="M58" s="164"/>
      <c r="N58" s="164"/>
      <c r="O58" s="166"/>
      <c r="P58" s="166"/>
      <c r="Q58" s="166"/>
      <c r="R58" s="166"/>
      <c r="S58" s="166"/>
      <c r="T58" s="166"/>
      <c r="U58" s="166"/>
      <c r="V58" s="166"/>
      <c r="W58" s="166"/>
      <c r="X58" s="166"/>
      <c r="Y58" s="166"/>
      <c r="Z58" s="166"/>
      <c r="AA58" s="166"/>
      <c r="AB58" s="166"/>
      <c r="AC58" s="166"/>
      <c r="AD58" s="166"/>
      <c r="AE58" s="166"/>
      <c r="AF58" s="166"/>
      <c r="AG58" s="166"/>
      <c r="AH58" s="166"/>
      <c r="AI58" s="166"/>
    </row>
    <row r="59" spans="1:35" x14ac:dyDescent="0.2">
      <c r="A59" s="167" t="s">
        <v>36</v>
      </c>
      <c r="B59" s="162">
        <v>9</v>
      </c>
      <c r="C59" s="162">
        <f t="shared" si="0"/>
        <v>1733.75</v>
      </c>
      <c r="D59" s="162" t="s">
        <v>157</v>
      </c>
      <c r="E59" s="168">
        <v>631089975691.85339</v>
      </c>
      <c r="F59" s="168">
        <v>631089975.6918534</v>
      </c>
      <c r="G59" s="168">
        <v>631089.97569185344</v>
      </c>
      <c r="H59" s="168">
        <v>631.0899756918534</v>
      </c>
      <c r="I59" s="164">
        <f>H59*$O$9/0.1*INDEX(Country_details!$N$9:N209,MATCH(Solar_data!A59,Country_details!$A$9:$A$154,0))</f>
        <v>1514.615941660448</v>
      </c>
      <c r="J59" s="164">
        <f t="shared" si="1"/>
        <v>1733.75</v>
      </c>
      <c r="K59" s="164"/>
      <c r="L59" s="164"/>
      <c r="M59" s="164"/>
      <c r="N59" s="164"/>
      <c r="O59" s="166"/>
      <c r="P59" s="166"/>
      <c r="Q59" s="166"/>
      <c r="R59" s="166"/>
      <c r="S59" s="166"/>
      <c r="T59" s="166"/>
      <c r="U59" s="166"/>
      <c r="V59" s="166"/>
      <c r="W59" s="166"/>
      <c r="X59" s="166"/>
      <c r="Y59" s="166"/>
      <c r="Z59" s="166"/>
      <c r="AA59" s="166"/>
      <c r="AB59" s="166"/>
      <c r="AC59" s="166"/>
      <c r="AD59" s="166"/>
      <c r="AE59" s="166"/>
      <c r="AF59" s="166"/>
      <c r="AG59" s="166"/>
      <c r="AH59" s="166"/>
      <c r="AI59" s="166"/>
    </row>
    <row r="60" spans="1:35" x14ac:dyDescent="0.2">
      <c r="A60" s="167" t="s">
        <v>36</v>
      </c>
      <c r="B60" s="162">
        <v>10</v>
      </c>
      <c r="C60" s="162">
        <f t="shared" si="0"/>
        <v>1916.25</v>
      </c>
      <c r="D60" s="162" t="s">
        <v>159</v>
      </c>
      <c r="E60" s="168">
        <v>2214139267089.1694</v>
      </c>
      <c r="F60" s="168">
        <v>2214139267.0891695</v>
      </c>
      <c r="G60" s="168">
        <v>2214139.2670891695</v>
      </c>
      <c r="H60" s="168">
        <v>2214.1392670891696</v>
      </c>
      <c r="I60" s="164">
        <f>H60*$O$9/0.1*INDEX(Country_details!$N$9:N210,MATCH(Solar_data!A60,Country_details!$A$9:$A$154,0))</f>
        <v>5313.9342410140071</v>
      </c>
      <c r="J60" s="164">
        <f t="shared" si="1"/>
        <v>1916.25</v>
      </c>
      <c r="K60" s="164"/>
      <c r="L60" s="164"/>
      <c r="M60" s="164"/>
      <c r="N60" s="164"/>
      <c r="O60" s="166"/>
      <c r="P60" s="166"/>
      <c r="Q60" s="166"/>
      <c r="R60" s="166"/>
      <c r="S60" s="166"/>
      <c r="T60" s="166"/>
      <c r="U60" s="166"/>
      <c r="V60" s="166"/>
      <c r="W60" s="166"/>
      <c r="X60" s="166"/>
      <c r="Y60" s="166"/>
      <c r="Z60" s="166"/>
      <c r="AA60" s="166"/>
      <c r="AB60" s="166"/>
      <c r="AC60" s="166"/>
      <c r="AD60" s="166"/>
      <c r="AE60" s="166"/>
      <c r="AF60" s="166"/>
      <c r="AG60" s="166"/>
      <c r="AH60" s="166"/>
      <c r="AI60" s="166"/>
    </row>
    <row r="61" spans="1:35" x14ac:dyDescent="0.2">
      <c r="A61" s="167" t="s">
        <v>36</v>
      </c>
      <c r="B61" s="162">
        <v>11</v>
      </c>
      <c r="C61" s="162">
        <f t="shared" si="0"/>
        <v>2098.75</v>
      </c>
      <c r="D61" s="162" t="s">
        <v>161</v>
      </c>
      <c r="E61" s="168">
        <v>6900660924259.2109</v>
      </c>
      <c r="F61" s="168">
        <v>6900660924.2592115</v>
      </c>
      <c r="G61" s="168">
        <v>6900660.9242592119</v>
      </c>
      <c r="H61" s="168">
        <v>6900.6609242592122</v>
      </c>
      <c r="I61" s="164">
        <f>H61*$O$9/0.1*INDEX(Country_details!$N$9:N211,MATCH(Solar_data!A61,Country_details!$A$9:$A$154,0))</f>
        <v>16561.58621822211</v>
      </c>
      <c r="J61" s="164">
        <f t="shared" si="1"/>
        <v>2098.75</v>
      </c>
      <c r="K61" s="164"/>
      <c r="L61" s="164"/>
      <c r="M61" s="164"/>
      <c r="N61" s="164"/>
      <c r="O61" s="166"/>
      <c r="P61" s="166"/>
      <c r="Q61" s="166"/>
      <c r="R61" s="166"/>
      <c r="S61" s="166"/>
      <c r="T61" s="166"/>
      <c r="U61" s="166"/>
      <c r="V61" s="166"/>
      <c r="W61" s="166"/>
      <c r="X61" s="166"/>
      <c r="Y61" s="166"/>
      <c r="Z61" s="166"/>
      <c r="AA61" s="166"/>
      <c r="AB61" s="166"/>
      <c r="AC61" s="166"/>
      <c r="AD61" s="166"/>
      <c r="AE61" s="166"/>
      <c r="AF61" s="166"/>
      <c r="AG61" s="166"/>
      <c r="AH61" s="166"/>
      <c r="AI61" s="166"/>
    </row>
    <row r="62" spans="1:35" x14ac:dyDescent="0.2">
      <c r="A62" s="167" t="s">
        <v>36</v>
      </c>
      <c r="B62" s="162">
        <v>12</v>
      </c>
      <c r="C62" s="162">
        <f t="shared" si="0"/>
        <v>2281.25</v>
      </c>
      <c r="D62" s="162" t="s">
        <v>162</v>
      </c>
      <c r="E62" s="168">
        <v>14292477844339.359</v>
      </c>
      <c r="F62" s="168">
        <v>14292477844.339359</v>
      </c>
      <c r="G62" s="168">
        <v>14292477.84433936</v>
      </c>
      <c r="H62" s="168">
        <v>14292.477844339361</v>
      </c>
      <c r="I62" s="164">
        <f>H62*$O$9/0.1*INDEX(Country_details!$N$9:N212,MATCH(Solar_data!A62,Country_details!$A$9:$A$154,0))</f>
        <v>34301.946826414467</v>
      </c>
      <c r="J62" s="164">
        <f t="shared" si="1"/>
        <v>2281.25</v>
      </c>
      <c r="K62" s="164"/>
      <c r="L62" s="164"/>
      <c r="M62" s="164"/>
      <c r="N62" s="164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</row>
    <row r="63" spans="1:35" x14ac:dyDescent="0.2">
      <c r="A63" s="167" t="s">
        <v>36</v>
      </c>
      <c r="B63" s="162">
        <v>13</v>
      </c>
      <c r="C63" s="162">
        <f t="shared" si="0"/>
        <v>2463.75</v>
      </c>
      <c r="D63" s="162" t="s">
        <v>163</v>
      </c>
      <c r="E63" s="168">
        <v>826581355286.68652</v>
      </c>
      <c r="F63" s="168">
        <v>826581355.28668654</v>
      </c>
      <c r="G63" s="168">
        <v>826581.35528668656</v>
      </c>
      <c r="H63" s="168">
        <v>826.58135528668663</v>
      </c>
      <c r="I63" s="164">
        <f>H63*$O$9/0.1*INDEX(Country_details!$N$9:N213,MATCH(Solar_data!A63,Country_details!$A$9:$A$154,0))</f>
        <v>1983.7952526880481</v>
      </c>
      <c r="J63" s="164">
        <f t="shared" si="1"/>
        <v>2463.75</v>
      </c>
      <c r="K63" s="164"/>
      <c r="L63" s="164"/>
      <c r="M63" s="164"/>
      <c r="N63" s="164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</row>
    <row r="64" spans="1:35" x14ac:dyDescent="0.2">
      <c r="A64" s="167" t="s">
        <v>177</v>
      </c>
      <c r="B64" s="162">
        <v>6</v>
      </c>
      <c r="C64" s="162">
        <f t="shared" si="0"/>
        <v>1186.25</v>
      </c>
      <c r="D64" s="162" t="s">
        <v>173</v>
      </c>
      <c r="E64" s="168">
        <v>32645285640.0303</v>
      </c>
      <c r="F64" s="168">
        <v>32645285.640030302</v>
      </c>
      <c r="G64" s="168">
        <v>32645.285640030303</v>
      </c>
      <c r="H64" s="168">
        <v>32.645285640030302</v>
      </c>
      <c r="I64" s="164" t="e">
        <f>H64*$O$9/0.1*INDEX(Country_details!$N$9:N214,MATCH(Solar_data!A64,Country_details!$A$9:$A$154,0))</f>
        <v>#N/A</v>
      </c>
      <c r="J64" s="164">
        <f t="shared" si="1"/>
        <v>1186.25</v>
      </c>
      <c r="K64" s="164"/>
      <c r="L64" s="164"/>
      <c r="M64" s="164"/>
      <c r="N64" s="164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</row>
    <row r="65" spans="1:35" x14ac:dyDescent="0.2">
      <c r="A65" s="167" t="s">
        <v>177</v>
      </c>
      <c r="B65" s="162">
        <v>7</v>
      </c>
      <c r="C65" s="162">
        <f t="shared" si="0"/>
        <v>1368.75</v>
      </c>
      <c r="D65" s="162" t="s">
        <v>174</v>
      </c>
      <c r="E65" s="168">
        <v>96207024936.346802</v>
      </c>
      <c r="F65" s="168">
        <v>96207024.936346799</v>
      </c>
      <c r="G65" s="168">
        <v>96207.024936346803</v>
      </c>
      <c r="H65" s="168">
        <v>96.207024936346798</v>
      </c>
      <c r="I65" s="164" t="e">
        <f>H65*$O$9/0.1*INDEX(Country_details!$N$9:N215,MATCH(Solar_data!A65,Country_details!$A$9:$A$154,0))</f>
        <v>#N/A</v>
      </c>
      <c r="J65" s="164">
        <f t="shared" si="1"/>
        <v>1368.75</v>
      </c>
      <c r="K65" s="164"/>
      <c r="L65" s="164"/>
      <c r="M65" s="164"/>
      <c r="N65" s="164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</row>
    <row r="66" spans="1:35" x14ac:dyDescent="0.2">
      <c r="A66" s="167" t="s">
        <v>177</v>
      </c>
      <c r="B66" s="162">
        <v>8</v>
      </c>
      <c r="C66" s="162">
        <f t="shared" si="0"/>
        <v>1551.25</v>
      </c>
      <c r="D66" s="162" t="s">
        <v>164</v>
      </c>
      <c r="E66" s="168">
        <v>34195316579.252701</v>
      </c>
      <c r="F66" s="168">
        <v>34195316.579252705</v>
      </c>
      <c r="G66" s="168">
        <v>34195.316579252707</v>
      </c>
      <c r="H66" s="168">
        <v>34.195316579252705</v>
      </c>
      <c r="I66" s="164" t="e">
        <f>H66*$O$9/0.1*INDEX(Country_details!$N$9:N216,MATCH(Solar_data!A66,Country_details!$A$9:$A$154,0))</f>
        <v>#N/A</v>
      </c>
      <c r="J66" s="164">
        <f t="shared" si="1"/>
        <v>1551.25</v>
      </c>
      <c r="K66" s="164"/>
      <c r="L66" s="164"/>
      <c r="M66" s="164"/>
      <c r="N66" s="164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</row>
    <row r="67" spans="1:35" x14ac:dyDescent="0.2">
      <c r="A67" s="167" t="s">
        <v>177</v>
      </c>
      <c r="B67" s="162">
        <v>9</v>
      </c>
      <c r="C67" s="162">
        <f t="shared" si="0"/>
        <v>1733.75</v>
      </c>
      <c r="D67" s="162" t="s">
        <v>157</v>
      </c>
      <c r="E67" s="168">
        <v>8353113690.1879997</v>
      </c>
      <c r="F67" s="168">
        <v>8353113.690188</v>
      </c>
      <c r="G67" s="168">
        <v>8353.113690188</v>
      </c>
      <c r="H67" s="168">
        <v>8.3531136901879997</v>
      </c>
      <c r="I67" s="164" t="e">
        <f>H67*$O$9/0.1*INDEX(Country_details!$N$9:N217,MATCH(Solar_data!A67,Country_details!$A$9:$A$154,0))</f>
        <v>#N/A</v>
      </c>
      <c r="J67" s="164">
        <f t="shared" si="1"/>
        <v>1733.75</v>
      </c>
      <c r="K67" s="164"/>
      <c r="L67" s="164"/>
      <c r="M67" s="164"/>
      <c r="N67" s="164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</row>
    <row r="68" spans="1:35" x14ac:dyDescent="0.2">
      <c r="A68" s="167" t="s">
        <v>177</v>
      </c>
      <c r="B68" s="162">
        <v>10</v>
      </c>
      <c r="C68" s="162">
        <f t="shared" si="0"/>
        <v>1916.25</v>
      </c>
      <c r="D68" s="162" t="s">
        <v>159</v>
      </c>
      <c r="E68" s="168">
        <v>229679828.7719</v>
      </c>
      <c r="F68" s="168">
        <v>229679.82877190001</v>
      </c>
      <c r="G68" s="168">
        <v>229.67982877190002</v>
      </c>
      <c r="H68" s="168">
        <v>0.22967982877190002</v>
      </c>
      <c r="I68" s="164" t="e">
        <f>H68*$O$9/0.1*INDEX(Country_details!$N$9:N218,MATCH(Solar_data!A68,Country_details!$A$9:$A$154,0))</f>
        <v>#N/A</v>
      </c>
      <c r="J68" s="164">
        <f t="shared" si="1"/>
        <v>1916.25</v>
      </c>
      <c r="K68" s="164"/>
      <c r="L68" s="164"/>
      <c r="M68" s="164"/>
      <c r="N68" s="164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</row>
    <row r="69" spans="1:35" x14ac:dyDescent="0.2">
      <c r="A69" s="167" t="s">
        <v>37</v>
      </c>
      <c r="B69" s="162">
        <v>7</v>
      </c>
      <c r="C69" s="162">
        <f t="shared" ref="C69:C132" si="2">(0.5*B69+0.25)*365</f>
        <v>1368.75</v>
      </c>
      <c r="D69" s="162" t="s">
        <v>174</v>
      </c>
      <c r="E69" s="168">
        <v>20114883917.630001</v>
      </c>
      <c r="F69" s="168">
        <v>20114883.917630002</v>
      </c>
      <c r="G69" s="168">
        <v>20114.883917630003</v>
      </c>
      <c r="H69" s="168">
        <v>20.114883917630003</v>
      </c>
      <c r="I69" s="164">
        <f>H69*$O$9/0.1*INDEX(Country_details!$N$9:N219,MATCH(Solar_data!A69,Country_details!$A$9:$A$154,0))</f>
        <v>54.310186577601009</v>
      </c>
      <c r="J69" s="164">
        <f t="shared" si="1"/>
        <v>1368.75</v>
      </c>
      <c r="K69" s="164"/>
      <c r="L69" s="164"/>
      <c r="M69" s="164"/>
      <c r="N69" s="164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</row>
    <row r="70" spans="1:35" x14ac:dyDescent="0.2">
      <c r="A70" s="167" t="s">
        <v>37</v>
      </c>
      <c r="B70" s="162">
        <v>8</v>
      </c>
      <c r="C70" s="162">
        <f t="shared" si="2"/>
        <v>1551.25</v>
      </c>
      <c r="D70" s="162" t="s">
        <v>164</v>
      </c>
      <c r="E70" s="168">
        <v>157957587027.4017</v>
      </c>
      <c r="F70" s="168">
        <v>157957587.02740172</v>
      </c>
      <c r="G70" s="168">
        <v>157957.58702740172</v>
      </c>
      <c r="H70" s="168">
        <v>157.95758702740173</v>
      </c>
      <c r="I70" s="164">
        <f>H70*$O$9/0.1*INDEX(Country_details!$N$9:N220,MATCH(Solar_data!A70,Country_details!$A$9:$A$154,0))</f>
        <v>426.48548497398463</v>
      </c>
      <c r="J70" s="164">
        <f t="shared" si="1"/>
        <v>1551.25</v>
      </c>
      <c r="K70" s="164"/>
      <c r="L70" s="164"/>
      <c r="M70" s="164"/>
      <c r="N70" s="164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</row>
    <row r="71" spans="1:35" x14ac:dyDescent="0.2">
      <c r="A71" s="167" t="s">
        <v>37</v>
      </c>
      <c r="B71" s="162">
        <v>9</v>
      </c>
      <c r="C71" s="162">
        <f t="shared" si="2"/>
        <v>1733.75</v>
      </c>
      <c r="D71" s="162" t="s">
        <v>157</v>
      </c>
      <c r="E71" s="168">
        <v>211838988825.44601</v>
      </c>
      <c r="F71" s="168">
        <v>211838988.82544601</v>
      </c>
      <c r="G71" s="168">
        <v>211838.98882544602</v>
      </c>
      <c r="H71" s="168">
        <v>211.83898882544602</v>
      </c>
      <c r="I71" s="164">
        <f>H71*$O$9/0.1*INDEX(Country_details!$N$9:N221,MATCH(Solar_data!A71,Country_details!$A$9:$A$154,0))</f>
        <v>571.96526982870421</v>
      </c>
      <c r="J71" s="164">
        <f t="shared" si="1"/>
        <v>1733.75</v>
      </c>
      <c r="K71" s="164"/>
      <c r="L71" s="164"/>
      <c r="M71" s="164"/>
      <c r="N71" s="164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</row>
    <row r="72" spans="1:35" x14ac:dyDescent="0.2">
      <c r="A72" s="167" t="s">
        <v>37</v>
      </c>
      <c r="B72" s="162">
        <v>10</v>
      </c>
      <c r="C72" s="162">
        <f t="shared" si="2"/>
        <v>1916.25</v>
      </c>
      <c r="D72" s="162" t="s">
        <v>159</v>
      </c>
      <c r="E72" s="168">
        <v>16630859924.2229</v>
      </c>
      <c r="F72" s="168">
        <v>16630859.924222901</v>
      </c>
      <c r="G72" s="168">
        <v>16630.859924222903</v>
      </c>
      <c r="H72" s="168">
        <v>16.630859924222904</v>
      </c>
      <c r="I72" s="164">
        <f>H72*$O$9/0.1*INDEX(Country_details!$N$9:N222,MATCH(Solar_data!A72,Country_details!$A$9:$A$154,0))</f>
        <v>44.903321795401844</v>
      </c>
      <c r="J72" s="164">
        <f t="shared" si="1"/>
        <v>1916.25</v>
      </c>
      <c r="K72" s="164"/>
      <c r="L72" s="164"/>
      <c r="M72" s="164"/>
      <c r="N72" s="164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</row>
    <row r="73" spans="1:35" x14ac:dyDescent="0.2">
      <c r="A73" s="167" t="s">
        <v>37</v>
      </c>
      <c r="B73" s="162">
        <v>11</v>
      </c>
      <c r="C73" s="162">
        <f t="shared" si="2"/>
        <v>2098.75</v>
      </c>
      <c r="D73" s="162" t="s">
        <v>161</v>
      </c>
      <c r="E73" s="168">
        <v>1534249.8946</v>
      </c>
      <c r="F73" s="168">
        <v>1534.2498946000001</v>
      </c>
      <c r="G73" s="168">
        <v>1.5342498946000001</v>
      </c>
      <c r="H73" s="168">
        <v>1.5342498946000001E-3</v>
      </c>
      <c r="I73" s="164">
        <f>H73*$O$9/0.1*INDEX(Country_details!$N$9:N223,MATCH(Solar_data!A73,Country_details!$A$9:$A$154,0))</f>
        <v>4.1424747154200003E-3</v>
      </c>
      <c r="J73" s="164">
        <f t="shared" ref="J73:J136" si="3">(0.5*B73+0.25)*365</f>
        <v>2098.75</v>
      </c>
      <c r="K73" s="164"/>
      <c r="L73" s="164"/>
      <c r="M73" s="164"/>
      <c r="N73" s="164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</row>
    <row r="74" spans="1:35" x14ac:dyDescent="0.2">
      <c r="A74" s="167" t="s">
        <v>178</v>
      </c>
      <c r="B74" s="162">
        <v>11</v>
      </c>
      <c r="C74" s="162">
        <f t="shared" si="2"/>
        <v>2098.75</v>
      </c>
      <c r="D74" s="162" t="s">
        <v>161</v>
      </c>
      <c r="E74" s="168">
        <v>762658196.96399999</v>
      </c>
      <c r="F74" s="168">
        <v>762658.196964</v>
      </c>
      <c r="G74" s="168">
        <v>762.65819696400001</v>
      </c>
      <c r="H74" s="168">
        <v>0.76265819696400006</v>
      </c>
      <c r="I74" s="164" t="e">
        <f>H74*$O$9/0.1*INDEX(Country_details!$N$9:N224,MATCH(Solar_data!A74,Country_details!$A$9:$A$154,0))</f>
        <v>#N/A</v>
      </c>
      <c r="J74" s="164">
        <f t="shared" si="3"/>
        <v>2098.75</v>
      </c>
      <c r="K74" s="164"/>
      <c r="L74" s="164"/>
      <c r="M74" s="164"/>
      <c r="N74" s="164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</row>
    <row r="75" spans="1:35" x14ac:dyDescent="0.2">
      <c r="A75" s="167" t="s">
        <v>179</v>
      </c>
      <c r="B75" s="162">
        <v>12</v>
      </c>
      <c r="C75" s="162">
        <f t="shared" si="2"/>
        <v>2281.25</v>
      </c>
      <c r="D75" s="162" t="s">
        <v>162</v>
      </c>
      <c r="E75" s="168">
        <v>1443208.1897</v>
      </c>
      <c r="F75" s="168">
        <v>1443.2081897</v>
      </c>
      <c r="G75" s="168">
        <v>1.4432081897</v>
      </c>
      <c r="H75" s="168">
        <v>1.4432081896999999E-3</v>
      </c>
      <c r="I75" s="164" t="e">
        <f>H75*$O$9/0.1*INDEX(Country_details!$N$9:N225,MATCH(Solar_data!A75,Country_details!$A$9:$A$154,0))</f>
        <v>#N/A</v>
      </c>
      <c r="J75" s="164">
        <f t="shared" si="3"/>
        <v>2281.25</v>
      </c>
      <c r="K75" s="164"/>
      <c r="L75" s="164"/>
      <c r="M75" s="164"/>
      <c r="N75" s="164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</row>
    <row r="76" spans="1:35" x14ac:dyDescent="0.2">
      <c r="A76" s="167" t="s">
        <v>38</v>
      </c>
      <c r="B76" s="162">
        <v>9</v>
      </c>
      <c r="C76" s="162">
        <f t="shared" si="2"/>
        <v>1733.75</v>
      </c>
      <c r="D76" s="162" t="s">
        <v>157</v>
      </c>
      <c r="E76" s="168">
        <v>48499932409.644897</v>
      </c>
      <c r="F76" s="168">
        <v>48499932.409644902</v>
      </c>
      <c r="G76" s="168">
        <v>48499.932409644905</v>
      </c>
      <c r="H76" s="168">
        <v>48.499932409644906</v>
      </c>
      <c r="I76" s="164">
        <f>H76*$O$9/0.1*INDEX(Country_details!$N$9:N226,MATCH(Solar_data!A76,Country_details!$A$9:$A$154,0))</f>
        <v>130.94981750604126</v>
      </c>
      <c r="J76" s="164">
        <f t="shared" si="3"/>
        <v>1733.75</v>
      </c>
      <c r="K76" s="164"/>
      <c r="L76" s="164"/>
      <c r="M76" s="164"/>
      <c r="N76" s="164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</row>
    <row r="77" spans="1:35" x14ac:dyDescent="0.2">
      <c r="A77" s="167" t="s">
        <v>38</v>
      </c>
      <c r="B77" s="162">
        <v>10</v>
      </c>
      <c r="C77" s="162">
        <f t="shared" si="2"/>
        <v>1916.25</v>
      </c>
      <c r="D77" s="162" t="s">
        <v>159</v>
      </c>
      <c r="E77" s="168">
        <v>331554254938.45062</v>
      </c>
      <c r="F77" s="168">
        <v>331554254.93845063</v>
      </c>
      <c r="G77" s="168">
        <v>331554.25493845064</v>
      </c>
      <c r="H77" s="168">
        <v>331.55425493845064</v>
      </c>
      <c r="I77" s="164">
        <f>H77*$O$9/0.1*INDEX(Country_details!$N$9:N227,MATCH(Solar_data!A77,Country_details!$A$9:$A$154,0))</f>
        <v>895.19648833381666</v>
      </c>
      <c r="J77" s="164">
        <f t="shared" si="3"/>
        <v>1916.25</v>
      </c>
      <c r="K77" s="164"/>
      <c r="L77" s="164"/>
      <c r="M77" s="164"/>
      <c r="N77" s="164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</row>
    <row r="78" spans="1:35" x14ac:dyDescent="0.2">
      <c r="A78" s="167" t="s">
        <v>180</v>
      </c>
      <c r="B78" s="162">
        <v>10</v>
      </c>
      <c r="C78" s="162">
        <f t="shared" si="2"/>
        <v>1916.25</v>
      </c>
      <c r="D78" s="162" t="s">
        <v>159</v>
      </c>
      <c r="E78" s="168">
        <v>704490364.66600001</v>
      </c>
      <c r="F78" s="168">
        <v>704490.36466600001</v>
      </c>
      <c r="G78" s="168">
        <v>704.490364666</v>
      </c>
      <c r="H78" s="168">
        <v>0.70449036466600001</v>
      </c>
      <c r="I78" s="164" t="e">
        <f>H78*$O$9/0.1*INDEX(Country_details!$N$9:N228,MATCH(Solar_data!A78,Country_details!$A$9:$A$154,0))</f>
        <v>#N/A</v>
      </c>
      <c r="J78" s="164">
        <f t="shared" si="3"/>
        <v>1916.25</v>
      </c>
      <c r="K78" s="164"/>
      <c r="L78" s="164"/>
      <c r="M78" s="164"/>
      <c r="N78" s="164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</row>
    <row r="79" spans="1:35" x14ac:dyDescent="0.2">
      <c r="A79" s="167" t="s">
        <v>181</v>
      </c>
      <c r="B79" s="162">
        <v>6</v>
      </c>
      <c r="C79" s="162">
        <f t="shared" si="2"/>
        <v>1186.25</v>
      </c>
      <c r="D79" s="162" t="s">
        <v>173</v>
      </c>
      <c r="E79" s="168">
        <v>347275998825.14642</v>
      </c>
      <c r="F79" s="168">
        <v>347275998.82514644</v>
      </c>
      <c r="G79" s="168">
        <v>347275.99882514647</v>
      </c>
      <c r="H79" s="168">
        <v>347.27599882514647</v>
      </c>
      <c r="I79" s="164" t="e">
        <f>H79*$O$9/0.1*INDEX(Country_details!$N$9:N229,MATCH(Solar_data!A79,Country_details!$A$9:$A$154,0))</f>
        <v>#N/A</v>
      </c>
      <c r="J79" s="164">
        <f t="shared" si="3"/>
        <v>1186.25</v>
      </c>
      <c r="K79" s="164"/>
      <c r="L79" s="164"/>
      <c r="M79" s="164"/>
      <c r="N79" s="164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</row>
    <row r="80" spans="1:35" x14ac:dyDescent="0.2">
      <c r="A80" s="167" t="s">
        <v>181</v>
      </c>
      <c r="B80" s="162">
        <v>7</v>
      </c>
      <c r="C80" s="162">
        <f t="shared" si="2"/>
        <v>1368.75</v>
      </c>
      <c r="D80" s="162" t="s">
        <v>174</v>
      </c>
      <c r="E80" s="168">
        <v>32713768614.127102</v>
      </c>
      <c r="F80" s="168">
        <v>32713768.614127103</v>
      </c>
      <c r="G80" s="168">
        <v>32713.768614127104</v>
      </c>
      <c r="H80" s="168">
        <v>32.713768614127105</v>
      </c>
      <c r="I80" s="164" t="e">
        <f>H80*$O$9/0.1*INDEX(Country_details!$N$9:N230,MATCH(Solar_data!A80,Country_details!$A$9:$A$154,0))</f>
        <v>#N/A</v>
      </c>
      <c r="J80" s="164">
        <f t="shared" si="3"/>
        <v>1368.75</v>
      </c>
      <c r="K80" s="164"/>
      <c r="L80" s="164"/>
      <c r="M80" s="164"/>
      <c r="N80" s="164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</row>
    <row r="81" spans="1:35" x14ac:dyDescent="0.2">
      <c r="A81" s="167" t="s">
        <v>39</v>
      </c>
      <c r="B81" s="162">
        <v>5</v>
      </c>
      <c r="C81" s="162">
        <f t="shared" si="2"/>
        <v>1003.75</v>
      </c>
      <c r="D81" s="162" t="s">
        <v>172</v>
      </c>
      <c r="E81" s="168">
        <v>15491105342.711399</v>
      </c>
      <c r="F81" s="168">
        <v>15491105.3427114</v>
      </c>
      <c r="G81" s="168">
        <v>15491.1053427114</v>
      </c>
      <c r="H81" s="168">
        <v>15.4911053427114</v>
      </c>
      <c r="I81" s="164">
        <f>H81*$O$9/0.1*INDEX(Country_details!$N$9:N231,MATCH(Solar_data!A81,Country_details!$A$9:$A$154,0))</f>
        <v>41.825984425320783</v>
      </c>
      <c r="J81" s="164">
        <f t="shared" si="3"/>
        <v>1003.75</v>
      </c>
      <c r="K81" s="164"/>
      <c r="L81" s="164"/>
      <c r="M81" s="164"/>
      <c r="N81" s="164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</row>
    <row r="82" spans="1:35" x14ac:dyDescent="0.2">
      <c r="A82" s="167" t="s">
        <v>39</v>
      </c>
      <c r="B82" s="162">
        <v>6</v>
      </c>
      <c r="C82" s="162">
        <f t="shared" si="2"/>
        <v>1186.25</v>
      </c>
      <c r="D82" s="162" t="s">
        <v>173</v>
      </c>
      <c r="E82" s="168">
        <v>35925525352.9711</v>
      </c>
      <c r="F82" s="168">
        <v>35925525.352971099</v>
      </c>
      <c r="G82" s="168">
        <v>35925.525352971097</v>
      </c>
      <c r="H82" s="168">
        <v>35.9255253529711</v>
      </c>
      <c r="I82" s="164">
        <f>H82*$O$9/0.1*INDEX(Country_details!$N$9:N232,MATCH(Solar_data!A82,Country_details!$A$9:$A$154,0))</f>
        <v>96.998918453021972</v>
      </c>
      <c r="J82" s="164">
        <f t="shared" si="3"/>
        <v>1186.25</v>
      </c>
      <c r="K82" s="164"/>
      <c r="L82" s="164"/>
      <c r="M82" s="164"/>
      <c r="N82" s="164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</row>
    <row r="83" spans="1:35" x14ac:dyDescent="0.2">
      <c r="A83" s="167" t="s">
        <v>40</v>
      </c>
      <c r="B83" s="162">
        <v>9</v>
      </c>
      <c r="C83" s="162">
        <f t="shared" si="2"/>
        <v>1733.75</v>
      </c>
      <c r="D83" s="162" t="s">
        <v>157</v>
      </c>
      <c r="E83" s="168">
        <v>16136917924.563</v>
      </c>
      <c r="F83" s="168">
        <v>16136917.924563</v>
      </c>
      <c r="G83" s="168">
        <v>16136.917924563</v>
      </c>
      <c r="H83" s="168">
        <v>16.136917924563001</v>
      </c>
      <c r="I83" s="164">
        <f>H83*$O$9/0.1*INDEX(Country_details!$N$9:N233,MATCH(Solar_data!A83,Country_details!$A$9:$A$154,0))</f>
        <v>43.5696783963201</v>
      </c>
      <c r="J83" s="164">
        <f t="shared" si="3"/>
        <v>1733.75</v>
      </c>
      <c r="K83" s="164"/>
      <c r="L83" s="164"/>
      <c r="M83" s="164"/>
      <c r="N83" s="164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</row>
    <row r="84" spans="1:35" x14ac:dyDescent="0.2">
      <c r="A84" s="167" t="s">
        <v>40</v>
      </c>
      <c r="B84" s="162">
        <v>10</v>
      </c>
      <c r="C84" s="162">
        <f t="shared" si="2"/>
        <v>1916.25</v>
      </c>
      <c r="D84" s="162" t="s">
        <v>159</v>
      </c>
      <c r="E84" s="168">
        <v>47037889944.480904</v>
      </c>
      <c r="F84" s="168">
        <v>47037889.944480903</v>
      </c>
      <c r="G84" s="168">
        <v>47037.889944480907</v>
      </c>
      <c r="H84" s="168">
        <v>47.037889944480909</v>
      </c>
      <c r="I84" s="164">
        <f>H84*$O$9/0.1*INDEX(Country_details!$N$9:N234,MATCH(Solar_data!A84,Country_details!$A$9:$A$154,0))</f>
        <v>127.00230285009845</v>
      </c>
      <c r="J84" s="164">
        <f t="shared" si="3"/>
        <v>1916.25</v>
      </c>
      <c r="K84" s="164"/>
      <c r="L84" s="164"/>
      <c r="M84" s="164"/>
      <c r="N84" s="164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</row>
    <row r="85" spans="1:35" x14ac:dyDescent="0.2">
      <c r="A85" s="167" t="s">
        <v>41</v>
      </c>
      <c r="B85" s="162">
        <v>9</v>
      </c>
      <c r="C85" s="162">
        <f t="shared" si="2"/>
        <v>1733.75</v>
      </c>
      <c r="D85" s="162" t="s">
        <v>157</v>
      </c>
      <c r="E85" s="168">
        <v>49973418824.732399</v>
      </c>
      <c r="F85" s="168">
        <v>49973418.8247324</v>
      </c>
      <c r="G85" s="168">
        <v>49973.418824732398</v>
      </c>
      <c r="H85" s="168">
        <v>49.973418824732398</v>
      </c>
      <c r="I85" s="164">
        <f>H85*$O$9/0.1*INDEX(Country_details!$N$9:N235,MATCH(Solar_data!A85,Country_details!$A$9:$A$154,0))</f>
        <v>127.43221800306759</v>
      </c>
      <c r="J85" s="164">
        <f t="shared" si="3"/>
        <v>1733.75</v>
      </c>
      <c r="K85" s="164"/>
      <c r="L85" s="164"/>
      <c r="M85" s="164"/>
      <c r="N85" s="164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</row>
    <row r="86" spans="1:35" x14ac:dyDescent="0.2">
      <c r="A86" s="167" t="s">
        <v>41</v>
      </c>
      <c r="B86" s="162">
        <v>10</v>
      </c>
      <c r="C86" s="162">
        <f t="shared" si="2"/>
        <v>1916.25</v>
      </c>
      <c r="D86" s="162" t="s">
        <v>159</v>
      </c>
      <c r="E86" s="168">
        <v>96524907757.601501</v>
      </c>
      <c r="F86" s="168">
        <v>96524907.7576015</v>
      </c>
      <c r="G86" s="168">
        <v>96524.907757601497</v>
      </c>
      <c r="H86" s="168">
        <v>96.524907757601497</v>
      </c>
      <c r="I86" s="164">
        <f>H86*$O$9/0.1*INDEX(Country_details!$N$9:N236,MATCH(Solar_data!A86,Country_details!$A$9:$A$154,0))</f>
        <v>246.1385147818838</v>
      </c>
      <c r="J86" s="164">
        <f t="shared" si="3"/>
        <v>1916.25</v>
      </c>
      <c r="K86" s="164"/>
      <c r="L86" s="164"/>
      <c r="M86" s="164"/>
      <c r="N86" s="164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</row>
    <row r="87" spans="1:35" x14ac:dyDescent="0.2">
      <c r="A87" s="167" t="s">
        <v>41</v>
      </c>
      <c r="B87" s="162">
        <v>11</v>
      </c>
      <c r="C87" s="162">
        <f t="shared" si="2"/>
        <v>2098.75</v>
      </c>
      <c r="D87" s="162" t="s">
        <v>161</v>
      </c>
      <c r="E87" s="168">
        <v>201554627614.17068</v>
      </c>
      <c r="F87" s="168">
        <v>201554627.6141707</v>
      </c>
      <c r="G87" s="168">
        <v>201554.62761417069</v>
      </c>
      <c r="H87" s="168">
        <v>201.5546276141707</v>
      </c>
      <c r="I87" s="164">
        <f>H87*$O$9/0.1*INDEX(Country_details!$N$9:N237,MATCH(Solar_data!A87,Country_details!$A$9:$A$154,0))</f>
        <v>513.96430041613519</v>
      </c>
      <c r="J87" s="164">
        <f t="shared" si="3"/>
        <v>2098.75</v>
      </c>
      <c r="K87" s="164"/>
      <c r="L87" s="164"/>
      <c r="M87" s="164"/>
      <c r="N87" s="164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</row>
    <row r="88" spans="1:35" x14ac:dyDescent="0.2">
      <c r="A88" s="167" t="s">
        <v>41</v>
      </c>
      <c r="B88" s="162">
        <v>12</v>
      </c>
      <c r="C88" s="162">
        <f t="shared" si="2"/>
        <v>2281.25</v>
      </c>
      <c r="D88" s="162" t="s">
        <v>162</v>
      </c>
      <c r="E88" s="168">
        <v>3728874809.1475</v>
      </c>
      <c r="F88" s="168">
        <v>3728874.8091475</v>
      </c>
      <c r="G88" s="168">
        <v>3728.8748091474999</v>
      </c>
      <c r="H88" s="168">
        <v>3.7288748091474999</v>
      </c>
      <c r="I88" s="164">
        <f>H88*$O$9/0.1*INDEX(Country_details!$N$9:N238,MATCH(Solar_data!A88,Country_details!$A$9:$A$154,0))</f>
        <v>9.5086307633261242</v>
      </c>
      <c r="J88" s="164">
        <f t="shared" si="3"/>
        <v>2281.25</v>
      </c>
      <c r="K88" s="164"/>
      <c r="L88" s="164"/>
      <c r="M88" s="164"/>
      <c r="N88" s="164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</row>
    <row r="89" spans="1:35" x14ac:dyDescent="0.2">
      <c r="A89" s="167" t="s">
        <v>182</v>
      </c>
      <c r="B89" s="162">
        <v>10</v>
      </c>
      <c r="C89" s="162">
        <f t="shared" si="2"/>
        <v>1916.25</v>
      </c>
      <c r="D89" s="162" t="s">
        <v>159</v>
      </c>
      <c r="E89" s="168">
        <v>40107526.799599998</v>
      </c>
      <c r="F89" s="168">
        <v>40107.526799599997</v>
      </c>
      <c r="G89" s="168">
        <v>40.107526799599995</v>
      </c>
      <c r="H89" s="168">
        <v>4.0107526799599995E-2</v>
      </c>
      <c r="I89" s="164" t="e">
        <f>H89*$O$9/0.1*INDEX(Country_details!$N$9:N239,MATCH(Solar_data!A89,Country_details!$A$9:$A$154,0))</f>
        <v>#N/A</v>
      </c>
      <c r="J89" s="164">
        <f t="shared" si="3"/>
        <v>1916.25</v>
      </c>
      <c r="K89" s="164"/>
      <c r="L89" s="164"/>
      <c r="M89" s="164"/>
      <c r="N89" s="164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</row>
    <row r="90" spans="1:35" x14ac:dyDescent="0.2">
      <c r="A90" s="167" t="s">
        <v>183</v>
      </c>
      <c r="B90" s="162">
        <v>8</v>
      </c>
      <c r="C90" s="162">
        <f t="shared" si="2"/>
        <v>1551.25</v>
      </c>
      <c r="D90" s="162" t="s">
        <v>164</v>
      </c>
      <c r="E90" s="168">
        <v>2532242196.4541001</v>
      </c>
      <c r="F90" s="168">
        <v>2532242.1964541003</v>
      </c>
      <c r="G90" s="168">
        <v>2532.2421964541004</v>
      </c>
      <c r="H90" s="168">
        <v>2.5322421964541006</v>
      </c>
      <c r="I90" s="164" t="e">
        <f>H90*$O$9/0.1*INDEX(Country_details!$N$9:N240,MATCH(Solar_data!A90,Country_details!$A$9:$A$154,0))</f>
        <v>#N/A</v>
      </c>
      <c r="J90" s="164">
        <f t="shared" si="3"/>
        <v>1551.25</v>
      </c>
      <c r="K90" s="164"/>
      <c r="L90" s="164"/>
      <c r="M90" s="164"/>
      <c r="N90" s="164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</row>
    <row r="91" spans="1:35" x14ac:dyDescent="0.2">
      <c r="A91" s="167" t="s">
        <v>183</v>
      </c>
      <c r="B91" s="162">
        <v>9</v>
      </c>
      <c r="C91" s="162">
        <f t="shared" si="2"/>
        <v>1733.75</v>
      </c>
      <c r="D91" s="162" t="s">
        <v>157</v>
      </c>
      <c r="E91" s="168">
        <v>51351735832.501701</v>
      </c>
      <c r="F91" s="168">
        <v>51351735.832501702</v>
      </c>
      <c r="G91" s="168">
        <v>51351.735832501705</v>
      </c>
      <c r="H91" s="168">
        <v>51.351735832501703</v>
      </c>
      <c r="I91" s="164" t="e">
        <f>H91*$O$9/0.1*INDEX(Country_details!$N$9:N241,MATCH(Solar_data!A91,Country_details!$A$9:$A$154,0))</f>
        <v>#N/A</v>
      </c>
      <c r="J91" s="164">
        <f t="shared" si="3"/>
        <v>1733.75</v>
      </c>
      <c r="K91" s="164"/>
      <c r="L91" s="164"/>
      <c r="M91" s="164"/>
      <c r="N91" s="164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</row>
    <row r="92" spans="1:35" x14ac:dyDescent="0.2">
      <c r="A92" s="167" t="s">
        <v>183</v>
      </c>
      <c r="B92" s="162">
        <v>10</v>
      </c>
      <c r="C92" s="162">
        <f t="shared" si="2"/>
        <v>1916.25</v>
      </c>
      <c r="D92" s="162" t="s">
        <v>159</v>
      </c>
      <c r="E92" s="168">
        <v>45580757268.863602</v>
      </c>
      <c r="F92" s="168">
        <v>45580757.268863603</v>
      </c>
      <c r="G92" s="168">
        <v>45580.757268863606</v>
      </c>
      <c r="H92" s="168">
        <v>45.580757268863607</v>
      </c>
      <c r="I92" s="164" t="e">
        <f>H92*$O$9/0.1*INDEX(Country_details!$N$9:N242,MATCH(Solar_data!A92,Country_details!$A$9:$A$154,0))</f>
        <v>#N/A</v>
      </c>
      <c r="J92" s="164">
        <f t="shared" si="3"/>
        <v>1916.25</v>
      </c>
      <c r="K92" s="164"/>
      <c r="L92" s="164"/>
      <c r="M92" s="164"/>
      <c r="N92" s="164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</row>
    <row r="93" spans="1:35" x14ac:dyDescent="0.2">
      <c r="A93" s="167" t="s">
        <v>183</v>
      </c>
      <c r="B93" s="162">
        <v>11</v>
      </c>
      <c r="C93" s="162">
        <f t="shared" si="2"/>
        <v>2098.75</v>
      </c>
      <c r="D93" s="162" t="s">
        <v>161</v>
      </c>
      <c r="E93" s="168">
        <v>7558643104.8470001</v>
      </c>
      <c r="F93" s="168">
        <v>7558643.104847</v>
      </c>
      <c r="G93" s="168">
        <v>7558.6431048470004</v>
      </c>
      <c r="H93" s="168">
        <v>7.5586431048470004</v>
      </c>
      <c r="I93" s="164" t="e">
        <f>H93*$O$9/0.1*INDEX(Country_details!$N$9:N243,MATCH(Solar_data!A93,Country_details!$A$9:$A$154,0))</f>
        <v>#N/A</v>
      </c>
      <c r="J93" s="164">
        <f t="shared" si="3"/>
        <v>2098.75</v>
      </c>
      <c r="K93" s="164"/>
      <c r="L93" s="164"/>
      <c r="M93" s="164"/>
      <c r="N93" s="164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</row>
    <row r="94" spans="1:35" x14ac:dyDescent="0.2">
      <c r="A94" s="167" t="s">
        <v>183</v>
      </c>
      <c r="B94" s="162">
        <v>12</v>
      </c>
      <c r="C94" s="162">
        <f t="shared" si="2"/>
        <v>2281.25</v>
      </c>
      <c r="D94" s="162" t="s">
        <v>162</v>
      </c>
      <c r="E94" s="168">
        <v>615687042.33940005</v>
      </c>
      <c r="F94" s="168">
        <v>615687.04233940004</v>
      </c>
      <c r="G94" s="168">
        <v>615.68704233940002</v>
      </c>
      <c r="H94" s="168">
        <v>0.61568704233940008</v>
      </c>
      <c r="I94" s="164" t="e">
        <f>H94*$O$9/0.1*INDEX(Country_details!$N$9:N244,MATCH(Solar_data!A94,Country_details!$A$9:$A$154,0))</f>
        <v>#N/A</v>
      </c>
      <c r="J94" s="164">
        <f t="shared" si="3"/>
        <v>2281.25</v>
      </c>
      <c r="K94" s="164"/>
      <c r="L94" s="164"/>
      <c r="M94" s="164"/>
      <c r="N94" s="164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</row>
    <row r="95" spans="1:35" x14ac:dyDescent="0.2">
      <c r="A95" s="167" t="s">
        <v>16</v>
      </c>
      <c r="B95" s="162">
        <v>8</v>
      </c>
      <c r="C95" s="162">
        <f t="shared" si="2"/>
        <v>1551.25</v>
      </c>
      <c r="D95" s="162" t="s">
        <v>164</v>
      </c>
      <c r="E95" s="168">
        <v>58409516290.821999</v>
      </c>
      <c r="F95" s="168">
        <v>58409516.290821999</v>
      </c>
      <c r="G95" s="168">
        <v>58409.516290822001</v>
      </c>
      <c r="H95" s="168">
        <v>58.409516290822005</v>
      </c>
      <c r="I95" s="164">
        <f>H95*$O$9/0.1*INDEX(Country_details!$N$9:N245,MATCH(Solar_data!A95,Country_details!$A$9:$A$154,0))</f>
        <v>131.4214116543495</v>
      </c>
      <c r="J95" s="164">
        <f t="shared" si="3"/>
        <v>1551.25</v>
      </c>
      <c r="K95" s="164"/>
      <c r="L95" s="164"/>
      <c r="M95" s="164"/>
      <c r="N95" s="164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</row>
    <row r="96" spans="1:35" x14ac:dyDescent="0.2">
      <c r="A96" s="167" t="s">
        <v>16</v>
      </c>
      <c r="B96" s="162">
        <v>9</v>
      </c>
      <c r="C96" s="162">
        <f t="shared" si="2"/>
        <v>1733.75</v>
      </c>
      <c r="D96" s="162" t="s">
        <v>157</v>
      </c>
      <c r="E96" s="168">
        <v>765713089298.20386</v>
      </c>
      <c r="F96" s="168">
        <v>765713089.29820383</v>
      </c>
      <c r="G96" s="168">
        <v>765713.08929820382</v>
      </c>
      <c r="H96" s="168">
        <v>765.71308929820384</v>
      </c>
      <c r="I96" s="164">
        <f>H96*$O$9/0.1*INDEX(Country_details!$N$9:N246,MATCH(Solar_data!A96,Country_details!$A$9:$A$154,0))</f>
        <v>1722.8544509209585</v>
      </c>
      <c r="J96" s="164">
        <f t="shared" si="3"/>
        <v>1733.75</v>
      </c>
      <c r="K96" s="164"/>
      <c r="L96" s="164"/>
      <c r="M96" s="164"/>
      <c r="N96" s="164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</row>
    <row r="97" spans="1:35" x14ac:dyDescent="0.2">
      <c r="A97" s="167" t="s">
        <v>16</v>
      </c>
      <c r="B97" s="162">
        <v>10</v>
      </c>
      <c r="C97" s="162">
        <f t="shared" si="2"/>
        <v>1916.25</v>
      </c>
      <c r="D97" s="162" t="s">
        <v>159</v>
      </c>
      <c r="E97" s="168">
        <v>1247527027521.6533</v>
      </c>
      <c r="F97" s="168">
        <v>1247527027.5216534</v>
      </c>
      <c r="G97" s="168">
        <v>1247527.0275216533</v>
      </c>
      <c r="H97" s="168">
        <v>1247.5270275216533</v>
      </c>
      <c r="I97" s="164">
        <f>H97*$O$9/0.1*INDEX(Country_details!$N$9:N247,MATCH(Solar_data!A97,Country_details!$A$9:$A$154,0))</f>
        <v>2806.9358119237195</v>
      </c>
      <c r="J97" s="164">
        <f t="shared" si="3"/>
        <v>1916.25</v>
      </c>
      <c r="K97" s="164"/>
      <c r="L97" s="164"/>
      <c r="M97" s="164"/>
      <c r="N97" s="164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</row>
    <row r="98" spans="1:35" x14ac:dyDescent="0.2">
      <c r="A98" s="167" t="s">
        <v>16</v>
      </c>
      <c r="B98" s="162">
        <v>11</v>
      </c>
      <c r="C98" s="162">
        <f t="shared" si="2"/>
        <v>2098.75</v>
      </c>
      <c r="D98" s="162" t="s">
        <v>161</v>
      </c>
      <c r="E98" s="168">
        <v>133338937817.74519</v>
      </c>
      <c r="F98" s="168">
        <v>133338937.81774519</v>
      </c>
      <c r="G98" s="168">
        <v>133338.9378177452</v>
      </c>
      <c r="H98" s="168">
        <v>133.3389378177452</v>
      </c>
      <c r="I98" s="164">
        <f>H98*$O$9/0.1*INDEX(Country_details!$N$9:N248,MATCH(Solar_data!A98,Country_details!$A$9:$A$154,0))</f>
        <v>300.01261008992674</v>
      </c>
      <c r="J98" s="164">
        <f t="shared" si="3"/>
        <v>2098.75</v>
      </c>
      <c r="K98" s="164"/>
      <c r="L98" s="164"/>
      <c r="M98" s="164"/>
      <c r="N98" s="164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</row>
    <row r="99" spans="1:35" x14ac:dyDescent="0.2">
      <c r="A99" s="167" t="s">
        <v>16</v>
      </c>
      <c r="B99" s="162">
        <v>12</v>
      </c>
      <c r="C99" s="162">
        <f t="shared" si="2"/>
        <v>2281.25</v>
      </c>
      <c r="D99" s="162" t="s">
        <v>162</v>
      </c>
      <c r="E99" s="168">
        <v>457300895276.32001</v>
      </c>
      <c r="F99" s="168">
        <v>457300895.27632004</v>
      </c>
      <c r="G99" s="168">
        <v>457300.89527632005</v>
      </c>
      <c r="H99" s="168">
        <v>457.30089527632003</v>
      </c>
      <c r="I99" s="164">
        <f>H99*$O$9/0.1*INDEX(Country_details!$N$9:N249,MATCH(Solar_data!A99,Country_details!$A$9:$A$154,0))</f>
        <v>1028.9270143717201</v>
      </c>
      <c r="J99" s="164">
        <f t="shared" si="3"/>
        <v>2281.25</v>
      </c>
      <c r="K99" s="164"/>
      <c r="L99" s="164"/>
      <c r="M99" s="164"/>
      <c r="N99" s="164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</row>
    <row r="100" spans="1:35" x14ac:dyDescent="0.2">
      <c r="A100" s="167" t="s">
        <v>16</v>
      </c>
      <c r="B100" s="162">
        <v>13</v>
      </c>
      <c r="C100" s="162">
        <f t="shared" si="2"/>
        <v>2463.75</v>
      </c>
      <c r="D100" s="162" t="s">
        <v>163</v>
      </c>
      <c r="E100" s="168">
        <v>362932457692.91998</v>
      </c>
      <c r="F100" s="168">
        <v>362932457.69291997</v>
      </c>
      <c r="G100" s="168">
        <v>362932.45769292</v>
      </c>
      <c r="H100" s="168">
        <v>362.93245769292002</v>
      </c>
      <c r="I100" s="164">
        <f>H100*$O$9/0.1*INDEX(Country_details!$N$9:N250,MATCH(Solar_data!A100,Country_details!$A$9:$A$154,0))</f>
        <v>816.59802980906989</v>
      </c>
      <c r="J100" s="164">
        <f t="shared" si="3"/>
        <v>2463.75</v>
      </c>
      <c r="K100" s="164"/>
      <c r="L100" s="164"/>
      <c r="M100" s="164"/>
      <c r="N100" s="164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</row>
    <row r="101" spans="1:35" x14ac:dyDescent="0.2">
      <c r="A101" s="167" t="s">
        <v>16</v>
      </c>
      <c r="B101" s="162">
        <v>14</v>
      </c>
      <c r="C101" s="162">
        <f t="shared" si="2"/>
        <v>2646.25</v>
      </c>
      <c r="D101" s="162" t="s">
        <v>165</v>
      </c>
      <c r="E101" s="168">
        <v>194927253892.76901</v>
      </c>
      <c r="F101" s="168">
        <v>194927253.89276901</v>
      </c>
      <c r="G101" s="168">
        <v>194927.25389276902</v>
      </c>
      <c r="H101" s="168">
        <v>194.92725389276902</v>
      </c>
      <c r="I101" s="164">
        <f>H101*$O$9/0.1*INDEX(Country_details!$N$9:N251,MATCH(Solar_data!A101,Country_details!$A$9:$A$154,0))</f>
        <v>438.58632125873027</v>
      </c>
      <c r="J101" s="164">
        <f t="shared" si="3"/>
        <v>2646.25</v>
      </c>
      <c r="K101" s="164"/>
      <c r="L101" s="164"/>
      <c r="M101" s="164"/>
      <c r="N101" s="164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</row>
    <row r="102" spans="1:35" x14ac:dyDescent="0.2">
      <c r="A102" s="167" t="s">
        <v>184</v>
      </c>
      <c r="B102" s="162">
        <v>7</v>
      </c>
      <c r="C102" s="162">
        <f t="shared" si="2"/>
        <v>1368.75</v>
      </c>
      <c r="D102" s="162" t="s">
        <v>174</v>
      </c>
      <c r="E102" s="168">
        <v>15177122503.862801</v>
      </c>
      <c r="F102" s="168">
        <v>15177122.5038628</v>
      </c>
      <c r="G102" s="168">
        <v>15177.1225038628</v>
      </c>
      <c r="H102" s="168">
        <v>15.177122503862801</v>
      </c>
      <c r="I102" s="164">
        <f>H102*$O$9/0.1*INDEX(Country_details!$N$9:N252,MATCH(Solar_data!A102,Country_details!$A$9:$A$154,0))</f>
        <v>40.978230760429561</v>
      </c>
      <c r="J102" s="164">
        <f t="shared" si="3"/>
        <v>1368.75</v>
      </c>
      <c r="K102" s="164"/>
      <c r="L102" s="164"/>
      <c r="M102" s="164"/>
      <c r="N102" s="164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  <c r="Y102" s="166"/>
      <c r="Z102" s="166"/>
      <c r="AA102" s="166"/>
      <c r="AB102" s="166"/>
      <c r="AC102" s="166"/>
      <c r="AD102" s="166"/>
      <c r="AE102" s="166"/>
      <c r="AF102" s="166"/>
      <c r="AG102" s="166"/>
      <c r="AH102" s="166"/>
      <c r="AI102" s="166"/>
    </row>
    <row r="103" spans="1:35" x14ac:dyDescent="0.2">
      <c r="A103" s="167" t="s">
        <v>184</v>
      </c>
      <c r="B103" s="162">
        <v>8</v>
      </c>
      <c r="C103" s="162">
        <f t="shared" si="2"/>
        <v>1551.25</v>
      </c>
      <c r="D103" s="162" t="s">
        <v>164</v>
      </c>
      <c r="E103" s="168">
        <v>83768953245.902405</v>
      </c>
      <c r="F103" s="168">
        <v>83768953.245902404</v>
      </c>
      <c r="G103" s="168">
        <v>83768.953245902405</v>
      </c>
      <c r="H103" s="168">
        <v>83.768953245902409</v>
      </c>
      <c r="I103" s="164">
        <f>H103*$O$9/0.1*INDEX(Country_details!$N$9:N253,MATCH(Solar_data!A103,Country_details!$A$9:$A$154,0))</f>
        <v>226.17617376393648</v>
      </c>
      <c r="J103" s="164">
        <f t="shared" si="3"/>
        <v>1551.25</v>
      </c>
      <c r="K103" s="164"/>
      <c r="L103" s="164"/>
      <c r="M103" s="164"/>
      <c r="N103" s="164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  <c r="Y103" s="166"/>
      <c r="Z103" s="166"/>
      <c r="AA103" s="166"/>
      <c r="AB103" s="166"/>
      <c r="AC103" s="166"/>
      <c r="AD103" s="166"/>
      <c r="AE103" s="166"/>
      <c r="AF103" s="166"/>
      <c r="AG103" s="166"/>
      <c r="AH103" s="166"/>
      <c r="AI103" s="166"/>
    </row>
    <row r="104" spans="1:35" x14ac:dyDescent="0.2">
      <c r="A104" s="167" t="s">
        <v>184</v>
      </c>
      <c r="B104" s="162">
        <v>9</v>
      </c>
      <c r="C104" s="162">
        <f t="shared" si="2"/>
        <v>1733.75</v>
      </c>
      <c r="D104" s="162" t="s">
        <v>157</v>
      </c>
      <c r="E104" s="168">
        <v>20327970539.049702</v>
      </c>
      <c r="F104" s="168">
        <v>20327970.539049704</v>
      </c>
      <c r="G104" s="168">
        <v>20327.970539049704</v>
      </c>
      <c r="H104" s="168">
        <v>20.327970539049705</v>
      </c>
      <c r="I104" s="164">
        <f>H104*$O$9/0.1*INDEX(Country_details!$N$9:N254,MATCH(Solar_data!A104,Country_details!$A$9:$A$154,0))</f>
        <v>54.885520455434204</v>
      </c>
      <c r="J104" s="164">
        <f t="shared" si="3"/>
        <v>1733.75</v>
      </c>
      <c r="K104" s="164"/>
      <c r="L104" s="164"/>
      <c r="M104" s="164"/>
      <c r="N104" s="164"/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  <c r="Y104" s="166"/>
      <c r="Z104" s="166"/>
      <c r="AA104" s="166"/>
      <c r="AB104" s="166"/>
      <c r="AC104" s="166"/>
      <c r="AD104" s="166"/>
      <c r="AE104" s="166"/>
      <c r="AF104" s="166"/>
      <c r="AG104" s="166"/>
      <c r="AH104" s="166"/>
      <c r="AI104" s="166"/>
    </row>
    <row r="105" spans="1:35" x14ac:dyDescent="0.2">
      <c r="A105" s="167" t="s">
        <v>184</v>
      </c>
      <c r="B105" s="162">
        <v>10</v>
      </c>
      <c r="C105" s="162">
        <f t="shared" si="2"/>
        <v>1916.25</v>
      </c>
      <c r="D105" s="162" t="s">
        <v>159</v>
      </c>
      <c r="E105" s="168">
        <v>1252301057.2901001</v>
      </c>
      <c r="F105" s="168">
        <v>1252301.0572901</v>
      </c>
      <c r="G105" s="168">
        <v>1252.3010572901001</v>
      </c>
      <c r="H105" s="168">
        <v>1.2523010572901001</v>
      </c>
      <c r="I105" s="164">
        <f>H105*$O$9/0.1*INDEX(Country_details!$N$9:N255,MATCH(Solar_data!A105,Country_details!$A$9:$A$154,0))</f>
        <v>3.3812128546832696</v>
      </c>
      <c r="J105" s="164">
        <f t="shared" si="3"/>
        <v>1916.25</v>
      </c>
      <c r="K105" s="164"/>
      <c r="L105" s="164"/>
      <c r="M105" s="164"/>
      <c r="N105" s="164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6"/>
      <c r="Z105" s="166"/>
      <c r="AA105" s="166"/>
      <c r="AB105" s="166"/>
      <c r="AC105" s="166"/>
      <c r="AD105" s="166"/>
      <c r="AE105" s="166"/>
      <c r="AF105" s="166"/>
      <c r="AG105" s="166"/>
      <c r="AH105" s="166"/>
      <c r="AI105" s="166"/>
    </row>
    <row r="106" spans="1:35" x14ac:dyDescent="0.2">
      <c r="A106" s="167" t="s">
        <v>43</v>
      </c>
      <c r="B106" s="162">
        <v>12</v>
      </c>
      <c r="C106" s="162">
        <f t="shared" si="2"/>
        <v>2281.25</v>
      </c>
      <c r="D106" s="162" t="s">
        <v>162</v>
      </c>
      <c r="E106" s="168">
        <v>597936450386.17944</v>
      </c>
      <c r="F106" s="168">
        <v>597936450.38617945</v>
      </c>
      <c r="G106" s="168">
        <v>597936.45038617949</v>
      </c>
      <c r="H106" s="168">
        <v>597.93645038617956</v>
      </c>
      <c r="I106" s="164">
        <f>H106*$O$9/0.1*INDEX(Country_details!$N$9:N256,MATCH(Solar_data!A106,Country_details!$A$9:$A$154,0))</f>
        <v>1435.047480926831</v>
      </c>
      <c r="J106" s="164">
        <f t="shared" si="3"/>
        <v>2281.25</v>
      </c>
      <c r="K106" s="164"/>
      <c r="L106" s="164"/>
      <c r="M106" s="164"/>
      <c r="N106" s="164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  <c r="Y106" s="166"/>
      <c r="Z106" s="166"/>
      <c r="AA106" s="166"/>
      <c r="AB106" s="166"/>
      <c r="AC106" s="166"/>
      <c r="AD106" s="166"/>
      <c r="AE106" s="166"/>
      <c r="AF106" s="166"/>
      <c r="AG106" s="166"/>
      <c r="AH106" s="166"/>
      <c r="AI106" s="166"/>
    </row>
    <row r="107" spans="1:35" x14ac:dyDescent="0.2">
      <c r="A107" s="167" t="s">
        <v>43</v>
      </c>
      <c r="B107" s="162">
        <v>13</v>
      </c>
      <c r="C107" s="162">
        <f t="shared" si="2"/>
        <v>2463.75</v>
      </c>
      <c r="D107" s="162" t="s">
        <v>163</v>
      </c>
      <c r="E107" s="168">
        <v>1489734043588.8215</v>
      </c>
      <c r="F107" s="168">
        <v>1489734043.5888216</v>
      </c>
      <c r="G107" s="168">
        <v>1489734.0435888218</v>
      </c>
      <c r="H107" s="168">
        <v>1489.7340435888218</v>
      </c>
      <c r="I107" s="164">
        <f>H107*$O$9/0.1*INDEX(Country_details!$N$9:N257,MATCH(Solar_data!A107,Country_details!$A$9:$A$154,0))</f>
        <v>3575.3617046131717</v>
      </c>
      <c r="J107" s="164">
        <f t="shared" si="3"/>
        <v>2463.75</v>
      </c>
      <c r="K107" s="164"/>
      <c r="L107" s="164"/>
      <c r="M107" s="164"/>
      <c r="N107" s="164"/>
      <c r="O107" s="166"/>
      <c r="P107" s="166"/>
      <c r="Q107" s="166"/>
      <c r="R107" s="166"/>
      <c r="S107" s="166"/>
      <c r="T107" s="166"/>
      <c r="U107" s="166"/>
      <c r="V107" s="166"/>
      <c r="W107" s="166"/>
      <c r="X107" s="166"/>
      <c r="Y107" s="166"/>
      <c r="Z107" s="166"/>
      <c r="AA107" s="166"/>
      <c r="AB107" s="166"/>
      <c r="AC107" s="166"/>
      <c r="AD107" s="166"/>
      <c r="AE107" s="166"/>
      <c r="AF107" s="166"/>
      <c r="AG107" s="166"/>
      <c r="AH107" s="166"/>
      <c r="AI107" s="166"/>
    </row>
    <row r="108" spans="1:35" x14ac:dyDescent="0.2">
      <c r="A108" s="167" t="s">
        <v>185</v>
      </c>
      <c r="B108" s="162">
        <v>5</v>
      </c>
      <c r="C108" s="162">
        <f t="shared" si="2"/>
        <v>1003.75</v>
      </c>
      <c r="D108" s="162" t="s">
        <v>172</v>
      </c>
      <c r="E108" s="168">
        <v>44610457.089400001</v>
      </c>
      <c r="F108" s="168">
        <v>44610.457089399999</v>
      </c>
      <c r="G108" s="168">
        <v>44.610457089400001</v>
      </c>
      <c r="H108" s="168">
        <v>4.46104570894E-2</v>
      </c>
      <c r="I108" s="164" t="e">
        <f>H108*$O$9/0.1*INDEX(Country_details!$N$9:N258,MATCH(Solar_data!A108,Country_details!$A$9:$A$154,0))</f>
        <v>#N/A</v>
      </c>
      <c r="J108" s="164">
        <f t="shared" si="3"/>
        <v>1003.75</v>
      </c>
      <c r="K108" s="164"/>
      <c r="L108" s="164"/>
      <c r="M108" s="164"/>
      <c r="N108" s="164"/>
      <c r="O108" s="166"/>
      <c r="P108" s="166"/>
      <c r="Q108" s="166"/>
      <c r="R108" s="166"/>
      <c r="S108" s="166"/>
      <c r="T108" s="166"/>
      <c r="U108" s="166"/>
      <c r="V108" s="166"/>
      <c r="W108" s="166"/>
      <c r="X108" s="166"/>
      <c r="Y108" s="166"/>
      <c r="Z108" s="166"/>
      <c r="AA108" s="166"/>
      <c r="AB108" s="166"/>
      <c r="AC108" s="166"/>
      <c r="AD108" s="166"/>
      <c r="AE108" s="166"/>
      <c r="AF108" s="166"/>
      <c r="AG108" s="166"/>
      <c r="AH108" s="166"/>
      <c r="AI108" s="166"/>
    </row>
    <row r="109" spans="1:35" x14ac:dyDescent="0.2">
      <c r="A109" s="167" t="s">
        <v>17</v>
      </c>
      <c r="B109" s="162">
        <v>0</v>
      </c>
      <c r="C109" s="162">
        <f t="shared" si="2"/>
        <v>91.25</v>
      </c>
      <c r="D109" s="162" t="s">
        <v>186</v>
      </c>
      <c r="E109" s="168">
        <v>20903906.431899998</v>
      </c>
      <c r="F109" s="168">
        <v>20903.906431899999</v>
      </c>
      <c r="G109" s="168">
        <v>20.903906431900001</v>
      </c>
      <c r="H109" s="168">
        <v>2.0903906431900002E-2</v>
      </c>
      <c r="I109" s="164">
        <f>H109*$O$9/0.1*INDEX(Country_details!$N$9:N259,MATCH(Solar_data!A109,Country_details!$A$9:$A$154,0))</f>
        <v>5.0169375436560006E-2</v>
      </c>
      <c r="J109" s="164">
        <f t="shared" si="3"/>
        <v>91.25</v>
      </c>
      <c r="K109" s="164"/>
      <c r="L109" s="164"/>
      <c r="M109" s="164"/>
      <c r="N109" s="164"/>
      <c r="O109" s="166"/>
      <c r="P109" s="166"/>
      <c r="Q109" s="166"/>
      <c r="R109" s="166"/>
      <c r="S109" s="166"/>
      <c r="T109" s="166"/>
      <c r="U109" s="166"/>
      <c r="V109" s="166"/>
      <c r="W109" s="166"/>
      <c r="X109" s="166"/>
      <c r="Y109" s="166"/>
      <c r="Z109" s="166"/>
      <c r="AA109" s="166"/>
      <c r="AB109" s="166"/>
      <c r="AC109" s="166"/>
      <c r="AD109" s="166"/>
      <c r="AE109" s="166"/>
      <c r="AF109" s="166"/>
      <c r="AG109" s="166"/>
      <c r="AH109" s="166"/>
      <c r="AI109" s="166"/>
    </row>
    <row r="110" spans="1:35" x14ac:dyDescent="0.2">
      <c r="A110" s="167" t="s">
        <v>17</v>
      </c>
      <c r="B110" s="162">
        <v>1</v>
      </c>
      <c r="C110" s="162">
        <f t="shared" si="2"/>
        <v>273.75</v>
      </c>
      <c r="D110" s="162" t="s">
        <v>187</v>
      </c>
      <c r="E110" s="168">
        <v>44302414.438900001</v>
      </c>
      <c r="F110" s="168">
        <v>44302.414438899999</v>
      </c>
      <c r="G110" s="168">
        <v>44.302414438900001</v>
      </c>
      <c r="H110" s="168">
        <v>4.4302414438900005E-2</v>
      </c>
      <c r="I110" s="164">
        <f>H110*$O$9/0.1*INDEX(Country_details!$N$9:N260,MATCH(Solar_data!A110,Country_details!$A$9:$A$154,0))</f>
        <v>0.10632579465336001</v>
      </c>
      <c r="J110" s="164">
        <f t="shared" si="3"/>
        <v>273.75</v>
      </c>
      <c r="K110" s="164"/>
      <c r="L110" s="164"/>
      <c r="M110" s="164"/>
      <c r="N110" s="164"/>
      <c r="O110" s="166"/>
      <c r="P110" s="166"/>
      <c r="Q110" s="166"/>
      <c r="R110" s="166"/>
      <c r="S110" s="166"/>
      <c r="T110" s="166"/>
      <c r="U110" s="166"/>
      <c r="V110" s="166"/>
      <c r="W110" s="166"/>
      <c r="X110" s="166"/>
      <c r="Y110" s="166"/>
      <c r="Z110" s="166"/>
      <c r="AA110" s="166"/>
      <c r="AB110" s="166"/>
      <c r="AC110" s="166"/>
      <c r="AD110" s="166"/>
      <c r="AE110" s="166"/>
      <c r="AF110" s="166"/>
      <c r="AG110" s="166"/>
      <c r="AH110" s="166"/>
      <c r="AI110" s="166"/>
    </row>
    <row r="111" spans="1:35" x14ac:dyDescent="0.2">
      <c r="A111" s="167" t="s">
        <v>17</v>
      </c>
      <c r="B111" s="162">
        <v>2</v>
      </c>
      <c r="C111" s="162">
        <f t="shared" si="2"/>
        <v>456.25</v>
      </c>
      <c r="D111" s="162" t="s">
        <v>188</v>
      </c>
      <c r="E111" s="168">
        <v>4418253.4456000002</v>
      </c>
      <c r="F111" s="168">
        <v>4418.2534456000003</v>
      </c>
      <c r="G111" s="168">
        <v>4.4182534456000004</v>
      </c>
      <c r="H111" s="168">
        <v>4.4182534456000009E-3</v>
      </c>
      <c r="I111" s="164">
        <f>H111*$O$9/0.1*INDEX(Country_details!$N$9:N261,MATCH(Solar_data!A111,Country_details!$A$9:$A$154,0))</f>
        <v>1.0603808269440003E-2</v>
      </c>
      <c r="J111" s="164">
        <f t="shared" si="3"/>
        <v>456.25</v>
      </c>
      <c r="K111" s="164"/>
      <c r="L111" s="164"/>
      <c r="M111" s="164"/>
      <c r="N111" s="164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6"/>
      <c r="Z111" s="166"/>
      <c r="AA111" s="166"/>
      <c r="AB111" s="166"/>
      <c r="AC111" s="166"/>
      <c r="AD111" s="166"/>
      <c r="AE111" s="166"/>
      <c r="AF111" s="166"/>
      <c r="AG111" s="166"/>
      <c r="AH111" s="166"/>
      <c r="AI111" s="166"/>
    </row>
    <row r="112" spans="1:35" x14ac:dyDescent="0.2">
      <c r="A112" s="167" t="s">
        <v>17</v>
      </c>
      <c r="B112" s="162">
        <v>3</v>
      </c>
      <c r="C112" s="162">
        <f t="shared" si="2"/>
        <v>638.75</v>
      </c>
      <c r="D112" s="162" t="s">
        <v>170</v>
      </c>
      <c r="E112" s="168">
        <v>141161547.26159999</v>
      </c>
      <c r="F112" s="168">
        <v>141161.5472616</v>
      </c>
      <c r="G112" s="168">
        <v>141.16154726160002</v>
      </c>
      <c r="H112" s="168">
        <v>0.14116154726160002</v>
      </c>
      <c r="I112" s="164">
        <f>H112*$O$9/0.1*INDEX(Country_details!$N$9:N262,MATCH(Solar_data!A112,Country_details!$A$9:$A$154,0))</f>
        <v>0.33878771342784003</v>
      </c>
      <c r="J112" s="164">
        <f t="shared" si="3"/>
        <v>638.75</v>
      </c>
      <c r="K112" s="164"/>
      <c r="L112" s="164"/>
      <c r="M112" s="164"/>
      <c r="N112" s="164"/>
      <c r="O112" s="166"/>
      <c r="P112" s="166"/>
      <c r="Q112" s="166"/>
      <c r="R112" s="166"/>
      <c r="S112" s="166"/>
      <c r="T112" s="166"/>
      <c r="U112" s="166"/>
      <c r="V112" s="166"/>
      <c r="W112" s="166"/>
      <c r="X112" s="166"/>
      <c r="Y112" s="166"/>
      <c r="Z112" s="166"/>
      <c r="AA112" s="166"/>
      <c r="AB112" s="166"/>
      <c r="AC112" s="166"/>
      <c r="AD112" s="166"/>
      <c r="AE112" s="166"/>
      <c r="AF112" s="166"/>
      <c r="AG112" s="166"/>
      <c r="AH112" s="166"/>
      <c r="AI112" s="166"/>
    </row>
    <row r="113" spans="1:35" x14ac:dyDescent="0.2">
      <c r="A113" s="167" t="s">
        <v>17</v>
      </c>
      <c r="B113" s="162">
        <v>4</v>
      </c>
      <c r="C113" s="162">
        <f t="shared" si="2"/>
        <v>821.25</v>
      </c>
      <c r="D113" s="162" t="s">
        <v>171</v>
      </c>
      <c r="E113" s="168">
        <v>283187089.80989999</v>
      </c>
      <c r="F113" s="168">
        <v>283187.08980989998</v>
      </c>
      <c r="G113" s="168">
        <v>283.18708980989999</v>
      </c>
      <c r="H113" s="168">
        <v>0.28318708980989998</v>
      </c>
      <c r="I113" s="164">
        <f>H113*$O$9/0.1*INDEX(Country_details!$N$9:N263,MATCH(Solar_data!A113,Country_details!$A$9:$A$154,0))</f>
        <v>0.67964901554375989</v>
      </c>
      <c r="J113" s="164">
        <f t="shared" si="3"/>
        <v>821.25</v>
      </c>
      <c r="K113" s="164"/>
      <c r="L113" s="164"/>
      <c r="M113" s="164"/>
      <c r="N113" s="164"/>
      <c r="O113" s="166"/>
      <c r="P113" s="166"/>
      <c r="Q113" s="166"/>
      <c r="R113" s="166"/>
      <c r="S113" s="166"/>
      <c r="T113" s="166"/>
      <c r="U113" s="166"/>
      <c r="V113" s="166"/>
      <c r="W113" s="166"/>
      <c r="X113" s="166"/>
      <c r="Y113" s="166"/>
      <c r="Z113" s="166"/>
      <c r="AA113" s="166"/>
      <c r="AB113" s="166"/>
      <c r="AC113" s="166"/>
      <c r="AD113" s="166"/>
      <c r="AE113" s="166"/>
      <c r="AF113" s="166"/>
      <c r="AG113" s="166"/>
      <c r="AH113" s="166"/>
      <c r="AI113" s="166"/>
    </row>
    <row r="114" spans="1:35" x14ac:dyDescent="0.2">
      <c r="A114" s="167" t="s">
        <v>17</v>
      </c>
      <c r="B114" s="162">
        <v>6</v>
      </c>
      <c r="C114" s="162">
        <f t="shared" si="2"/>
        <v>1186.25</v>
      </c>
      <c r="D114" s="162" t="s">
        <v>173</v>
      </c>
      <c r="E114" s="168">
        <v>287101013.39499998</v>
      </c>
      <c r="F114" s="168">
        <v>287101.01339499996</v>
      </c>
      <c r="G114" s="168">
        <v>287.10101339499994</v>
      </c>
      <c r="H114" s="168">
        <v>0.28710101339499994</v>
      </c>
      <c r="I114" s="164">
        <f>H114*$O$9/0.1*INDEX(Country_details!$N$9:N264,MATCH(Solar_data!A114,Country_details!$A$9:$A$154,0))</f>
        <v>0.68904243214799987</v>
      </c>
      <c r="J114" s="164">
        <f t="shared" si="3"/>
        <v>1186.25</v>
      </c>
      <c r="K114" s="164"/>
      <c r="L114" s="164"/>
      <c r="M114" s="164"/>
      <c r="N114" s="164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  <c r="Y114" s="166"/>
      <c r="Z114" s="166"/>
      <c r="AA114" s="166"/>
      <c r="AB114" s="166"/>
      <c r="AC114" s="166"/>
      <c r="AD114" s="166"/>
      <c r="AE114" s="166"/>
      <c r="AF114" s="166"/>
      <c r="AG114" s="166"/>
      <c r="AH114" s="166"/>
      <c r="AI114" s="166"/>
    </row>
    <row r="115" spans="1:35" x14ac:dyDescent="0.2">
      <c r="A115" s="167" t="s">
        <v>17</v>
      </c>
      <c r="B115" s="162">
        <v>7</v>
      </c>
      <c r="C115" s="162">
        <f t="shared" si="2"/>
        <v>1368.75</v>
      </c>
      <c r="D115" s="162" t="s">
        <v>174</v>
      </c>
      <c r="E115" s="168">
        <v>196819482.41499999</v>
      </c>
      <c r="F115" s="168">
        <v>196819.48241500001</v>
      </c>
      <c r="G115" s="168">
        <v>196.81948241500001</v>
      </c>
      <c r="H115" s="168">
        <v>0.19681948241500002</v>
      </c>
      <c r="I115" s="164">
        <f>H115*$O$9/0.1*INDEX(Country_details!$N$9:N265,MATCH(Solar_data!A115,Country_details!$A$9:$A$154,0))</f>
        <v>0.47236675779600001</v>
      </c>
      <c r="J115" s="164">
        <f t="shared" si="3"/>
        <v>1368.75</v>
      </c>
      <c r="K115" s="164"/>
      <c r="L115" s="164"/>
      <c r="M115" s="164"/>
      <c r="N115" s="164"/>
      <c r="O115" s="166"/>
      <c r="P115" s="166"/>
      <c r="Q115" s="166"/>
      <c r="R115" s="166"/>
      <c r="S115" s="166"/>
      <c r="T115" s="166"/>
      <c r="U115" s="166"/>
      <c r="V115" s="166"/>
      <c r="W115" s="166"/>
      <c r="X115" s="166"/>
      <c r="Y115" s="166"/>
      <c r="Z115" s="166"/>
      <c r="AA115" s="166"/>
      <c r="AB115" s="166"/>
      <c r="AC115" s="166"/>
      <c r="AD115" s="166"/>
      <c r="AE115" s="166"/>
      <c r="AF115" s="166"/>
      <c r="AG115" s="166"/>
      <c r="AH115" s="166"/>
      <c r="AI115" s="166"/>
    </row>
    <row r="116" spans="1:35" x14ac:dyDescent="0.2">
      <c r="A116" s="167" t="s">
        <v>17</v>
      </c>
      <c r="B116" s="162">
        <v>8</v>
      </c>
      <c r="C116" s="162">
        <f t="shared" si="2"/>
        <v>1551.25</v>
      </c>
      <c r="D116" s="162" t="s">
        <v>164</v>
      </c>
      <c r="E116" s="168">
        <v>6426422234.4250002</v>
      </c>
      <c r="F116" s="168">
        <v>6426422.2344249999</v>
      </c>
      <c r="G116" s="168">
        <v>6426.4222344250002</v>
      </c>
      <c r="H116" s="168">
        <v>6.4264222344249999</v>
      </c>
      <c r="I116" s="164">
        <f>H116*$O$9/0.1*INDEX(Country_details!$N$9:N266,MATCH(Solar_data!A116,Country_details!$A$9:$A$154,0))</f>
        <v>15.42341336262</v>
      </c>
      <c r="J116" s="164">
        <f t="shared" si="3"/>
        <v>1551.25</v>
      </c>
      <c r="K116" s="164"/>
      <c r="L116" s="164"/>
      <c r="M116" s="164"/>
      <c r="N116" s="164"/>
      <c r="O116" s="166"/>
      <c r="P116" s="166"/>
      <c r="Q116" s="166"/>
      <c r="R116" s="166"/>
      <c r="S116" s="166"/>
      <c r="T116" s="166"/>
      <c r="U116" s="16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  <c r="AF116" s="166"/>
      <c r="AG116" s="166"/>
      <c r="AH116" s="166"/>
      <c r="AI116" s="166"/>
    </row>
    <row r="117" spans="1:35" x14ac:dyDescent="0.2">
      <c r="A117" s="167" t="s">
        <v>17</v>
      </c>
      <c r="B117" s="162">
        <v>9</v>
      </c>
      <c r="C117" s="162">
        <f t="shared" si="2"/>
        <v>1733.75</v>
      </c>
      <c r="D117" s="162" t="s">
        <v>157</v>
      </c>
      <c r="E117" s="168">
        <v>889875952094.79065</v>
      </c>
      <c r="F117" s="168">
        <v>889875952.0947907</v>
      </c>
      <c r="G117" s="168">
        <v>889875.95209479076</v>
      </c>
      <c r="H117" s="168">
        <v>889.87595209479082</v>
      </c>
      <c r="I117" s="164">
        <f>H117*$O$9/0.1*INDEX(Country_details!$N$9:N267,MATCH(Solar_data!A117,Country_details!$A$9:$A$154,0))</f>
        <v>2135.702285027498</v>
      </c>
      <c r="J117" s="164">
        <f t="shared" si="3"/>
        <v>1733.75</v>
      </c>
      <c r="K117" s="164"/>
      <c r="L117" s="164"/>
      <c r="M117" s="164"/>
      <c r="N117" s="164"/>
      <c r="O117" s="166"/>
      <c r="P117" s="166"/>
      <c r="Q117" s="166"/>
      <c r="R117" s="166"/>
      <c r="S117" s="166"/>
      <c r="T117" s="166"/>
      <c r="U117" s="166"/>
      <c r="V117" s="166"/>
      <c r="W117" s="166"/>
      <c r="X117" s="166"/>
      <c r="Y117" s="166"/>
      <c r="Z117" s="166"/>
      <c r="AA117" s="166"/>
      <c r="AB117" s="166"/>
      <c r="AC117" s="166"/>
      <c r="AD117" s="166"/>
      <c r="AE117" s="166"/>
      <c r="AF117" s="166"/>
      <c r="AG117" s="166"/>
      <c r="AH117" s="166"/>
      <c r="AI117" s="166"/>
    </row>
    <row r="118" spans="1:35" x14ac:dyDescent="0.2">
      <c r="A118" s="167" t="s">
        <v>17</v>
      </c>
      <c r="B118" s="162">
        <v>10</v>
      </c>
      <c r="C118" s="162">
        <f t="shared" si="2"/>
        <v>1916.25</v>
      </c>
      <c r="D118" s="162" t="s">
        <v>159</v>
      </c>
      <c r="E118" s="168">
        <v>14247666610365.701</v>
      </c>
      <c r="F118" s="168">
        <v>14247666610.365702</v>
      </c>
      <c r="G118" s="168">
        <v>14247666.610365702</v>
      </c>
      <c r="H118" s="168">
        <v>14247.666610365703</v>
      </c>
      <c r="I118" s="164">
        <f>H118*$O$9/0.1*INDEX(Country_details!$N$9:N268,MATCH(Solar_data!A118,Country_details!$A$9:$A$154,0))</f>
        <v>34194.399864877683</v>
      </c>
      <c r="J118" s="164">
        <f t="shared" si="3"/>
        <v>1916.25</v>
      </c>
      <c r="K118" s="164"/>
      <c r="L118" s="164"/>
      <c r="M118" s="164"/>
      <c r="N118" s="164"/>
      <c r="O118" s="166"/>
      <c r="P118" s="166"/>
      <c r="Q118" s="166"/>
      <c r="R118" s="166"/>
      <c r="S118" s="166"/>
      <c r="T118" s="166"/>
      <c r="U118" s="166"/>
      <c r="V118" s="166"/>
      <c r="W118" s="166"/>
      <c r="X118" s="166"/>
      <c r="Y118" s="166"/>
      <c r="Z118" s="166"/>
      <c r="AA118" s="166"/>
      <c r="AB118" s="166"/>
      <c r="AC118" s="166"/>
      <c r="AD118" s="166"/>
      <c r="AE118" s="166"/>
      <c r="AF118" s="166"/>
      <c r="AG118" s="166"/>
      <c r="AH118" s="166"/>
      <c r="AI118" s="166"/>
    </row>
    <row r="119" spans="1:35" x14ac:dyDescent="0.2">
      <c r="A119" s="167" t="s">
        <v>17</v>
      </c>
      <c r="B119" s="162">
        <v>11</v>
      </c>
      <c r="C119" s="162">
        <f t="shared" si="2"/>
        <v>2098.75</v>
      </c>
      <c r="D119" s="162" t="s">
        <v>161</v>
      </c>
      <c r="E119" s="168">
        <v>9722365886163.8496</v>
      </c>
      <c r="F119" s="168">
        <v>9722365886.1638489</v>
      </c>
      <c r="G119" s="168">
        <v>9722365.8861638494</v>
      </c>
      <c r="H119" s="168">
        <v>9722.3658861638487</v>
      </c>
      <c r="I119" s="164">
        <f>H119*$O$9/0.1*INDEX(Country_details!$N$9:N269,MATCH(Solar_data!A119,Country_details!$A$9:$A$154,0))</f>
        <v>23333.678126793235</v>
      </c>
      <c r="J119" s="164">
        <f t="shared" si="3"/>
        <v>2098.75</v>
      </c>
      <c r="K119" s="164"/>
      <c r="L119" s="164"/>
      <c r="M119" s="164"/>
      <c r="N119" s="164"/>
      <c r="O119" s="166"/>
      <c r="P119" s="166"/>
      <c r="Q119" s="166"/>
      <c r="R119" s="166"/>
      <c r="S119" s="166"/>
      <c r="T119" s="166"/>
      <c r="U119" s="166"/>
      <c r="V119" s="166"/>
      <c r="W119" s="166"/>
      <c r="X119" s="166"/>
      <c r="Y119" s="166"/>
      <c r="Z119" s="166"/>
      <c r="AA119" s="166"/>
      <c r="AB119" s="166"/>
      <c r="AC119" s="166"/>
      <c r="AD119" s="166"/>
      <c r="AE119" s="166"/>
      <c r="AF119" s="166"/>
      <c r="AG119" s="166"/>
      <c r="AH119" s="166"/>
      <c r="AI119" s="166"/>
    </row>
    <row r="120" spans="1:35" x14ac:dyDescent="0.2">
      <c r="A120" s="167" t="s">
        <v>17</v>
      </c>
      <c r="B120" s="162">
        <v>12</v>
      </c>
      <c r="C120" s="162">
        <f t="shared" si="2"/>
        <v>2281.25</v>
      </c>
      <c r="D120" s="162" t="s">
        <v>162</v>
      </c>
      <c r="E120" s="168">
        <v>125788341002.5882</v>
      </c>
      <c r="F120" s="168">
        <v>125788341.0025882</v>
      </c>
      <c r="G120" s="168">
        <v>125788.3410025882</v>
      </c>
      <c r="H120" s="168">
        <v>125.78834100258821</v>
      </c>
      <c r="I120" s="164">
        <f>H120*$O$9/0.1*INDEX(Country_details!$N$9:N270,MATCH(Solar_data!A120,Country_details!$A$9:$A$154,0))</f>
        <v>301.89201840621172</v>
      </c>
      <c r="J120" s="164">
        <f t="shared" si="3"/>
        <v>2281.25</v>
      </c>
      <c r="K120" s="164"/>
      <c r="L120" s="164"/>
      <c r="M120" s="164"/>
      <c r="N120" s="164"/>
      <c r="O120" s="166"/>
      <c r="P120" s="166"/>
      <c r="Q120" s="166"/>
      <c r="R120" s="166"/>
      <c r="S120" s="166"/>
      <c r="T120" s="166"/>
      <c r="U120" s="166"/>
      <c r="V120" s="166"/>
      <c r="W120" s="166"/>
      <c r="X120" s="166"/>
      <c r="Y120" s="166"/>
      <c r="Z120" s="166"/>
      <c r="AA120" s="166"/>
      <c r="AB120" s="166"/>
      <c r="AC120" s="166"/>
      <c r="AD120" s="166"/>
      <c r="AE120" s="166"/>
      <c r="AF120" s="166"/>
      <c r="AG120" s="166"/>
      <c r="AH120" s="166"/>
      <c r="AI120" s="166"/>
    </row>
    <row r="121" spans="1:35" x14ac:dyDescent="0.2">
      <c r="A121" s="167" t="s">
        <v>17</v>
      </c>
      <c r="B121" s="162">
        <v>13</v>
      </c>
      <c r="C121" s="162">
        <f t="shared" si="2"/>
        <v>2463.75</v>
      </c>
      <c r="D121" s="162" t="s">
        <v>163</v>
      </c>
      <c r="E121" s="168">
        <v>12975428.835000001</v>
      </c>
      <c r="F121" s="168">
        <v>12975.428835000001</v>
      </c>
      <c r="G121" s="168">
        <v>12.975428835000001</v>
      </c>
      <c r="H121" s="168">
        <v>1.2975428835E-2</v>
      </c>
      <c r="I121" s="164">
        <f>H121*$O$9/0.1*INDEX(Country_details!$N$9:N271,MATCH(Solar_data!A121,Country_details!$A$9:$A$154,0))</f>
        <v>3.1141029203999998E-2</v>
      </c>
      <c r="J121" s="164">
        <f t="shared" si="3"/>
        <v>2463.75</v>
      </c>
      <c r="K121" s="164"/>
      <c r="L121" s="164"/>
      <c r="M121" s="164"/>
      <c r="N121" s="164"/>
      <c r="O121" s="166"/>
      <c r="P121" s="166"/>
      <c r="Q121" s="166"/>
      <c r="R121" s="166"/>
      <c r="S121" s="166"/>
      <c r="T121" s="166"/>
      <c r="U121" s="166"/>
      <c r="V121" s="166"/>
      <c r="W121" s="166"/>
      <c r="X121" s="166"/>
      <c r="Y121" s="166"/>
      <c r="Z121" s="166"/>
      <c r="AA121" s="166"/>
      <c r="AB121" s="166"/>
      <c r="AC121" s="166"/>
      <c r="AD121" s="166"/>
      <c r="AE121" s="166"/>
      <c r="AF121" s="166"/>
      <c r="AG121" s="166"/>
      <c r="AH121" s="166"/>
      <c r="AI121" s="166"/>
    </row>
    <row r="122" spans="1:35" x14ac:dyDescent="0.2">
      <c r="A122" s="167" t="s">
        <v>189</v>
      </c>
      <c r="B122" s="162">
        <v>11</v>
      </c>
      <c r="C122" s="162">
        <f t="shared" si="2"/>
        <v>2098.75</v>
      </c>
      <c r="D122" s="162" t="s">
        <v>161</v>
      </c>
      <c r="E122" s="168">
        <v>527472937.74199998</v>
      </c>
      <c r="F122" s="168">
        <v>527472.93774199998</v>
      </c>
      <c r="G122" s="168">
        <v>527.472937742</v>
      </c>
      <c r="H122" s="168">
        <v>0.52747293774199999</v>
      </c>
      <c r="I122" s="164" t="e">
        <f>H122*$O$9/0.1*INDEX(Country_details!$N$9:N272,MATCH(Solar_data!A122,Country_details!$A$9:$A$154,0))</f>
        <v>#N/A</v>
      </c>
      <c r="J122" s="164">
        <f t="shared" si="3"/>
        <v>2098.75</v>
      </c>
      <c r="K122" s="164"/>
      <c r="L122" s="164"/>
      <c r="M122" s="164"/>
      <c r="N122" s="164"/>
      <c r="O122" s="166"/>
      <c r="P122" s="166"/>
      <c r="Q122" s="166"/>
      <c r="R122" s="166"/>
      <c r="S122" s="166"/>
      <c r="T122" s="166"/>
      <c r="U122" s="166"/>
      <c r="V122" s="166"/>
      <c r="W122" s="166"/>
      <c r="X122" s="166"/>
      <c r="Y122" s="166"/>
      <c r="Z122" s="166"/>
      <c r="AA122" s="166"/>
      <c r="AB122" s="166"/>
      <c r="AC122" s="166"/>
      <c r="AD122" s="166"/>
      <c r="AE122" s="166"/>
      <c r="AF122" s="166"/>
      <c r="AG122" s="166"/>
      <c r="AH122" s="166"/>
      <c r="AI122" s="166"/>
    </row>
    <row r="123" spans="1:35" x14ac:dyDescent="0.2">
      <c r="A123" s="167" t="s">
        <v>190</v>
      </c>
      <c r="B123" s="162">
        <v>11</v>
      </c>
      <c r="C123" s="162">
        <f t="shared" si="2"/>
        <v>2098.75</v>
      </c>
      <c r="D123" s="162" t="s">
        <v>161</v>
      </c>
      <c r="E123" s="168">
        <v>121036055.876</v>
      </c>
      <c r="F123" s="168">
        <v>121036.055876</v>
      </c>
      <c r="G123" s="168">
        <v>121.03605587600001</v>
      </c>
      <c r="H123" s="168">
        <v>0.12103605587600001</v>
      </c>
      <c r="I123" s="164" t="e">
        <f>H123*$O$9/0.1*INDEX(Country_details!$N$9:N273,MATCH(Solar_data!A123,Country_details!$A$9:$A$154,0))</f>
        <v>#N/A</v>
      </c>
      <c r="J123" s="164">
        <f t="shared" si="3"/>
        <v>2098.75</v>
      </c>
      <c r="K123" s="164"/>
      <c r="L123" s="164"/>
      <c r="M123" s="164"/>
      <c r="N123" s="164"/>
      <c r="O123" s="166"/>
      <c r="P123" s="166"/>
      <c r="Q123" s="166"/>
      <c r="R123" s="166"/>
      <c r="S123" s="166"/>
      <c r="T123" s="166"/>
      <c r="U123" s="166"/>
      <c r="V123" s="166"/>
      <c r="W123" s="166"/>
      <c r="X123" s="166"/>
      <c r="Y123" s="166"/>
      <c r="Z123" s="166"/>
      <c r="AA123" s="166"/>
      <c r="AB123" s="166"/>
      <c r="AC123" s="166"/>
      <c r="AD123" s="166"/>
      <c r="AE123" s="166"/>
      <c r="AF123" s="166"/>
      <c r="AG123" s="166"/>
      <c r="AH123" s="166"/>
      <c r="AI123" s="166"/>
    </row>
    <row r="124" spans="1:35" x14ac:dyDescent="0.2">
      <c r="A124" s="167" t="s">
        <v>18</v>
      </c>
      <c r="B124" s="162">
        <v>10</v>
      </c>
      <c r="C124" s="162">
        <f t="shared" si="2"/>
        <v>1916.25</v>
      </c>
      <c r="D124" s="162" t="s">
        <v>159</v>
      </c>
      <c r="E124" s="168">
        <v>17187539626.488098</v>
      </c>
      <c r="F124" s="168">
        <v>17187539.626488097</v>
      </c>
      <c r="G124" s="168">
        <v>17187.539626488098</v>
      </c>
      <c r="H124" s="168">
        <v>17.1875396264881</v>
      </c>
      <c r="I124" s="164">
        <f>H124*$O$9/0.1*INDEX(Country_details!$N$9:N274,MATCH(Solar_data!A124,Country_details!$A$9:$A$154,0))</f>
        <v>46.406356991517868</v>
      </c>
      <c r="J124" s="164">
        <f t="shared" si="3"/>
        <v>1916.25</v>
      </c>
      <c r="K124" s="164"/>
      <c r="L124" s="164"/>
      <c r="M124" s="164"/>
      <c r="N124" s="164"/>
      <c r="O124" s="166"/>
      <c r="P124" s="166"/>
      <c r="Q124" s="166"/>
      <c r="R124" s="166"/>
      <c r="S124" s="166"/>
      <c r="T124" s="166"/>
      <c r="U124" s="166"/>
      <c r="V124" s="166"/>
      <c r="W124" s="166"/>
      <c r="X124" s="166"/>
      <c r="Y124" s="166"/>
      <c r="Z124" s="166"/>
      <c r="AA124" s="166"/>
      <c r="AB124" s="166"/>
      <c r="AC124" s="166"/>
      <c r="AD124" s="166"/>
      <c r="AE124" s="166"/>
      <c r="AF124" s="166"/>
      <c r="AG124" s="166"/>
      <c r="AH124" s="166"/>
      <c r="AI124" s="166"/>
    </row>
    <row r="125" spans="1:35" x14ac:dyDescent="0.2">
      <c r="A125" s="167" t="s">
        <v>18</v>
      </c>
      <c r="B125" s="162">
        <v>11</v>
      </c>
      <c r="C125" s="162">
        <f t="shared" si="2"/>
        <v>2098.75</v>
      </c>
      <c r="D125" s="162" t="s">
        <v>161</v>
      </c>
      <c r="E125" s="168">
        <v>51709452.378200002</v>
      </c>
      <c r="F125" s="168">
        <v>51709.452378200003</v>
      </c>
      <c r="G125" s="168">
        <v>51.709452378200005</v>
      </c>
      <c r="H125" s="168">
        <v>5.1709452378200009E-2</v>
      </c>
      <c r="I125" s="164">
        <f>H125*$O$9/0.1*INDEX(Country_details!$N$9:N275,MATCH(Solar_data!A125,Country_details!$A$9:$A$154,0))</f>
        <v>0.13961552142114003</v>
      </c>
      <c r="J125" s="164">
        <f t="shared" si="3"/>
        <v>2098.75</v>
      </c>
      <c r="K125" s="164"/>
      <c r="L125" s="164"/>
      <c r="M125" s="164"/>
      <c r="N125" s="164"/>
      <c r="O125" s="166"/>
      <c r="P125" s="166"/>
      <c r="Q125" s="166"/>
      <c r="R125" s="166"/>
      <c r="S125" s="166"/>
      <c r="T125" s="166"/>
      <c r="U125" s="166"/>
      <c r="V125" s="166"/>
      <c r="W125" s="166"/>
      <c r="X125" s="166"/>
      <c r="Y125" s="166"/>
      <c r="Z125" s="166"/>
      <c r="AA125" s="166"/>
      <c r="AB125" s="166"/>
      <c r="AC125" s="166"/>
      <c r="AD125" s="166"/>
      <c r="AE125" s="166"/>
      <c r="AF125" s="166"/>
      <c r="AG125" s="166"/>
      <c r="AH125" s="166"/>
      <c r="AI125" s="166"/>
    </row>
    <row r="126" spans="1:35" x14ac:dyDescent="0.2">
      <c r="A126" s="167" t="s">
        <v>191</v>
      </c>
      <c r="B126" s="162">
        <v>7</v>
      </c>
      <c r="C126" s="162">
        <f t="shared" si="2"/>
        <v>1368.75</v>
      </c>
      <c r="D126" s="162" t="s">
        <v>174</v>
      </c>
      <c r="E126" s="168">
        <v>78575104222.119797</v>
      </c>
      <c r="F126" s="168">
        <v>78575104.222119793</v>
      </c>
      <c r="G126" s="168">
        <v>78575.1042221198</v>
      </c>
      <c r="H126" s="168">
        <v>78.575104222119805</v>
      </c>
      <c r="I126" s="164" t="e">
        <f>H126*$O$9/0.1*INDEX(Country_details!$N$9:N276,MATCH(Solar_data!A126,Country_details!$A$9:$A$154,0))</f>
        <v>#N/A</v>
      </c>
      <c r="J126" s="164">
        <f t="shared" si="3"/>
        <v>1368.75</v>
      </c>
      <c r="K126" s="164"/>
      <c r="L126" s="164"/>
      <c r="M126" s="164"/>
      <c r="N126" s="164"/>
      <c r="O126" s="166"/>
      <c r="P126" s="166"/>
      <c r="Q126" s="166"/>
      <c r="R126" s="166"/>
      <c r="S126" s="166"/>
      <c r="T126" s="166"/>
      <c r="U126" s="166"/>
      <c r="V126" s="166"/>
      <c r="W126" s="166"/>
      <c r="X126" s="166"/>
      <c r="Y126" s="166"/>
      <c r="Z126" s="166"/>
      <c r="AA126" s="166"/>
      <c r="AB126" s="166"/>
      <c r="AC126" s="166"/>
      <c r="AD126" s="166"/>
      <c r="AE126" s="166"/>
      <c r="AF126" s="166"/>
      <c r="AG126" s="166"/>
      <c r="AH126" s="166"/>
      <c r="AI126" s="166"/>
    </row>
    <row r="127" spans="1:35" x14ac:dyDescent="0.2">
      <c r="A127" s="167" t="s">
        <v>191</v>
      </c>
      <c r="B127" s="162">
        <v>8</v>
      </c>
      <c r="C127" s="162">
        <f t="shared" si="2"/>
        <v>1551.25</v>
      </c>
      <c r="D127" s="162" t="s">
        <v>164</v>
      </c>
      <c r="E127" s="168">
        <v>166134110390.06201</v>
      </c>
      <c r="F127" s="168">
        <v>166134110.390062</v>
      </c>
      <c r="G127" s="168">
        <v>166134.11039006201</v>
      </c>
      <c r="H127" s="168">
        <v>166.13411039006201</v>
      </c>
      <c r="I127" s="164" t="e">
        <f>H127*$O$9/0.1*INDEX(Country_details!$N$9:N277,MATCH(Solar_data!A127,Country_details!$A$9:$A$154,0))</f>
        <v>#N/A</v>
      </c>
      <c r="J127" s="164">
        <f t="shared" si="3"/>
        <v>1551.25</v>
      </c>
      <c r="K127" s="164"/>
      <c r="L127" s="164"/>
      <c r="M127" s="164"/>
      <c r="N127" s="164"/>
      <c r="O127" s="166"/>
      <c r="P127" s="166"/>
      <c r="Q127" s="166"/>
      <c r="R127" s="166"/>
      <c r="S127" s="166"/>
      <c r="T127" s="166"/>
      <c r="U127" s="166"/>
      <c r="V127" s="166"/>
      <c r="W127" s="166"/>
      <c r="X127" s="166"/>
      <c r="Y127" s="166"/>
      <c r="Z127" s="166"/>
      <c r="AA127" s="166"/>
      <c r="AB127" s="166"/>
      <c r="AC127" s="166"/>
      <c r="AD127" s="166"/>
      <c r="AE127" s="166"/>
      <c r="AF127" s="166"/>
      <c r="AG127" s="166"/>
      <c r="AH127" s="166"/>
      <c r="AI127" s="166"/>
    </row>
    <row r="128" spans="1:35" x14ac:dyDescent="0.2">
      <c r="A128" s="167" t="s">
        <v>191</v>
      </c>
      <c r="B128" s="162">
        <v>9</v>
      </c>
      <c r="C128" s="162">
        <f t="shared" si="2"/>
        <v>1733.75</v>
      </c>
      <c r="D128" s="162" t="s">
        <v>157</v>
      </c>
      <c r="E128" s="168">
        <v>1959414967.0086999</v>
      </c>
      <c r="F128" s="168">
        <v>1959414.9670086999</v>
      </c>
      <c r="G128" s="168">
        <v>1959.4149670086999</v>
      </c>
      <c r="H128" s="168">
        <v>1.9594149670087</v>
      </c>
      <c r="I128" s="164" t="e">
        <f>H128*$O$9/0.1*INDEX(Country_details!$N$9:N278,MATCH(Solar_data!A128,Country_details!$A$9:$A$154,0))</f>
        <v>#N/A</v>
      </c>
      <c r="J128" s="164">
        <f t="shared" si="3"/>
        <v>1733.75</v>
      </c>
      <c r="K128" s="164"/>
      <c r="L128" s="164"/>
      <c r="M128" s="164"/>
      <c r="N128" s="164"/>
      <c r="O128" s="166"/>
      <c r="P128" s="166"/>
      <c r="Q128" s="166"/>
      <c r="R128" s="166"/>
      <c r="S128" s="166"/>
      <c r="T128" s="166"/>
      <c r="U128" s="166"/>
      <c r="V128" s="166"/>
      <c r="W128" s="166"/>
      <c r="X128" s="166"/>
      <c r="Y128" s="166"/>
      <c r="Z128" s="166"/>
      <c r="AA128" s="166"/>
      <c r="AB128" s="166"/>
      <c r="AC128" s="166"/>
      <c r="AD128" s="166"/>
      <c r="AE128" s="166"/>
      <c r="AF128" s="166"/>
      <c r="AG128" s="166"/>
      <c r="AH128" s="166"/>
      <c r="AI128" s="166"/>
    </row>
    <row r="129" spans="1:35" x14ac:dyDescent="0.2">
      <c r="A129" s="167" t="s">
        <v>45</v>
      </c>
      <c r="B129" s="162">
        <v>11</v>
      </c>
      <c r="C129" s="162">
        <f t="shared" si="2"/>
        <v>2098.75</v>
      </c>
      <c r="D129" s="162" t="s">
        <v>161</v>
      </c>
      <c r="E129" s="168">
        <v>497386005477.39038</v>
      </c>
      <c r="F129" s="168">
        <v>497386005.47739041</v>
      </c>
      <c r="G129" s="168">
        <v>497386.00547739043</v>
      </c>
      <c r="H129" s="168">
        <v>497.38600547739043</v>
      </c>
      <c r="I129" s="164">
        <f>H129*$O$9/0.1*INDEX(Country_details!$N$9:N279,MATCH(Solar_data!A129,Country_details!$A$9:$A$154,0))</f>
        <v>1268.3343139673455</v>
      </c>
      <c r="J129" s="164">
        <f t="shared" si="3"/>
        <v>2098.75</v>
      </c>
      <c r="K129" s="164"/>
      <c r="L129" s="164"/>
      <c r="M129" s="164"/>
      <c r="N129" s="164"/>
      <c r="O129" s="166"/>
      <c r="P129" s="166"/>
      <c r="Q129" s="166"/>
      <c r="R129" s="166"/>
      <c r="S129" s="166"/>
      <c r="T129" s="166"/>
      <c r="U129" s="166"/>
      <c r="V129" s="166"/>
      <c r="W129" s="166"/>
      <c r="X129" s="166"/>
      <c r="Y129" s="166"/>
      <c r="Z129" s="166"/>
      <c r="AA129" s="166"/>
      <c r="AB129" s="166"/>
      <c r="AC129" s="166"/>
      <c r="AD129" s="166"/>
      <c r="AE129" s="166"/>
      <c r="AF129" s="166"/>
      <c r="AG129" s="166"/>
      <c r="AH129" s="166"/>
      <c r="AI129" s="166"/>
    </row>
    <row r="130" spans="1:35" x14ac:dyDescent="0.2">
      <c r="A130" s="167" t="s">
        <v>45</v>
      </c>
      <c r="B130" s="162">
        <v>12</v>
      </c>
      <c r="C130" s="162">
        <f t="shared" si="2"/>
        <v>2281.25</v>
      </c>
      <c r="D130" s="162" t="s">
        <v>162</v>
      </c>
      <c r="E130" s="168">
        <v>394039622262.5542</v>
      </c>
      <c r="F130" s="168">
        <v>394039622.26255423</v>
      </c>
      <c r="G130" s="168">
        <v>394039.62226255424</v>
      </c>
      <c r="H130" s="168">
        <v>394.03962226255425</v>
      </c>
      <c r="I130" s="164">
        <f>H130*$O$9/0.1*INDEX(Country_details!$N$9:N280,MATCH(Solar_data!A130,Country_details!$A$9:$A$154,0))</f>
        <v>1004.8010367695131</v>
      </c>
      <c r="J130" s="164">
        <f t="shared" si="3"/>
        <v>2281.25</v>
      </c>
      <c r="K130" s="164"/>
      <c r="L130" s="164"/>
      <c r="M130" s="164"/>
      <c r="N130" s="164"/>
      <c r="O130" s="166"/>
      <c r="P130" s="166"/>
      <c r="Q130" s="166"/>
      <c r="R130" s="166"/>
      <c r="S130" s="166"/>
      <c r="T130" s="166"/>
      <c r="U130" s="166"/>
      <c r="V130" s="166"/>
      <c r="W130" s="166"/>
      <c r="X130" s="166"/>
      <c r="Y130" s="166"/>
      <c r="Z130" s="166"/>
      <c r="AA130" s="166"/>
      <c r="AB130" s="166"/>
      <c r="AC130" s="166"/>
      <c r="AD130" s="166"/>
      <c r="AE130" s="166"/>
      <c r="AF130" s="166"/>
      <c r="AG130" s="166"/>
      <c r="AH130" s="166"/>
      <c r="AI130" s="166"/>
    </row>
    <row r="131" spans="1:35" x14ac:dyDescent="0.2">
      <c r="A131" s="167" t="s">
        <v>44</v>
      </c>
      <c r="B131" s="162">
        <v>9</v>
      </c>
      <c r="C131" s="162">
        <f t="shared" si="2"/>
        <v>1733.75</v>
      </c>
      <c r="D131" s="162" t="s">
        <v>157</v>
      </c>
      <c r="E131" s="168">
        <v>21730720658.134602</v>
      </c>
      <c r="F131" s="168">
        <v>21730720.658134602</v>
      </c>
      <c r="G131" s="168">
        <v>21730.720658134604</v>
      </c>
      <c r="H131" s="168">
        <v>21.730720658134604</v>
      </c>
      <c r="I131" s="164">
        <f>H131*$O$9/0.1*INDEX(Country_details!$N$9:N281,MATCH(Solar_data!A131,Country_details!$A$9:$A$154,0))</f>
        <v>58.672945776963438</v>
      </c>
      <c r="J131" s="164">
        <f t="shared" si="3"/>
        <v>1733.75</v>
      </c>
      <c r="K131" s="164"/>
      <c r="L131" s="164"/>
      <c r="M131" s="164"/>
      <c r="N131" s="164"/>
      <c r="O131" s="166"/>
      <c r="P131" s="166"/>
      <c r="Q131" s="166"/>
      <c r="R131" s="166"/>
      <c r="S131" s="166"/>
      <c r="T131" s="166"/>
      <c r="U131" s="166"/>
      <c r="V131" s="166"/>
      <c r="W131" s="166"/>
      <c r="X131" s="166"/>
      <c r="Y131" s="166"/>
      <c r="Z131" s="166"/>
      <c r="AA131" s="166"/>
      <c r="AB131" s="166"/>
      <c r="AC131" s="166"/>
      <c r="AD131" s="166"/>
      <c r="AE131" s="166"/>
      <c r="AF131" s="166"/>
      <c r="AG131" s="166"/>
      <c r="AH131" s="166"/>
      <c r="AI131" s="166"/>
    </row>
    <row r="132" spans="1:35" x14ac:dyDescent="0.2">
      <c r="A132" s="167" t="s">
        <v>44</v>
      </c>
      <c r="B132" s="162">
        <v>10</v>
      </c>
      <c r="C132" s="162">
        <f t="shared" si="2"/>
        <v>1916.25</v>
      </c>
      <c r="D132" s="162" t="s">
        <v>159</v>
      </c>
      <c r="E132" s="168">
        <v>53870029026.776703</v>
      </c>
      <c r="F132" s="168">
        <v>53870029.026776701</v>
      </c>
      <c r="G132" s="168">
        <v>53870.029026776705</v>
      </c>
      <c r="H132" s="168">
        <v>53.870029026776706</v>
      </c>
      <c r="I132" s="164">
        <f>H132*$O$9/0.1*INDEX(Country_details!$N$9:N282,MATCH(Solar_data!A132,Country_details!$A$9:$A$154,0))</f>
        <v>145.44907837229712</v>
      </c>
      <c r="J132" s="164">
        <f t="shared" si="3"/>
        <v>1916.25</v>
      </c>
      <c r="K132" s="164"/>
      <c r="L132" s="164"/>
      <c r="M132" s="164"/>
      <c r="N132" s="164"/>
      <c r="O132" s="166"/>
      <c r="P132" s="166"/>
      <c r="Q132" s="166"/>
      <c r="R132" s="166"/>
      <c r="S132" s="166"/>
      <c r="T132" s="166"/>
      <c r="U132" s="166"/>
      <c r="V132" s="166"/>
      <c r="W132" s="166"/>
      <c r="X132" s="166"/>
      <c r="Y132" s="166"/>
      <c r="Z132" s="166"/>
      <c r="AA132" s="166"/>
      <c r="AB132" s="166"/>
      <c r="AC132" s="166"/>
      <c r="AD132" s="166"/>
      <c r="AE132" s="166"/>
      <c r="AF132" s="166"/>
      <c r="AG132" s="166"/>
      <c r="AH132" s="166"/>
      <c r="AI132" s="166"/>
    </row>
    <row r="133" spans="1:35" x14ac:dyDescent="0.2">
      <c r="A133" s="167" t="s">
        <v>44</v>
      </c>
      <c r="B133" s="162">
        <v>11</v>
      </c>
      <c r="C133" s="162">
        <f t="shared" ref="C133:C196" si="4">(0.5*B133+0.25)*365</f>
        <v>2098.75</v>
      </c>
      <c r="D133" s="162" t="s">
        <v>161</v>
      </c>
      <c r="E133" s="168">
        <v>39183288.753799997</v>
      </c>
      <c r="F133" s="168">
        <v>39183.2887538</v>
      </c>
      <c r="G133" s="168">
        <v>39.183288753799999</v>
      </c>
      <c r="H133" s="168">
        <v>3.9183288753799998E-2</v>
      </c>
      <c r="I133" s="164">
        <f>H133*$O$9/0.1*INDEX(Country_details!$N$9:N283,MATCH(Solar_data!A133,Country_details!$A$9:$A$154,0))</f>
        <v>0.10579487963525999</v>
      </c>
      <c r="J133" s="164">
        <f t="shared" si="3"/>
        <v>2098.75</v>
      </c>
      <c r="K133" s="164"/>
      <c r="L133" s="164"/>
      <c r="M133" s="164"/>
      <c r="N133" s="164"/>
      <c r="O133" s="166"/>
      <c r="P133" s="166"/>
      <c r="Q133" s="166"/>
      <c r="R133" s="166"/>
      <c r="S133" s="166"/>
      <c r="T133" s="166"/>
      <c r="U133" s="166"/>
      <c r="V133" s="166"/>
      <c r="W133" s="166"/>
      <c r="X133" s="166"/>
      <c r="Y133" s="166"/>
      <c r="Z133" s="166"/>
      <c r="AA133" s="166"/>
      <c r="AB133" s="166"/>
      <c r="AC133" s="166"/>
      <c r="AD133" s="166"/>
      <c r="AE133" s="166"/>
      <c r="AF133" s="166"/>
      <c r="AG133" s="166"/>
      <c r="AH133" s="166"/>
      <c r="AI133" s="166"/>
    </row>
    <row r="134" spans="1:35" x14ac:dyDescent="0.2">
      <c r="A134" s="167" t="s">
        <v>46</v>
      </c>
      <c r="B134" s="162">
        <v>9</v>
      </c>
      <c r="C134" s="162">
        <f t="shared" si="4"/>
        <v>1733.75</v>
      </c>
      <c r="D134" s="162" t="s">
        <v>157</v>
      </c>
      <c r="E134" s="168">
        <v>4758585632.9462004</v>
      </c>
      <c r="F134" s="168">
        <v>4758585.6329462007</v>
      </c>
      <c r="G134" s="168">
        <v>4758.5856329462003</v>
      </c>
      <c r="H134" s="168">
        <v>4.7585856329462004</v>
      </c>
      <c r="I134" s="164">
        <f>H134*$O$9/0.1*INDEX(Country_details!$N$9:N284,MATCH(Solar_data!A134,Country_details!$A$9:$A$154,0))</f>
        <v>12.84818120895474</v>
      </c>
      <c r="J134" s="164">
        <f t="shared" si="3"/>
        <v>1733.75</v>
      </c>
      <c r="K134" s="164"/>
      <c r="L134" s="164"/>
      <c r="M134" s="164"/>
      <c r="N134" s="164"/>
      <c r="O134" s="166"/>
      <c r="P134" s="166"/>
      <c r="Q134" s="166"/>
      <c r="R134" s="166"/>
      <c r="S134" s="166"/>
      <c r="T134" s="166"/>
      <c r="U134" s="166"/>
      <c r="V134" s="166"/>
      <c r="W134" s="166"/>
      <c r="X134" s="166"/>
      <c r="Y134" s="166"/>
      <c r="Z134" s="166"/>
      <c r="AA134" s="166"/>
      <c r="AB134" s="166"/>
      <c r="AC134" s="166"/>
      <c r="AD134" s="166"/>
      <c r="AE134" s="166"/>
      <c r="AF134" s="166"/>
      <c r="AG134" s="166"/>
      <c r="AH134" s="166"/>
      <c r="AI134" s="166"/>
    </row>
    <row r="135" spans="1:35" x14ac:dyDescent="0.2">
      <c r="A135" s="167" t="s">
        <v>46</v>
      </c>
      <c r="B135" s="162">
        <v>10</v>
      </c>
      <c r="C135" s="162">
        <f t="shared" si="4"/>
        <v>1916.25</v>
      </c>
      <c r="D135" s="162" t="s">
        <v>159</v>
      </c>
      <c r="E135" s="168">
        <v>294934523272.02911</v>
      </c>
      <c r="F135" s="168">
        <v>294934523.2720291</v>
      </c>
      <c r="G135" s="168">
        <v>294934.52327202912</v>
      </c>
      <c r="H135" s="168">
        <v>294.93452327202914</v>
      </c>
      <c r="I135" s="164">
        <f>H135*$O$9/0.1*INDEX(Country_details!$N$9:N285,MATCH(Solar_data!A135,Country_details!$A$9:$A$154,0))</f>
        <v>796.32321283447868</v>
      </c>
      <c r="J135" s="164">
        <f t="shared" si="3"/>
        <v>1916.25</v>
      </c>
      <c r="K135" s="164"/>
      <c r="L135" s="164"/>
      <c r="M135" s="164"/>
      <c r="N135" s="164"/>
      <c r="O135" s="166"/>
      <c r="P135" s="166"/>
      <c r="Q135" s="166"/>
      <c r="R135" s="166"/>
      <c r="S135" s="166"/>
      <c r="T135" s="166"/>
      <c r="U135" s="166"/>
      <c r="V135" s="166"/>
      <c r="W135" s="166"/>
      <c r="X135" s="166"/>
      <c r="Y135" s="166"/>
      <c r="Z135" s="166"/>
      <c r="AA135" s="166"/>
      <c r="AB135" s="166"/>
      <c r="AC135" s="166"/>
      <c r="AD135" s="166"/>
      <c r="AE135" s="166"/>
      <c r="AF135" s="166"/>
      <c r="AG135" s="166"/>
      <c r="AH135" s="166"/>
      <c r="AI135" s="166"/>
    </row>
    <row r="136" spans="1:35" x14ac:dyDescent="0.2">
      <c r="A136" s="167" t="s">
        <v>46</v>
      </c>
      <c r="B136" s="162">
        <v>11</v>
      </c>
      <c r="C136" s="162">
        <f t="shared" si="4"/>
        <v>2098.75</v>
      </c>
      <c r="D136" s="162" t="s">
        <v>161</v>
      </c>
      <c r="E136" s="168">
        <v>245391566851.37061</v>
      </c>
      <c r="F136" s="168">
        <v>245391566.8513706</v>
      </c>
      <c r="G136" s="168">
        <v>245391.56685137062</v>
      </c>
      <c r="H136" s="168">
        <v>245.39156685137061</v>
      </c>
      <c r="I136" s="164">
        <f>H136*$O$9/0.1*INDEX(Country_details!$N$9:N286,MATCH(Solar_data!A136,Country_details!$A$9:$A$154,0))</f>
        <v>662.55723049870062</v>
      </c>
      <c r="J136" s="164">
        <f t="shared" si="3"/>
        <v>2098.75</v>
      </c>
      <c r="K136" s="164"/>
      <c r="L136" s="164"/>
      <c r="M136" s="164"/>
      <c r="N136" s="164"/>
      <c r="O136" s="166"/>
      <c r="P136" s="166"/>
      <c r="Q136" s="166"/>
      <c r="R136" s="166"/>
      <c r="S136" s="166"/>
      <c r="T136" s="166"/>
      <c r="U136" s="166"/>
      <c r="V136" s="166"/>
      <c r="W136" s="166"/>
      <c r="X136" s="166"/>
      <c r="Y136" s="166"/>
      <c r="Z136" s="166"/>
      <c r="AA136" s="166"/>
      <c r="AB136" s="166"/>
      <c r="AC136" s="166"/>
      <c r="AD136" s="166"/>
      <c r="AE136" s="166"/>
      <c r="AF136" s="166"/>
      <c r="AG136" s="166"/>
      <c r="AH136" s="166"/>
      <c r="AI136" s="166"/>
    </row>
    <row r="137" spans="1:35" x14ac:dyDescent="0.2">
      <c r="A137" s="167" t="s">
        <v>47</v>
      </c>
      <c r="B137" s="162">
        <v>8</v>
      </c>
      <c r="C137" s="162">
        <f t="shared" si="4"/>
        <v>1551.25</v>
      </c>
      <c r="D137" s="162" t="s">
        <v>164</v>
      </c>
      <c r="E137" s="168">
        <v>62622771195.972099</v>
      </c>
      <c r="F137" s="168">
        <v>62622771.1959721</v>
      </c>
      <c r="G137" s="168">
        <v>62622.771195972098</v>
      </c>
      <c r="H137" s="168">
        <v>62.622771195972099</v>
      </c>
      <c r="I137" s="164">
        <f>H137*$O$9/0.1*INDEX(Country_details!$N$9:N287,MATCH(Solar_data!A137,Country_details!$A$9:$A$154,0))</f>
        <v>159.68806654972886</v>
      </c>
      <c r="J137" s="164">
        <f t="shared" ref="J137:J200" si="5">(0.5*B137+0.25)*365</f>
        <v>1551.25</v>
      </c>
      <c r="K137" s="164"/>
      <c r="L137" s="164"/>
      <c r="M137" s="164"/>
      <c r="N137" s="164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6"/>
      <c r="Z137" s="166"/>
      <c r="AA137" s="166"/>
      <c r="AB137" s="166"/>
      <c r="AC137" s="166"/>
      <c r="AD137" s="166"/>
      <c r="AE137" s="166"/>
      <c r="AF137" s="166"/>
      <c r="AG137" s="166"/>
      <c r="AH137" s="166"/>
      <c r="AI137" s="166"/>
    </row>
    <row r="138" spans="1:35" x14ac:dyDescent="0.2">
      <c r="A138" s="167" t="s">
        <v>47</v>
      </c>
      <c r="B138" s="162">
        <v>9</v>
      </c>
      <c r="C138" s="162">
        <f t="shared" si="4"/>
        <v>1733.75</v>
      </c>
      <c r="D138" s="162" t="s">
        <v>157</v>
      </c>
      <c r="E138" s="168">
        <v>571485701450.50586</v>
      </c>
      <c r="F138" s="168">
        <v>571485701.45050585</v>
      </c>
      <c r="G138" s="168">
        <v>571485.70145050588</v>
      </c>
      <c r="H138" s="168">
        <v>571.48570145050587</v>
      </c>
      <c r="I138" s="164">
        <f>H138*$O$9/0.1*INDEX(Country_details!$N$9:N288,MATCH(Solar_data!A138,Country_details!$A$9:$A$154,0))</f>
        <v>1457.2885386987898</v>
      </c>
      <c r="J138" s="164">
        <f t="shared" si="5"/>
        <v>1733.75</v>
      </c>
      <c r="K138" s="164"/>
      <c r="L138" s="164"/>
      <c r="M138" s="164"/>
      <c r="N138" s="164"/>
      <c r="O138" s="166"/>
      <c r="P138" s="166"/>
      <c r="Q138" s="166"/>
      <c r="R138" s="166"/>
      <c r="S138" s="166"/>
      <c r="T138" s="166"/>
      <c r="U138" s="166"/>
      <c r="V138" s="166"/>
      <c r="W138" s="166"/>
      <c r="X138" s="166"/>
      <c r="Y138" s="166"/>
      <c r="Z138" s="166"/>
      <c r="AA138" s="166"/>
      <c r="AB138" s="166"/>
      <c r="AC138" s="166"/>
      <c r="AD138" s="166"/>
      <c r="AE138" s="166"/>
      <c r="AF138" s="166"/>
      <c r="AG138" s="166"/>
      <c r="AH138" s="166"/>
      <c r="AI138" s="166"/>
    </row>
    <row r="139" spans="1:35" x14ac:dyDescent="0.2">
      <c r="A139" s="167" t="s">
        <v>47</v>
      </c>
      <c r="B139" s="162">
        <v>10</v>
      </c>
      <c r="C139" s="162">
        <f t="shared" si="4"/>
        <v>1916.25</v>
      </c>
      <c r="D139" s="162" t="s">
        <v>159</v>
      </c>
      <c r="E139" s="168">
        <v>291137664253.0885</v>
      </c>
      <c r="F139" s="168">
        <v>291137664.25308853</v>
      </c>
      <c r="G139" s="168">
        <v>291137.66425308853</v>
      </c>
      <c r="H139" s="168">
        <v>291.13766425308853</v>
      </c>
      <c r="I139" s="164">
        <f>H139*$O$9/0.1*INDEX(Country_details!$N$9:N289,MATCH(Solar_data!A139,Country_details!$A$9:$A$154,0))</f>
        <v>742.40104384537574</v>
      </c>
      <c r="J139" s="164">
        <f t="shared" si="5"/>
        <v>1916.25</v>
      </c>
      <c r="K139" s="164"/>
      <c r="L139" s="164"/>
      <c r="M139" s="164"/>
      <c r="N139" s="164"/>
      <c r="O139" s="166"/>
      <c r="P139" s="166"/>
      <c r="Q139" s="166"/>
      <c r="R139" s="166"/>
      <c r="S139" s="166"/>
      <c r="T139" s="166"/>
      <c r="U139" s="166"/>
      <c r="V139" s="166"/>
      <c r="W139" s="166"/>
      <c r="X139" s="166"/>
      <c r="Y139" s="166"/>
      <c r="Z139" s="166"/>
      <c r="AA139" s="166"/>
      <c r="AB139" s="166"/>
      <c r="AC139" s="166"/>
      <c r="AD139" s="166"/>
      <c r="AE139" s="166"/>
      <c r="AF139" s="166"/>
      <c r="AG139" s="166"/>
      <c r="AH139" s="166"/>
      <c r="AI139" s="166"/>
    </row>
    <row r="140" spans="1:35" x14ac:dyDescent="0.2">
      <c r="A140" s="167" t="s">
        <v>47</v>
      </c>
      <c r="B140" s="162">
        <v>11</v>
      </c>
      <c r="C140" s="162">
        <f t="shared" si="4"/>
        <v>2098.75</v>
      </c>
      <c r="D140" s="162" t="s">
        <v>161</v>
      </c>
      <c r="E140" s="168">
        <v>310739991910.30432</v>
      </c>
      <c r="F140" s="168">
        <v>310739991.91030431</v>
      </c>
      <c r="G140" s="168">
        <v>310739.99191030429</v>
      </c>
      <c r="H140" s="168">
        <v>310.7399919103043</v>
      </c>
      <c r="I140" s="164">
        <f>H140*$O$9/0.1*INDEX(Country_details!$N$9:N290,MATCH(Solar_data!A140,Country_details!$A$9:$A$154,0))</f>
        <v>792.38697937127586</v>
      </c>
      <c r="J140" s="164">
        <f t="shared" si="5"/>
        <v>2098.75</v>
      </c>
      <c r="K140" s="164"/>
      <c r="L140" s="164"/>
      <c r="M140" s="164"/>
      <c r="N140" s="164"/>
      <c r="O140" s="166"/>
      <c r="P140" s="166"/>
      <c r="Q140" s="166"/>
      <c r="R140" s="166"/>
      <c r="S140" s="166"/>
      <c r="T140" s="166"/>
      <c r="U140" s="166"/>
      <c r="V140" s="166"/>
      <c r="W140" s="166"/>
      <c r="X140" s="166"/>
      <c r="Y140" s="166"/>
      <c r="Z140" s="166"/>
      <c r="AA140" s="166"/>
      <c r="AB140" s="166"/>
      <c r="AC140" s="166"/>
      <c r="AD140" s="166"/>
      <c r="AE140" s="166"/>
      <c r="AF140" s="166"/>
      <c r="AG140" s="166"/>
      <c r="AH140" s="166"/>
      <c r="AI140" s="166"/>
    </row>
    <row r="141" spans="1:35" x14ac:dyDescent="0.2">
      <c r="A141" s="167" t="s">
        <v>47</v>
      </c>
      <c r="B141" s="162">
        <v>12</v>
      </c>
      <c r="C141" s="162">
        <f t="shared" si="4"/>
        <v>2281.25</v>
      </c>
      <c r="D141" s="162" t="s">
        <v>162</v>
      </c>
      <c r="E141" s="168">
        <v>52813014135.164001</v>
      </c>
      <c r="F141" s="168">
        <v>52813014.135164</v>
      </c>
      <c r="G141" s="168">
        <v>52813.014135163998</v>
      </c>
      <c r="H141" s="168">
        <v>52.813014135163996</v>
      </c>
      <c r="I141" s="164">
        <f>H141*$O$9/0.1*INDEX(Country_details!$N$9:N291,MATCH(Solar_data!A141,Country_details!$A$9:$A$154,0))</f>
        <v>134.6731860446682</v>
      </c>
      <c r="J141" s="164">
        <f t="shared" si="5"/>
        <v>2281.25</v>
      </c>
      <c r="K141" s="164"/>
      <c r="L141" s="164"/>
      <c r="M141" s="164"/>
      <c r="N141" s="164"/>
      <c r="O141" s="166"/>
      <c r="P141" s="166"/>
      <c r="Q141" s="166"/>
      <c r="R141" s="166"/>
      <c r="S141" s="166"/>
      <c r="T141" s="166"/>
      <c r="U141" s="166"/>
      <c r="V141" s="166"/>
      <c r="W141" s="166"/>
      <c r="X141" s="166"/>
      <c r="Y141" s="166"/>
      <c r="Z141" s="166"/>
      <c r="AA141" s="166"/>
      <c r="AB141" s="166"/>
      <c r="AC141" s="166"/>
      <c r="AD141" s="166"/>
      <c r="AE141" s="166"/>
      <c r="AF141" s="166"/>
      <c r="AG141" s="166"/>
      <c r="AH141" s="166"/>
      <c r="AI141" s="166"/>
    </row>
    <row r="142" spans="1:35" x14ac:dyDescent="0.2">
      <c r="A142" s="167" t="s">
        <v>19</v>
      </c>
      <c r="B142" s="162">
        <v>3</v>
      </c>
      <c r="C142" s="162">
        <f t="shared" si="4"/>
        <v>638.75</v>
      </c>
      <c r="D142" s="162" t="s">
        <v>170</v>
      </c>
      <c r="E142" s="168">
        <v>445517976.10860002</v>
      </c>
      <c r="F142" s="168">
        <v>445517.97610860004</v>
      </c>
      <c r="G142" s="168">
        <v>445.51797610860007</v>
      </c>
      <c r="H142" s="168">
        <v>0.44551797610860006</v>
      </c>
      <c r="I142" s="164">
        <f>H142*$O$9/0.1*INDEX(Country_details!$N$9:N292,MATCH(Solar_data!A142,Country_details!$A$9:$A$154,0))</f>
        <v>1.2028985354932202</v>
      </c>
      <c r="J142" s="164">
        <f t="shared" si="5"/>
        <v>638.75</v>
      </c>
      <c r="K142" s="164"/>
      <c r="L142" s="164"/>
      <c r="M142" s="164"/>
      <c r="N142" s="164"/>
      <c r="O142" s="166"/>
      <c r="P142" s="166"/>
      <c r="Q142" s="166"/>
      <c r="R142" s="166"/>
      <c r="S142" s="166"/>
      <c r="T142" s="166"/>
      <c r="U142" s="166"/>
      <c r="V142" s="166"/>
      <c r="W142" s="166"/>
      <c r="X142" s="166"/>
      <c r="Y142" s="166"/>
      <c r="Z142" s="166"/>
      <c r="AA142" s="166"/>
      <c r="AB142" s="166"/>
      <c r="AC142" s="166"/>
      <c r="AD142" s="166"/>
      <c r="AE142" s="166"/>
      <c r="AF142" s="166"/>
      <c r="AG142" s="166"/>
      <c r="AH142" s="166"/>
      <c r="AI142" s="166"/>
    </row>
    <row r="143" spans="1:35" x14ac:dyDescent="0.2">
      <c r="A143" s="167" t="s">
        <v>19</v>
      </c>
      <c r="B143" s="162">
        <v>4</v>
      </c>
      <c r="C143" s="162">
        <f t="shared" si="4"/>
        <v>821.25</v>
      </c>
      <c r="D143" s="162" t="s">
        <v>171</v>
      </c>
      <c r="E143" s="168">
        <v>17604491693.2216</v>
      </c>
      <c r="F143" s="168">
        <v>17604491.693221599</v>
      </c>
      <c r="G143" s="168">
        <v>17604.4916932216</v>
      </c>
      <c r="H143" s="168">
        <v>17.6044916932216</v>
      </c>
      <c r="I143" s="164">
        <f>H143*$O$9/0.1*INDEX(Country_details!$N$9:N293,MATCH(Solar_data!A143,Country_details!$A$9:$A$154,0))</f>
        <v>47.532127571698318</v>
      </c>
      <c r="J143" s="164">
        <f t="shared" si="5"/>
        <v>821.25</v>
      </c>
      <c r="K143" s="164"/>
      <c r="L143" s="164"/>
      <c r="M143" s="164"/>
      <c r="N143" s="164"/>
      <c r="O143" s="166"/>
      <c r="P143" s="166"/>
      <c r="Q143" s="166"/>
      <c r="R143" s="166"/>
      <c r="S143" s="166"/>
      <c r="T143" s="166"/>
      <c r="U143" s="166"/>
      <c r="V143" s="166"/>
      <c r="W143" s="166"/>
      <c r="X143" s="166"/>
      <c r="Y143" s="166"/>
      <c r="Z143" s="166"/>
      <c r="AA143" s="166"/>
      <c r="AB143" s="166"/>
      <c r="AC143" s="166"/>
      <c r="AD143" s="166"/>
      <c r="AE143" s="166"/>
      <c r="AF143" s="166"/>
      <c r="AG143" s="166"/>
      <c r="AH143" s="166"/>
      <c r="AI143" s="166"/>
    </row>
    <row r="144" spans="1:35" x14ac:dyDescent="0.2">
      <c r="A144" s="167" t="s">
        <v>19</v>
      </c>
      <c r="B144" s="162">
        <v>5</v>
      </c>
      <c r="C144" s="162">
        <f t="shared" si="4"/>
        <v>1003.75</v>
      </c>
      <c r="D144" s="162" t="s">
        <v>172</v>
      </c>
      <c r="E144" s="168">
        <v>256621852743.6886</v>
      </c>
      <c r="F144" s="168">
        <v>256621852.74368861</v>
      </c>
      <c r="G144" s="168">
        <v>256621.85274368862</v>
      </c>
      <c r="H144" s="168">
        <v>256.62185274368863</v>
      </c>
      <c r="I144" s="164">
        <f>H144*$O$9/0.1*INDEX(Country_details!$N$9:N294,MATCH(Solar_data!A144,Country_details!$A$9:$A$154,0))</f>
        <v>692.87900240795932</v>
      </c>
      <c r="J144" s="164">
        <f t="shared" si="5"/>
        <v>1003.75</v>
      </c>
      <c r="K144" s="164"/>
      <c r="L144" s="164"/>
      <c r="M144" s="164"/>
      <c r="N144" s="164"/>
      <c r="O144" s="166"/>
      <c r="P144" s="166"/>
      <c r="Q144" s="166"/>
      <c r="R144" s="166"/>
      <c r="S144" s="166"/>
      <c r="T144" s="166"/>
      <c r="U144" s="166"/>
      <c r="V144" s="166"/>
      <c r="W144" s="166"/>
      <c r="X144" s="166"/>
      <c r="Y144" s="166"/>
      <c r="Z144" s="166"/>
      <c r="AA144" s="166"/>
      <c r="AB144" s="166"/>
      <c r="AC144" s="166"/>
      <c r="AD144" s="166"/>
      <c r="AE144" s="166"/>
      <c r="AF144" s="166"/>
      <c r="AG144" s="166"/>
      <c r="AH144" s="166"/>
      <c r="AI144" s="166"/>
    </row>
    <row r="145" spans="1:35" x14ac:dyDescent="0.2">
      <c r="A145" s="167" t="s">
        <v>19</v>
      </c>
      <c r="B145" s="162">
        <v>6</v>
      </c>
      <c r="C145" s="162">
        <f t="shared" si="4"/>
        <v>1186.25</v>
      </c>
      <c r="D145" s="162" t="s">
        <v>173</v>
      </c>
      <c r="E145" s="168">
        <v>3020729922021.8159</v>
      </c>
      <c r="F145" s="168">
        <v>3020729922.0218158</v>
      </c>
      <c r="G145" s="168">
        <v>3020729.922021816</v>
      </c>
      <c r="H145" s="168">
        <v>3020.729922021816</v>
      </c>
      <c r="I145" s="164">
        <f>H145*$O$9/0.1*INDEX(Country_details!$N$9:N295,MATCH(Solar_data!A145,Country_details!$A$9:$A$154,0))</f>
        <v>8155.9707894589019</v>
      </c>
      <c r="J145" s="164">
        <f t="shared" si="5"/>
        <v>1186.25</v>
      </c>
      <c r="K145" s="164"/>
      <c r="L145" s="164"/>
      <c r="M145" s="164"/>
      <c r="N145" s="164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6"/>
      <c r="Z145" s="166"/>
      <c r="AA145" s="166"/>
      <c r="AB145" s="166"/>
      <c r="AC145" s="166"/>
      <c r="AD145" s="166"/>
      <c r="AE145" s="166"/>
      <c r="AF145" s="166"/>
      <c r="AG145" s="166"/>
      <c r="AH145" s="166"/>
      <c r="AI145" s="166"/>
    </row>
    <row r="146" spans="1:35" x14ac:dyDescent="0.2">
      <c r="A146" s="167" t="s">
        <v>19</v>
      </c>
      <c r="B146" s="162">
        <v>7</v>
      </c>
      <c r="C146" s="162">
        <f t="shared" si="4"/>
        <v>1368.75</v>
      </c>
      <c r="D146" s="162" t="s">
        <v>174</v>
      </c>
      <c r="E146" s="168">
        <v>7239829368227.377</v>
      </c>
      <c r="F146" s="168">
        <v>7239829368.2273769</v>
      </c>
      <c r="G146" s="168">
        <v>7239829.3682273775</v>
      </c>
      <c r="H146" s="168">
        <v>7239.8293682273779</v>
      </c>
      <c r="I146" s="164">
        <f>H146*$O$9/0.1*INDEX(Country_details!$N$9:N296,MATCH(Solar_data!A146,Country_details!$A$9:$A$154,0))</f>
        <v>19547.539294213919</v>
      </c>
      <c r="J146" s="164">
        <f t="shared" si="5"/>
        <v>1368.75</v>
      </c>
      <c r="K146" s="164"/>
      <c r="L146" s="164"/>
      <c r="M146" s="164"/>
      <c r="N146" s="164"/>
      <c r="O146" s="166"/>
      <c r="P146" s="166"/>
      <c r="Q146" s="166"/>
      <c r="R146" s="166"/>
      <c r="S146" s="166"/>
      <c r="T146" s="166"/>
      <c r="U146" s="166"/>
      <c r="V146" s="166"/>
      <c r="W146" s="166"/>
      <c r="X146" s="166"/>
      <c r="Y146" s="166"/>
      <c r="Z146" s="166"/>
      <c r="AA146" s="166"/>
      <c r="AB146" s="166"/>
      <c r="AC146" s="166"/>
      <c r="AD146" s="166"/>
      <c r="AE146" s="166"/>
      <c r="AF146" s="166"/>
      <c r="AG146" s="166"/>
      <c r="AH146" s="166"/>
      <c r="AI146" s="166"/>
    </row>
    <row r="147" spans="1:35" x14ac:dyDescent="0.2">
      <c r="A147" s="167" t="s">
        <v>19</v>
      </c>
      <c r="B147" s="162">
        <v>8</v>
      </c>
      <c r="C147" s="162">
        <f t="shared" si="4"/>
        <v>1551.25</v>
      </c>
      <c r="D147" s="162" t="s">
        <v>164</v>
      </c>
      <c r="E147" s="168">
        <v>8748995884945.0811</v>
      </c>
      <c r="F147" s="168">
        <v>8748995884.9450817</v>
      </c>
      <c r="G147" s="168">
        <v>8748995.8849450815</v>
      </c>
      <c r="H147" s="168">
        <v>8748.9958849450813</v>
      </c>
      <c r="I147" s="164">
        <f>H147*$O$9/0.1*INDEX(Country_details!$N$9:N297,MATCH(Solar_data!A147,Country_details!$A$9:$A$154,0))</f>
        <v>23622.288889351716</v>
      </c>
      <c r="J147" s="164">
        <f t="shared" si="5"/>
        <v>1551.25</v>
      </c>
      <c r="K147" s="164"/>
      <c r="L147" s="164"/>
      <c r="M147" s="164"/>
      <c r="N147" s="164"/>
      <c r="O147" s="166"/>
      <c r="P147" s="166"/>
      <c r="Q147" s="166"/>
      <c r="R147" s="166"/>
      <c r="S147" s="166"/>
      <c r="T147" s="166"/>
      <c r="U147" s="166"/>
      <c r="V147" s="166"/>
      <c r="W147" s="166"/>
      <c r="X147" s="166"/>
      <c r="Y147" s="166"/>
      <c r="Z147" s="166"/>
      <c r="AA147" s="166"/>
      <c r="AB147" s="166"/>
      <c r="AC147" s="166"/>
      <c r="AD147" s="166"/>
      <c r="AE147" s="166"/>
      <c r="AF147" s="166"/>
      <c r="AG147" s="166"/>
      <c r="AH147" s="166"/>
      <c r="AI147" s="166"/>
    </row>
    <row r="148" spans="1:35" x14ac:dyDescent="0.2">
      <c r="A148" s="167" t="s">
        <v>19</v>
      </c>
      <c r="B148" s="162">
        <v>9</v>
      </c>
      <c r="C148" s="162">
        <f t="shared" si="4"/>
        <v>1733.75</v>
      </c>
      <c r="D148" s="162" t="s">
        <v>157</v>
      </c>
      <c r="E148" s="168">
        <v>1837686018350.9238</v>
      </c>
      <c r="F148" s="168">
        <v>1837686018.3509238</v>
      </c>
      <c r="G148" s="168">
        <v>1837686.0183509239</v>
      </c>
      <c r="H148" s="168">
        <v>1837.6860183509239</v>
      </c>
      <c r="I148" s="164">
        <f>H148*$O$9/0.1*INDEX(Country_details!$N$9:N298,MATCH(Solar_data!A148,Country_details!$A$9:$A$154,0))</f>
        <v>4961.7522495474941</v>
      </c>
      <c r="J148" s="164">
        <f t="shared" si="5"/>
        <v>1733.75</v>
      </c>
      <c r="K148" s="164"/>
      <c r="L148" s="164"/>
      <c r="M148" s="164"/>
      <c r="N148" s="164"/>
      <c r="O148" s="166"/>
      <c r="P148" s="166"/>
      <c r="Q148" s="166"/>
      <c r="R148" s="166"/>
      <c r="S148" s="166"/>
      <c r="T148" s="166"/>
      <c r="U148" s="166"/>
      <c r="V148" s="166"/>
      <c r="W148" s="166"/>
      <c r="X148" s="166"/>
      <c r="Y148" s="166"/>
      <c r="Z148" s="166"/>
      <c r="AA148" s="166"/>
      <c r="AB148" s="166"/>
      <c r="AC148" s="166"/>
      <c r="AD148" s="166"/>
      <c r="AE148" s="166"/>
      <c r="AF148" s="166"/>
      <c r="AG148" s="166"/>
      <c r="AH148" s="166"/>
      <c r="AI148" s="166"/>
    </row>
    <row r="149" spans="1:35" x14ac:dyDescent="0.2">
      <c r="A149" s="167" t="s">
        <v>19</v>
      </c>
      <c r="B149" s="162">
        <v>10</v>
      </c>
      <c r="C149" s="162">
        <f t="shared" si="4"/>
        <v>1916.25</v>
      </c>
      <c r="D149" s="162" t="s">
        <v>159</v>
      </c>
      <c r="E149" s="168">
        <v>92270565430.064804</v>
      </c>
      <c r="F149" s="168">
        <v>92270565.430064812</v>
      </c>
      <c r="G149" s="168">
        <v>92270.565430064817</v>
      </c>
      <c r="H149" s="168">
        <v>92.270565430064821</v>
      </c>
      <c r="I149" s="164">
        <f>H149*$O$9/0.1*INDEX(Country_details!$N$9:N299,MATCH(Solar_data!A149,Country_details!$A$9:$A$154,0))</f>
        <v>249.130526661175</v>
      </c>
      <c r="J149" s="164">
        <f t="shared" si="5"/>
        <v>1916.25</v>
      </c>
      <c r="K149" s="164"/>
      <c r="L149" s="164"/>
      <c r="M149" s="164"/>
      <c r="N149" s="164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  <c r="Y149" s="166"/>
      <c r="Z149" s="166"/>
      <c r="AA149" s="166"/>
      <c r="AB149" s="166"/>
      <c r="AC149" s="166"/>
      <c r="AD149" s="166"/>
      <c r="AE149" s="166"/>
      <c r="AF149" s="166"/>
      <c r="AG149" s="166"/>
      <c r="AH149" s="166"/>
      <c r="AI149" s="166"/>
    </row>
    <row r="150" spans="1:35" x14ac:dyDescent="0.2">
      <c r="A150" s="167" t="s">
        <v>192</v>
      </c>
      <c r="B150" s="162">
        <v>12</v>
      </c>
      <c r="C150" s="162">
        <f t="shared" si="4"/>
        <v>2281.25</v>
      </c>
      <c r="D150" s="162" t="s">
        <v>162</v>
      </c>
      <c r="E150" s="168">
        <v>7431056625.2512999</v>
      </c>
      <c r="F150" s="168">
        <v>7431056.6252512997</v>
      </c>
      <c r="G150" s="168">
        <v>7431.0566252512999</v>
      </c>
      <c r="H150" s="168">
        <v>7.4310566252513004</v>
      </c>
      <c r="I150" s="164" t="e">
        <f>H150*$O$9/0.1*INDEX(Country_details!$N$9:N300,MATCH(Solar_data!A150,Country_details!$A$9:$A$154,0))</f>
        <v>#N/A</v>
      </c>
      <c r="J150" s="164">
        <f t="shared" si="5"/>
        <v>2281.25</v>
      </c>
      <c r="K150" s="164"/>
      <c r="L150" s="164"/>
      <c r="M150" s="164"/>
      <c r="N150" s="164"/>
      <c r="O150" s="166"/>
      <c r="P150" s="166"/>
      <c r="Q150" s="166"/>
      <c r="R150" s="166"/>
      <c r="S150" s="166"/>
      <c r="T150" s="166"/>
      <c r="U150" s="166"/>
      <c r="V150" s="166"/>
      <c r="W150" s="166"/>
      <c r="X150" s="166"/>
      <c r="Y150" s="166"/>
      <c r="Z150" s="166"/>
      <c r="AA150" s="166"/>
      <c r="AB150" s="166"/>
      <c r="AC150" s="166"/>
      <c r="AD150" s="166"/>
      <c r="AE150" s="166"/>
      <c r="AF150" s="166"/>
      <c r="AG150" s="166"/>
      <c r="AH150" s="166"/>
      <c r="AI150" s="166"/>
    </row>
    <row r="151" spans="1:35" x14ac:dyDescent="0.2">
      <c r="A151" s="167" t="s">
        <v>193</v>
      </c>
      <c r="B151" s="162">
        <v>10</v>
      </c>
      <c r="C151" s="162">
        <f t="shared" si="4"/>
        <v>1916.25</v>
      </c>
      <c r="D151" s="162" t="s">
        <v>159</v>
      </c>
      <c r="E151" s="168">
        <v>435748827.30849999</v>
      </c>
      <c r="F151" s="168">
        <v>435748.82730850001</v>
      </c>
      <c r="G151" s="168">
        <v>435.74882730850004</v>
      </c>
      <c r="H151" s="168">
        <v>0.43574882730850006</v>
      </c>
      <c r="I151" s="164" t="e">
        <f>H151*$O$9/0.1*INDEX(Country_details!$N$9:N301,MATCH(Solar_data!A151,Country_details!$A$9:$A$154,0))</f>
        <v>#N/A</v>
      </c>
      <c r="J151" s="164">
        <f t="shared" si="5"/>
        <v>1916.25</v>
      </c>
      <c r="K151" s="164"/>
      <c r="L151" s="164"/>
      <c r="M151" s="164"/>
      <c r="N151" s="164"/>
      <c r="O151" s="166"/>
      <c r="P151" s="166"/>
      <c r="Q151" s="166"/>
      <c r="R151" s="166"/>
      <c r="S151" s="166"/>
      <c r="T151" s="166"/>
      <c r="U151" s="166"/>
      <c r="V151" s="166"/>
      <c r="W151" s="166"/>
      <c r="X151" s="166"/>
      <c r="Y151" s="166"/>
      <c r="Z151" s="166"/>
      <c r="AA151" s="166"/>
      <c r="AB151" s="166"/>
      <c r="AC151" s="166"/>
      <c r="AD151" s="166"/>
      <c r="AE151" s="166"/>
      <c r="AF151" s="166"/>
      <c r="AG151" s="166"/>
      <c r="AH151" s="166"/>
      <c r="AI151" s="166"/>
    </row>
    <row r="152" spans="1:35" x14ac:dyDescent="0.2">
      <c r="A152" s="167" t="s">
        <v>193</v>
      </c>
      <c r="B152" s="162">
        <v>11</v>
      </c>
      <c r="C152" s="162">
        <f t="shared" si="4"/>
        <v>2098.75</v>
      </c>
      <c r="D152" s="162" t="s">
        <v>161</v>
      </c>
      <c r="E152" s="168">
        <v>25228899.195900001</v>
      </c>
      <c r="F152" s="168">
        <v>25228.899195900001</v>
      </c>
      <c r="G152" s="168">
        <v>25.228899195900002</v>
      </c>
      <c r="H152" s="168">
        <v>2.5228899195900004E-2</v>
      </c>
      <c r="I152" s="164" t="e">
        <f>H152*$O$9/0.1*INDEX(Country_details!$N$9:N302,MATCH(Solar_data!A152,Country_details!$A$9:$A$154,0))</f>
        <v>#N/A</v>
      </c>
      <c r="J152" s="164">
        <f t="shared" si="5"/>
        <v>2098.75</v>
      </c>
      <c r="K152" s="164"/>
      <c r="L152" s="164"/>
      <c r="M152" s="164"/>
      <c r="N152" s="164"/>
      <c r="O152" s="166"/>
      <c r="P152" s="166"/>
      <c r="Q152" s="166"/>
      <c r="R152" s="166"/>
      <c r="S152" s="166"/>
      <c r="T152" s="166"/>
      <c r="U152" s="166"/>
      <c r="V152" s="166"/>
      <c r="W152" s="166"/>
      <c r="X152" s="166"/>
      <c r="Y152" s="166"/>
      <c r="Z152" s="166"/>
      <c r="AA152" s="166"/>
      <c r="AB152" s="166"/>
      <c r="AC152" s="166"/>
      <c r="AD152" s="166"/>
      <c r="AE152" s="166"/>
      <c r="AF152" s="166"/>
      <c r="AG152" s="166"/>
      <c r="AH152" s="166"/>
      <c r="AI152" s="166"/>
    </row>
    <row r="153" spans="1:35" x14ac:dyDescent="0.2">
      <c r="A153" s="167" t="s">
        <v>194</v>
      </c>
      <c r="B153" s="162">
        <v>9</v>
      </c>
      <c r="C153" s="162">
        <f t="shared" si="4"/>
        <v>1733.75</v>
      </c>
      <c r="D153" s="162" t="s">
        <v>157</v>
      </c>
      <c r="E153" s="168">
        <v>99900475220.356201</v>
      </c>
      <c r="F153" s="168">
        <v>99900475.220356196</v>
      </c>
      <c r="G153" s="168">
        <v>99900.475220356195</v>
      </c>
      <c r="H153" s="168">
        <v>99.900475220356199</v>
      </c>
      <c r="I153" s="164">
        <f>H153*$O$9/0.1*INDEX(Country_details!$N$9:N303,MATCH(Solar_data!A153,Country_details!$A$9:$A$154,0))</f>
        <v>254.7462118119083</v>
      </c>
      <c r="J153" s="164">
        <f t="shared" si="5"/>
        <v>1733.75</v>
      </c>
      <c r="K153" s="164"/>
      <c r="L153" s="164"/>
      <c r="M153" s="164"/>
      <c r="N153" s="164"/>
      <c r="O153" s="166"/>
      <c r="P153" s="166"/>
      <c r="Q153" s="166"/>
      <c r="R153" s="166"/>
      <c r="S153" s="166"/>
      <c r="T153" s="166"/>
      <c r="U153" s="166"/>
      <c r="V153" s="166"/>
      <c r="W153" s="166"/>
      <c r="X153" s="166"/>
      <c r="Y153" s="166"/>
      <c r="Z153" s="166"/>
      <c r="AA153" s="166"/>
      <c r="AB153" s="166"/>
      <c r="AC153" s="166"/>
      <c r="AD153" s="166"/>
      <c r="AE153" s="166"/>
      <c r="AF153" s="166"/>
      <c r="AG153" s="166"/>
      <c r="AH153" s="166"/>
      <c r="AI153" s="166"/>
    </row>
    <row r="154" spans="1:35" x14ac:dyDescent="0.2">
      <c r="A154" s="167" t="s">
        <v>194</v>
      </c>
      <c r="B154" s="162">
        <v>10</v>
      </c>
      <c r="C154" s="162">
        <f t="shared" si="4"/>
        <v>1916.25</v>
      </c>
      <c r="D154" s="162" t="s">
        <v>159</v>
      </c>
      <c r="E154" s="168">
        <v>961332326912.56848</v>
      </c>
      <c r="F154" s="168">
        <v>961332326.91256845</v>
      </c>
      <c r="G154" s="168">
        <v>961332.32691256842</v>
      </c>
      <c r="H154" s="168">
        <v>961.33232691256842</v>
      </c>
      <c r="I154" s="164">
        <f>H154*$O$9/0.1*INDEX(Country_details!$N$9:N304,MATCH(Solar_data!A154,Country_details!$A$9:$A$154,0))</f>
        <v>2451.3974336270494</v>
      </c>
      <c r="J154" s="164">
        <f t="shared" si="5"/>
        <v>1916.25</v>
      </c>
      <c r="K154" s="164"/>
      <c r="L154" s="164"/>
      <c r="M154" s="164"/>
      <c r="N154" s="164"/>
      <c r="O154" s="166"/>
      <c r="P154" s="166"/>
      <c r="Q154" s="166"/>
      <c r="R154" s="166"/>
      <c r="S154" s="166"/>
      <c r="T154" s="166"/>
      <c r="U154" s="166"/>
      <c r="V154" s="166"/>
      <c r="W154" s="166"/>
      <c r="X154" s="166"/>
      <c r="Y154" s="166"/>
      <c r="Z154" s="166"/>
      <c r="AA154" s="166"/>
      <c r="AB154" s="166"/>
      <c r="AC154" s="166"/>
      <c r="AD154" s="166"/>
      <c r="AE154" s="166"/>
      <c r="AF154" s="166"/>
      <c r="AG154" s="166"/>
      <c r="AH154" s="166"/>
      <c r="AI154" s="166"/>
    </row>
    <row r="155" spans="1:35" x14ac:dyDescent="0.2">
      <c r="A155" s="167" t="s">
        <v>194</v>
      </c>
      <c r="B155" s="162">
        <v>11</v>
      </c>
      <c r="C155" s="162">
        <f t="shared" si="4"/>
        <v>2098.75</v>
      </c>
      <c r="D155" s="162" t="s">
        <v>161</v>
      </c>
      <c r="E155" s="168">
        <v>746311909373.60168</v>
      </c>
      <c r="F155" s="168">
        <v>746311909.37360168</v>
      </c>
      <c r="G155" s="168">
        <v>746311.90937360167</v>
      </c>
      <c r="H155" s="168">
        <v>746.31190937360168</v>
      </c>
      <c r="I155" s="164">
        <f>H155*$O$9/0.1*INDEX(Country_details!$N$9:N305,MATCH(Solar_data!A155,Country_details!$A$9:$A$154,0))</f>
        <v>1903.0953689026842</v>
      </c>
      <c r="J155" s="164">
        <f t="shared" si="5"/>
        <v>2098.75</v>
      </c>
      <c r="K155" s="164"/>
      <c r="L155" s="164"/>
      <c r="M155" s="164"/>
      <c r="N155" s="164"/>
      <c r="O155" s="166"/>
      <c r="P155" s="166"/>
      <c r="Q155" s="166"/>
      <c r="R155" s="166"/>
      <c r="S155" s="166"/>
      <c r="T155" s="166"/>
      <c r="U155" s="166"/>
      <c r="V155" s="166"/>
      <c r="W155" s="166"/>
      <c r="X155" s="166"/>
      <c r="Y155" s="166"/>
      <c r="Z155" s="166"/>
      <c r="AA155" s="166"/>
      <c r="AB155" s="166"/>
      <c r="AC155" s="166"/>
      <c r="AD155" s="166"/>
      <c r="AE155" s="166"/>
      <c r="AF155" s="166"/>
      <c r="AG155" s="166"/>
      <c r="AH155" s="166"/>
      <c r="AI155" s="166"/>
    </row>
    <row r="156" spans="1:35" x14ac:dyDescent="0.2">
      <c r="A156" s="167" t="s">
        <v>194</v>
      </c>
      <c r="B156" s="162">
        <v>12</v>
      </c>
      <c r="C156" s="162">
        <f t="shared" si="4"/>
        <v>2281.25</v>
      </c>
      <c r="D156" s="162" t="s">
        <v>162</v>
      </c>
      <c r="E156" s="168">
        <v>25565872277.0079</v>
      </c>
      <c r="F156" s="168">
        <v>25565872.2770079</v>
      </c>
      <c r="G156" s="168">
        <v>25565.8722770079</v>
      </c>
      <c r="H156" s="168">
        <v>25.565872277007902</v>
      </c>
      <c r="I156" s="164">
        <f>H156*$O$9/0.1*INDEX(Country_details!$N$9:N306,MATCH(Solar_data!A156,Country_details!$A$9:$A$154,0))</f>
        <v>65.192974306370132</v>
      </c>
      <c r="J156" s="164">
        <f t="shared" si="5"/>
        <v>2281.25</v>
      </c>
      <c r="K156" s="164"/>
      <c r="L156" s="164"/>
      <c r="M156" s="164"/>
      <c r="N156" s="164"/>
      <c r="O156" s="166"/>
      <c r="P156" s="166"/>
      <c r="Q156" s="166"/>
      <c r="R156" s="166"/>
      <c r="S156" s="166"/>
      <c r="T156" s="166"/>
      <c r="U156" s="166"/>
      <c r="V156" s="166"/>
      <c r="W156" s="166"/>
      <c r="X156" s="166"/>
      <c r="Y156" s="166"/>
      <c r="Z156" s="166"/>
      <c r="AA156" s="166"/>
      <c r="AB156" s="166"/>
      <c r="AC156" s="166"/>
      <c r="AD156" s="166"/>
      <c r="AE156" s="166"/>
      <c r="AF156" s="166"/>
      <c r="AG156" s="166"/>
      <c r="AH156" s="166"/>
      <c r="AI156" s="166"/>
    </row>
    <row r="157" spans="1:35" x14ac:dyDescent="0.2">
      <c r="A157" s="167" t="s">
        <v>48</v>
      </c>
      <c r="B157" s="162">
        <v>11</v>
      </c>
      <c r="C157" s="162">
        <f t="shared" si="4"/>
        <v>2098.75</v>
      </c>
      <c r="D157" s="162" t="s">
        <v>161</v>
      </c>
      <c r="E157" s="168">
        <v>521627343085.89258</v>
      </c>
      <c r="F157" s="168">
        <v>521627343.08589262</v>
      </c>
      <c r="G157" s="168">
        <v>521627.34308589261</v>
      </c>
      <c r="H157" s="168">
        <v>521.62734308589268</v>
      </c>
      <c r="I157" s="164">
        <f>H157*$O$9/0.1*INDEX(Country_details!$N$9:N307,MATCH(Solar_data!A157,Country_details!$A$9:$A$154,0))</f>
        <v>1173.6615219432583</v>
      </c>
      <c r="J157" s="164">
        <f t="shared" si="5"/>
        <v>2098.75</v>
      </c>
      <c r="K157" s="164"/>
      <c r="L157" s="164"/>
      <c r="M157" s="164"/>
      <c r="N157" s="164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  <c r="Y157" s="166"/>
      <c r="Z157" s="166"/>
      <c r="AA157" s="166"/>
      <c r="AB157" s="166"/>
      <c r="AC157" s="166"/>
      <c r="AD157" s="166"/>
      <c r="AE157" s="166"/>
      <c r="AF157" s="166"/>
      <c r="AG157" s="166"/>
      <c r="AH157" s="166"/>
      <c r="AI157" s="166"/>
    </row>
    <row r="158" spans="1:35" x14ac:dyDescent="0.2">
      <c r="A158" s="167" t="s">
        <v>48</v>
      </c>
      <c r="B158" s="162">
        <v>12</v>
      </c>
      <c r="C158" s="162">
        <f t="shared" si="4"/>
        <v>2281.25</v>
      </c>
      <c r="D158" s="162" t="s">
        <v>162</v>
      </c>
      <c r="E158" s="168">
        <v>1611418987589.1526</v>
      </c>
      <c r="F158" s="168">
        <v>1611418987.5891526</v>
      </c>
      <c r="G158" s="168">
        <v>1611418.9875891525</v>
      </c>
      <c r="H158" s="168">
        <v>1611.4189875891525</v>
      </c>
      <c r="I158" s="164">
        <f>H158*$O$9/0.1*INDEX(Country_details!$N$9:N308,MATCH(Solar_data!A158,Country_details!$A$9:$A$154,0))</f>
        <v>3625.6927220755924</v>
      </c>
      <c r="J158" s="164">
        <f t="shared" si="5"/>
        <v>2281.25</v>
      </c>
      <c r="K158" s="164"/>
      <c r="L158" s="164"/>
      <c r="M158" s="164"/>
      <c r="N158" s="164"/>
      <c r="O158" s="166"/>
      <c r="P158" s="166"/>
      <c r="Q158" s="166"/>
      <c r="R158" s="166"/>
      <c r="S158" s="166"/>
      <c r="T158" s="166"/>
      <c r="U158" s="166"/>
      <c r="V158" s="166"/>
      <c r="W158" s="166"/>
      <c r="X158" s="166"/>
      <c r="Y158" s="166"/>
      <c r="Z158" s="166"/>
      <c r="AA158" s="166"/>
      <c r="AB158" s="166"/>
      <c r="AC158" s="166"/>
      <c r="AD158" s="166"/>
      <c r="AE158" s="166"/>
      <c r="AF158" s="166"/>
      <c r="AG158" s="166"/>
      <c r="AH158" s="166"/>
      <c r="AI158" s="166"/>
    </row>
    <row r="159" spans="1:35" x14ac:dyDescent="0.2">
      <c r="A159" s="167" t="s">
        <v>48</v>
      </c>
      <c r="B159" s="162">
        <v>13</v>
      </c>
      <c r="C159" s="162">
        <f t="shared" si="4"/>
        <v>2463.75</v>
      </c>
      <c r="D159" s="162" t="s">
        <v>163</v>
      </c>
      <c r="E159" s="168">
        <v>1841051567409.4338</v>
      </c>
      <c r="F159" s="168">
        <v>1841051567.4094338</v>
      </c>
      <c r="G159" s="168">
        <v>1841051.5674094339</v>
      </c>
      <c r="H159" s="168">
        <v>1841.051567409434</v>
      </c>
      <c r="I159" s="164">
        <f>H159*$O$9/0.1*INDEX(Country_details!$N$9:N309,MATCH(Solar_data!A159,Country_details!$A$9:$A$154,0))</f>
        <v>4142.3660266712259</v>
      </c>
      <c r="J159" s="164">
        <f t="shared" si="5"/>
        <v>2463.75</v>
      </c>
      <c r="K159" s="164"/>
      <c r="L159" s="164"/>
      <c r="M159" s="164"/>
      <c r="N159" s="164"/>
      <c r="O159" s="166"/>
      <c r="P159" s="166"/>
      <c r="Q159" s="166"/>
      <c r="R159" s="166"/>
      <c r="S159" s="166"/>
      <c r="T159" s="166"/>
      <c r="U159" s="166"/>
      <c r="V159" s="166"/>
      <c r="W159" s="166"/>
      <c r="X159" s="166"/>
      <c r="Y159" s="166"/>
      <c r="Z159" s="166"/>
      <c r="AA159" s="166"/>
      <c r="AB159" s="166"/>
      <c r="AC159" s="166"/>
      <c r="AD159" s="166"/>
      <c r="AE159" s="166"/>
      <c r="AF159" s="166"/>
      <c r="AG159" s="166"/>
      <c r="AH159" s="166"/>
      <c r="AI159" s="166"/>
    </row>
    <row r="160" spans="1:35" x14ac:dyDescent="0.2">
      <c r="A160" s="167" t="s">
        <v>48</v>
      </c>
      <c r="B160" s="162">
        <v>14</v>
      </c>
      <c r="C160" s="162">
        <f t="shared" si="4"/>
        <v>2646.25</v>
      </c>
      <c r="D160" s="162" t="s">
        <v>165</v>
      </c>
      <c r="E160" s="168">
        <v>548859191080.95453</v>
      </c>
      <c r="F160" s="168">
        <v>548859191.08095455</v>
      </c>
      <c r="G160" s="168">
        <v>548859.19108095451</v>
      </c>
      <c r="H160" s="168">
        <v>548.85919108095447</v>
      </c>
      <c r="I160" s="164">
        <f>H160*$O$9/0.1*INDEX(Country_details!$N$9:N310,MATCH(Solar_data!A160,Country_details!$A$9:$A$154,0))</f>
        <v>1234.9331799321476</v>
      </c>
      <c r="J160" s="164">
        <f t="shared" si="5"/>
        <v>2646.25</v>
      </c>
      <c r="K160" s="164"/>
      <c r="L160" s="164"/>
      <c r="M160" s="164"/>
      <c r="N160" s="164"/>
      <c r="O160" s="166"/>
      <c r="P160" s="166"/>
      <c r="Q160" s="166"/>
      <c r="R160" s="166"/>
      <c r="S160" s="166"/>
      <c r="T160" s="166"/>
      <c r="U160" s="166"/>
      <c r="V160" s="166"/>
      <c r="W160" s="166"/>
      <c r="X160" s="166"/>
      <c r="Y160" s="166"/>
      <c r="Z160" s="166"/>
      <c r="AA160" s="166"/>
      <c r="AB160" s="166"/>
      <c r="AC160" s="166"/>
      <c r="AD160" s="166"/>
      <c r="AE160" s="166"/>
      <c r="AF160" s="166"/>
      <c r="AG160" s="166"/>
      <c r="AH160" s="166"/>
      <c r="AI160" s="166"/>
    </row>
    <row r="161" spans="1:35" x14ac:dyDescent="0.2">
      <c r="A161" s="167" t="s">
        <v>20</v>
      </c>
      <c r="B161" s="162">
        <v>4</v>
      </c>
      <c r="C161" s="162">
        <f t="shared" si="4"/>
        <v>821.25</v>
      </c>
      <c r="D161" s="162" t="s">
        <v>171</v>
      </c>
      <c r="E161" s="168">
        <v>65427060947.739998</v>
      </c>
      <c r="F161" s="168">
        <v>65427060.947739996</v>
      </c>
      <c r="G161" s="168">
        <v>65427.060947739999</v>
      </c>
      <c r="H161" s="168">
        <v>65.427060947740003</v>
      </c>
      <c r="I161" s="164">
        <f>H161*$O$9/0.1*INDEX(Country_details!$N$9:N311,MATCH(Solar_data!A161,Country_details!$A$9:$A$154,0))</f>
        <v>147.210887132415</v>
      </c>
      <c r="J161" s="164">
        <f t="shared" si="5"/>
        <v>821.25</v>
      </c>
      <c r="K161" s="164"/>
      <c r="L161" s="164"/>
      <c r="M161" s="164"/>
      <c r="N161" s="164"/>
      <c r="O161" s="166"/>
      <c r="P161" s="166"/>
      <c r="Q161" s="166"/>
      <c r="R161" s="166"/>
      <c r="S161" s="166"/>
      <c r="T161" s="166"/>
      <c r="U161" s="166"/>
      <c r="V161" s="166"/>
      <c r="W161" s="166"/>
      <c r="X161" s="166"/>
      <c r="Y161" s="166"/>
      <c r="Z161" s="166"/>
      <c r="AA161" s="166"/>
      <c r="AB161" s="166"/>
      <c r="AC161" s="166"/>
      <c r="AD161" s="166"/>
      <c r="AE161" s="166"/>
      <c r="AF161" s="166"/>
      <c r="AG161" s="166"/>
      <c r="AH161" s="166"/>
      <c r="AI161" s="166"/>
    </row>
    <row r="162" spans="1:35" x14ac:dyDescent="0.2">
      <c r="A162" s="167" t="s">
        <v>20</v>
      </c>
      <c r="B162" s="162">
        <v>5</v>
      </c>
      <c r="C162" s="162">
        <f t="shared" si="4"/>
        <v>1003.75</v>
      </c>
      <c r="D162" s="162" t="s">
        <v>172</v>
      </c>
      <c r="E162" s="168">
        <v>115439832097.2988</v>
      </c>
      <c r="F162" s="168">
        <v>115439832.0972988</v>
      </c>
      <c r="G162" s="168">
        <v>115439.8320972988</v>
      </c>
      <c r="H162" s="168">
        <v>115.4398320972988</v>
      </c>
      <c r="I162" s="164">
        <f>H162*$O$9/0.1*INDEX(Country_details!$N$9:N312,MATCH(Solar_data!A162,Country_details!$A$9:$A$154,0))</f>
        <v>259.73962221892225</v>
      </c>
      <c r="J162" s="164">
        <f t="shared" si="5"/>
        <v>1003.75</v>
      </c>
      <c r="K162" s="164"/>
      <c r="L162" s="164"/>
      <c r="M162" s="164"/>
      <c r="N162" s="164"/>
      <c r="O162" s="166"/>
      <c r="P162" s="166"/>
      <c r="Q162" s="166"/>
      <c r="R162" s="166"/>
      <c r="S162" s="166"/>
      <c r="T162" s="166"/>
      <c r="U162" s="166"/>
      <c r="V162" s="166"/>
      <c r="W162" s="166"/>
      <c r="X162" s="166"/>
      <c r="Y162" s="166"/>
      <c r="Z162" s="166"/>
      <c r="AA162" s="166"/>
      <c r="AB162" s="166"/>
      <c r="AC162" s="166"/>
      <c r="AD162" s="166"/>
      <c r="AE162" s="166"/>
      <c r="AF162" s="166"/>
      <c r="AG162" s="166"/>
      <c r="AH162" s="166"/>
      <c r="AI162" s="166"/>
    </row>
    <row r="163" spans="1:35" x14ac:dyDescent="0.2">
      <c r="A163" s="167" t="s">
        <v>20</v>
      </c>
      <c r="B163" s="162">
        <v>6</v>
      </c>
      <c r="C163" s="162">
        <f t="shared" si="4"/>
        <v>1186.25</v>
      </c>
      <c r="D163" s="162" t="s">
        <v>173</v>
      </c>
      <c r="E163" s="168">
        <v>122884917368.0939</v>
      </c>
      <c r="F163" s="168">
        <v>122884917.36809391</v>
      </c>
      <c r="G163" s="168">
        <v>122884.91736809391</v>
      </c>
      <c r="H163" s="168">
        <v>122.88491736809391</v>
      </c>
      <c r="I163" s="164">
        <f>H163*$O$9/0.1*INDEX(Country_details!$N$9:N313,MATCH(Solar_data!A163,Country_details!$A$9:$A$154,0))</f>
        <v>276.49106407821131</v>
      </c>
      <c r="J163" s="164">
        <f t="shared" si="5"/>
        <v>1186.25</v>
      </c>
      <c r="K163" s="164"/>
      <c r="L163" s="164"/>
      <c r="M163" s="164"/>
      <c r="N163" s="164"/>
      <c r="O163" s="166"/>
      <c r="P163" s="166"/>
      <c r="Q163" s="166"/>
      <c r="R163" s="166"/>
      <c r="S163" s="166"/>
      <c r="T163" s="166"/>
      <c r="U163" s="166"/>
      <c r="V163" s="166"/>
      <c r="W163" s="166"/>
      <c r="X163" s="166"/>
      <c r="Y163" s="166"/>
      <c r="Z163" s="166"/>
      <c r="AA163" s="166"/>
      <c r="AB163" s="166"/>
      <c r="AC163" s="166"/>
      <c r="AD163" s="166"/>
      <c r="AE163" s="166"/>
      <c r="AF163" s="166"/>
      <c r="AG163" s="166"/>
      <c r="AH163" s="166"/>
      <c r="AI163" s="166"/>
    </row>
    <row r="164" spans="1:35" x14ac:dyDescent="0.2">
      <c r="A164" s="167" t="s">
        <v>20</v>
      </c>
      <c r="B164" s="162">
        <v>7</v>
      </c>
      <c r="C164" s="162">
        <f t="shared" si="4"/>
        <v>1368.75</v>
      </c>
      <c r="D164" s="162" t="s">
        <v>174</v>
      </c>
      <c r="E164" s="168">
        <v>43325237913.5093</v>
      </c>
      <c r="F164" s="168">
        <v>43325237.913509302</v>
      </c>
      <c r="G164" s="168">
        <v>43325.2379135093</v>
      </c>
      <c r="H164" s="168">
        <v>43.325237913509298</v>
      </c>
      <c r="I164" s="164">
        <f>H164*$O$9/0.1*INDEX(Country_details!$N$9:N314,MATCH(Solar_data!A164,Country_details!$A$9:$A$154,0))</f>
        <v>97.481785305395903</v>
      </c>
      <c r="J164" s="164">
        <f t="shared" si="5"/>
        <v>1368.75</v>
      </c>
      <c r="K164" s="164"/>
      <c r="L164" s="164"/>
      <c r="M164" s="164"/>
      <c r="N164" s="164"/>
      <c r="O164" s="166"/>
      <c r="P164" s="166"/>
      <c r="Q164" s="166"/>
      <c r="R164" s="166"/>
      <c r="S164" s="166"/>
      <c r="T164" s="166"/>
      <c r="U164" s="166"/>
      <c r="V164" s="166"/>
      <c r="W164" s="166"/>
      <c r="X164" s="166"/>
      <c r="Y164" s="166"/>
      <c r="Z164" s="166"/>
      <c r="AA164" s="166"/>
      <c r="AB164" s="166"/>
      <c r="AC164" s="166"/>
      <c r="AD164" s="166"/>
      <c r="AE164" s="166"/>
      <c r="AF164" s="166"/>
      <c r="AG164" s="166"/>
      <c r="AH164" s="166"/>
      <c r="AI164" s="166"/>
    </row>
    <row r="165" spans="1:35" x14ac:dyDescent="0.2">
      <c r="A165" s="167" t="s">
        <v>20</v>
      </c>
      <c r="B165" s="162">
        <v>8</v>
      </c>
      <c r="C165" s="162">
        <f t="shared" si="4"/>
        <v>1551.25</v>
      </c>
      <c r="D165" s="162" t="s">
        <v>164</v>
      </c>
      <c r="E165" s="168">
        <v>94717114978.380005</v>
      </c>
      <c r="F165" s="168">
        <v>94717114.97838001</v>
      </c>
      <c r="G165" s="168">
        <v>94717.114978380007</v>
      </c>
      <c r="H165" s="168">
        <v>94.71711497838001</v>
      </c>
      <c r="I165" s="164">
        <f>H165*$O$9/0.1*INDEX(Country_details!$N$9:N315,MATCH(Solar_data!A165,Country_details!$A$9:$A$154,0))</f>
        <v>213.11350870135499</v>
      </c>
      <c r="J165" s="164">
        <f t="shared" si="5"/>
        <v>1551.25</v>
      </c>
      <c r="K165" s="164"/>
      <c r="L165" s="164"/>
      <c r="M165" s="164"/>
      <c r="N165" s="164"/>
      <c r="O165" s="166"/>
      <c r="P165" s="166"/>
      <c r="Q165" s="166"/>
      <c r="R165" s="166"/>
      <c r="S165" s="166"/>
      <c r="T165" s="166"/>
      <c r="U165" s="166"/>
      <c r="V165" s="166"/>
      <c r="W165" s="166"/>
      <c r="X165" s="166"/>
      <c r="Y165" s="166"/>
      <c r="Z165" s="166"/>
      <c r="AA165" s="166"/>
      <c r="AB165" s="166"/>
      <c r="AC165" s="166"/>
      <c r="AD165" s="166"/>
      <c r="AE165" s="166"/>
      <c r="AF165" s="166"/>
      <c r="AG165" s="166"/>
      <c r="AH165" s="166"/>
      <c r="AI165" s="166"/>
    </row>
    <row r="166" spans="1:35" x14ac:dyDescent="0.2">
      <c r="A166" s="167" t="s">
        <v>20</v>
      </c>
      <c r="B166" s="162">
        <v>9</v>
      </c>
      <c r="C166" s="162">
        <f t="shared" si="4"/>
        <v>1733.75</v>
      </c>
      <c r="D166" s="162" t="s">
        <v>157</v>
      </c>
      <c r="E166" s="168">
        <v>108064532634.838</v>
      </c>
      <c r="F166" s="168">
        <v>108064532.634838</v>
      </c>
      <c r="G166" s="168">
        <v>108064.532634838</v>
      </c>
      <c r="H166" s="168">
        <v>108.064532634838</v>
      </c>
      <c r="I166" s="164">
        <f>H166*$O$9/0.1*INDEX(Country_details!$N$9:N316,MATCH(Solar_data!A166,Country_details!$A$9:$A$154,0))</f>
        <v>243.14519842838547</v>
      </c>
      <c r="J166" s="164">
        <f t="shared" si="5"/>
        <v>1733.75</v>
      </c>
      <c r="K166" s="164"/>
      <c r="L166" s="164"/>
      <c r="M166" s="164"/>
      <c r="N166" s="164"/>
      <c r="O166" s="166"/>
      <c r="P166" s="166"/>
      <c r="Q166" s="166"/>
      <c r="R166" s="166"/>
      <c r="S166" s="166"/>
      <c r="T166" s="166"/>
      <c r="U166" s="166"/>
      <c r="V166" s="166"/>
      <c r="W166" s="166"/>
      <c r="X166" s="166"/>
      <c r="Y166" s="166"/>
      <c r="Z166" s="166"/>
      <c r="AA166" s="166"/>
      <c r="AB166" s="166"/>
      <c r="AC166" s="166"/>
      <c r="AD166" s="166"/>
      <c r="AE166" s="166"/>
      <c r="AF166" s="166"/>
      <c r="AG166" s="166"/>
      <c r="AH166" s="166"/>
      <c r="AI166" s="166"/>
    </row>
    <row r="167" spans="1:35" x14ac:dyDescent="0.2">
      <c r="A167" s="167" t="s">
        <v>20</v>
      </c>
      <c r="B167" s="162">
        <v>10</v>
      </c>
      <c r="C167" s="162">
        <f t="shared" si="4"/>
        <v>1916.25</v>
      </c>
      <c r="D167" s="162" t="s">
        <v>159</v>
      </c>
      <c r="E167" s="168">
        <v>372755231726.95007</v>
      </c>
      <c r="F167" s="168">
        <v>372755231.72695011</v>
      </c>
      <c r="G167" s="168">
        <v>372755.23172695009</v>
      </c>
      <c r="H167" s="168">
        <v>372.75523172695011</v>
      </c>
      <c r="I167" s="164">
        <f>H167*$O$9/0.1*INDEX(Country_details!$N$9:N317,MATCH(Solar_data!A167,Country_details!$A$9:$A$154,0))</f>
        <v>838.69927138563776</v>
      </c>
      <c r="J167" s="164">
        <f t="shared" si="5"/>
        <v>1916.25</v>
      </c>
      <c r="K167" s="164"/>
      <c r="L167" s="164"/>
      <c r="M167" s="164"/>
      <c r="N167" s="164"/>
      <c r="O167" s="166"/>
      <c r="P167" s="166"/>
      <c r="Q167" s="166"/>
      <c r="R167" s="166"/>
      <c r="S167" s="166"/>
      <c r="T167" s="166"/>
      <c r="U167" s="166"/>
      <c r="V167" s="166"/>
      <c r="W167" s="166"/>
      <c r="X167" s="166"/>
      <c r="Y167" s="166"/>
      <c r="Z167" s="166"/>
      <c r="AA167" s="166"/>
      <c r="AB167" s="166"/>
      <c r="AC167" s="166"/>
      <c r="AD167" s="166"/>
      <c r="AE167" s="166"/>
      <c r="AF167" s="166"/>
      <c r="AG167" s="166"/>
      <c r="AH167" s="166"/>
      <c r="AI167" s="166"/>
    </row>
    <row r="168" spans="1:35" x14ac:dyDescent="0.2">
      <c r="A168" s="167" t="s">
        <v>20</v>
      </c>
      <c r="B168" s="162">
        <v>11</v>
      </c>
      <c r="C168" s="162">
        <f t="shared" si="4"/>
        <v>2098.75</v>
      </c>
      <c r="D168" s="162" t="s">
        <v>161</v>
      </c>
      <c r="E168" s="168">
        <v>277720523198.68488</v>
      </c>
      <c r="F168" s="168">
        <v>277720523.19868487</v>
      </c>
      <c r="G168" s="168">
        <v>277720.52319868485</v>
      </c>
      <c r="H168" s="168">
        <v>277.72052319868487</v>
      </c>
      <c r="I168" s="164">
        <f>H168*$O$9/0.1*INDEX(Country_details!$N$9:N318,MATCH(Solar_data!A168,Country_details!$A$9:$A$154,0))</f>
        <v>624.87117719704099</v>
      </c>
      <c r="J168" s="164">
        <f t="shared" si="5"/>
        <v>2098.75</v>
      </c>
      <c r="K168" s="164"/>
      <c r="L168" s="164"/>
      <c r="M168" s="164"/>
      <c r="N168" s="164"/>
      <c r="O168" s="166"/>
      <c r="P168" s="166"/>
      <c r="Q168" s="166"/>
      <c r="R168" s="166"/>
      <c r="S168" s="166"/>
      <c r="T168" s="166"/>
      <c r="U168" s="166"/>
      <c r="V168" s="166"/>
      <c r="W168" s="166"/>
      <c r="X168" s="166"/>
      <c r="Y168" s="166"/>
      <c r="Z168" s="166"/>
      <c r="AA168" s="166"/>
      <c r="AB168" s="166"/>
      <c r="AC168" s="166"/>
      <c r="AD168" s="166"/>
      <c r="AE168" s="166"/>
      <c r="AF168" s="166"/>
      <c r="AG168" s="166"/>
      <c r="AH168" s="166"/>
      <c r="AI168" s="166"/>
    </row>
    <row r="169" spans="1:35" x14ac:dyDescent="0.2">
      <c r="A169" s="167" t="s">
        <v>20</v>
      </c>
      <c r="B169" s="162">
        <v>12</v>
      </c>
      <c r="C169" s="162">
        <f t="shared" si="4"/>
        <v>2281.25</v>
      </c>
      <c r="D169" s="162" t="s">
        <v>162</v>
      </c>
      <c r="E169" s="168">
        <v>292667504613.96997</v>
      </c>
      <c r="F169" s="168">
        <v>292667504.61396998</v>
      </c>
      <c r="G169" s="168">
        <v>292667.50461397</v>
      </c>
      <c r="H169" s="168">
        <v>292.66750461396998</v>
      </c>
      <c r="I169" s="164">
        <f>H169*$O$9/0.1*INDEX(Country_details!$N$9:N319,MATCH(Solar_data!A169,Country_details!$A$9:$A$154,0))</f>
        <v>658.50188538143243</v>
      </c>
      <c r="J169" s="164">
        <f t="shared" si="5"/>
        <v>2281.25</v>
      </c>
      <c r="K169" s="164"/>
      <c r="L169" s="164"/>
      <c r="M169" s="164"/>
      <c r="N169" s="164"/>
      <c r="O169" s="166"/>
      <c r="P169" s="166"/>
      <c r="Q169" s="166"/>
      <c r="R169" s="166"/>
      <c r="S169" s="166"/>
      <c r="T169" s="166"/>
      <c r="U169" s="166"/>
      <c r="V169" s="166"/>
      <c r="W169" s="166"/>
      <c r="X169" s="166"/>
      <c r="Y169" s="166"/>
      <c r="Z169" s="166"/>
      <c r="AA169" s="166"/>
      <c r="AB169" s="166"/>
      <c r="AC169" s="166"/>
      <c r="AD169" s="166"/>
      <c r="AE169" s="166"/>
      <c r="AF169" s="166"/>
      <c r="AG169" s="166"/>
      <c r="AH169" s="166"/>
      <c r="AI169" s="166"/>
    </row>
    <row r="170" spans="1:35" x14ac:dyDescent="0.2">
      <c r="A170" s="167" t="s">
        <v>20</v>
      </c>
      <c r="B170" s="162">
        <v>13</v>
      </c>
      <c r="C170" s="162">
        <f t="shared" si="4"/>
        <v>2463.75</v>
      </c>
      <c r="D170" s="162" t="s">
        <v>163</v>
      </c>
      <c r="E170" s="168">
        <v>188832852570.24799</v>
      </c>
      <c r="F170" s="168">
        <v>188832852.57024798</v>
      </c>
      <c r="G170" s="168">
        <v>188832.85257024798</v>
      </c>
      <c r="H170" s="168">
        <v>188.83285257024798</v>
      </c>
      <c r="I170" s="164">
        <f>H170*$O$9/0.1*INDEX(Country_details!$N$9:N320,MATCH(Solar_data!A170,Country_details!$A$9:$A$154,0))</f>
        <v>424.87391828305789</v>
      </c>
      <c r="J170" s="164">
        <f t="shared" si="5"/>
        <v>2463.75</v>
      </c>
      <c r="K170" s="164"/>
      <c r="L170" s="164"/>
      <c r="M170" s="164"/>
      <c r="N170" s="164"/>
      <c r="O170" s="166"/>
      <c r="P170" s="166"/>
      <c r="Q170" s="166"/>
      <c r="R170" s="166"/>
      <c r="S170" s="166"/>
      <c r="T170" s="166"/>
      <c r="U170" s="166"/>
      <c r="V170" s="166"/>
      <c r="W170" s="166"/>
      <c r="X170" s="166"/>
      <c r="Y170" s="166"/>
      <c r="Z170" s="166"/>
      <c r="AA170" s="166"/>
      <c r="AB170" s="166"/>
      <c r="AC170" s="166"/>
      <c r="AD170" s="166"/>
      <c r="AE170" s="166"/>
      <c r="AF170" s="166"/>
      <c r="AG170" s="166"/>
      <c r="AH170" s="166"/>
      <c r="AI170" s="166"/>
    </row>
    <row r="171" spans="1:35" x14ac:dyDescent="0.2">
      <c r="A171" s="167" t="s">
        <v>20</v>
      </c>
      <c r="B171" s="162">
        <v>14</v>
      </c>
      <c r="C171" s="162">
        <f t="shared" si="4"/>
        <v>2646.25</v>
      </c>
      <c r="D171" s="162" t="s">
        <v>165</v>
      </c>
      <c r="E171" s="168">
        <v>290805897353.75</v>
      </c>
      <c r="F171" s="168">
        <v>290805897.35374999</v>
      </c>
      <c r="G171" s="168">
        <v>290805.89735375001</v>
      </c>
      <c r="H171" s="168">
        <v>290.80589735375003</v>
      </c>
      <c r="I171" s="164">
        <f>H171*$O$9/0.1*INDEX(Country_details!$N$9:N321,MATCH(Solar_data!A171,Country_details!$A$9:$A$154,0))</f>
        <v>654.31326904593743</v>
      </c>
      <c r="J171" s="164">
        <f t="shared" si="5"/>
        <v>2646.25</v>
      </c>
      <c r="K171" s="164"/>
      <c r="L171" s="164"/>
      <c r="M171" s="164"/>
      <c r="N171" s="164"/>
      <c r="O171" s="166"/>
      <c r="P171" s="166"/>
      <c r="Q171" s="166"/>
      <c r="R171" s="166"/>
      <c r="S171" s="166"/>
      <c r="T171" s="166"/>
      <c r="U171" s="166"/>
      <c r="V171" s="166"/>
      <c r="W171" s="166"/>
      <c r="X171" s="166"/>
      <c r="Y171" s="166"/>
      <c r="Z171" s="166"/>
      <c r="AA171" s="166"/>
      <c r="AB171" s="166"/>
      <c r="AC171" s="166"/>
      <c r="AD171" s="166"/>
      <c r="AE171" s="166"/>
      <c r="AF171" s="166"/>
      <c r="AG171" s="166"/>
      <c r="AH171" s="166"/>
      <c r="AI171" s="166"/>
    </row>
    <row r="172" spans="1:35" x14ac:dyDescent="0.2">
      <c r="A172" s="167" t="s">
        <v>21</v>
      </c>
      <c r="B172" s="162">
        <v>6</v>
      </c>
      <c r="C172" s="162">
        <f t="shared" si="4"/>
        <v>1186.25</v>
      </c>
      <c r="D172" s="162" t="s">
        <v>173</v>
      </c>
      <c r="E172" s="168">
        <v>82654037467.850006</v>
      </c>
      <c r="F172" s="168">
        <v>82654037.467850015</v>
      </c>
      <c r="G172" s="168">
        <v>82654.037467850023</v>
      </c>
      <c r="H172" s="168">
        <v>82.654037467850031</v>
      </c>
      <c r="I172" s="164">
        <f>H172*$O$9/0.1*INDEX(Country_details!$N$9:N322,MATCH(Solar_data!A172,Country_details!$A$9:$A$154,0))</f>
        <v>185.97158430266256</v>
      </c>
      <c r="J172" s="164">
        <f t="shared" si="5"/>
        <v>1186.25</v>
      </c>
      <c r="K172" s="164"/>
      <c r="L172" s="164"/>
      <c r="M172" s="164"/>
      <c r="N172" s="164"/>
      <c r="O172" s="166"/>
      <c r="P172" s="166"/>
      <c r="Q172" s="166"/>
      <c r="R172" s="166"/>
      <c r="S172" s="166"/>
      <c r="T172" s="166"/>
      <c r="U172" s="166"/>
      <c r="V172" s="166"/>
      <c r="W172" s="166"/>
      <c r="X172" s="166"/>
      <c r="Y172" s="166"/>
      <c r="Z172" s="166"/>
      <c r="AA172" s="166"/>
      <c r="AB172" s="166"/>
      <c r="AC172" s="166"/>
      <c r="AD172" s="166"/>
      <c r="AE172" s="166"/>
      <c r="AF172" s="166"/>
      <c r="AG172" s="166"/>
      <c r="AH172" s="166"/>
      <c r="AI172" s="166"/>
    </row>
    <row r="173" spans="1:35" x14ac:dyDescent="0.2">
      <c r="A173" s="167" t="s">
        <v>21</v>
      </c>
      <c r="B173" s="162">
        <v>7</v>
      </c>
      <c r="C173" s="162">
        <f t="shared" si="4"/>
        <v>1368.75</v>
      </c>
      <c r="D173" s="162" t="s">
        <v>174</v>
      </c>
      <c r="E173" s="168">
        <v>976334616985.49512</v>
      </c>
      <c r="F173" s="168">
        <v>976334616.98549509</v>
      </c>
      <c r="G173" s="168">
        <v>976334.61698549509</v>
      </c>
      <c r="H173" s="168">
        <v>976.33461698549513</v>
      </c>
      <c r="I173" s="164">
        <f>H173*$O$9/0.1*INDEX(Country_details!$N$9:N323,MATCH(Solar_data!A173,Country_details!$A$9:$A$154,0))</f>
        <v>2196.7528882173638</v>
      </c>
      <c r="J173" s="164">
        <f t="shared" si="5"/>
        <v>1368.75</v>
      </c>
      <c r="K173" s="164"/>
      <c r="L173" s="164"/>
      <c r="M173" s="164"/>
      <c r="N173" s="164"/>
      <c r="O173" s="166"/>
      <c r="P173" s="166"/>
      <c r="Q173" s="166"/>
      <c r="R173" s="166"/>
      <c r="S173" s="166"/>
      <c r="T173" s="166"/>
      <c r="U173" s="166"/>
      <c r="V173" s="166"/>
      <c r="W173" s="166"/>
      <c r="X173" s="166"/>
      <c r="Y173" s="166"/>
      <c r="Z173" s="166"/>
      <c r="AA173" s="166"/>
      <c r="AB173" s="166"/>
      <c r="AC173" s="166"/>
      <c r="AD173" s="166"/>
      <c r="AE173" s="166"/>
      <c r="AF173" s="166"/>
      <c r="AG173" s="166"/>
      <c r="AH173" s="166"/>
      <c r="AI173" s="166"/>
    </row>
    <row r="174" spans="1:35" x14ac:dyDescent="0.2">
      <c r="A174" s="167" t="s">
        <v>21</v>
      </c>
      <c r="B174" s="162">
        <v>8</v>
      </c>
      <c r="C174" s="162">
        <f t="shared" si="4"/>
        <v>1551.25</v>
      </c>
      <c r="D174" s="162" t="s">
        <v>164</v>
      </c>
      <c r="E174" s="168">
        <v>4052860758915.3726</v>
      </c>
      <c r="F174" s="168">
        <v>4052860758.9153728</v>
      </c>
      <c r="G174" s="168">
        <v>4052860.7589153731</v>
      </c>
      <c r="H174" s="168">
        <v>4052.860758915373</v>
      </c>
      <c r="I174" s="164">
        <f>H174*$O$9/0.1*INDEX(Country_details!$N$9:N324,MATCH(Solar_data!A174,Country_details!$A$9:$A$154,0))</f>
        <v>9118.9367075595892</v>
      </c>
      <c r="J174" s="164">
        <f t="shared" si="5"/>
        <v>1551.25</v>
      </c>
      <c r="K174" s="164"/>
      <c r="L174" s="164"/>
      <c r="M174" s="164"/>
      <c r="N174" s="164"/>
      <c r="O174" s="166"/>
      <c r="P174" s="166"/>
      <c r="Q174" s="166"/>
      <c r="R174" s="166"/>
      <c r="S174" s="166"/>
      <c r="T174" s="166"/>
      <c r="U174" s="166"/>
      <c r="V174" s="166"/>
      <c r="W174" s="166"/>
      <c r="X174" s="166"/>
      <c r="Y174" s="166"/>
      <c r="Z174" s="166"/>
      <c r="AA174" s="166"/>
      <c r="AB174" s="166"/>
      <c r="AC174" s="166"/>
      <c r="AD174" s="166"/>
      <c r="AE174" s="166"/>
      <c r="AF174" s="166"/>
      <c r="AG174" s="166"/>
      <c r="AH174" s="166"/>
      <c r="AI174" s="166"/>
    </row>
    <row r="175" spans="1:35" x14ac:dyDescent="0.2">
      <c r="A175" s="167" t="s">
        <v>21</v>
      </c>
      <c r="B175" s="162">
        <v>9</v>
      </c>
      <c r="C175" s="162">
        <f t="shared" si="4"/>
        <v>1733.75</v>
      </c>
      <c r="D175" s="162" t="s">
        <v>157</v>
      </c>
      <c r="E175" s="168">
        <v>3359975683228.6597</v>
      </c>
      <c r="F175" s="168">
        <v>3359975683.2286596</v>
      </c>
      <c r="G175" s="168">
        <v>3359975.6832286599</v>
      </c>
      <c r="H175" s="168">
        <v>3359.9756832286598</v>
      </c>
      <c r="I175" s="164">
        <f>H175*$O$9/0.1*INDEX(Country_details!$N$9:N325,MATCH(Solar_data!A175,Country_details!$A$9:$A$154,0))</f>
        <v>7559.9452872644843</v>
      </c>
      <c r="J175" s="164">
        <f t="shared" si="5"/>
        <v>1733.75</v>
      </c>
      <c r="K175" s="164"/>
      <c r="L175" s="164"/>
      <c r="M175" s="164"/>
      <c r="N175" s="164"/>
      <c r="O175" s="166"/>
      <c r="P175" s="166"/>
      <c r="Q175" s="166"/>
      <c r="R175" s="166"/>
      <c r="S175" s="166"/>
      <c r="T175" s="166"/>
      <c r="U175" s="166"/>
      <c r="V175" s="166"/>
      <c r="W175" s="166"/>
      <c r="X175" s="166"/>
      <c r="Y175" s="166"/>
      <c r="Z175" s="166"/>
      <c r="AA175" s="166"/>
      <c r="AB175" s="166"/>
      <c r="AC175" s="166"/>
      <c r="AD175" s="166"/>
      <c r="AE175" s="166"/>
      <c r="AF175" s="166"/>
      <c r="AG175" s="166"/>
      <c r="AH175" s="166"/>
      <c r="AI175" s="166"/>
    </row>
    <row r="176" spans="1:35" x14ac:dyDescent="0.2">
      <c r="A176" s="167" t="s">
        <v>21</v>
      </c>
      <c r="B176" s="162">
        <v>10</v>
      </c>
      <c r="C176" s="162">
        <f t="shared" si="4"/>
        <v>1916.25</v>
      </c>
      <c r="D176" s="162" t="s">
        <v>159</v>
      </c>
      <c r="E176" s="168">
        <v>5217218934649.2588</v>
      </c>
      <c r="F176" s="168">
        <v>5217218934.6492586</v>
      </c>
      <c r="G176" s="168">
        <v>5217218.9346492589</v>
      </c>
      <c r="H176" s="168">
        <v>5217.2189346492587</v>
      </c>
      <c r="I176" s="164">
        <f>H176*$O$9/0.1*INDEX(Country_details!$N$9:N326,MATCH(Solar_data!A176,Country_details!$A$9:$A$154,0))</f>
        <v>11738.742602960832</v>
      </c>
      <c r="J176" s="164">
        <f t="shared" si="5"/>
        <v>1916.25</v>
      </c>
      <c r="K176" s="164"/>
      <c r="L176" s="164"/>
      <c r="M176" s="164"/>
      <c r="N176" s="164"/>
      <c r="O176" s="166"/>
      <c r="P176" s="166"/>
      <c r="Q176" s="166"/>
      <c r="R176" s="166"/>
      <c r="S176" s="166"/>
      <c r="T176" s="166"/>
      <c r="U176" s="166"/>
      <c r="V176" s="166"/>
      <c r="W176" s="166"/>
      <c r="X176" s="166"/>
      <c r="Y176" s="166"/>
      <c r="Z176" s="166"/>
      <c r="AA176" s="166"/>
      <c r="AB176" s="166"/>
      <c r="AC176" s="166"/>
      <c r="AD176" s="166"/>
      <c r="AE176" s="166"/>
      <c r="AF176" s="166"/>
      <c r="AG176" s="166"/>
      <c r="AH176" s="166"/>
      <c r="AI176" s="166"/>
    </row>
    <row r="177" spans="1:35" x14ac:dyDescent="0.2">
      <c r="A177" s="167" t="s">
        <v>21</v>
      </c>
      <c r="B177" s="162">
        <v>11</v>
      </c>
      <c r="C177" s="162">
        <f t="shared" si="4"/>
        <v>2098.75</v>
      </c>
      <c r="D177" s="162" t="s">
        <v>161</v>
      </c>
      <c r="E177" s="168">
        <v>6746955464714.6846</v>
      </c>
      <c r="F177" s="168">
        <v>6746955464.7146845</v>
      </c>
      <c r="G177" s="168">
        <v>6746955.4647146845</v>
      </c>
      <c r="H177" s="168">
        <v>6746.9554647146842</v>
      </c>
      <c r="I177" s="164">
        <f>H177*$O$9/0.1*INDEX(Country_details!$N$9:N327,MATCH(Solar_data!A177,Country_details!$A$9:$A$154,0))</f>
        <v>15180.649795608038</v>
      </c>
      <c r="J177" s="164">
        <f t="shared" si="5"/>
        <v>2098.75</v>
      </c>
      <c r="K177" s="164"/>
      <c r="L177" s="164"/>
      <c r="M177" s="164"/>
      <c r="N177" s="164"/>
      <c r="O177" s="166"/>
      <c r="P177" s="166"/>
      <c r="Q177" s="166"/>
      <c r="R177" s="166"/>
      <c r="S177" s="166"/>
      <c r="T177" s="166"/>
      <c r="U177" s="166"/>
      <c r="V177" s="166"/>
      <c r="W177" s="166"/>
      <c r="X177" s="166"/>
      <c r="Y177" s="166"/>
      <c r="Z177" s="166"/>
      <c r="AA177" s="166"/>
      <c r="AB177" s="166"/>
      <c r="AC177" s="166"/>
      <c r="AD177" s="166"/>
      <c r="AE177" s="166"/>
      <c r="AF177" s="166"/>
      <c r="AG177" s="166"/>
      <c r="AH177" s="166"/>
      <c r="AI177" s="166"/>
    </row>
    <row r="178" spans="1:35" x14ac:dyDescent="0.2">
      <c r="A178" s="167" t="s">
        <v>21</v>
      </c>
      <c r="B178" s="162">
        <v>12</v>
      </c>
      <c r="C178" s="162">
        <f t="shared" si="4"/>
        <v>2281.25</v>
      </c>
      <c r="D178" s="162" t="s">
        <v>162</v>
      </c>
      <c r="E178" s="168">
        <v>2925662820190.6475</v>
      </c>
      <c r="F178" s="168">
        <v>2925662820.1906476</v>
      </c>
      <c r="G178" s="168">
        <v>2925662.8201906476</v>
      </c>
      <c r="H178" s="168">
        <v>2925.6628201906478</v>
      </c>
      <c r="I178" s="164">
        <f>H178*$O$9/0.1*INDEX(Country_details!$N$9:N328,MATCH(Solar_data!A178,Country_details!$A$9:$A$154,0))</f>
        <v>6582.7413454289581</v>
      </c>
      <c r="J178" s="164">
        <f t="shared" si="5"/>
        <v>2281.25</v>
      </c>
      <c r="K178" s="164"/>
      <c r="L178" s="164"/>
      <c r="M178" s="164"/>
      <c r="N178" s="164"/>
      <c r="O178" s="166"/>
      <c r="P178" s="166"/>
      <c r="Q178" s="166"/>
      <c r="R178" s="166"/>
      <c r="S178" s="166"/>
      <c r="T178" s="166"/>
      <c r="U178" s="166"/>
      <c r="V178" s="166"/>
      <c r="W178" s="166"/>
      <c r="X178" s="166"/>
      <c r="Y178" s="166"/>
      <c r="Z178" s="166"/>
      <c r="AA178" s="166"/>
      <c r="AB178" s="166"/>
      <c r="AC178" s="166"/>
      <c r="AD178" s="166"/>
      <c r="AE178" s="166"/>
      <c r="AF178" s="166"/>
      <c r="AG178" s="166"/>
      <c r="AH178" s="166"/>
      <c r="AI178" s="166"/>
    </row>
    <row r="179" spans="1:35" x14ac:dyDescent="0.2">
      <c r="A179" s="167" t="s">
        <v>21</v>
      </c>
      <c r="B179" s="162">
        <v>13</v>
      </c>
      <c r="C179" s="162">
        <f t="shared" si="4"/>
        <v>2463.75</v>
      </c>
      <c r="D179" s="162" t="s">
        <v>163</v>
      </c>
      <c r="E179" s="168">
        <v>2138971855070.4805</v>
      </c>
      <c r="F179" s="168">
        <v>2138971855.0704806</v>
      </c>
      <c r="G179" s="168">
        <v>2138971.8550704806</v>
      </c>
      <c r="H179" s="168">
        <v>2138.9718550704806</v>
      </c>
      <c r="I179" s="164">
        <f>H179*$O$9/0.1*INDEX(Country_details!$N$9:N329,MATCH(Solar_data!A179,Country_details!$A$9:$A$154,0))</f>
        <v>4812.6866739085808</v>
      </c>
      <c r="J179" s="164">
        <f t="shared" si="5"/>
        <v>2463.75</v>
      </c>
      <c r="K179" s="164"/>
      <c r="L179" s="164"/>
      <c r="M179" s="164"/>
      <c r="N179" s="164"/>
      <c r="O179" s="166"/>
      <c r="P179" s="166"/>
      <c r="Q179" s="166"/>
      <c r="R179" s="166"/>
      <c r="S179" s="166"/>
      <c r="T179" s="166"/>
      <c r="U179" s="166"/>
      <c r="V179" s="166"/>
      <c r="W179" s="166"/>
      <c r="X179" s="166"/>
      <c r="Y179" s="166"/>
      <c r="Z179" s="166"/>
      <c r="AA179" s="166"/>
      <c r="AB179" s="166"/>
      <c r="AC179" s="166"/>
      <c r="AD179" s="166"/>
      <c r="AE179" s="166"/>
      <c r="AF179" s="166"/>
      <c r="AG179" s="166"/>
      <c r="AH179" s="166"/>
      <c r="AI179" s="166"/>
    </row>
    <row r="180" spans="1:35" x14ac:dyDescent="0.2">
      <c r="A180" s="167" t="s">
        <v>21</v>
      </c>
      <c r="B180" s="162">
        <v>14</v>
      </c>
      <c r="C180" s="162">
        <f t="shared" si="4"/>
        <v>2646.25</v>
      </c>
      <c r="D180" s="162" t="s">
        <v>165</v>
      </c>
      <c r="E180" s="168">
        <v>1872972388380.6099</v>
      </c>
      <c r="F180" s="168">
        <v>1872972388.38061</v>
      </c>
      <c r="G180" s="168">
        <v>1872972.3883806099</v>
      </c>
      <c r="H180" s="168">
        <v>1872.97238838061</v>
      </c>
      <c r="I180" s="164">
        <f>H180*$O$9/0.1*INDEX(Country_details!$N$9:N330,MATCH(Solar_data!A180,Country_details!$A$9:$A$154,0))</f>
        <v>4214.1878738563728</v>
      </c>
      <c r="J180" s="164">
        <f t="shared" si="5"/>
        <v>2646.25</v>
      </c>
      <c r="K180" s="164"/>
      <c r="L180" s="164"/>
      <c r="M180" s="164"/>
      <c r="N180" s="164"/>
      <c r="O180" s="166"/>
      <c r="P180" s="166"/>
      <c r="Q180" s="166"/>
      <c r="R180" s="166"/>
      <c r="S180" s="166"/>
      <c r="T180" s="166"/>
      <c r="U180" s="166"/>
      <c r="V180" s="166"/>
      <c r="W180" s="166"/>
      <c r="X180" s="166"/>
      <c r="Y180" s="166"/>
      <c r="Z180" s="166"/>
      <c r="AA180" s="166"/>
      <c r="AB180" s="166"/>
      <c r="AC180" s="166"/>
      <c r="AD180" s="166"/>
      <c r="AE180" s="166"/>
      <c r="AF180" s="166"/>
      <c r="AG180" s="166"/>
      <c r="AH180" s="166"/>
      <c r="AI180" s="166"/>
    </row>
    <row r="181" spans="1:35" x14ac:dyDescent="0.2">
      <c r="A181" s="167" t="s">
        <v>195</v>
      </c>
      <c r="B181" s="162">
        <v>12</v>
      </c>
      <c r="C181" s="162">
        <f t="shared" si="4"/>
        <v>2281.25</v>
      </c>
      <c r="D181" s="162" t="s">
        <v>162</v>
      </c>
      <c r="E181" s="168">
        <v>325829702.074</v>
      </c>
      <c r="F181" s="168">
        <v>325829.70207400003</v>
      </c>
      <c r="G181" s="168">
        <v>325.82970207400001</v>
      </c>
      <c r="H181" s="168">
        <v>0.32582970207400003</v>
      </c>
      <c r="I181" s="164" t="e">
        <f>H181*$O$9/0.1*INDEX(Country_details!$N$9:N331,MATCH(Solar_data!A181,Country_details!$A$9:$A$154,0))</f>
        <v>#N/A</v>
      </c>
      <c r="J181" s="164">
        <f t="shared" si="5"/>
        <v>2281.25</v>
      </c>
      <c r="K181" s="164"/>
      <c r="L181" s="164"/>
      <c r="M181" s="164"/>
      <c r="N181" s="164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6"/>
      <c r="Z181" s="166"/>
      <c r="AA181" s="166"/>
      <c r="AB181" s="166"/>
      <c r="AC181" s="166"/>
      <c r="AD181" s="166"/>
      <c r="AE181" s="166"/>
      <c r="AF181" s="166"/>
      <c r="AG181" s="166"/>
      <c r="AH181" s="166"/>
      <c r="AI181" s="166"/>
    </row>
    <row r="182" spans="1:35" x14ac:dyDescent="0.2">
      <c r="A182" s="167" t="s">
        <v>196</v>
      </c>
      <c r="B182" s="162">
        <v>11</v>
      </c>
      <c r="C182" s="162">
        <f t="shared" si="4"/>
        <v>2098.75</v>
      </c>
      <c r="D182" s="162" t="s">
        <v>161</v>
      </c>
      <c r="E182" s="168">
        <v>31742128.174800001</v>
      </c>
      <c r="F182" s="168">
        <v>31742.1281748</v>
      </c>
      <c r="G182" s="168">
        <v>31.742128174800001</v>
      </c>
      <c r="H182" s="168">
        <v>3.1742128174800002E-2</v>
      </c>
      <c r="I182" s="164" t="e">
        <f>H182*$O$9/0.1*INDEX(Country_details!$N$9:N332,MATCH(Solar_data!A182,Country_details!$A$9:$A$154,0))</f>
        <v>#N/A</v>
      </c>
      <c r="J182" s="164">
        <f t="shared" si="5"/>
        <v>2098.75</v>
      </c>
      <c r="K182" s="164"/>
      <c r="L182" s="164"/>
      <c r="M182" s="164"/>
      <c r="N182" s="164"/>
      <c r="O182" s="166"/>
      <c r="P182" s="166"/>
      <c r="Q182" s="166"/>
      <c r="R182" s="166"/>
      <c r="S182" s="166"/>
      <c r="T182" s="166"/>
      <c r="U182" s="166"/>
      <c r="V182" s="166"/>
      <c r="W182" s="166"/>
      <c r="X182" s="166"/>
      <c r="Y182" s="166"/>
      <c r="Z182" s="166"/>
      <c r="AA182" s="166"/>
      <c r="AB182" s="166"/>
      <c r="AC182" s="166"/>
      <c r="AD182" s="166"/>
      <c r="AE182" s="166"/>
      <c r="AF182" s="166"/>
      <c r="AG182" s="166"/>
      <c r="AH182" s="166"/>
      <c r="AI182" s="166"/>
    </row>
    <row r="183" spans="1:35" x14ac:dyDescent="0.2">
      <c r="A183" s="167" t="s">
        <v>22</v>
      </c>
      <c r="B183" s="162">
        <v>7</v>
      </c>
      <c r="C183" s="162">
        <f t="shared" si="4"/>
        <v>1368.75</v>
      </c>
      <c r="D183" s="162" t="s">
        <v>174</v>
      </c>
      <c r="E183" s="168">
        <v>116556684255.158</v>
      </c>
      <c r="F183" s="168">
        <v>116556684.25515801</v>
      </c>
      <c r="G183" s="168">
        <v>116556.684255158</v>
      </c>
      <c r="H183" s="168">
        <v>116.556684255158</v>
      </c>
      <c r="I183" s="164">
        <f>H183*$O$9/0.1*INDEX(Country_details!$N$9:N333,MATCH(Solar_data!A183,Country_details!$A$9:$A$154,0))</f>
        <v>279.73604221237917</v>
      </c>
      <c r="J183" s="164">
        <f t="shared" si="5"/>
        <v>1368.75</v>
      </c>
      <c r="K183" s="164"/>
      <c r="L183" s="164"/>
      <c r="M183" s="164"/>
      <c r="N183" s="164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6"/>
      <c r="Z183" s="166"/>
      <c r="AA183" s="166"/>
      <c r="AB183" s="166"/>
      <c r="AC183" s="166"/>
      <c r="AD183" s="166"/>
      <c r="AE183" s="166"/>
      <c r="AF183" s="166"/>
      <c r="AG183" s="166"/>
      <c r="AH183" s="166"/>
      <c r="AI183" s="166"/>
    </row>
    <row r="184" spans="1:35" x14ac:dyDescent="0.2">
      <c r="A184" s="167" t="s">
        <v>22</v>
      </c>
      <c r="B184" s="162">
        <v>8</v>
      </c>
      <c r="C184" s="162">
        <f t="shared" si="4"/>
        <v>1551.25</v>
      </c>
      <c r="D184" s="162" t="s">
        <v>164</v>
      </c>
      <c r="E184" s="168">
        <v>1089453686639.2783</v>
      </c>
      <c r="F184" s="168">
        <v>1089453686.6392784</v>
      </c>
      <c r="G184" s="168">
        <v>1089453.6866392784</v>
      </c>
      <c r="H184" s="168">
        <v>1089.4536866392784</v>
      </c>
      <c r="I184" s="164">
        <f>H184*$O$9/0.1*INDEX(Country_details!$N$9:N334,MATCH(Solar_data!A184,Country_details!$A$9:$A$154,0))</f>
        <v>2614.6888479342683</v>
      </c>
      <c r="J184" s="164">
        <f t="shared" si="5"/>
        <v>1551.25</v>
      </c>
      <c r="K184" s="164"/>
      <c r="L184" s="164"/>
      <c r="M184" s="164"/>
      <c r="N184" s="164"/>
      <c r="O184" s="166"/>
      <c r="P184" s="166"/>
      <c r="Q184" s="166"/>
      <c r="R184" s="166"/>
      <c r="S184" s="166"/>
      <c r="T184" s="166"/>
      <c r="U184" s="166"/>
      <c r="V184" s="166"/>
      <c r="W184" s="166"/>
      <c r="X184" s="166"/>
      <c r="Y184" s="166"/>
      <c r="Z184" s="166"/>
      <c r="AA184" s="166"/>
      <c r="AB184" s="166"/>
      <c r="AC184" s="166"/>
      <c r="AD184" s="166"/>
      <c r="AE184" s="166"/>
      <c r="AF184" s="166"/>
      <c r="AG184" s="166"/>
      <c r="AH184" s="166"/>
      <c r="AI184" s="166"/>
    </row>
    <row r="185" spans="1:35" x14ac:dyDescent="0.2">
      <c r="A185" s="167" t="s">
        <v>22</v>
      </c>
      <c r="B185" s="162">
        <v>9</v>
      </c>
      <c r="C185" s="162">
        <f t="shared" si="4"/>
        <v>1733.75</v>
      </c>
      <c r="D185" s="162" t="s">
        <v>157</v>
      </c>
      <c r="E185" s="168">
        <v>1173446395458.3357</v>
      </c>
      <c r="F185" s="168">
        <v>1173446395.4583356</v>
      </c>
      <c r="G185" s="168">
        <v>1173446.3954583358</v>
      </c>
      <c r="H185" s="168">
        <v>1173.4463954583357</v>
      </c>
      <c r="I185" s="164">
        <f>H185*$O$9/0.1*INDEX(Country_details!$N$9:N335,MATCH(Solar_data!A185,Country_details!$A$9:$A$154,0))</f>
        <v>2816.2713491000054</v>
      </c>
      <c r="J185" s="164">
        <f t="shared" si="5"/>
        <v>1733.75</v>
      </c>
      <c r="K185" s="164"/>
      <c r="L185" s="164"/>
      <c r="M185" s="164"/>
      <c r="N185" s="164"/>
      <c r="O185" s="166"/>
      <c r="P185" s="166"/>
      <c r="Q185" s="166"/>
      <c r="R185" s="166"/>
      <c r="S185" s="166"/>
      <c r="T185" s="166"/>
      <c r="U185" s="166"/>
      <c r="V185" s="166"/>
      <c r="W185" s="166"/>
      <c r="X185" s="166"/>
      <c r="Y185" s="166"/>
      <c r="Z185" s="166"/>
      <c r="AA185" s="166"/>
      <c r="AB185" s="166"/>
      <c r="AC185" s="166"/>
      <c r="AD185" s="166"/>
      <c r="AE185" s="166"/>
      <c r="AF185" s="166"/>
      <c r="AG185" s="166"/>
      <c r="AH185" s="166"/>
      <c r="AI185" s="166"/>
    </row>
    <row r="186" spans="1:35" x14ac:dyDescent="0.2">
      <c r="A186" s="167" t="s">
        <v>22</v>
      </c>
      <c r="B186" s="162">
        <v>10</v>
      </c>
      <c r="C186" s="162">
        <f t="shared" si="4"/>
        <v>1916.25</v>
      </c>
      <c r="D186" s="162" t="s">
        <v>159</v>
      </c>
      <c r="E186" s="168">
        <v>396606306599.58301</v>
      </c>
      <c r="F186" s="168">
        <v>396606306.59958303</v>
      </c>
      <c r="G186" s="168">
        <v>396606.30659958301</v>
      </c>
      <c r="H186" s="168">
        <v>396.60630659958304</v>
      </c>
      <c r="I186" s="164">
        <f>H186*$O$9/0.1*INDEX(Country_details!$N$9:N336,MATCH(Solar_data!A186,Country_details!$A$9:$A$154,0))</f>
        <v>951.85513583899922</v>
      </c>
      <c r="J186" s="164">
        <f t="shared" si="5"/>
        <v>1916.25</v>
      </c>
      <c r="K186" s="164"/>
      <c r="L186" s="164"/>
      <c r="M186" s="164"/>
      <c r="N186" s="164"/>
      <c r="O186" s="166"/>
      <c r="P186" s="166"/>
      <c r="Q186" s="166"/>
      <c r="R186" s="166"/>
      <c r="S186" s="166"/>
      <c r="T186" s="166"/>
      <c r="U186" s="166"/>
      <c r="V186" s="166"/>
      <c r="W186" s="166"/>
      <c r="X186" s="166"/>
      <c r="Y186" s="166"/>
      <c r="Z186" s="166"/>
      <c r="AA186" s="166"/>
      <c r="AB186" s="166"/>
      <c r="AC186" s="166"/>
      <c r="AD186" s="166"/>
      <c r="AE186" s="166"/>
      <c r="AF186" s="166"/>
      <c r="AG186" s="166"/>
      <c r="AH186" s="166"/>
      <c r="AI186" s="166"/>
    </row>
    <row r="187" spans="1:35" x14ac:dyDescent="0.2">
      <c r="A187" s="167" t="s">
        <v>22</v>
      </c>
      <c r="B187" s="162">
        <v>11</v>
      </c>
      <c r="C187" s="162">
        <f t="shared" si="4"/>
        <v>2098.75</v>
      </c>
      <c r="D187" s="162" t="s">
        <v>161</v>
      </c>
      <c r="E187" s="168">
        <v>79439311877.910004</v>
      </c>
      <c r="F187" s="168">
        <v>79439311.877910003</v>
      </c>
      <c r="G187" s="168">
        <v>79439.311877910004</v>
      </c>
      <c r="H187" s="168">
        <v>79.439311877910001</v>
      </c>
      <c r="I187" s="164">
        <f>H187*$O$9/0.1*INDEX(Country_details!$N$9:N337,MATCH(Solar_data!A187,Country_details!$A$9:$A$154,0))</f>
        <v>190.65434850698401</v>
      </c>
      <c r="J187" s="164">
        <f t="shared" si="5"/>
        <v>2098.75</v>
      </c>
      <c r="K187" s="164"/>
      <c r="L187" s="164"/>
      <c r="M187" s="164"/>
      <c r="N187" s="164"/>
      <c r="O187" s="166"/>
      <c r="P187" s="166"/>
      <c r="Q187" s="166"/>
      <c r="R187" s="166"/>
      <c r="S187" s="166"/>
      <c r="T187" s="166"/>
      <c r="U187" s="166"/>
      <c r="V187" s="166"/>
      <c r="W187" s="166"/>
      <c r="X187" s="166"/>
      <c r="Y187" s="166"/>
      <c r="Z187" s="166"/>
      <c r="AA187" s="166"/>
      <c r="AB187" s="166"/>
      <c r="AC187" s="166"/>
      <c r="AD187" s="166"/>
      <c r="AE187" s="166"/>
      <c r="AF187" s="166"/>
      <c r="AG187" s="166"/>
      <c r="AH187" s="166"/>
      <c r="AI187" s="166"/>
    </row>
    <row r="188" spans="1:35" x14ac:dyDescent="0.2">
      <c r="A188" s="167" t="s">
        <v>22</v>
      </c>
      <c r="B188" s="162">
        <v>12</v>
      </c>
      <c r="C188" s="162">
        <f t="shared" si="4"/>
        <v>2281.25</v>
      </c>
      <c r="D188" s="162" t="s">
        <v>162</v>
      </c>
      <c r="E188" s="168">
        <v>19060882800.538601</v>
      </c>
      <c r="F188" s="168">
        <v>19060882.800538599</v>
      </c>
      <c r="G188" s="168">
        <v>19060.882800538599</v>
      </c>
      <c r="H188" s="168">
        <v>19.0608828005386</v>
      </c>
      <c r="I188" s="164">
        <f>H188*$O$9/0.1*INDEX(Country_details!$N$9:N338,MATCH(Solar_data!A188,Country_details!$A$9:$A$154,0))</f>
        <v>45.746118721292639</v>
      </c>
      <c r="J188" s="164">
        <f t="shared" si="5"/>
        <v>2281.25</v>
      </c>
      <c r="K188" s="164"/>
      <c r="L188" s="164"/>
      <c r="M188" s="164"/>
      <c r="N188" s="164"/>
      <c r="O188" s="166"/>
      <c r="P188" s="166"/>
      <c r="Q188" s="166"/>
      <c r="R188" s="166"/>
      <c r="S188" s="166"/>
      <c r="T188" s="166"/>
      <c r="U188" s="166"/>
      <c r="V188" s="166"/>
      <c r="W188" s="166"/>
      <c r="X188" s="166"/>
      <c r="Y188" s="166"/>
      <c r="Z188" s="166"/>
      <c r="AA188" s="166"/>
      <c r="AB188" s="166"/>
      <c r="AC188" s="166"/>
      <c r="AD188" s="166"/>
      <c r="AE188" s="166"/>
      <c r="AF188" s="166"/>
      <c r="AG188" s="166"/>
      <c r="AH188" s="166"/>
      <c r="AI188" s="166"/>
    </row>
    <row r="189" spans="1:35" x14ac:dyDescent="0.2">
      <c r="A189" s="167" t="s">
        <v>22</v>
      </c>
      <c r="B189" s="162">
        <v>13</v>
      </c>
      <c r="C189" s="162">
        <f t="shared" si="4"/>
        <v>2463.75</v>
      </c>
      <c r="D189" s="162" t="s">
        <v>163</v>
      </c>
      <c r="E189" s="168">
        <v>14376419957.469999</v>
      </c>
      <c r="F189" s="168">
        <v>14376419.95747</v>
      </c>
      <c r="G189" s="168">
        <v>14376.41995747</v>
      </c>
      <c r="H189" s="168">
        <v>14.37641995747</v>
      </c>
      <c r="I189" s="164">
        <f>H189*$O$9/0.1*INDEX(Country_details!$N$9:N339,MATCH(Solar_data!A189,Country_details!$A$9:$A$154,0))</f>
        <v>34.503407897928</v>
      </c>
      <c r="J189" s="164">
        <f t="shared" si="5"/>
        <v>2463.75</v>
      </c>
      <c r="K189" s="164"/>
      <c r="L189" s="164"/>
      <c r="M189" s="164"/>
      <c r="N189" s="164"/>
      <c r="O189" s="166"/>
      <c r="P189" s="166"/>
      <c r="Q189" s="166"/>
      <c r="R189" s="166"/>
      <c r="S189" s="166"/>
      <c r="T189" s="166"/>
      <c r="U189" s="166"/>
      <c r="V189" s="166"/>
      <c r="W189" s="166"/>
      <c r="X189" s="166"/>
      <c r="Y189" s="166"/>
      <c r="Z189" s="166"/>
      <c r="AA189" s="166"/>
      <c r="AB189" s="166"/>
      <c r="AC189" s="166"/>
      <c r="AD189" s="166"/>
      <c r="AE189" s="166"/>
      <c r="AF189" s="166"/>
      <c r="AG189" s="166"/>
      <c r="AH189" s="166"/>
      <c r="AI189" s="166"/>
    </row>
    <row r="190" spans="1:35" x14ac:dyDescent="0.2">
      <c r="A190" s="167" t="s">
        <v>197</v>
      </c>
      <c r="B190" s="162">
        <v>10</v>
      </c>
      <c r="C190" s="162">
        <f t="shared" si="4"/>
        <v>1916.25</v>
      </c>
      <c r="D190" s="162" t="s">
        <v>159</v>
      </c>
      <c r="E190" s="168">
        <v>1700023456.072</v>
      </c>
      <c r="F190" s="168">
        <v>1700023.4560720001</v>
      </c>
      <c r="G190" s="168">
        <v>1700.023456072</v>
      </c>
      <c r="H190" s="168">
        <v>1.700023456072</v>
      </c>
      <c r="I190" s="164" t="e">
        <f>H190*$O$9/0.1*INDEX(Country_details!$N$9:N340,MATCH(Solar_data!A190,Country_details!$A$9:$A$154,0))</f>
        <v>#N/A</v>
      </c>
      <c r="J190" s="164">
        <f t="shared" si="5"/>
        <v>1916.25</v>
      </c>
      <c r="K190" s="164"/>
      <c r="L190" s="164"/>
      <c r="M190" s="164"/>
      <c r="N190" s="164"/>
      <c r="O190" s="166"/>
      <c r="P190" s="166"/>
      <c r="Q190" s="166"/>
      <c r="R190" s="166"/>
      <c r="S190" s="166"/>
      <c r="T190" s="166"/>
      <c r="U190" s="166"/>
      <c r="V190" s="166"/>
      <c r="W190" s="166"/>
      <c r="X190" s="166"/>
      <c r="Y190" s="166"/>
      <c r="Z190" s="166"/>
      <c r="AA190" s="166"/>
      <c r="AB190" s="166"/>
      <c r="AC190" s="166"/>
      <c r="AD190" s="166"/>
      <c r="AE190" s="166"/>
      <c r="AF190" s="166"/>
      <c r="AG190" s="166"/>
      <c r="AH190" s="166"/>
      <c r="AI190" s="166"/>
    </row>
    <row r="191" spans="1:35" x14ac:dyDescent="0.2">
      <c r="A191" s="167" t="s">
        <v>197</v>
      </c>
      <c r="B191" s="162">
        <v>11</v>
      </c>
      <c r="C191" s="162">
        <f t="shared" si="4"/>
        <v>2098.75</v>
      </c>
      <c r="D191" s="162" t="s">
        <v>161</v>
      </c>
      <c r="E191" s="168">
        <v>1648866344.6217</v>
      </c>
      <c r="F191" s="168">
        <v>1648866.3446217</v>
      </c>
      <c r="G191" s="168">
        <v>1648.8663446217001</v>
      </c>
      <c r="H191" s="168">
        <v>1.6488663446217002</v>
      </c>
      <c r="I191" s="164" t="e">
        <f>H191*$O$9/0.1*INDEX(Country_details!$N$9:N341,MATCH(Solar_data!A191,Country_details!$A$9:$A$154,0))</f>
        <v>#N/A</v>
      </c>
      <c r="J191" s="164">
        <f t="shared" si="5"/>
        <v>2098.75</v>
      </c>
      <c r="K191" s="164"/>
      <c r="L191" s="164"/>
      <c r="M191" s="164"/>
      <c r="N191" s="164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  <c r="AA191" s="166"/>
      <c r="AB191" s="166"/>
      <c r="AC191" s="166"/>
      <c r="AD191" s="166"/>
      <c r="AE191" s="166"/>
      <c r="AF191" s="166"/>
      <c r="AG191" s="166"/>
      <c r="AH191" s="166"/>
      <c r="AI191" s="166"/>
    </row>
    <row r="192" spans="1:35" x14ac:dyDescent="0.2">
      <c r="A192" s="167" t="s">
        <v>198</v>
      </c>
      <c r="B192" s="162">
        <v>7</v>
      </c>
      <c r="C192" s="162">
        <f t="shared" si="4"/>
        <v>1368.75</v>
      </c>
      <c r="D192" s="162" t="s">
        <v>174</v>
      </c>
      <c r="E192" s="168">
        <v>79999032.472900003</v>
      </c>
      <c r="F192" s="168">
        <v>79999.032472899999</v>
      </c>
      <c r="G192" s="168">
        <v>79.999032472899998</v>
      </c>
      <c r="H192" s="168">
        <v>7.9999032472899995E-2</v>
      </c>
      <c r="I192" s="164">
        <f>H192*$O$9/0.1*INDEX(Country_details!$N$9:N342,MATCH(Solar_data!A192,Country_details!$A$9:$A$154,0))</f>
        <v>0.21599738767682997</v>
      </c>
      <c r="J192" s="164">
        <f t="shared" si="5"/>
        <v>1368.75</v>
      </c>
      <c r="K192" s="164"/>
      <c r="L192" s="164"/>
      <c r="M192" s="164"/>
      <c r="N192" s="164"/>
      <c r="O192" s="166"/>
      <c r="P192" s="166"/>
      <c r="Q192" s="166"/>
      <c r="R192" s="166"/>
      <c r="S192" s="166"/>
      <c r="T192" s="166"/>
      <c r="U192" s="166"/>
      <c r="V192" s="166"/>
      <c r="W192" s="166"/>
      <c r="X192" s="166"/>
      <c r="Y192" s="166"/>
      <c r="Z192" s="166"/>
      <c r="AA192" s="166"/>
      <c r="AB192" s="166"/>
      <c r="AC192" s="166"/>
      <c r="AD192" s="166"/>
      <c r="AE192" s="166"/>
      <c r="AF192" s="166"/>
      <c r="AG192" s="166"/>
      <c r="AH192" s="166"/>
      <c r="AI192" s="166"/>
    </row>
    <row r="193" spans="1:35" x14ac:dyDescent="0.2">
      <c r="A193" s="167" t="s">
        <v>198</v>
      </c>
      <c r="B193" s="162">
        <v>8</v>
      </c>
      <c r="C193" s="162">
        <f t="shared" si="4"/>
        <v>1551.25</v>
      </c>
      <c r="D193" s="162" t="s">
        <v>164</v>
      </c>
      <c r="E193" s="168">
        <v>205855321025.31339</v>
      </c>
      <c r="F193" s="168">
        <v>205855321.02531338</v>
      </c>
      <c r="G193" s="168">
        <v>205855.32102531337</v>
      </c>
      <c r="H193" s="168">
        <v>205.85532102531337</v>
      </c>
      <c r="I193" s="164">
        <f>H193*$O$9/0.1*INDEX(Country_details!$N$9:N343,MATCH(Solar_data!A193,Country_details!$A$9:$A$154,0))</f>
        <v>555.80936676834608</v>
      </c>
      <c r="J193" s="164">
        <f t="shared" si="5"/>
        <v>1551.25</v>
      </c>
      <c r="K193" s="164"/>
      <c r="L193" s="164"/>
      <c r="M193" s="164"/>
      <c r="N193" s="164"/>
      <c r="O193" s="166"/>
      <c r="P193" s="166"/>
      <c r="Q193" s="166"/>
      <c r="R193" s="166"/>
      <c r="S193" s="166"/>
      <c r="T193" s="166"/>
      <c r="U193" s="166"/>
      <c r="V193" s="166"/>
      <c r="W193" s="166"/>
      <c r="X193" s="166"/>
      <c r="Y193" s="166"/>
      <c r="Z193" s="166"/>
      <c r="AA193" s="166"/>
      <c r="AB193" s="166"/>
      <c r="AC193" s="166"/>
      <c r="AD193" s="166"/>
      <c r="AE193" s="166"/>
      <c r="AF193" s="166"/>
      <c r="AG193" s="166"/>
      <c r="AH193" s="166"/>
      <c r="AI193" s="166"/>
    </row>
    <row r="194" spans="1:35" x14ac:dyDescent="0.2">
      <c r="A194" s="167" t="s">
        <v>198</v>
      </c>
      <c r="B194" s="162">
        <v>8</v>
      </c>
      <c r="C194" s="162">
        <f t="shared" si="4"/>
        <v>1551.25</v>
      </c>
      <c r="D194" s="162" t="s">
        <v>164</v>
      </c>
      <c r="E194" s="168">
        <v>92191506583.377502</v>
      </c>
      <c r="F194" s="168">
        <v>92191506.58337751</v>
      </c>
      <c r="G194" s="168">
        <v>92191.506583377515</v>
      </c>
      <c r="H194" s="168">
        <v>92.191506583377517</v>
      </c>
      <c r="I194" s="164">
        <f>H194*$O$9/0.1*INDEX(Country_details!$N$9:N344,MATCH(Solar_data!A194,Country_details!$A$9:$A$154,0))</f>
        <v>248.91706777511928</v>
      </c>
      <c r="J194" s="164">
        <f t="shared" si="5"/>
        <v>1551.25</v>
      </c>
      <c r="K194" s="164"/>
      <c r="L194" s="164"/>
      <c r="M194" s="164"/>
      <c r="N194" s="164"/>
      <c r="O194" s="166"/>
      <c r="P194" s="166"/>
      <c r="Q194" s="166"/>
      <c r="R194" s="166"/>
      <c r="S194" s="166"/>
      <c r="T194" s="166"/>
      <c r="U194" s="166"/>
      <c r="V194" s="166"/>
      <c r="W194" s="166"/>
      <c r="X194" s="166"/>
      <c r="Y194" s="166"/>
      <c r="Z194" s="166"/>
      <c r="AA194" s="166"/>
      <c r="AB194" s="166"/>
      <c r="AC194" s="166"/>
      <c r="AD194" s="166"/>
      <c r="AE194" s="166"/>
      <c r="AF194" s="166"/>
      <c r="AG194" s="166"/>
      <c r="AH194" s="166"/>
      <c r="AI194" s="166"/>
    </row>
    <row r="195" spans="1:35" x14ac:dyDescent="0.2">
      <c r="A195" s="167" t="s">
        <v>198</v>
      </c>
      <c r="B195" s="162">
        <v>9</v>
      </c>
      <c r="C195" s="162">
        <f t="shared" si="4"/>
        <v>1733.75</v>
      </c>
      <c r="D195" s="162" t="s">
        <v>157</v>
      </c>
      <c r="E195" s="168">
        <v>669444525802.06946</v>
      </c>
      <c r="F195" s="168">
        <v>669444525.80206943</v>
      </c>
      <c r="G195" s="168">
        <v>669444.52580206946</v>
      </c>
      <c r="H195" s="168">
        <v>669.44452580206951</v>
      </c>
      <c r="I195" s="164">
        <f>H195*$O$9/0.1*INDEX(Country_details!$N$9:N345,MATCH(Solar_data!A195,Country_details!$A$9:$A$154,0))</f>
        <v>1807.5002196655876</v>
      </c>
      <c r="J195" s="164">
        <f t="shared" si="5"/>
        <v>1733.75</v>
      </c>
      <c r="K195" s="164"/>
      <c r="L195" s="164"/>
      <c r="M195" s="164"/>
      <c r="N195" s="164"/>
      <c r="O195" s="166"/>
      <c r="P195" s="166"/>
      <c r="Q195" s="166"/>
      <c r="R195" s="166"/>
      <c r="S195" s="166"/>
      <c r="T195" s="166"/>
      <c r="U195" s="166"/>
      <c r="V195" s="166"/>
      <c r="W195" s="166"/>
      <c r="X195" s="166"/>
      <c r="Y195" s="166"/>
      <c r="Z195" s="166"/>
      <c r="AA195" s="166"/>
      <c r="AB195" s="166"/>
      <c r="AC195" s="166"/>
      <c r="AD195" s="166"/>
      <c r="AE195" s="166"/>
      <c r="AF195" s="166"/>
      <c r="AG195" s="166"/>
      <c r="AH195" s="166"/>
      <c r="AI195" s="166"/>
    </row>
    <row r="196" spans="1:35" x14ac:dyDescent="0.2">
      <c r="A196" s="167" t="s">
        <v>198</v>
      </c>
      <c r="B196" s="162">
        <v>9</v>
      </c>
      <c r="C196" s="162">
        <f t="shared" si="4"/>
        <v>1733.75</v>
      </c>
      <c r="D196" s="162" t="s">
        <v>157</v>
      </c>
      <c r="E196" s="168">
        <v>3572825986624.3281</v>
      </c>
      <c r="F196" s="168">
        <v>3572825986.6243281</v>
      </c>
      <c r="G196" s="168">
        <v>3572825.9866243284</v>
      </c>
      <c r="H196" s="168">
        <v>3572.8259866243284</v>
      </c>
      <c r="I196" s="164">
        <f>H196*$O$9/0.1*INDEX(Country_details!$N$9:N346,MATCH(Solar_data!A196,Country_details!$A$9:$A$154,0))</f>
        <v>9646.6301638856858</v>
      </c>
      <c r="J196" s="164">
        <f t="shared" si="5"/>
        <v>1733.75</v>
      </c>
      <c r="K196" s="164"/>
      <c r="L196" s="164"/>
      <c r="M196" s="164"/>
      <c r="N196" s="164"/>
      <c r="O196" s="166"/>
      <c r="P196" s="166"/>
      <c r="Q196" s="166"/>
      <c r="R196" s="166"/>
      <c r="S196" s="166"/>
      <c r="T196" s="166"/>
      <c r="U196" s="166"/>
      <c r="V196" s="166"/>
      <c r="W196" s="166"/>
      <c r="X196" s="166"/>
      <c r="Y196" s="166"/>
      <c r="Z196" s="166"/>
      <c r="AA196" s="166"/>
      <c r="AB196" s="166"/>
      <c r="AC196" s="166"/>
      <c r="AD196" s="166"/>
      <c r="AE196" s="166"/>
      <c r="AF196" s="166"/>
      <c r="AG196" s="166"/>
      <c r="AH196" s="166"/>
      <c r="AI196" s="166"/>
    </row>
    <row r="197" spans="1:35" x14ac:dyDescent="0.2">
      <c r="A197" s="167" t="s">
        <v>198</v>
      </c>
      <c r="B197" s="162">
        <v>10</v>
      </c>
      <c r="C197" s="162">
        <f t="shared" ref="C197:C260" si="6">(0.5*B197+0.25)*365</f>
        <v>1916.25</v>
      </c>
      <c r="D197" s="162" t="s">
        <v>159</v>
      </c>
      <c r="E197" s="168">
        <v>2049057913544.9871</v>
      </c>
      <c r="F197" s="168">
        <v>2049057913.5449872</v>
      </c>
      <c r="G197" s="168">
        <v>2049057.9135449873</v>
      </c>
      <c r="H197" s="168">
        <v>2049.0579135449875</v>
      </c>
      <c r="I197" s="164">
        <f>H197*$O$9/0.1*INDEX(Country_details!$N$9:N347,MATCH(Solar_data!A197,Country_details!$A$9:$A$154,0))</f>
        <v>5532.4563665714659</v>
      </c>
      <c r="J197" s="164">
        <f t="shared" si="5"/>
        <v>1916.25</v>
      </c>
      <c r="K197" s="164"/>
      <c r="L197" s="164"/>
      <c r="M197" s="164"/>
      <c r="N197" s="164"/>
      <c r="O197" s="166"/>
      <c r="P197" s="166"/>
      <c r="Q197" s="166"/>
      <c r="R197" s="166"/>
      <c r="S197" s="166"/>
      <c r="T197" s="166"/>
      <c r="U197" s="166"/>
      <c r="V197" s="166"/>
      <c r="W197" s="166"/>
      <c r="X197" s="166"/>
      <c r="Y197" s="166"/>
      <c r="Z197" s="166"/>
      <c r="AA197" s="166"/>
      <c r="AB197" s="166"/>
      <c r="AC197" s="166"/>
      <c r="AD197" s="166"/>
      <c r="AE197" s="166"/>
      <c r="AF197" s="166"/>
      <c r="AG197" s="166"/>
      <c r="AH197" s="166"/>
      <c r="AI197" s="166"/>
    </row>
    <row r="198" spans="1:35" x14ac:dyDescent="0.2">
      <c r="A198" s="167" t="s">
        <v>198</v>
      </c>
      <c r="B198" s="162">
        <v>11</v>
      </c>
      <c r="C198" s="162">
        <f t="shared" si="6"/>
        <v>2098.75</v>
      </c>
      <c r="D198" s="162" t="s">
        <v>161</v>
      </c>
      <c r="E198" s="168">
        <v>655984866089.46155</v>
      </c>
      <c r="F198" s="168">
        <v>655984866.08946157</v>
      </c>
      <c r="G198" s="168">
        <v>655984.8660894616</v>
      </c>
      <c r="H198" s="168">
        <v>655.98486608946166</v>
      </c>
      <c r="I198" s="164">
        <f>H198*$O$9/0.1*INDEX(Country_details!$N$9:N348,MATCH(Solar_data!A198,Country_details!$A$9:$A$154,0))</f>
        <v>1771.1591384415462</v>
      </c>
      <c r="J198" s="164">
        <f t="shared" si="5"/>
        <v>2098.75</v>
      </c>
      <c r="K198" s="164"/>
      <c r="L198" s="164"/>
      <c r="M198" s="164"/>
      <c r="N198" s="164"/>
      <c r="O198" s="166"/>
      <c r="P198" s="166"/>
      <c r="Q198" s="166"/>
      <c r="R198" s="166"/>
      <c r="S198" s="166"/>
      <c r="T198" s="166"/>
      <c r="U198" s="166"/>
      <c r="V198" s="166"/>
      <c r="W198" s="166"/>
      <c r="X198" s="166"/>
      <c r="Y198" s="166"/>
      <c r="Z198" s="166"/>
      <c r="AA198" s="166"/>
      <c r="AB198" s="166"/>
      <c r="AC198" s="166"/>
      <c r="AD198" s="166"/>
      <c r="AE198" s="166"/>
      <c r="AF198" s="166"/>
      <c r="AG198" s="166"/>
      <c r="AH198" s="166"/>
      <c r="AI198" s="166"/>
    </row>
    <row r="199" spans="1:35" x14ac:dyDescent="0.2">
      <c r="A199" s="167" t="s">
        <v>199</v>
      </c>
      <c r="B199" s="162">
        <v>10</v>
      </c>
      <c r="C199" s="162">
        <f t="shared" si="6"/>
        <v>1916.25</v>
      </c>
      <c r="D199" s="162" t="s">
        <v>159</v>
      </c>
      <c r="E199" s="168">
        <v>163363805.15700001</v>
      </c>
      <c r="F199" s="168">
        <v>163363.805157</v>
      </c>
      <c r="G199" s="168">
        <v>163.363805157</v>
      </c>
      <c r="H199" s="168">
        <v>0.163363805157</v>
      </c>
      <c r="I199" s="164" t="e">
        <f>H199*$O$9/0.1*INDEX(Country_details!$N$9:N349,MATCH(Solar_data!A199,Country_details!$A$9:$A$154,0))</f>
        <v>#N/A</v>
      </c>
      <c r="J199" s="164">
        <f t="shared" si="5"/>
        <v>1916.25</v>
      </c>
      <c r="K199" s="164"/>
      <c r="L199" s="164"/>
      <c r="M199" s="164"/>
      <c r="N199" s="164"/>
      <c r="O199" s="166"/>
      <c r="P199" s="166"/>
      <c r="Q199" s="166"/>
      <c r="R199" s="166"/>
      <c r="S199" s="166"/>
      <c r="T199" s="166"/>
      <c r="U199" s="166"/>
      <c r="V199" s="166"/>
      <c r="W199" s="166"/>
      <c r="X199" s="166"/>
      <c r="Y199" s="166"/>
      <c r="Z199" s="166"/>
      <c r="AA199" s="166"/>
      <c r="AB199" s="166"/>
      <c r="AC199" s="166"/>
      <c r="AD199" s="166"/>
      <c r="AE199" s="166"/>
      <c r="AF199" s="166"/>
      <c r="AG199" s="166"/>
      <c r="AH199" s="166"/>
      <c r="AI199" s="166"/>
    </row>
    <row r="200" spans="1:35" x14ac:dyDescent="0.2">
      <c r="A200" s="167" t="s">
        <v>23</v>
      </c>
      <c r="B200" s="162">
        <v>8</v>
      </c>
      <c r="C200" s="162">
        <f t="shared" si="6"/>
        <v>1551.25</v>
      </c>
      <c r="D200" s="162" t="s">
        <v>164</v>
      </c>
      <c r="E200" s="168">
        <v>14984855787.6</v>
      </c>
      <c r="F200" s="168">
        <v>14984855.787600001</v>
      </c>
      <c r="G200" s="168">
        <v>14984.855787600001</v>
      </c>
      <c r="H200" s="168">
        <v>14.984855787600001</v>
      </c>
      <c r="I200" s="164">
        <f>H200*$O$9/0.1*INDEX(Country_details!$N$9:N350,MATCH(Solar_data!A200,Country_details!$A$9:$A$154,0))</f>
        <v>38.211382258379999</v>
      </c>
      <c r="J200" s="164">
        <f t="shared" si="5"/>
        <v>1551.25</v>
      </c>
      <c r="K200" s="164"/>
      <c r="L200" s="164"/>
      <c r="M200" s="164"/>
      <c r="N200" s="164"/>
      <c r="O200" s="166"/>
      <c r="P200" s="166"/>
      <c r="Q200" s="166"/>
      <c r="R200" s="166"/>
      <c r="S200" s="166"/>
      <c r="T200" s="166"/>
      <c r="U200" s="166"/>
      <c r="V200" s="166"/>
      <c r="W200" s="166"/>
      <c r="X200" s="166"/>
      <c r="Y200" s="166"/>
      <c r="Z200" s="166"/>
      <c r="AA200" s="166"/>
      <c r="AB200" s="166"/>
      <c r="AC200" s="166"/>
      <c r="AD200" s="166"/>
      <c r="AE200" s="166"/>
      <c r="AF200" s="166"/>
      <c r="AG200" s="166"/>
      <c r="AH200" s="166"/>
      <c r="AI200" s="166"/>
    </row>
    <row r="201" spans="1:35" x14ac:dyDescent="0.2">
      <c r="A201" s="167" t="s">
        <v>23</v>
      </c>
      <c r="B201" s="162">
        <v>9</v>
      </c>
      <c r="C201" s="162">
        <f t="shared" si="6"/>
        <v>1733.75</v>
      </c>
      <c r="D201" s="162" t="s">
        <v>157</v>
      </c>
      <c r="E201" s="168">
        <v>67629311983.125198</v>
      </c>
      <c r="F201" s="168">
        <v>67629311.983125195</v>
      </c>
      <c r="G201" s="168">
        <v>67629.311983125197</v>
      </c>
      <c r="H201" s="168">
        <v>67.629311983125191</v>
      </c>
      <c r="I201" s="164">
        <f>H201*$O$9/0.1*INDEX(Country_details!$N$9:N351,MATCH(Solar_data!A201,Country_details!$A$9:$A$154,0))</f>
        <v>172.45474555696919</v>
      </c>
      <c r="J201" s="164">
        <f t="shared" ref="J201:J264" si="7">(0.5*B201+0.25)*365</f>
        <v>1733.75</v>
      </c>
      <c r="K201" s="164"/>
      <c r="L201" s="164"/>
      <c r="M201" s="164"/>
      <c r="N201" s="164"/>
      <c r="O201" s="166"/>
      <c r="P201" s="166"/>
      <c r="Q201" s="166"/>
      <c r="R201" s="166"/>
      <c r="S201" s="166"/>
      <c r="T201" s="166"/>
      <c r="U201" s="166"/>
      <c r="V201" s="166"/>
      <c r="W201" s="166"/>
      <c r="X201" s="166"/>
      <c r="Y201" s="166"/>
      <c r="Z201" s="166"/>
      <c r="AA201" s="166"/>
      <c r="AB201" s="166"/>
      <c r="AC201" s="166"/>
      <c r="AD201" s="166"/>
      <c r="AE201" s="166"/>
      <c r="AF201" s="166"/>
      <c r="AG201" s="166"/>
      <c r="AH201" s="166"/>
      <c r="AI201" s="166"/>
    </row>
    <row r="202" spans="1:35" x14ac:dyDescent="0.2">
      <c r="A202" s="167" t="s">
        <v>23</v>
      </c>
      <c r="B202" s="162">
        <v>10</v>
      </c>
      <c r="C202" s="162">
        <f t="shared" si="6"/>
        <v>1916.25</v>
      </c>
      <c r="D202" s="162" t="s">
        <v>159</v>
      </c>
      <c r="E202" s="168">
        <v>14620496678.004</v>
      </c>
      <c r="F202" s="168">
        <v>14620496.678004</v>
      </c>
      <c r="G202" s="168">
        <v>14620.496678004001</v>
      </c>
      <c r="H202" s="168">
        <v>14.620496678004002</v>
      </c>
      <c r="I202" s="164">
        <f>H202*$O$9/0.1*INDEX(Country_details!$N$9:N352,MATCH(Solar_data!A202,Country_details!$A$9:$A$154,0))</f>
        <v>37.282266528910206</v>
      </c>
      <c r="J202" s="164">
        <f t="shared" si="7"/>
        <v>1916.25</v>
      </c>
      <c r="K202" s="164"/>
      <c r="L202" s="164"/>
      <c r="M202" s="164"/>
      <c r="N202" s="164"/>
      <c r="O202" s="166"/>
      <c r="P202" s="166"/>
      <c r="Q202" s="166"/>
      <c r="R202" s="166"/>
      <c r="S202" s="166"/>
      <c r="T202" s="166"/>
      <c r="U202" s="166"/>
      <c r="V202" s="166"/>
      <c r="W202" s="166"/>
      <c r="X202" s="166"/>
      <c r="Y202" s="166"/>
      <c r="Z202" s="166"/>
      <c r="AA202" s="166"/>
      <c r="AB202" s="166"/>
      <c r="AC202" s="166"/>
      <c r="AD202" s="166"/>
      <c r="AE202" s="166"/>
      <c r="AF202" s="166"/>
      <c r="AG202" s="166"/>
      <c r="AH202" s="166"/>
      <c r="AI202" s="166"/>
    </row>
    <row r="203" spans="1:35" x14ac:dyDescent="0.2">
      <c r="A203" s="167" t="s">
        <v>23</v>
      </c>
      <c r="B203" s="162">
        <v>11</v>
      </c>
      <c r="C203" s="162">
        <f t="shared" si="6"/>
        <v>2098.75</v>
      </c>
      <c r="D203" s="162" t="s">
        <v>161</v>
      </c>
      <c r="E203" s="168">
        <v>20795182760.5</v>
      </c>
      <c r="F203" s="168">
        <v>20795182.760499999</v>
      </c>
      <c r="G203" s="168">
        <v>20795.1827605</v>
      </c>
      <c r="H203" s="168">
        <v>20.795182760500001</v>
      </c>
      <c r="I203" s="164">
        <f>H203*$O$9/0.1*INDEX(Country_details!$N$9:N353,MATCH(Solar_data!A203,Country_details!$A$9:$A$154,0))</f>
        <v>53.027716039274992</v>
      </c>
      <c r="J203" s="164">
        <f t="shared" si="7"/>
        <v>2098.75</v>
      </c>
      <c r="K203" s="164"/>
      <c r="L203" s="164"/>
      <c r="M203" s="164"/>
      <c r="N203" s="164"/>
      <c r="O203" s="166"/>
      <c r="P203" s="166"/>
      <c r="Q203" s="166"/>
      <c r="R203" s="166"/>
      <c r="S203" s="166"/>
      <c r="T203" s="166"/>
      <c r="U203" s="166"/>
      <c r="V203" s="166"/>
      <c r="W203" s="166"/>
      <c r="X203" s="166"/>
      <c r="Y203" s="166"/>
      <c r="Z203" s="166"/>
      <c r="AA203" s="166"/>
      <c r="AB203" s="166"/>
      <c r="AC203" s="166"/>
      <c r="AD203" s="166"/>
      <c r="AE203" s="166"/>
      <c r="AF203" s="166"/>
      <c r="AG203" s="166"/>
      <c r="AH203" s="166"/>
      <c r="AI203" s="166"/>
    </row>
    <row r="204" spans="1:35" x14ac:dyDescent="0.2">
      <c r="A204" s="167" t="s">
        <v>23</v>
      </c>
      <c r="B204" s="162">
        <v>12</v>
      </c>
      <c r="C204" s="162">
        <f t="shared" si="6"/>
        <v>2281.25</v>
      </c>
      <c r="D204" s="162" t="s">
        <v>162</v>
      </c>
      <c r="E204" s="168">
        <v>26102512983.299999</v>
      </c>
      <c r="F204" s="168">
        <v>26102512.9833</v>
      </c>
      <c r="G204" s="168">
        <v>26102.512983299999</v>
      </c>
      <c r="H204" s="168">
        <v>26.102512983299999</v>
      </c>
      <c r="I204" s="164">
        <f>H204*$O$9/0.1*INDEX(Country_details!$N$9:N354,MATCH(Solar_data!A204,Country_details!$A$9:$A$154,0))</f>
        <v>66.561408107414991</v>
      </c>
      <c r="J204" s="164">
        <f t="shared" si="7"/>
        <v>2281.25</v>
      </c>
      <c r="K204" s="164"/>
      <c r="L204" s="164"/>
      <c r="M204" s="164"/>
      <c r="N204" s="164"/>
      <c r="O204" s="166"/>
      <c r="P204" s="166"/>
      <c r="Q204" s="166"/>
      <c r="R204" s="166"/>
      <c r="S204" s="166"/>
      <c r="T204" s="166"/>
      <c r="U204" s="166"/>
      <c r="V204" s="166"/>
      <c r="W204" s="166"/>
      <c r="X204" s="166"/>
      <c r="Y204" s="166"/>
      <c r="Z204" s="166"/>
      <c r="AA204" s="166"/>
      <c r="AB204" s="166"/>
      <c r="AC204" s="166"/>
      <c r="AD204" s="166"/>
      <c r="AE204" s="166"/>
      <c r="AF204" s="166"/>
      <c r="AG204" s="166"/>
      <c r="AH204" s="166"/>
      <c r="AI204" s="166"/>
    </row>
    <row r="205" spans="1:35" x14ac:dyDescent="0.2">
      <c r="A205" s="167" t="s">
        <v>24</v>
      </c>
      <c r="B205" s="162">
        <v>8</v>
      </c>
      <c r="C205" s="162">
        <f t="shared" si="6"/>
        <v>1551.25</v>
      </c>
      <c r="D205" s="162" t="s">
        <v>164</v>
      </c>
      <c r="E205" s="168">
        <v>9865327759.9190006</v>
      </c>
      <c r="F205" s="168">
        <v>9865327.7599190008</v>
      </c>
      <c r="G205" s="168">
        <v>9865.3277599190005</v>
      </c>
      <c r="H205" s="168">
        <v>9.8653277599190012</v>
      </c>
      <c r="I205" s="164">
        <f>H205*$O$9/0.1*INDEX(Country_details!$N$9:N355,MATCH(Solar_data!A205,Country_details!$A$9:$A$154,0))</f>
        <v>26.636384951781302</v>
      </c>
      <c r="J205" s="164">
        <f t="shared" si="7"/>
        <v>1551.25</v>
      </c>
      <c r="K205" s="164"/>
      <c r="L205" s="164"/>
      <c r="M205" s="164"/>
      <c r="N205" s="164"/>
      <c r="O205" s="166"/>
      <c r="P205" s="166"/>
      <c r="Q205" s="166"/>
      <c r="R205" s="166"/>
      <c r="S205" s="166"/>
      <c r="T205" s="166"/>
      <c r="U205" s="166"/>
      <c r="V205" s="166"/>
      <c r="W205" s="166"/>
      <c r="X205" s="166"/>
      <c r="Y205" s="166"/>
      <c r="Z205" s="166"/>
      <c r="AA205" s="166"/>
      <c r="AB205" s="166"/>
      <c r="AC205" s="166"/>
      <c r="AD205" s="166"/>
      <c r="AE205" s="166"/>
      <c r="AF205" s="166"/>
      <c r="AG205" s="166"/>
      <c r="AH205" s="166"/>
      <c r="AI205" s="166"/>
    </row>
    <row r="206" spans="1:35" x14ac:dyDescent="0.2">
      <c r="A206" s="167" t="s">
        <v>24</v>
      </c>
      <c r="B206" s="162">
        <v>9</v>
      </c>
      <c r="C206" s="162">
        <f t="shared" si="6"/>
        <v>1733.75</v>
      </c>
      <c r="D206" s="162" t="s">
        <v>157</v>
      </c>
      <c r="E206" s="168">
        <v>386462156336.67249</v>
      </c>
      <c r="F206" s="168">
        <v>386462156.33667248</v>
      </c>
      <c r="G206" s="168">
        <v>386462.15633667249</v>
      </c>
      <c r="H206" s="168">
        <v>386.46215633667248</v>
      </c>
      <c r="I206" s="164">
        <f>H206*$O$9/0.1*INDEX(Country_details!$N$9:N356,MATCH(Solar_data!A206,Country_details!$A$9:$A$154,0))</f>
        <v>1043.4478221090155</v>
      </c>
      <c r="J206" s="164">
        <f t="shared" si="7"/>
        <v>1733.75</v>
      </c>
      <c r="K206" s="164"/>
      <c r="L206" s="164"/>
      <c r="M206" s="164"/>
      <c r="N206" s="164"/>
      <c r="O206" s="166"/>
      <c r="P206" s="166"/>
      <c r="Q206" s="166"/>
      <c r="R206" s="166"/>
      <c r="S206" s="166"/>
      <c r="T206" s="166"/>
      <c r="U206" s="166"/>
      <c r="V206" s="166"/>
      <c r="W206" s="166"/>
      <c r="X206" s="166"/>
      <c r="Y206" s="166"/>
      <c r="Z206" s="166"/>
      <c r="AA206" s="166"/>
      <c r="AB206" s="166"/>
      <c r="AC206" s="166"/>
      <c r="AD206" s="166"/>
      <c r="AE206" s="166"/>
      <c r="AF206" s="166"/>
      <c r="AG206" s="166"/>
      <c r="AH206" s="166"/>
      <c r="AI206" s="166"/>
    </row>
    <row r="207" spans="1:35" x14ac:dyDescent="0.2">
      <c r="A207" s="167" t="s">
        <v>24</v>
      </c>
      <c r="B207" s="162">
        <v>10</v>
      </c>
      <c r="C207" s="162">
        <f t="shared" si="6"/>
        <v>1916.25</v>
      </c>
      <c r="D207" s="162" t="s">
        <v>159</v>
      </c>
      <c r="E207" s="168">
        <v>329092202647.36603</v>
      </c>
      <c r="F207" s="168">
        <v>329092202.64736605</v>
      </c>
      <c r="G207" s="168">
        <v>329092.20264736604</v>
      </c>
      <c r="H207" s="168">
        <v>329.09220264736604</v>
      </c>
      <c r="I207" s="164">
        <f>H207*$O$9/0.1*INDEX(Country_details!$N$9:N357,MATCH(Solar_data!A207,Country_details!$A$9:$A$154,0))</f>
        <v>888.54894714788827</v>
      </c>
      <c r="J207" s="164">
        <f t="shared" si="7"/>
        <v>1916.25</v>
      </c>
      <c r="K207" s="164"/>
      <c r="L207" s="164"/>
      <c r="M207" s="164"/>
      <c r="N207" s="164"/>
      <c r="O207" s="166"/>
      <c r="P207" s="166"/>
      <c r="Q207" s="166"/>
      <c r="R207" s="166"/>
      <c r="S207" s="166"/>
      <c r="T207" s="166"/>
      <c r="U207" s="166"/>
      <c r="V207" s="166"/>
      <c r="W207" s="166"/>
      <c r="X207" s="166"/>
      <c r="Y207" s="166"/>
      <c r="Z207" s="166"/>
      <c r="AA207" s="166"/>
      <c r="AB207" s="166"/>
      <c r="AC207" s="166"/>
      <c r="AD207" s="166"/>
      <c r="AE207" s="166"/>
      <c r="AF207" s="166"/>
      <c r="AG207" s="166"/>
      <c r="AH207" s="166"/>
      <c r="AI207" s="166"/>
    </row>
    <row r="208" spans="1:35" x14ac:dyDescent="0.2">
      <c r="A208" s="167" t="s">
        <v>24</v>
      </c>
      <c r="B208" s="162">
        <v>11</v>
      </c>
      <c r="C208" s="162">
        <f t="shared" si="6"/>
        <v>2098.75</v>
      </c>
      <c r="D208" s="162" t="s">
        <v>161</v>
      </c>
      <c r="E208" s="168">
        <v>170714946532.64331</v>
      </c>
      <c r="F208" s="168">
        <v>170714946.53264332</v>
      </c>
      <c r="G208" s="168">
        <v>170714.94653264331</v>
      </c>
      <c r="H208" s="168">
        <v>170.71494653264332</v>
      </c>
      <c r="I208" s="164">
        <f>H208*$O$9/0.1*INDEX(Country_details!$N$9:N358,MATCH(Solar_data!A208,Country_details!$A$9:$A$154,0))</f>
        <v>460.93035563813697</v>
      </c>
      <c r="J208" s="164">
        <f t="shared" si="7"/>
        <v>2098.75</v>
      </c>
      <c r="K208" s="164"/>
      <c r="L208" s="164"/>
      <c r="M208" s="164"/>
      <c r="N208" s="164"/>
      <c r="O208" s="166"/>
      <c r="P208" s="166"/>
      <c r="Q208" s="166"/>
      <c r="R208" s="166"/>
      <c r="S208" s="166"/>
      <c r="T208" s="166"/>
      <c r="U208" s="166"/>
      <c r="V208" s="166"/>
      <c r="W208" s="166"/>
      <c r="X208" s="166"/>
      <c r="Y208" s="166"/>
      <c r="Z208" s="166"/>
      <c r="AA208" s="166"/>
      <c r="AB208" s="166"/>
      <c r="AC208" s="166"/>
      <c r="AD208" s="166"/>
      <c r="AE208" s="166"/>
      <c r="AF208" s="166"/>
      <c r="AG208" s="166"/>
      <c r="AH208" s="166"/>
      <c r="AI208" s="166"/>
    </row>
    <row r="209" spans="1:35" x14ac:dyDescent="0.2">
      <c r="A209" s="167" t="s">
        <v>200</v>
      </c>
      <c r="B209" s="162">
        <v>7</v>
      </c>
      <c r="C209" s="162">
        <f t="shared" si="6"/>
        <v>1368.75</v>
      </c>
      <c r="D209" s="162" t="s">
        <v>174</v>
      </c>
      <c r="E209" s="168">
        <v>70770021639.936707</v>
      </c>
      <c r="F209" s="168">
        <v>70770021.639936715</v>
      </c>
      <c r="G209" s="168">
        <v>70770.02163993672</v>
      </c>
      <c r="H209" s="168">
        <v>70.770021639936715</v>
      </c>
      <c r="I209" s="164" t="e">
        <f>H209*$O$9/0.1*INDEX(Country_details!$N$9:N359,MATCH(Solar_data!A209,Country_details!$A$9:$A$154,0))</f>
        <v>#N/A</v>
      </c>
      <c r="J209" s="164">
        <f t="shared" si="7"/>
        <v>1368.75</v>
      </c>
      <c r="K209" s="164"/>
      <c r="L209" s="164"/>
      <c r="M209" s="164"/>
      <c r="N209" s="164"/>
      <c r="O209" s="166"/>
      <c r="P209" s="166"/>
      <c r="Q209" s="166"/>
      <c r="R209" s="166"/>
      <c r="S209" s="166"/>
      <c r="T209" s="166"/>
      <c r="U209" s="166"/>
      <c r="V209" s="166"/>
      <c r="W209" s="166"/>
      <c r="X209" s="166"/>
      <c r="Y209" s="166"/>
      <c r="Z209" s="166"/>
      <c r="AA209" s="166"/>
      <c r="AB209" s="166"/>
      <c r="AC209" s="166"/>
      <c r="AD209" s="166"/>
      <c r="AE209" s="166"/>
      <c r="AF209" s="166"/>
      <c r="AG209" s="166"/>
      <c r="AH209" s="166"/>
      <c r="AI209" s="166"/>
    </row>
    <row r="210" spans="1:35" x14ac:dyDescent="0.2">
      <c r="A210" s="167" t="s">
        <v>200</v>
      </c>
      <c r="B210" s="162">
        <v>8</v>
      </c>
      <c r="C210" s="162">
        <f t="shared" si="6"/>
        <v>1551.25</v>
      </c>
      <c r="D210" s="162" t="s">
        <v>164</v>
      </c>
      <c r="E210" s="168">
        <v>21974618601.327801</v>
      </c>
      <c r="F210" s="168">
        <v>21974618.601327803</v>
      </c>
      <c r="G210" s="168">
        <v>21974.618601327802</v>
      </c>
      <c r="H210" s="168">
        <v>21.974618601327801</v>
      </c>
      <c r="I210" s="164" t="e">
        <f>H210*$O$9/0.1*INDEX(Country_details!$N$9:N360,MATCH(Solar_data!A210,Country_details!$A$9:$A$154,0))</f>
        <v>#N/A</v>
      </c>
      <c r="J210" s="164">
        <f t="shared" si="7"/>
        <v>1551.25</v>
      </c>
      <c r="K210" s="164"/>
      <c r="L210" s="164"/>
      <c r="M210" s="164"/>
      <c r="N210" s="164"/>
      <c r="O210" s="166"/>
      <c r="P210" s="166"/>
      <c r="Q210" s="166"/>
      <c r="R210" s="166"/>
      <c r="S210" s="166"/>
      <c r="T210" s="166"/>
      <c r="U210" s="166"/>
      <c r="V210" s="166"/>
      <c r="W210" s="166"/>
      <c r="X210" s="166"/>
      <c r="Y210" s="166"/>
      <c r="Z210" s="166"/>
      <c r="AA210" s="166"/>
      <c r="AB210" s="166"/>
      <c r="AC210" s="166"/>
      <c r="AD210" s="166"/>
      <c r="AE210" s="166"/>
      <c r="AF210" s="166"/>
      <c r="AG210" s="166"/>
      <c r="AH210" s="166"/>
      <c r="AI210" s="166"/>
    </row>
    <row r="211" spans="1:35" x14ac:dyDescent="0.2">
      <c r="A211" s="167" t="s">
        <v>200</v>
      </c>
      <c r="B211" s="162">
        <v>9</v>
      </c>
      <c r="C211" s="162">
        <f t="shared" si="6"/>
        <v>1733.75</v>
      </c>
      <c r="D211" s="162" t="s">
        <v>157</v>
      </c>
      <c r="E211" s="168">
        <v>22389571417.182598</v>
      </c>
      <c r="F211" s="168">
        <v>22389571.417182598</v>
      </c>
      <c r="G211" s="168">
        <v>22389.5714171826</v>
      </c>
      <c r="H211" s="168">
        <v>22.389571417182601</v>
      </c>
      <c r="I211" s="164" t="e">
        <f>H211*$O$9/0.1*INDEX(Country_details!$N$9:N361,MATCH(Solar_data!A211,Country_details!$A$9:$A$154,0))</f>
        <v>#N/A</v>
      </c>
      <c r="J211" s="164">
        <f t="shared" si="7"/>
        <v>1733.75</v>
      </c>
      <c r="K211" s="164"/>
      <c r="L211" s="164"/>
      <c r="M211" s="164"/>
      <c r="N211" s="164"/>
      <c r="O211" s="166"/>
      <c r="P211" s="166"/>
      <c r="Q211" s="166"/>
      <c r="R211" s="166"/>
      <c r="S211" s="166"/>
      <c r="T211" s="166"/>
      <c r="U211" s="166"/>
      <c r="V211" s="166"/>
      <c r="W211" s="166"/>
      <c r="X211" s="166"/>
      <c r="Y211" s="166"/>
      <c r="Z211" s="166"/>
      <c r="AA211" s="166"/>
      <c r="AB211" s="166"/>
      <c r="AC211" s="166"/>
      <c r="AD211" s="166"/>
      <c r="AE211" s="166"/>
      <c r="AF211" s="166"/>
      <c r="AG211" s="166"/>
      <c r="AH211" s="166"/>
      <c r="AI211" s="166"/>
    </row>
    <row r="212" spans="1:35" x14ac:dyDescent="0.2">
      <c r="A212" s="167" t="s">
        <v>200</v>
      </c>
      <c r="B212" s="162">
        <v>10</v>
      </c>
      <c r="C212" s="162">
        <f t="shared" si="6"/>
        <v>1916.25</v>
      </c>
      <c r="D212" s="162" t="s">
        <v>159</v>
      </c>
      <c r="E212" s="168">
        <v>3062292564.6283002</v>
      </c>
      <c r="F212" s="168">
        <v>3062292.5646283003</v>
      </c>
      <c r="G212" s="168">
        <v>3062.2925646283002</v>
      </c>
      <c r="H212" s="168">
        <v>3.0622925646283004</v>
      </c>
      <c r="I212" s="164" t="e">
        <f>H212*$O$9/0.1*INDEX(Country_details!$N$9:N362,MATCH(Solar_data!A212,Country_details!$A$9:$A$154,0))</f>
        <v>#N/A</v>
      </c>
      <c r="J212" s="164">
        <f t="shared" si="7"/>
        <v>1916.25</v>
      </c>
      <c r="K212" s="164"/>
      <c r="L212" s="164"/>
      <c r="M212" s="164"/>
      <c r="N212" s="164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6"/>
      <c r="Z212" s="166"/>
      <c r="AA212" s="166"/>
      <c r="AB212" s="166"/>
      <c r="AC212" s="166"/>
      <c r="AD212" s="166"/>
      <c r="AE212" s="166"/>
      <c r="AF212" s="166"/>
      <c r="AG212" s="166"/>
      <c r="AH212" s="166"/>
      <c r="AI212" s="166"/>
    </row>
    <row r="213" spans="1:35" x14ac:dyDescent="0.2">
      <c r="A213" s="167" t="s">
        <v>25</v>
      </c>
      <c r="B213" s="162">
        <v>10</v>
      </c>
      <c r="C213" s="162">
        <f t="shared" si="6"/>
        <v>1916.25</v>
      </c>
      <c r="D213" s="162" t="s">
        <v>159</v>
      </c>
      <c r="E213" s="168">
        <v>31265119569.4133</v>
      </c>
      <c r="F213" s="168">
        <v>31265119.569413301</v>
      </c>
      <c r="G213" s="168">
        <v>31265.119569413302</v>
      </c>
      <c r="H213" s="168">
        <v>31.265119569413304</v>
      </c>
      <c r="I213" s="164">
        <f>H213*$O$9/0.1*INDEX(Country_details!$N$9:N363,MATCH(Solar_data!A213,Country_details!$A$9:$A$154,0))</f>
        <v>75.036286966591931</v>
      </c>
      <c r="J213" s="164">
        <f t="shared" si="7"/>
        <v>1916.25</v>
      </c>
      <c r="K213" s="164"/>
      <c r="L213" s="164"/>
      <c r="M213" s="164"/>
      <c r="N213" s="164"/>
      <c r="O213" s="166"/>
      <c r="P213" s="166"/>
      <c r="Q213" s="166"/>
      <c r="R213" s="166"/>
      <c r="S213" s="166"/>
      <c r="T213" s="166"/>
      <c r="U213" s="166"/>
      <c r="V213" s="166"/>
      <c r="W213" s="166"/>
      <c r="X213" s="166"/>
      <c r="Y213" s="166"/>
      <c r="Z213" s="166"/>
      <c r="AA213" s="166"/>
      <c r="AB213" s="166"/>
      <c r="AC213" s="166"/>
      <c r="AD213" s="166"/>
      <c r="AE213" s="166"/>
      <c r="AF213" s="166"/>
      <c r="AG213" s="166"/>
      <c r="AH213" s="166"/>
      <c r="AI213" s="166"/>
    </row>
    <row r="214" spans="1:35" x14ac:dyDescent="0.2">
      <c r="A214" s="167" t="s">
        <v>25</v>
      </c>
      <c r="B214" s="162">
        <v>11</v>
      </c>
      <c r="C214" s="162">
        <f t="shared" si="6"/>
        <v>2098.75</v>
      </c>
      <c r="D214" s="162" t="s">
        <v>161</v>
      </c>
      <c r="E214" s="168">
        <v>240833007513.16211</v>
      </c>
      <c r="F214" s="168">
        <v>240833007.51316211</v>
      </c>
      <c r="G214" s="168">
        <v>240833.0075131621</v>
      </c>
      <c r="H214" s="168">
        <v>240.8330075131621</v>
      </c>
      <c r="I214" s="164">
        <f>H214*$O$9/0.1*INDEX(Country_details!$N$9:N364,MATCH(Solar_data!A214,Country_details!$A$9:$A$154,0))</f>
        <v>577.99921803158907</v>
      </c>
      <c r="J214" s="164">
        <f t="shared" si="7"/>
        <v>2098.75</v>
      </c>
      <c r="K214" s="164"/>
      <c r="L214" s="164"/>
      <c r="M214" s="164"/>
      <c r="N214" s="164"/>
      <c r="O214" s="166"/>
      <c r="P214" s="166"/>
      <c r="Q214" s="166"/>
      <c r="R214" s="166"/>
      <c r="S214" s="166"/>
      <c r="T214" s="166"/>
      <c r="U214" s="166"/>
      <c r="V214" s="166"/>
      <c r="W214" s="166"/>
      <c r="X214" s="166"/>
      <c r="Y214" s="166"/>
      <c r="Z214" s="166"/>
      <c r="AA214" s="166"/>
      <c r="AB214" s="166"/>
      <c r="AC214" s="166"/>
      <c r="AD214" s="166"/>
      <c r="AE214" s="166"/>
      <c r="AF214" s="166"/>
      <c r="AG214" s="166"/>
      <c r="AH214" s="166"/>
      <c r="AI214" s="166"/>
    </row>
    <row r="215" spans="1:35" x14ac:dyDescent="0.2">
      <c r="A215" s="167" t="s">
        <v>25</v>
      </c>
      <c r="B215" s="162">
        <v>12</v>
      </c>
      <c r="C215" s="162">
        <f t="shared" si="6"/>
        <v>2281.25</v>
      </c>
      <c r="D215" s="162" t="s">
        <v>162</v>
      </c>
      <c r="E215" s="168">
        <v>68832158215.632004</v>
      </c>
      <c r="F215" s="168">
        <v>68832158.215632007</v>
      </c>
      <c r="G215" s="168">
        <v>68832.158215632007</v>
      </c>
      <c r="H215" s="168">
        <v>68.832158215632006</v>
      </c>
      <c r="I215" s="164">
        <f>H215*$O$9/0.1*INDEX(Country_details!$N$9:N365,MATCH(Solar_data!A215,Country_details!$A$9:$A$154,0))</f>
        <v>165.1971797175168</v>
      </c>
      <c r="J215" s="164">
        <f t="shared" si="7"/>
        <v>2281.25</v>
      </c>
      <c r="K215" s="164"/>
      <c r="L215" s="164"/>
      <c r="M215" s="164"/>
      <c r="N215" s="164"/>
      <c r="O215" s="166"/>
      <c r="P215" s="166"/>
      <c r="Q215" s="166"/>
      <c r="R215" s="166"/>
      <c r="S215" s="166"/>
      <c r="T215" s="166"/>
      <c r="U215" s="166"/>
      <c r="V215" s="166"/>
      <c r="W215" s="166"/>
      <c r="X215" s="166"/>
      <c r="Y215" s="166"/>
      <c r="Z215" s="166"/>
      <c r="AA215" s="166"/>
      <c r="AB215" s="166"/>
      <c r="AC215" s="166"/>
      <c r="AD215" s="166"/>
      <c r="AE215" s="166"/>
      <c r="AF215" s="166"/>
      <c r="AG215" s="166"/>
      <c r="AH215" s="166"/>
      <c r="AI215" s="166"/>
    </row>
    <row r="216" spans="1:35" x14ac:dyDescent="0.2">
      <c r="A216" s="167" t="s">
        <v>25</v>
      </c>
      <c r="B216" s="162">
        <v>13</v>
      </c>
      <c r="C216" s="162">
        <f t="shared" si="6"/>
        <v>2463.75</v>
      </c>
      <c r="D216" s="162" t="s">
        <v>163</v>
      </c>
      <c r="E216" s="168">
        <v>136463069.60699999</v>
      </c>
      <c r="F216" s="168">
        <v>136463.06960699998</v>
      </c>
      <c r="G216" s="168">
        <v>136.46306960699999</v>
      </c>
      <c r="H216" s="168">
        <v>0.136463069607</v>
      </c>
      <c r="I216" s="164">
        <f>H216*$O$9/0.1*INDEX(Country_details!$N$9:N366,MATCH(Solar_data!A216,Country_details!$A$9:$A$154,0))</f>
        <v>0.32751136705680001</v>
      </c>
      <c r="J216" s="164">
        <f t="shared" si="7"/>
        <v>2463.75</v>
      </c>
      <c r="K216" s="164"/>
      <c r="L216" s="164"/>
      <c r="M216" s="164"/>
      <c r="N216" s="164"/>
      <c r="O216" s="166"/>
      <c r="P216" s="166"/>
      <c r="Q216" s="166"/>
      <c r="R216" s="166"/>
      <c r="S216" s="166"/>
      <c r="T216" s="166"/>
      <c r="U216" s="166"/>
      <c r="V216" s="166"/>
      <c r="W216" s="166"/>
      <c r="X216" s="166"/>
      <c r="Y216" s="166"/>
      <c r="Z216" s="166"/>
      <c r="AA216" s="166"/>
      <c r="AB216" s="166"/>
      <c r="AC216" s="166"/>
      <c r="AD216" s="166"/>
      <c r="AE216" s="166"/>
      <c r="AF216" s="166"/>
      <c r="AG216" s="166"/>
      <c r="AH216" s="166"/>
      <c r="AI216" s="166"/>
    </row>
    <row r="217" spans="1:35" x14ac:dyDescent="0.2">
      <c r="A217" s="167" t="s">
        <v>42</v>
      </c>
      <c r="B217" s="162">
        <v>10</v>
      </c>
      <c r="C217" s="162">
        <f t="shared" si="6"/>
        <v>1916.25</v>
      </c>
      <c r="D217" s="162" t="s">
        <v>159</v>
      </c>
      <c r="E217" s="168">
        <v>24842895024.688801</v>
      </c>
      <c r="F217" s="168">
        <v>24842895.024688803</v>
      </c>
      <c r="G217" s="168">
        <v>24842.895024688802</v>
      </c>
      <c r="H217" s="168">
        <v>24.842895024688801</v>
      </c>
      <c r="I217" s="164">
        <f>H217*$O$9/0.1*INDEX(Country_details!$N$9:N367,MATCH(Solar_data!A217,Country_details!$A$9:$A$154,0))</f>
        <v>67.075816566659753</v>
      </c>
      <c r="J217" s="164">
        <f t="shared" si="7"/>
        <v>1916.25</v>
      </c>
      <c r="K217" s="164"/>
      <c r="L217" s="164"/>
      <c r="M217" s="164"/>
      <c r="N217" s="164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6"/>
      <c r="Z217" s="166"/>
      <c r="AA217" s="166"/>
      <c r="AB217" s="166"/>
      <c r="AC217" s="166"/>
      <c r="AD217" s="166"/>
      <c r="AE217" s="166"/>
      <c r="AF217" s="166"/>
      <c r="AG217" s="166"/>
      <c r="AH217" s="166"/>
      <c r="AI217" s="166"/>
    </row>
    <row r="218" spans="1:35" x14ac:dyDescent="0.2">
      <c r="A218" s="167" t="s">
        <v>42</v>
      </c>
      <c r="B218" s="162">
        <v>11</v>
      </c>
      <c r="C218" s="162">
        <f t="shared" si="6"/>
        <v>2098.75</v>
      </c>
      <c r="D218" s="162" t="s">
        <v>161</v>
      </c>
      <c r="E218" s="168">
        <v>4244353445.7245998</v>
      </c>
      <c r="F218" s="168">
        <v>4244353.4457246</v>
      </c>
      <c r="G218" s="168">
        <v>4244.3534457246005</v>
      </c>
      <c r="H218" s="168">
        <v>4.2443534457246006</v>
      </c>
      <c r="I218" s="164">
        <f>H218*$O$9/0.1*INDEX(Country_details!$N$9:N368,MATCH(Solar_data!A218,Country_details!$A$9:$A$154,0))</f>
        <v>11.459754303456421</v>
      </c>
      <c r="J218" s="164">
        <f t="shared" si="7"/>
        <v>2098.75</v>
      </c>
      <c r="K218" s="164"/>
      <c r="L218" s="164"/>
      <c r="M218" s="164"/>
      <c r="N218" s="164"/>
      <c r="O218" s="166"/>
      <c r="P218" s="166"/>
      <c r="Q218" s="166"/>
      <c r="R218" s="166"/>
      <c r="S218" s="166"/>
      <c r="T218" s="166"/>
      <c r="U218" s="166"/>
      <c r="V218" s="166"/>
      <c r="W218" s="166"/>
      <c r="X218" s="166"/>
      <c r="Y218" s="166"/>
      <c r="Z218" s="166"/>
      <c r="AA218" s="166"/>
      <c r="AB218" s="166"/>
      <c r="AC218" s="166"/>
      <c r="AD218" s="166"/>
      <c r="AE218" s="166"/>
      <c r="AF218" s="166"/>
      <c r="AG218" s="166"/>
      <c r="AH218" s="166"/>
      <c r="AI218" s="166"/>
    </row>
    <row r="219" spans="1:35" x14ac:dyDescent="0.2">
      <c r="A219" s="167" t="s">
        <v>201</v>
      </c>
      <c r="B219" s="162">
        <v>6</v>
      </c>
      <c r="C219" s="162">
        <f t="shared" si="6"/>
        <v>1186.25</v>
      </c>
      <c r="D219" s="162" t="s">
        <v>173</v>
      </c>
      <c r="E219" s="168">
        <v>138083823074.46851</v>
      </c>
      <c r="F219" s="168">
        <v>138083823.07446852</v>
      </c>
      <c r="G219" s="168">
        <v>138083.82307446853</v>
      </c>
      <c r="H219" s="168">
        <v>138.08382307446854</v>
      </c>
      <c r="I219" s="164" t="e">
        <f>H219*$O$9/0.1*INDEX(Country_details!$N$9:N369,MATCH(Solar_data!A219,Country_details!$A$9:$A$154,0))</f>
        <v>#N/A</v>
      </c>
      <c r="J219" s="164">
        <f t="shared" si="7"/>
        <v>1186.25</v>
      </c>
      <c r="K219" s="164"/>
      <c r="L219" s="164"/>
      <c r="M219" s="164"/>
      <c r="N219" s="164"/>
      <c r="O219" s="166"/>
      <c r="P219" s="166"/>
      <c r="Q219" s="166"/>
      <c r="R219" s="166"/>
      <c r="S219" s="166"/>
      <c r="T219" s="166"/>
      <c r="U219" s="166"/>
      <c r="V219" s="166"/>
      <c r="W219" s="166"/>
      <c r="X219" s="166"/>
      <c r="Y219" s="166"/>
      <c r="Z219" s="166"/>
      <c r="AA219" s="166"/>
      <c r="AB219" s="166"/>
      <c r="AC219" s="166"/>
      <c r="AD219" s="166"/>
      <c r="AE219" s="166"/>
      <c r="AF219" s="166"/>
      <c r="AG219" s="166"/>
      <c r="AH219" s="166"/>
      <c r="AI219" s="166"/>
    </row>
    <row r="220" spans="1:35" x14ac:dyDescent="0.2">
      <c r="A220" s="167" t="s">
        <v>201</v>
      </c>
      <c r="B220" s="162">
        <v>7</v>
      </c>
      <c r="C220" s="162">
        <f t="shared" si="6"/>
        <v>1368.75</v>
      </c>
      <c r="D220" s="162" t="s">
        <v>174</v>
      </c>
      <c r="E220" s="168">
        <v>36038142.1765</v>
      </c>
      <c r="F220" s="168">
        <v>36038.142176499998</v>
      </c>
      <c r="G220" s="168">
        <v>36.038142176499996</v>
      </c>
      <c r="H220" s="168">
        <v>3.6038142176499997E-2</v>
      </c>
      <c r="I220" s="164" t="e">
        <f>H220*$O$9/0.1*INDEX(Country_details!$N$9:N370,MATCH(Solar_data!A220,Country_details!$A$9:$A$154,0))</f>
        <v>#N/A</v>
      </c>
      <c r="J220" s="164">
        <f t="shared" si="7"/>
        <v>1368.75</v>
      </c>
      <c r="K220" s="164"/>
      <c r="L220" s="164"/>
      <c r="M220" s="164"/>
      <c r="N220" s="164"/>
      <c r="O220" s="166"/>
      <c r="P220" s="166"/>
      <c r="Q220" s="166"/>
      <c r="R220" s="166"/>
      <c r="S220" s="166"/>
      <c r="T220" s="166"/>
      <c r="U220" s="166"/>
      <c r="V220" s="166"/>
      <c r="W220" s="166"/>
      <c r="X220" s="166"/>
      <c r="Y220" s="166"/>
      <c r="Z220" s="166"/>
      <c r="AA220" s="166"/>
      <c r="AB220" s="166"/>
      <c r="AC220" s="166"/>
      <c r="AD220" s="166"/>
      <c r="AE220" s="166"/>
      <c r="AF220" s="166"/>
      <c r="AG220" s="166"/>
      <c r="AH220" s="166"/>
      <c r="AI220" s="166"/>
    </row>
    <row r="221" spans="1:35" x14ac:dyDescent="0.2">
      <c r="A221" s="167" t="s">
        <v>49</v>
      </c>
      <c r="B221" s="162">
        <v>5</v>
      </c>
      <c r="C221" s="162">
        <f t="shared" si="6"/>
        <v>1003.75</v>
      </c>
      <c r="D221" s="162" t="s">
        <v>172</v>
      </c>
      <c r="E221" s="168">
        <v>1084845361.4753001</v>
      </c>
      <c r="F221" s="168">
        <v>1084845.3614753</v>
      </c>
      <c r="G221" s="168">
        <v>1084.8453614753</v>
      </c>
      <c r="H221" s="168">
        <v>1.0848453614753</v>
      </c>
      <c r="I221" s="164">
        <f>H221*$O$9/0.1*INDEX(Country_details!$N$9:N371,MATCH(Solar_data!A221,Country_details!$A$9:$A$154,0))</f>
        <v>2.9290824759833094</v>
      </c>
      <c r="J221" s="164">
        <f t="shared" si="7"/>
        <v>1003.75</v>
      </c>
      <c r="K221" s="164"/>
      <c r="L221" s="164"/>
      <c r="M221" s="164"/>
      <c r="N221" s="164"/>
      <c r="O221" s="166"/>
      <c r="P221" s="166"/>
      <c r="Q221" s="166"/>
      <c r="R221" s="166"/>
      <c r="S221" s="166"/>
      <c r="T221" s="166"/>
      <c r="U221" s="166"/>
      <c r="V221" s="166"/>
      <c r="W221" s="166"/>
      <c r="X221" s="166"/>
      <c r="Y221" s="166"/>
      <c r="Z221" s="166"/>
      <c r="AA221" s="166"/>
      <c r="AB221" s="166"/>
      <c r="AC221" s="166"/>
      <c r="AD221" s="166"/>
      <c r="AE221" s="166"/>
      <c r="AF221" s="166"/>
      <c r="AG221" s="166"/>
      <c r="AH221" s="166"/>
      <c r="AI221" s="166"/>
    </row>
    <row r="222" spans="1:35" x14ac:dyDescent="0.2">
      <c r="A222" s="167" t="s">
        <v>49</v>
      </c>
      <c r="B222" s="162">
        <v>6</v>
      </c>
      <c r="C222" s="162">
        <f t="shared" si="6"/>
        <v>1186.25</v>
      </c>
      <c r="D222" s="162" t="s">
        <v>173</v>
      </c>
      <c r="E222" s="168">
        <v>68925686305.533096</v>
      </c>
      <c r="F222" s="168">
        <v>68925686.305533096</v>
      </c>
      <c r="G222" s="168">
        <v>68925.68630553309</v>
      </c>
      <c r="H222" s="168">
        <v>68.925686305533091</v>
      </c>
      <c r="I222" s="164">
        <f>H222*$O$9/0.1*INDEX(Country_details!$N$9:N372,MATCH(Solar_data!A222,Country_details!$A$9:$A$154,0))</f>
        <v>186.09935302493935</v>
      </c>
      <c r="J222" s="164">
        <f t="shared" si="7"/>
        <v>1186.25</v>
      </c>
      <c r="K222" s="164"/>
      <c r="L222" s="164"/>
      <c r="M222" s="164"/>
      <c r="N222" s="164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  <c r="Y222" s="166"/>
      <c r="Z222" s="166"/>
      <c r="AA222" s="166"/>
      <c r="AB222" s="166"/>
      <c r="AC222" s="166"/>
      <c r="AD222" s="166"/>
      <c r="AE222" s="166"/>
      <c r="AF222" s="166"/>
      <c r="AG222" s="166"/>
      <c r="AH222" s="166"/>
      <c r="AI222" s="166"/>
    </row>
    <row r="223" spans="1:35" x14ac:dyDescent="0.2">
      <c r="A223" s="167" t="s">
        <v>50</v>
      </c>
      <c r="B223" s="162">
        <v>11</v>
      </c>
      <c r="C223" s="162">
        <f t="shared" si="6"/>
        <v>2098.75</v>
      </c>
      <c r="D223" s="162" t="s">
        <v>161</v>
      </c>
      <c r="E223" s="168">
        <v>1234067838.9868</v>
      </c>
      <c r="F223" s="168">
        <v>1234067.8389868001</v>
      </c>
      <c r="G223" s="168">
        <v>1234.0678389868001</v>
      </c>
      <c r="H223" s="168">
        <v>1.2340678389868001</v>
      </c>
      <c r="I223" s="164">
        <f>H223*$O$9/0.1*INDEX(Country_details!$N$9:N373,MATCH(Solar_data!A223,Country_details!$A$9:$A$154,0))</f>
        <v>3.1468729894163396</v>
      </c>
      <c r="J223" s="164">
        <f t="shared" si="7"/>
        <v>2098.75</v>
      </c>
      <c r="K223" s="164"/>
      <c r="L223" s="164"/>
      <c r="M223" s="164"/>
      <c r="N223" s="164"/>
      <c r="O223" s="166"/>
      <c r="P223" s="166"/>
      <c r="Q223" s="166"/>
      <c r="R223" s="166"/>
      <c r="S223" s="166"/>
      <c r="T223" s="166"/>
      <c r="U223" s="166"/>
      <c r="V223" s="166"/>
      <c r="W223" s="166"/>
      <c r="X223" s="166"/>
      <c r="Y223" s="166"/>
      <c r="Z223" s="166"/>
      <c r="AA223" s="166"/>
      <c r="AB223" s="166"/>
      <c r="AC223" s="166"/>
      <c r="AD223" s="166"/>
      <c r="AE223" s="166"/>
      <c r="AF223" s="166"/>
      <c r="AG223" s="166"/>
      <c r="AH223" s="166"/>
      <c r="AI223" s="166"/>
    </row>
    <row r="224" spans="1:35" x14ac:dyDescent="0.2">
      <c r="A224" s="167" t="s">
        <v>50</v>
      </c>
      <c r="B224" s="162">
        <v>12</v>
      </c>
      <c r="C224" s="162">
        <f t="shared" si="6"/>
        <v>2281.25</v>
      </c>
      <c r="D224" s="162" t="s">
        <v>162</v>
      </c>
      <c r="E224" s="168">
        <v>69198462278.562698</v>
      </c>
      <c r="F224" s="168">
        <v>69198462.278562695</v>
      </c>
      <c r="G224" s="168">
        <v>69198.4622785627</v>
      </c>
      <c r="H224" s="168">
        <v>69.198462278562701</v>
      </c>
      <c r="I224" s="164">
        <f>H224*$O$9/0.1*INDEX(Country_details!$N$9:N374,MATCH(Solar_data!A224,Country_details!$A$9:$A$154,0))</f>
        <v>176.45607881033487</v>
      </c>
      <c r="J224" s="164">
        <f t="shared" si="7"/>
        <v>2281.25</v>
      </c>
      <c r="K224" s="164"/>
      <c r="L224" s="164"/>
      <c r="M224" s="164"/>
      <c r="N224" s="164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6"/>
      <c r="Z224" s="166"/>
      <c r="AA224" s="166"/>
      <c r="AB224" s="166"/>
      <c r="AC224" s="166"/>
      <c r="AD224" s="166"/>
      <c r="AE224" s="166"/>
      <c r="AF224" s="166"/>
      <c r="AG224" s="166"/>
      <c r="AH224" s="166"/>
      <c r="AI224" s="166"/>
    </row>
    <row r="225" spans="1:35" x14ac:dyDescent="0.2">
      <c r="A225" s="167" t="s">
        <v>202</v>
      </c>
      <c r="B225" s="162">
        <v>9</v>
      </c>
      <c r="C225" s="162">
        <f t="shared" si="6"/>
        <v>1733.75</v>
      </c>
      <c r="D225" s="162" t="s">
        <v>157</v>
      </c>
      <c r="E225" s="168">
        <v>656282779.61629999</v>
      </c>
      <c r="F225" s="168">
        <v>656282.77961630002</v>
      </c>
      <c r="G225" s="168">
        <v>656.28277961629999</v>
      </c>
      <c r="H225" s="168">
        <v>0.65628277961629999</v>
      </c>
      <c r="I225" s="164" t="e">
        <f>H225*$O$9/0.1*INDEX(Country_details!$N$9:N375,MATCH(Solar_data!A225,Country_details!$A$9:$A$154,0))</f>
        <v>#N/A</v>
      </c>
      <c r="J225" s="164">
        <f t="shared" si="7"/>
        <v>1733.75</v>
      </c>
      <c r="K225" s="164"/>
      <c r="L225" s="164"/>
      <c r="M225" s="164"/>
      <c r="N225" s="164"/>
      <c r="O225" s="166"/>
      <c r="P225" s="166"/>
      <c r="Q225" s="166"/>
      <c r="R225" s="166"/>
      <c r="S225" s="166"/>
      <c r="T225" s="166"/>
      <c r="U225" s="166"/>
      <c r="V225" s="166"/>
      <c r="W225" s="166"/>
      <c r="X225" s="166"/>
      <c r="Y225" s="166"/>
      <c r="Z225" s="166"/>
      <c r="AA225" s="166"/>
      <c r="AB225" s="166"/>
      <c r="AC225" s="166"/>
      <c r="AD225" s="166"/>
      <c r="AE225" s="166"/>
      <c r="AF225" s="166"/>
      <c r="AG225" s="166"/>
      <c r="AH225" s="166"/>
      <c r="AI225" s="166"/>
    </row>
    <row r="226" spans="1:35" x14ac:dyDescent="0.2">
      <c r="A226" s="167" t="s">
        <v>202</v>
      </c>
      <c r="B226" s="162">
        <v>10</v>
      </c>
      <c r="C226" s="162">
        <f t="shared" si="6"/>
        <v>1916.25</v>
      </c>
      <c r="D226" s="162" t="s">
        <v>159</v>
      </c>
      <c r="E226" s="168">
        <v>493255356.54299998</v>
      </c>
      <c r="F226" s="168">
        <v>493255.35654299997</v>
      </c>
      <c r="G226" s="168">
        <v>493.255356543</v>
      </c>
      <c r="H226" s="168">
        <v>0.49325535654300001</v>
      </c>
      <c r="I226" s="164" t="e">
        <f>H226*$O$9/0.1*INDEX(Country_details!$N$9:N376,MATCH(Solar_data!A226,Country_details!$A$9:$A$154,0))</f>
        <v>#N/A</v>
      </c>
      <c r="J226" s="164">
        <f t="shared" si="7"/>
        <v>1916.25</v>
      </c>
      <c r="K226" s="164"/>
      <c r="L226" s="164"/>
      <c r="M226" s="164"/>
      <c r="N226" s="164"/>
      <c r="O226" s="166"/>
      <c r="P226" s="166"/>
      <c r="Q226" s="166"/>
      <c r="R226" s="166"/>
      <c r="S226" s="166"/>
      <c r="T226" s="166"/>
      <c r="U226" s="166"/>
      <c r="V226" s="166"/>
      <c r="W226" s="166"/>
      <c r="X226" s="166"/>
      <c r="Y226" s="166"/>
      <c r="Z226" s="166"/>
      <c r="AA226" s="166"/>
      <c r="AB226" s="166"/>
      <c r="AC226" s="166"/>
      <c r="AD226" s="166"/>
      <c r="AE226" s="166"/>
      <c r="AF226" s="166"/>
      <c r="AG226" s="166"/>
      <c r="AH226" s="166"/>
      <c r="AI226" s="166"/>
    </row>
    <row r="227" spans="1:35" x14ac:dyDescent="0.2">
      <c r="A227" s="167" t="s">
        <v>51</v>
      </c>
      <c r="B227" s="162">
        <v>10</v>
      </c>
      <c r="C227" s="162">
        <f t="shared" si="6"/>
        <v>1916.25</v>
      </c>
      <c r="D227" s="162" t="s">
        <v>159</v>
      </c>
      <c r="E227" s="168">
        <v>7801016164.1807003</v>
      </c>
      <c r="F227" s="168">
        <v>7801016.1641807007</v>
      </c>
      <c r="G227" s="168">
        <v>7801.0161641807008</v>
      </c>
      <c r="H227" s="168">
        <v>7.8010161641807008</v>
      </c>
      <c r="I227" s="164">
        <f>H227*$O$9/0.1*INDEX(Country_details!$N$9:N377,MATCH(Solar_data!A227,Country_details!$A$9:$A$154,0))</f>
        <v>19.892591218660787</v>
      </c>
      <c r="J227" s="164">
        <f t="shared" si="7"/>
        <v>1916.25</v>
      </c>
      <c r="K227" s="164"/>
      <c r="L227" s="164"/>
      <c r="M227" s="164"/>
      <c r="N227" s="164"/>
      <c r="O227" s="166"/>
      <c r="P227" s="166"/>
      <c r="Q227" s="166"/>
      <c r="R227" s="166"/>
      <c r="S227" s="166"/>
      <c r="T227" s="166"/>
      <c r="U227" s="166"/>
      <c r="V227" s="166"/>
      <c r="W227" s="166"/>
      <c r="X227" s="166"/>
      <c r="Y227" s="166"/>
      <c r="Z227" s="166"/>
      <c r="AA227" s="166"/>
      <c r="AB227" s="166"/>
      <c r="AC227" s="166"/>
      <c r="AD227" s="166"/>
      <c r="AE227" s="166"/>
      <c r="AF227" s="166"/>
      <c r="AG227" s="166"/>
      <c r="AH227" s="166"/>
      <c r="AI227" s="166"/>
    </row>
    <row r="228" spans="1:35" x14ac:dyDescent="0.2">
      <c r="A228" s="167" t="s">
        <v>51</v>
      </c>
      <c r="B228" s="162">
        <v>11</v>
      </c>
      <c r="C228" s="162">
        <f t="shared" si="6"/>
        <v>2098.75</v>
      </c>
      <c r="D228" s="162" t="s">
        <v>161</v>
      </c>
      <c r="E228" s="168">
        <v>74873308219.7621</v>
      </c>
      <c r="F228" s="168">
        <v>74873308.219762102</v>
      </c>
      <c r="G228" s="168">
        <v>74873.308219762097</v>
      </c>
      <c r="H228" s="168">
        <v>74.873308219762094</v>
      </c>
      <c r="I228" s="164">
        <f>H228*$O$9/0.1*INDEX(Country_details!$N$9:N378,MATCH(Solar_data!A228,Country_details!$A$9:$A$154,0))</f>
        <v>190.92693596039331</v>
      </c>
      <c r="J228" s="164">
        <f t="shared" si="7"/>
        <v>2098.75</v>
      </c>
      <c r="K228" s="164"/>
      <c r="L228" s="164"/>
      <c r="M228" s="164"/>
      <c r="N228" s="164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  <c r="Y228" s="166"/>
      <c r="Z228" s="166"/>
      <c r="AA228" s="166"/>
      <c r="AB228" s="166"/>
      <c r="AC228" s="166"/>
      <c r="AD228" s="166"/>
      <c r="AE228" s="166"/>
      <c r="AF228" s="166"/>
      <c r="AG228" s="166"/>
      <c r="AH228" s="166"/>
      <c r="AI228" s="166"/>
    </row>
    <row r="229" spans="1:35" x14ac:dyDescent="0.2">
      <c r="A229" s="167" t="s">
        <v>51</v>
      </c>
      <c r="B229" s="162">
        <v>12</v>
      </c>
      <c r="C229" s="162">
        <f t="shared" si="6"/>
        <v>2281.25</v>
      </c>
      <c r="D229" s="162" t="s">
        <v>162</v>
      </c>
      <c r="E229" s="168">
        <v>68513171625.836502</v>
      </c>
      <c r="F229" s="168">
        <v>68513171.625836506</v>
      </c>
      <c r="G229" s="168">
        <v>68513.171625836505</v>
      </c>
      <c r="H229" s="168">
        <v>68.513171625836506</v>
      </c>
      <c r="I229" s="164">
        <f>H229*$O$9/0.1*INDEX(Country_details!$N$9:N379,MATCH(Solar_data!A229,Country_details!$A$9:$A$154,0))</f>
        <v>174.70858764588309</v>
      </c>
      <c r="J229" s="164">
        <f t="shared" si="7"/>
        <v>2281.25</v>
      </c>
      <c r="K229" s="164"/>
      <c r="L229" s="164"/>
      <c r="M229" s="164"/>
      <c r="N229" s="164"/>
      <c r="O229" s="166"/>
      <c r="P229" s="166"/>
      <c r="Q229" s="166"/>
      <c r="R229" s="166"/>
      <c r="S229" s="166"/>
      <c r="T229" s="166"/>
      <c r="U229" s="166"/>
      <c r="V229" s="166"/>
      <c r="W229" s="166"/>
      <c r="X229" s="166"/>
      <c r="Y229" s="166"/>
      <c r="Z229" s="166"/>
      <c r="AA229" s="166"/>
      <c r="AB229" s="166"/>
      <c r="AC229" s="166"/>
      <c r="AD229" s="166"/>
      <c r="AE229" s="166"/>
      <c r="AF229" s="166"/>
      <c r="AG229" s="166"/>
      <c r="AH229" s="166"/>
      <c r="AI229" s="166"/>
    </row>
    <row r="230" spans="1:35" x14ac:dyDescent="0.2">
      <c r="A230" s="167" t="s">
        <v>52</v>
      </c>
      <c r="B230" s="162">
        <v>7</v>
      </c>
      <c r="C230" s="162">
        <f t="shared" si="6"/>
        <v>1368.75</v>
      </c>
      <c r="D230" s="162" t="s">
        <v>174</v>
      </c>
      <c r="E230" s="168">
        <v>133030155837.90199</v>
      </c>
      <c r="F230" s="168">
        <v>133030155.83790199</v>
      </c>
      <c r="G230" s="168">
        <v>133030.15583790198</v>
      </c>
      <c r="H230" s="168">
        <v>133.03015583790199</v>
      </c>
      <c r="I230" s="164">
        <f>H230*$O$9/0.1*INDEX(Country_details!$N$9:N380,MATCH(Solar_data!A230,Country_details!$A$9:$A$154,0))</f>
        <v>339.22689738665008</v>
      </c>
      <c r="J230" s="164">
        <f t="shared" si="7"/>
        <v>1368.75</v>
      </c>
      <c r="K230" s="164"/>
      <c r="L230" s="164"/>
      <c r="M230" s="164"/>
      <c r="N230" s="164"/>
      <c r="O230" s="166"/>
      <c r="P230" s="166"/>
      <c r="Q230" s="166"/>
      <c r="R230" s="166"/>
      <c r="S230" s="166"/>
      <c r="T230" s="166"/>
      <c r="U230" s="166"/>
      <c r="V230" s="166"/>
      <c r="W230" s="166"/>
      <c r="X230" s="166"/>
      <c r="Y230" s="166"/>
      <c r="Z230" s="166"/>
      <c r="AA230" s="166"/>
      <c r="AB230" s="166"/>
      <c r="AC230" s="166"/>
      <c r="AD230" s="166"/>
      <c r="AE230" s="166"/>
      <c r="AF230" s="166"/>
      <c r="AG230" s="166"/>
      <c r="AH230" s="166"/>
      <c r="AI230" s="166"/>
    </row>
    <row r="231" spans="1:35" x14ac:dyDescent="0.2">
      <c r="A231" s="167" t="s">
        <v>52</v>
      </c>
      <c r="B231" s="162">
        <v>8</v>
      </c>
      <c r="C231" s="162">
        <f t="shared" si="6"/>
        <v>1551.25</v>
      </c>
      <c r="D231" s="162" t="s">
        <v>164</v>
      </c>
      <c r="E231" s="168">
        <v>287605994275.37012</v>
      </c>
      <c r="F231" s="168">
        <v>287605994.27537012</v>
      </c>
      <c r="G231" s="168">
        <v>287605.99427537015</v>
      </c>
      <c r="H231" s="168">
        <v>287.60599427537016</v>
      </c>
      <c r="I231" s="164">
        <f>H231*$O$9/0.1*INDEX(Country_details!$N$9:N381,MATCH(Solar_data!A231,Country_details!$A$9:$A$154,0))</f>
        <v>733.39528540219385</v>
      </c>
      <c r="J231" s="164">
        <f t="shared" si="7"/>
        <v>1551.25</v>
      </c>
      <c r="K231" s="164"/>
      <c r="L231" s="164"/>
      <c r="M231" s="164"/>
      <c r="N231" s="164"/>
      <c r="O231" s="166"/>
      <c r="P231" s="166"/>
      <c r="Q231" s="166"/>
      <c r="R231" s="166"/>
      <c r="S231" s="166"/>
      <c r="T231" s="166"/>
      <c r="U231" s="166"/>
      <c r="V231" s="166"/>
      <c r="W231" s="166"/>
      <c r="X231" s="166"/>
      <c r="Y231" s="166"/>
      <c r="Z231" s="166"/>
      <c r="AA231" s="166"/>
      <c r="AB231" s="166"/>
      <c r="AC231" s="166"/>
      <c r="AD231" s="166"/>
      <c r="AE231" s="166"/>
      <c r="AF231" s="166"/>
      <c r="AG231" s="166"/>
      <c r="AH231" s="166"/>
      <c r="AI231" s="166"/>
    </row>
    <row r="232" spans="1:35" x14ac:dyDescent="0.2">
      <c r="A232" s="167" t="s">
        <v>52</v>
      </c>
      <c r="B232" s="162">
        <v>9</v>
      </c>
      <c r="C232" s="162">
        <f t="shared" si="6"/>
        <v>1733.75</v>
      </c>
      <c r="D232" s="162" t="s">
        <v>157</v>
      </c>
      <c r="E232" s="168">
        <v>109759836895.32001</v>
      </c>
      <c r="F232" s="168">
        <v>109759836.89532001</v>
      </c>
      <c r="G232" s="168">
        <v>109759.83689532001</v>
      </c>
      <c r="H232" s="168">
        <v>109.75983689532002</v>
      </c>
      <c r="I232" s="164">
        <f>H232*$O$9/0.1*INDEX(Country_details!$N$9:N382,MATCH(Solar_data!A232,Country_details!$A$9:$A$154,0))</f>
        <v>279.88758408306603</v>
      </c>
      <c r="J232" s="164">
        <f t="shared" si="7"/>
        <v>1733.75</v>
      </c>
      <c r="K232" s="164"/>
      <c r="L232" s="164"/>
      <c r="M232" s="164"/>
      <c r="N232" s="164"/>
      <c r="O232" s="166"/>
      <c r="P232" s="166"/>
      <c r="Q232" s="166"/>
      <c r="R232" s="166"/>
      <c r="S232" s="166"/>
      <c r="T232" s="166"/>
      <c r="U232" s="166"/>
      <c r="V232" s="166"/>
      <c r="W232" s="166"/>
      <c r="X232" s="166"/>
      <c r="Y232" s="166"/>
      <c r="Z232" s="166"/>
      <c r="AA232" s="166"/>
      <c r="AB232" s="166"/>
      <c r="AC232" s="166"/>
      <c r="AD232" s="166"/>
      <c r="AE232" s="166"/>
      <c r="AF232" s="166"/>
      <c r="AG232" s="166"/>
      <c r="AH232" s="166"/>
      <c r="AI232" s="166"/>
    </row>
    <row r="233" spans="1:35" x14ac:dyDescent="0.2">
      <c r="A233" s="167" t="s">
        <v>52</v>
      </c>
      <c r="B233" s="162">
        <v>10</v>
      </c>
      <c r="C233" s="162">
        <f t="shared" si="6"/>
        <v>1916.25</v>
      </c>
      <c r="D233" s="162" t="s">
        <v>159</v>
      </c>
      <c r="E233" s="168">
        <v>43635490822.800003</v>
      </c>
      <c r="F233" s="168">
        <v>43635490.822800003</v>
      </c>
      <c r="G233" s="168">
        <v>43635.490822800006</v>
      </c>
      <c r="H233" s="168">
        <v>43.635490822800008</v>
      </c>
      <c r="I233" s="164">
        <f>H233*$O$9/0.1*INDEX(Country_details!$N$9:N383,MATCH(Solar_data!A233,Country_details!$A$9:$A$154,0))</f>
        <v>111.27050159814</v>
      </c>
      <c r="J233" s="164">
        <f t="shared" si="7"/>
        <v>1916.25</v>
      </c>
      <c r="K233" s="164"/>
      <c r="L233" s="164"/>
      <c r="M233" s="164"/>
      <c r="N233" s="164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  <c r="Y233" s="166"/>
      <c r="Z233" s="166"/>
      <c r="AA233" s="166"/>
      <c r="AB233" s="166"/>
      <c r="AC233" s="166"/>
      <c r="AD233" s="166"/>
      <c r="AE233" s="166"/>
      <c r="AF233" s="166"/>
      <c r="AG233" s="166"/>
      <c r="AH233" s="166"/>
      <c r="AI233" s="166"/>
    </row>
    <row r="234" spans="1:35" x14ac:dyDescent="0.2">
      <c r="A234" s="167" t="s">
        <v>52</v>
      </c>
      <c r="B234" s="162">
        <v>11</v>
      </c>
      <c r="C234" s="162">
        <f t="shared" si="6"/>
        <v>2098.75</v>
      </c>
      <c r="D234" s="162" t="s">
        <v>161</v>
      </c>
      <c r="E234" s="168">
        <v>11300284546.030001</v>
      </c>
      <c r="F234" s="168">
        <v>11300284.546030002</v>
      </c>
      <c r="G234" s="168">
        <v>11300.284546030001</v>
      </c>
      <c r="H234" s="168">
        <v>11.300284546030001</v>
      </c>
      <c r="I234" s="164">
        <f>H234*$O$9/0.1*INDEX(Country_details!$N$9:N384,MATCH(Solar_data!A234,Country_details!$A$9:$A$154,0))</f>
        <v>28.815725592376499</v>
      </c>
      <c r="J234" s="164">
        <f t="shared" si="7"/>
        <v>2098.75</v>
      </c>
      <c r="K234" s="164"/>
      <c r="L234" s="164"/>
      <c r="M234" s="164"/>
      <c r="N234" s="164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  <c r="Y234" s="166"/>
      <c r="Z234" s="166"/>
      <c r="AA234" s="166"/>
      <c r="AB234" s="166"/>
      <c r="AC234" s="166"/>
      <c r="AD234" s="166"/>
      <c r="AE234" s="166"/>
      <c r="AF234" s="166"/>
      <c r="AG234" s="166"/>
      <c r="AH234" s="166"/>
      <c r="AI234" s="166"/>
    </row>
    <row r="235" spans="1:35" x14ac:dyDescent="0.2">
      <c r="A235" s="167" t="s">
        <v>52</v>
      </c>
      <c r="B235" s="162">
        <v>12</v>
      </c>
      <c r="C235" s="162">
        <f t="shared" si="6"/>
        <v>2281.25</v>
      </c>
      <c r="D235" s="162" t="s">
        <v>162</v>
      </c>
      <c r="E235" s="168">
        <v>20952141751.330002</v>
      </c>
      <c r="F235" s="168">
        <v>20952141.751330003</v>
      </c>
      <c r="G235" s="168">
        <v>20952.141751330004</v>
      </c>
      <c r="H235" s="168">
        <v>20.952141751330004</v>
      </c>
      <c r="I235" s="164">
        <f>H235*$O$9/0.1*INDEX(Country_details!$N$9:N385,MATCH(Solar_data!A235,Country_details!$A$9:$A$154,0))</f>
        <v>53.427961465891499</v>
      </c>
      <c r="J235" s="164">
        <f t="shared" si="7"/>
        <v>2281.25</v>
      </c>
      <c r="K235" s="164"/>
      <c r="L235" s="164"/>
      <c r="M235" s="164"/>
      <c r="N235" s="164"/>
      <c r="O235" s="166"/>
      <c r="P235" s="166"/>
      <c r="Q235" s="166"/>
      <c r="R235" s="166"/>
      <c r="S235" s="166"/>
      <c r="T235" s="166"/>
      <c r="U235" s="166"/>
      <c r="V235" s="166"/>
      <c r="W235" s="166"/>
      <c r="X235" s="166"/>
      <c r="Y235" s="166"/>
      <c r="Z235" s="166"/>
      <c r="AA235" s="166"/>
      <c r="AB235" s="166"/>
      <c r="AC235" s="166"/>
      <c r="AD235" s="166"/>
      <c r="AE235" s="166"/>
      <c r="AF235" s="166"/>
      <c r="AG235" s="166"/>
      <c r="AH235" s="166"/>
      <c r="AI235" s="166"/>
    </row>
    <row r="236" spans="1:35" x14ac:dyDescent="0.2">
      <c r="A236" s="167" t="s">
        <v>53</v>
      </c>
      <c r="B236" s="162">
        <v>10</v>
      </c>
      <c r="C236" s="162">
        <f t="shared" si="6"/>
        <v>1916.25</v>
      </c>
      <c r="D236" s="162" t="s">
        <v>159</v>
      </c>
      <c r="E236" s="168">
        <v>1991916719.1278999</v>
      </c>
      <c r="F236" s="168">
        <v>1991916.7191279</v>
      </c>
      <c r="G236" s="168">
        <v>1991.9167191279</v>
      </c>
      <c r="H236" s="168">
        <v>1.9919167191279001</v>
      </c>
      <c r="I236" s="164">
        <f>H236*$O$9/0.1*INDEX(Country_details!$N$9:N386,MATCH(Solar_data!A236,Country_details!$A$9:$A$154,0))</f>
        <v>4.4818126180377744</v>
      </c>
      <c r="J236" s="164">
        <f t="shared" si="7"/>
        <v>1916.25</v>
      </c>
      <c r="K236" s="164"/>
      <c r="L236" s="164"/>
      <c r="M236" s="164"/>
      <c r="N236" s="164"/>
      <c r="O236" s="166"/>
      <c r="P236" s="166"/>
      <c r="Q236" s="166"/>
      <c r="R236" s="166"/>
      <c r="S236" s="166"/>
      <c r="T236" s="166"/>
      <c r="U236" s="166"/>
      <c r="V236" s="166"/>
      <c r="W236" s="166"/>
      <c r="X236" s="166"/>
      <c r="Y236" s="166"/>
      <c r="Z236" s="166"/>
      <c r="AA236" s="166"/>
      <c r="AB236" s="166"/>
      <c r="AC236" s="166"/>
      <c r="AD236" s="166"/>
      <c r="AE236" s="166"/>
      <c r="AF236" s="166"/>
      <c r="AG236" s="166"/>
      <c r="AH236" s="166"/>
      <c r="AI236" s="166"/>
    </row>
    <row r="237" spans="1:35" x14ac:dyDescent="0.2">
      <c r="A237" s="167" t="s">
        <v>53</v>
      </c>
      <c r="B237" s="162">
        <v>11</v>
      </c>
      <c r="C237" s="162">
        <f t="shared" si="6"/>
        <v>2098.75</v>
      </c>
      <c r="D237" s="162" t="s">
        <v>161</v>
      </c>
      <c r="E237" s="168">
        <v>81681595527.616898</v>
      </c>
      <c r="F237" s="168">
        <v>81681595.527616903</v>
      </c>
      <c r="G237" s="168">
        <v>81681.595527616912</v>
      </c>
      <c r="H237" s="168">
        <v>81.681595527616906</v>
      </c>
      <c r="I237" s="164">
        <f>H237*$O$9/0.1*INDEX(Country_details!$N$9:N387,MATCH(Solar_data!A237,Country_details!$A$9:$A$154,0))</f>
        <v>183.783589937138</v>
      </c>
      <c r="J237" s="164">
        <f t="shared" si="7"/>
        <v>2098.75</v>
      </c>
      <c r="K237" s="164"/>
      <c r="L237" s="164"/>
      <c r="M237" s="164"/>
      <c r="N237" s="164"/>
      <c r="O237" s="166"/>
      <c r="P237" s="166"/>
      <c r="Q237" s="166"/>
      <c r="R237" s="166"/>
      <c r="S237" s="166"/>
      <c r="T237" s="166"/>
      <c r="U237" s="166"/>
      <c r="V237" s="166"/>
      <c r="W237" s="166"/>
      <c r="X237" s="166"/>
      <c r="Y237" s="166"/>
      <c r="Z237" s="166"/>
      <c r="AA237" s="166"/>
      <c r="AB237" s="166"/>
      <c r="AC237" s="166"/>
      <c r="AD237" s="166"/>
      <c r="AE237" s="166"/>
      <c r="AF237" s="166"/>
      <c r="AG237" s="166"/>
      <c r="AH237" s="166"/>
      <c r="AI237" s="166"/>
    </row>
    <row r="238" spans="1:35" x14ac:dyDescent="0.2">
      <c r="A238" s="167" t="s">
        <v>53</v>
      </c>
      <c r="B238" s="162">
        <v>12</v>
      </c>
      <c r="C238" s="162">
        <f t="shared" si="6"/>
        <v>2281.25</v>
      </c>
      <c r="D238" s="162" t="s">
        <v>162</v>
      </c>
      <c r="E238" s="168">
        <v>374453459263.54309</v>
      </c>
      <c r="F238" s="168">
        <v>374453459.26354307</v>
      </c>
      <c r="G238" s="168">
        <v>374453.45926354307</v>
      </c>
      <c r="H238" s="168">
        <v>374.4534592635431</v>
      </c>
      <c r="I238" s="164">
        <f>H238*$O$9/0.1*INDEX(Country_details!$N$9:N388,MATCH(Solar_data!A238,Country_details!$A$9:$A$154,0))</f>
        <v>842.52028334297188</v>
      </c>
      <c r="J238" s="164">
        <f t="shared" si="7"/>
        <v>2281.25</v>
      </c>
      <c r="K238" s="164"/>
      <c r="L238" s="164"/>
      <c r="M238" s="164"/>
      <c r="N238" s="164"/>
      <c r="O238" s="166"/>
      <c r="P238" s="166"/>
      <c r="Q238" s="166"/>
      <c r="R238" s="166"/>
      <c r="S238" s="166"/>
      <c r="T238" s="166"/>
      <c r="U238" s="166"/>
      <c r="V238" s="166"/>
      <c r="W238" s="166"/>
      <c r="X238" s="166"/>
      <c r="Y238" s="166"/>
      <c r="Z238" s="166"/>
      <c r="AA238" s="166"/>
      <c r="AB238" s="166"/>
      <c r="AC238" s="166"/>
      <c r="AD238" s="166"/>
      <c r="AE238" s="166"/>
      <c r="AF238" s="166"/>
      <c r="AG238" s="166"/>
      <c r="AH238" s="166"/>
      <c r="AI238" s="166"/>
    </row>
    <row r="239" spans="1:35" x14ac:dyDescent="0.2">
      <c r="A239" s="167" t="s">
        <v>53</v>
      </c>
      <c r="B239" s="162">
        <v>13</v>
      </c>
      <c r="C239" s="162">
        <f t="shared" si="6"/>
        <v>2463.75</v>
      </c>
      <c r="D239" s="162" t="s">
        <v>163</v>
      </c>
      <c r="E239" s="168">
        <v>2994237770544.0371</v>
      </c>
      <c r="F239" s="168">
        <v>2994237770.5440373</v>
      </c>
      <c r="G239" s="168">
        <v>2994237.7705440372</v>
      </c>
      <c r="H239" s="168">
        <v>2994.2377705440372</v>
      </c>
      <c r="I239" s="164">
        <f>H239*$O$9/0.1*INDEX(Country_details!$N$9:N389,MATCH(Solar_data!A239,Country_details!$A$9:$A$154,0))</f>
        <v>6737.0349837240828</v>
      </c>
      <c r="J239" s="164">
        <f t="shared" si="7"/>
        <v>2463.75</v>
      </c>
      <c r="K239" s="164"/>
      <c r="L239" s="164"/>
      <c r="M239" s="164"/>
      <c r="N239" s="164"/>
      <c r="O239" s="166"/>
      <c r="P239" s="166"/>
      <c r="Q239" s="166"/>
      <c r="R239" s="166"/>
      <c r="S239" s="166"/>
      <c r="T239" s="166"/>
      <c r="U239" s="166"/>
      <c r="V239" s="166"/>
      <c r="W239" s="166"/>
      <c r="X239" s="166"/>
      <c r="Y239" s="166"/>
      <c r="Z239" s="166"/>
      <c r="AA239" s="166"/>
      <c r="AB239" s="166"/>
      <c r="AC239" s="166"/>
      <c r="AD239" s="166"/>
      <c r="AE239" s="166"/>
      <c r="AF239" s="166"/>
      <c r="AG239" s="166"/>
      <c r="AH239" s="166"/>
      <c r="AI239" s="166"/>
    </row>
    <row r="240" spans="1:35" x14ac:dyDescent="0.2">
      <c r="A240" s="167" t="s">
        <v>53</v>
      </c>
      <c r="B240" s="162">
        <v>14</v>
      </c>
      <c r="C240" s="162">
        <f t="shared" si="6"/>
        <v>2646.25</v>
      </c>
      <c r="D240" s="162" t="s">
        <v>165</v>
      </c>
      <c r="E240" s="168">
        <v>236306806793.61859</v>
      </c>
      <c r="F240" s="168">
        <v>236306806.79361859</v>
      </c>
      <c r="G240" s="168">
        <v>236306.8067936186</v>
      </c>
      <c r="H240" s="168">
        <v>236.30680679361859</v>
      </c>
      <c r="I240" s="164">
        <f>H240*$O$9/0.1*INDEX(Country_details!$N$9:N390,MATCH(Solar_data!A240,Country_details!$A$9:$A$154,0))</f>
        <v>531.69031528564176</v>
      </c>
      <c r="J240" s="164">
        <f t="shared" si="7"/>
        <v>2646.25</v>
      </c>
      <c r="K240" s="164"/>
      <c r="L240" s="164"/>
      <c r="M240" s="164"/>
      <c r="N240" s="164"/>
      <c r="O240" s="166"/>
      <c r="P240" s="166"/>
      <c r="Q240" s="166"/>
      <c r="R240" s="166"/>
      <c r="S240" s="166"/>
      <c r="T240" s="166"/>
      <c r="U240" s="166"/>
      <c r="V240" s="166"/>
      <c r="W240" s="166"/>
      <c r="X240" s="166"/>
      <c r="Y240" s="166"/>
      <c r="Z240" s="166"/>
      <c r="AA240" s="166"/>
      <c r="AB240" s="166"/>
      <c r="AC240" s="166"/>
      <c r="AD240" s="166"/>
      <c r="AE240" s="166"/>
      <c r="AF240" s="166"/>
      <c r="AG240" s="166"/>
      <c r="AH240" s="166"/>
      <c r="AI240" s="166"/>
    </row>
    <row r="241" spans="1:35" x14ac:dyDescent="0.2">
      <c r="A241" s="167" t="s">
        <v>54</v>
      </c>
      <c r="B241" s="162">
        <v>11</v>
      </c>
      <c r="C241" s="162">
        <f t="shared" si="6"/>
        <v>2098.75</v>
      </c>
      <c r="D241" s="162" t="s">
        <v>161</v>
      </c>
      <c r="E241" s="168">
        <v>18621119821.664299</v>
      </c>
      <c r="F241" s="168">
        <v>18621119.8216643</v>
      </c>
      <c r="G241" s="168">
        <v>18621.119821664299</v>
      </c>
      <c r="H241" s="168">
        <v>18.621119821664298</v>
      </c>
      <c r="I241" s="164">
        <f>H241*$O$9/0.1*INDEX(Country_details!$N$9:N391,MATCH(Solar_data!A241,Country_details!$A$9:$A$154,0))</f>
        <v>47.483855545243948</v>
      </c>
      <c r="J241" s="164">
        <f t="shared" si="7"/>
        <v>2098.75</v>
      </c>
      <c r="K241" s="164"/>
      <c r="L241" s="164"/>
      <c r="M241" s="164"/>
      <c r="N241" s="164"/>
      <c r="O241" s="166"/>
      <c r="P241" s="166"/>
      <c r="Q241" s="166"/>
      <c r="R241" s="166"/>
      <c r="S241" s="166"/>
      <c r="T241" s="166"/>
      <c r="U241" s="166"/>
      <c r="V241" s="166"/>
      <c r="W241" s="166"/>
      <c r="X241" s="166"/>
      <c r="Y241" s="166"/>
      <c r="Z241" s="166"/>
      <c r="AA241" s="166"/>
      <c r="AB241" s="166"/>
      <c r="AC241" s="166"/>
      <c r="AD241" s="166"/>
      <c r="AE241" s="166"/>
      <c r="AF241" s="166"/>
      <c r="AG241" s="166"/>
      <c r="AH241" s="166"/>
      <c r="AI241" s="166"/>
    </row>
    <row r="242" spans="1:35" x14ac:dyDescent="0.2">
      <c r="A242" s="167" t="s">
        <v>54</v>
      </c>
      <c r="B242" s="162">
        <v>12</v>
      </c>
      <c r="C242" s="162">
        <f t="shared" si="6"/>
        <v>2281.25</v>
      </c>
      <c r="D242" s="162" t="s">
        <v>162</v>
      </c>
      <c r="E242" s="168">
        <v>47061439686.643799</v>
      </c>
      <c r="F242" s="168">
        <v>47061439.686643802</v>
      </c>
      <c r="G242" s="168">
        <v>47061.439686643804</v>
      </c>
      <c r="H242" s="168">
        <v>47.061439686643801</v>
      </c>
      <c r="I242" s="164">
        <f>H242*$O$9/0.1*INDEX(Country_details!$N$9:N392,MATCH(Solar_data!A242,Country_details!$A$9:$A$154,0))</f>
        <v>120.00667120094168</v>
      </c>
      <c r="J242" s="164">
        <f t="shared" si="7"/>
        <v>2281.25</v>
      </c>
      <c r="K242" s="164"/>
      <c r="L242" s="164"/>
      <c r="M242" s="164"/>
      <c r="N242" s="164"/>
      <c r="O242" s="166"/>
      <c r="P242" s="166"/>
      <c r="Q242" s="166"/>
      <c r="R242" s="166"/>
      <c r="S242" s="166"/>
      <c r="T242" s="166"/>
      <c r="U242" s="166"/>
      <c r="V242" s="166"/>
      <c r="W242" s="166"/>
      <c r="X242" s="166"/>
      <c r="Y242" s="166"/>
      <c r="Z242" s="166"/>
      <c r="AA242" s="166"/>
      <c r="AB242" s="166"/>
      <c r="AC242" s="166"/>
      <c r="AD242" s="166"/>
      <c r="AE242" s="166"/>
      <c r="AF242" s="166"/>
      <c r="AG242" s="166"/>
      <c r="AH242" s="166"/>
      <c r="AI242" s="166"/>
    </row>
    <row r="243" spans="1:35" x14ac:dyDescent="0.2">
      <c r="A243" s="167" t="s">
        <v>203</v>
      </c>
      <c r="B243" s="162">
        <v>7</v>
      </c>
      <c r="C243" s="162">
        <f t="shared" si="6"/>
        <v>1368.75</v>
      </c>
      <c r="D243" s="162" t="s">
        <v>174</v>
      </c>
      <c r="E243" s="168">
        <v>4879305608.1789999</v>
      </c>
      <c r="F243" s="168">
        <v>4879305.6081790002</v>
      </c>
      <c r="G243" s="168">
        <v>4879.305608179</v>
      </c>
      <c r="H243" s="168">
        <v>4.8793056081790001</v>
      </c>
      <c r="I243" s="164" t="e">
        <f>H243*$O$9/0.1*INDEX(Country_details!$N$9:N393,MATCH(Solar_data!A243,Country_details!$A$9:$A$154,0))</f>
        <v>#N/A</v>
      </c>
      <c r="J243" s="164">
        <f t="shared" si="7"/>
        <v>1368.75</v>
      </c>
      <c r="K243" s="164"/>
      <c r="L243" s="164"/>
      <c r="M243" s="164"/>
      <c r="N243" s="164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6"/>
      <c r="Z243" s="166"/>
      <c r="AA243" s="166"/>
      <c r="AB243" s="166"/>
      <c r="AC243" s="166"/>
      <c r="AD243" s="166"/>
      <c r="AE243" s="166"/>
      <c r="AF243" s="166"/>
      <c r="AG243" s="166"/>
      <c r="AH243" s="166"/>
      <c r="AI243" s="166"/>
    </row>
    <row r="244" spans="1:35" x14ac:dyDescent="0.2">
      <c r="A244" s="167" t="s">
        <v>203</v>
      </c>
      <c r="B244" s="162">
        <v>8</v>
      </c>
      <c r="C244" s="162">
        <f t="shared" si="6"/>
        <v>1551.25</v>
      </c>
      <c r="D244" s="162" t="s">
        <v>164</v>
      </c>
      <c r="E244" s="168">
        <v>45253027526.278099</v>
      </c>
      <c r="F244" s="168">
        <v>45253027.526278101</v>
      </c>
      <c r="G244" s="168">
        <v>45253.0275262781</v>
      </c>
      <c r="H244" s="168">
        <v>45.253027526278103</v>
      </c>
      <c r="I244" s="164" t="e">
        <f>H244*$O$9/0.1*INDEX(Country_details!$N$9:N394,MATCH(Solar_data!A244,Country_details!$A$9:$A$154,0))</f>
        <v>#N/A</v>
      </c>
      <c r="J244" s="164">
        <f t="shared" si="7"/>
        <v>1551.25</v>
      </c>
      <c r="K244" s="164"/>
      <c r="L244" s="164"/>
      <c r="M244" s="164"/>
      <c r="N244" s="164"/>
      <c r="O244" s="166"/>
      <c r="P244" s="166"/>
      <c r="Q244" s="166"/>
      <c r="R244" s="166"/>
      <c r="S244" s="166"/>
      <c r="T244" s="166"/>
      <c r="U244" s="166"/>
      <c r="V244" s="166"/>
      <c r="W244" s="166"/>
      <c r="X244" s="166"/>
      <c r="Y244" s="166"/>
      <c r="Z244" s="166"/>
      <c r="AA244" s="166"/>
      <c r="AB244" s="166"/>
      <c r="AC244" s="166"/>
      <c r="AD244" s="166"/>
      <c r="AE244" s="166"/>
      <c r="AF244" s="166"/>
      <c r="AG244" s="166"/>
      <c r="AH244" s="166"/>
      <c r="AI244" s="166"/>
    </row>
    <row r="245" spans="1:35" x14ac:dyDescent="0.2">
      <c r="A245" s="167" t="s">
        <v>203</v>
      </c>
      <c r="B245" s="162">
        <v>9</v>
      </c>
      <c r="C245" s="162">
        <f t="shared" si="6"/>
        <v>1733.75</v>
      </c>
      <c r="D245" s="162" t="s">
        <v>157</v>
      </c>
      <c r="E245" s="168">
        <v>13508773439.514</v>
      </c>
      <c r="F245" s="168">
        <v>13508773.439514</v>
      </c>
      <c r="G245" s="168">
        <v>13508.773439514</v>
      </c>
      <c r="H245" s="168">
        <v>13.508773439514</v>
      </c>
      <c r="I245" s="164" t="e">
        <f>H245*$O$9/0.1*INDEX(Country_details!$N$9:N395,MATCH(Solar_data!A245,Country_details!$A$9:$A$154,0))</f>
        <v>#N/A</v>
      </c>
      <c r="J245" s="164">
        <f t="shared" si="7"/>
        <v>1733.75</v>
      </c>
      <c r="K245" s="164"/>
      <c r="L245" s="164"/>
      <c r="M245" s="164"/>
      <c r="N245" s="164"/>
      <c r="O245" s="166"/>
      <c r="P245" s="166"/>
      <c r="Q245" s="166"/>
      <c r="R245" s="166"/>
      <c r="S245" s="166"/>
      <c r="T245" s="166"/>
      <c r="U245" s="166"/>
      <c r="V245" s="166"/>
      <c r="W245" s="166"/>
      <c r="X245" s="166"/>
      <c r="Y245" s="166"/>
      <c r="Z245" s="166"/>
      <c r="AA245" s="166"/>
      <c r="AB245" s="166"/>
      <c r="AC245" s="166"/>
      <c r="AD245" s="166"/>
      <c r="AE245" s="166"/>
      <c r="AF245" s="166"/>
      <c r="AG245" s="166"/>
      <c r="AH245" s="166"/>
      <c r="AI245" s="166"/>
    </row>
    <row r="246" spans="1:35" x14ac:dyDescent="0.2">
      <c r="A246" s="167" t="s">
        <v>55</v>
      </c>
      <c r="B246" s="162">
        <v>10</v>
      </c>
      <c r="C246" s="162">
        <f t="shared" si="6"/>
        <v>1916.25</v>
      </c>
      <c r="D246" s="162" t="s">
        <v>159</v>
      </c>
      <c r="E246" s="168">
        <v>1795236106.9300001</v>
      </c>
      <c r="F246" s="168">
        <v>1795236.10693</v>
      </c>
      <c r="G246" s="168">
        <v>1795.23610693</v>
      </c>
      <c r="H246" s="168">
        <v>1.79523610693</v>
      </c>
      <c r="I246" s="164">
        <f>H246*$O$9/0.1*INDEX(Country_details!$N$9:N396,MATCH(Solar_data!A246,Country_details!$A$9:$A$154,0))</f>
        <v>4.3085666566320002</v>
      </c>
      <c r="J246" s="164">
        <f t="shared" si="7"/>
        <v>1916.25</v>
      </c>
      <c r="K246" s="164"/>
      <c r="L246" s="164"/>
      <c r="M246" s="164"/>
      <c r="N246" s="164"/>
      <c r="O246" s="166"/>
      <c r="P246" s="166"/>
      <c r="Q246" s="166"/>
      <c r="R246" s="166"/>
      <c r="S246" s="166"/>
      <c r="T246" s="166"/>
      <c r="U246" s="166"/>
      <c r="V246" s="166"/>
      <c r="W246" s="166"/>
      <c r="X246" s="166"/>
      <c r="Y246" s="166"/>
      <c r="Z246" s="166"/>
      <c r="AA246" s="166"/>
      <c r="AB246" s="166"/>
      <c r="AC246" s="166"/>
      <c r="AD246" s="166"/>
      <c r="AE246" s="166"/>
      <c r="AF246" s="166"/>
      <c r="AG246" s="166"/>
      <c r="AH246" s="166"/>
      <c r="AI246" s="166"/>
    </row>
    <row r="247" spans="1:35" x14ac:dyDescent="0.2">
      <c r="A247" s="167" t="s">
        <v>55</v>
      </c>
      <c r="B247" s="162">
        <v>11</v>
      </c>
      <c r="C247" s="162">
        <f t="shared" si="6"/>
        <v>2098.75</v>
      </c>
      <c r="D247" s="162" t="s">
        <v>161</v>
      </c>
      <c r="E247" s="168">
        <v>22525355070.7061</v>
      </c>
      <c r="F247" s="168">
        <v>22525355.070706099</v>
      </c>
      <c r="G247" s="168">
        <v>22525.3550707061</v>
      </c>
      <c r="H247" s="168">
        <v>22.525355070706102</v>
      </c>
      <c r="I247" s="164">
        <f>H247*$O$9/0.1*INDEX(Country_details!$N$9:N397,MATCH(Solar_data!A247,Country_details!$A$9:$A$154,0))</f>
        <v>54.060852169694641</v>
      </c>
      <c r="J247" s="164">
        <f t="shared" si="7"/>
        <v>2098.75</v>
      </c>
      <c r="K247" s="164"/>
      <c r="L247" s="164"/>
      <c r="M247" s="164"/>
      <c r="N247" s="164"/>
      <c r="O247" s="166"/>
      <c r="P247" s="166"/>
      <c r="Q247" s="166"/>
      <c r="R247" s="166"/>
      <c r="S247" s="166"/>
      <c r="T247" s="166"/>
      <c r="U247" s="166"/>
      <c r="V247" s="166"/>
      <c r="W247" s="166"/>
      <c r="X247" s="166"/>
      <c r="Y247" s="166"/>
      <c r="Z247" s="166"/>
      <c r="AA247" s="166"/>
      <c r="AB247" s="166"/>
      <c r="AC247" s="166"/>
      <c r="AD247" s="166"/>
      <c r="AE247" s="166"/>
      <c r="AF247" s="166"/>
      <c r="AG247" s="166"/>
      <c r="AH247" s="166"/>
      <c r="AI247" s="166"/>
    </row>
    <row r="248" spans="1:35" x14ac:dyDescent="0.2">
      <c r="A248" s="167" t="s">
        <v>55</v>
      </c>
      <c r="B248" s="162">
        <v>12</v>
      </c>
      <c r="C248" s="162">
        <f t="shared" si="6"/>
        <v>2281.25</v>
      </c>
      <c r="D248" s="162" t="s">
        <v>162</v>
      </c>
      <c r="E248" s="168">
        <v>188588876123.94379</v>
      </c>
      <c r="F248" s="168">
        <v>188588876.12394378</v>
      </c>
      <c r="G248" s="168">
        <v>188588.87612394377</v>
      </c>
      <c r="H248" s="168">
        <v>188.58887612394378</v>
      </c>
      <c r="I248" s="164">
        <f>H248*$O$9/0.1*INDEX(Country_details!$N$9:N398,MATCH(Solar_data!A248,Country_details!$A$9:$A$154,0))</f>
        <v>452.61330269746509</v>
      </c>
      <c r="J248" s="164">
        <f t="shared" si="7"/>
        <v>2281.25</v>
      </c>
      <c r="K248" s="164"/>
      <c r="L248" s="164"/>
      <c r="M248" s="164"/>
      <c r="N248" s="164"/>
      <c r="O248" s="166"/>
      <c r="P248" s="166"/>
      <c r="Q248" s="166"/>
      <c r="R248" s="166"/>
      <c r="S248" s="166"/>
      <c r="T248" s="166"/>
      <c r="U248" s="166"/>
      <c r="V248" s="166"/>
      <c r="W248" s="166"/>
      <c r="X248" s="166"/>
      <c r="Y248" s="166"/>
      <c r="Z248" s="166"/>
      <c r="AA248" s="166"/>
      <c r="AB248" s="166"/>
      <c r="AC248" s="166"/>
      <c r="AD248" s="166"/>
      <c r="AE248" s="166"/>
      <c r="AF248" s="166"/>
      <c r="AG248" s="166"/>
      <c r="AH248" s="166"/>
      <c r="AI248" s="166"/>
    </row>
    <row r="249" spans="1:35" x14ac:dyDescent="0.2">
      <c r="A249" s="167" t="s">
        <v>55</v>
      </c>
      <c r="B249" s="162">
        <v>13</v>
      </c>
      <c r="C249" s="162">
        <f t="shared" si="6"/>
        <v>2463.75</v>
      </c>
      <c r="D249" s="162" t="s">
        <v>163</v>
      </c>
      <c r="E249" s="168">
        <v>208448351623.18091</v>
      </c>
      <c r="F249" s="168">
        <v>208448351.62318093</v>
      </c>
      <c r="G249" s="168">
        <v>208448.35162318093</v>
      </c>
      <c r="H249" s="168">
        <v>208.44835162318094</v>
      </c>
      <c r="I249" s="164">
        <f>H249*$O$9/0.1*INDEX(Country_details!$N$9:N399,MATCH(Solar_data!A249,Country_details!$A$9:$A$154,0))</f>
        <v>500.27604389563425</v>
      </c>
      <c r="J249" s="164">
        <f t="shared" si="7"/>
        <v>2463.75</v>
      </c>
      <c r="K249" s="164"/>
      <c r="L249" s="164"/>
      <c r="M249" s="164"/>
      <c r="N249" s="164"/>
      <c r="O249" s="166"/>
      <c r="P249" s="166"/>
      <c r="Q249" s="166"/>
      <c r="R249" s="166"/>
      <c r="S249" s="166"/>
      <c r="T249" s="166"/>
      <c r="U249" s="166"/>
      <c r="V249" s="166"/>
      <c r="W249" s="166"/>
      <c r="X249" s="166"/>
      <c r="Y249" s="166"/>
      <c r="Z249" s="166"/>
      <c r="AA249" s="166"/>
      <c r="AB249" s="166"/>
      <c r="AC249" s="166"/>
      <c r="AD249" s="166"/>
      <c r="AE249" s="166"/>
      <c r="AF249" s="166"/>
      <c r="AG249" s="166"/>
      <c r="AH249" s="166"/>
      <c r="AI249" s="166"/>
    </row>
    <row r="250" spans="1:35" x14ac:dyDescent="0.2">
      <c r="A250" s="167" t="s">
        <v>204</v>
      </c>
      <c r="B250" s="162">
        <v>6</v>
      </c>
      <c r="C250" s="162">
        <f t="shared" si="6"/>
        <v>1186.25</v>
      </c>
      <c r="D250" s="162" t="s">
        <v>173</v>
      </c>
      <c r="E250" s="168">
        <v>79148788910.494904</v>
      </c>
      <c r="F250" s="168">
        <v>79148788.910494909</v>
      </c>
      <c r="G250" s="168">
        <v>79148.788910494914</v>
      </c>
      <c r="H250" s="168">
        <v>79.148788910494915</v>
      </c>
      <c r="I250" s="164" t="e">
        <f>H250*$O$9/0.1*INDEX(Country_details!$N$9:N400,MATCH(Solar_data!A250,Country_details!$A$9:$A$154,0))</f>
        <v>#N/A</v>
      </c>
      <c r="J250" s="164">
        <f t="shared" si="7"/>
        <v>1186.25</v>
      </c>
      <c r="K250" s="164"/>
      <c r="L250" s="164"/>
      <c r="M250" s="164"/>
      <c r="N250" s="164"/>
      <c r="O250" s="166"/>
      <c r="P250" s="166"/>
      <c r="Q250" s="166"/>
      <c r="R250" s="166"/>
      <c r="S250" s="166"/>
      <c r="T250" s="166"/>
      <c r="U250" s="166"/>
      <c r="V250" s="166"/>
      <c r="W250" s="166"/>
      <c r="X250" s="166"/>
      <c r="Y250" s="166"/>
      <c r="Z250" s="166"/>
      <c r="AA250" s="166"/>
      <c r="AB250" s="166"/>
      <c r="AC250" s="166"/>
      <c r="AD250" s="166"/>
      <c r="AE250" s="166"/>
      <c r="AF250" s="166"/>
      <c r="AG250" s="166"/>
      <c r="AH250" s="166"/>
      <c r="AI250" s="166"/>
    </row>
    <row r="251" spans="1:35" x14ac:dyDescent="0.2">
      <c r="A251" s="167" t="s">
        <v>56</v>
      </c>
      <c r="B251" s="162">
        <v>10</v>
      </c>
      <c r="C251" s="162">
        <f t="shared" si="6"/>
        <v>1916.25</v>
      </c>
      <c r="D251" s="162" t="s">
        <v>159</v>
      </c>
      <c r="E251" s="168">
        <v>221703703097.37021</v>
      </c>
      <c r="F251" s="168">
        <v>221703703.09737021</v>
      </c>
      <c r="G251" s="168">
        <v>221703.70309737022</v>
      </c>
      <c r="H251" s="168">
        <v>221.70370309737024</v>
      </c>
      <c r="I251" s="164">
        <f>H251*$O$9/0.1*INDEX(Country_details!$N$9:N401,MATCH(Solar_data!A251,Country_details!$A$9:$A$154,0))</f>
        <v>532.08888743368857</v>
      </c>
      <c r="J251" s="164">
        <f t="shared" si="7"/>
        <v>1916.25</v>
      </c>
      <c r="K251" s="164"/>
      <c r="L251" s="164"/>
      <c r="M251" s="164"/>
      <c r="N251" s="164"/>
      <c r="O251" s="166"/>
      <c r="P251" s="166"/>
      <c r="Q251" s="166"/>
      <c r="R251" s="166"/>
      <c r="S251" s="166"/>
      <c r="T251" s="166"/>
      <c r="U251" s="166"/>
      <c r="V251" s="166"/>
      <c r="W251" s="166"/>
      <c r="X251" s="166"/>
      <c r="Y251" s="166"/>
      <c r="Z251" s="166"/>
      <c r="AA251" s="166"/>
      <c r="AB251" s="166"/>
      <c r="AC251" s="166"/>
      <c r="AD251" s="166"/>
      <c r="AE251" s="166"/>
      <c r="AF251" s="166"/>
      <c r="AG251" s="166"/>
      <c r="AH251" s="166"/>
      <c r="AI251" s="166"/>
    </row>
    <row r="252" spans="1:35" x14ac:dyDescent="0.2">
      <c r="A252" s="167" t="s">
        <v>56</v>
      </c>
      <c r="B252" s="162">
        <v>11</v>
      </c>
      <c r="C252" s="162">
        <f t="shared" si="6"/>
        <v>2098.75</v>
      </c>
      <c r="D252" s="162" t="s">
        <v>161</v>
      </c>
      <c r="E252" s="168">
        <v>932703219091.6366</v>
      </c>
      <c r="F252" s="168">
        <v>932703219.09163666</v>
      </c>
      <c r="G252" s="168">
        <v>932703.21909163671</v>
      </c>
      <c r="H252" s="168">
        <v>932.7032190916367</v>
      </c>
      <c r="I252" s="164">
        <f>H252*$O$9/0.1*INDEX(Country_details!$N$9:N402,MATCH(Solar_data!A252,Country_details!$A$9:$A$154,0))</f>
        <v>2238.4877258199281</v>
      </c>
      <c r="J252" s="164">
        <f t="shared" si="7"/>
        <v>2098.75</v>
      </c>
      <c r="K252" s="164"/>
      <c r="L252" s="164"/>
      <c r="M252" s="164"/>
      <c r="N252" s="164"/>
      <c r="O252" s="166"/>
      <c r="P252" s="166"/>
      <c r="Q252" s="166"/>
      <c r="R252" s="166"/>
      <c r="S252" s="166"/>
      <c r="T252" s="166"/>
      <c r="U252" s="166"/>
      <c r="V252" s="166"/>
      <c r="W252" s="166"/>
      <c r="X252" s="166"/>
      <c r="Y252" s="166"/>
      <c r="Z252" s="166"/>
      <c r="AA252" s="166"/>
      <c r="AB252" s="166"/>
      <c r="AC252" s="166"/>
      <c r="AD252" s="166"/>
      <c r="AE252" s="166"/>
      <c r="AF252" s="166"/>
      <c r="AG252" s="166"/>
      <c r="AH252" s="166"/>
      <c r="AI252" s="166"/>
    </row>
    <row r="253" spans="1:35" x14ac:dyDescent="0.2">
      <c r="A253" s="167" t="s">
        <v>56</v>
      </c>
      <c r="B253" s="162">
        <v>12</v>
      </c>
      <c r="C253" s="162">
        <f t="shared" si="6"/>
        <v>2281.25</v>
      </c>
      <c r="D253" s="162" t="s">
        <v>162</v>
      </c>
      <c r="E253" s="168">
        <v>2099941273101.3665</v>
      </c>
      <c r="F253" s="168">
        <v>2099941273.1013665</v>
      </c>
      <c r="G253" s="168">
        <v>2099941.2731013666</v>
      </c>
      <c r="H253" s="168">
        <v>2099.9412731013667</v>
      </c>
      <c r="I253" s="164">
        <f>H253*$O$9/0.1*INDEX(Country_details!$N$9:N403,MATCH(Solar_data!A253,Country_details!$A$9:$A$154,0))</f>
        <v>5039.8590554432803</v>
      </c>
      <c r="J253" s="164">
        <f t="shared" si="7"/>
        <v>2281.25</v>
      </c>
      <c r="K253" s="164"/>
      <c r="L253" s="164"/>
      <c r="M253" s="164"/>
      <c r="N253" s="164"/>
      <c r="O253" s="166"/>
      <c r="P253" s="166"/>
      <c r="Q253" s="166"/>
      <c r="R253" s="166"/>
      <c r="S253" s="166"/>
      <c r="T253" s="166"/>
      <c r="U253" s="166"/>
      <c r="V253" s="166"/>
      <c r="W253" s="166"/>
      <c r="X253" s="166"/>
      <c r="Y253" s="166"/>
      <c r="Z253" s="166"/>
      <c r="AA253" s="166"/>
      <c r="AB253" s="166"/>
      <c r="AC253" s="166"/>
      <c r="AD253" s="166"/>
      <c r="AE253" s="166"/>
      <c r="AF253" s="166"/>
      <c r="AG253" s="166"/>
      <c r="AH253" s="166"/>
      <c r="AI253" s="166"/>
    </row>
    <row r="254" spans="1:35" x14ac:dyDescent="0.2">
      <c r="A254" s="167" t="s">
        <v>56</v>
      </c>
      <c r="B254" s="162">
        <v>13</v>
      </c>
      <c r="C254" s="162">
        <f t="shared" si="6"/>
        <v>2463.75</v>
      </c>
      <c r="D254" s="162" t="s">
        <v>163</v>
      </c>
      <c r="E254" s="168">
        <v>545305278791.58258</v>
      </c>
      <c r="F254" s="168">
        <v>545305278.79158258</v>
      </c>
      <c r="G254" s="168">
        <v>545305.27879158256</v>
      </c>
      <c r="H254" s="168">
        <v>545.30527879158262</v>
      </c>
      <c r="I254" s="164">
        <f>H254*$O$9/0.1*INDEX(Country_details!$N$9:N404,MATCH(Solar_data!A254,Country_details!$A$9:$A$154,0))</f>
        <v>1308.7326690997982</v>
      </c>
      <c r="J254" s="164">
        <f t="shared" si="7"/>
        <v>2463.75</v>
      </c>
      <c r="K254" s="164"/>
      <c r="L254" s="164"/>
      <c r="M254" s="164"/>
      <c r="N254" s="164"/>
      <c r="O254" s="166"/>
      <c r="P254" s="166"/>
      <c r="Q254" s="166"/>
      <c r="R254" s="166"/>
      <c r="S254" s="166"/>
      <c r="T254" s="166"/>
      <c r="U254" s="166"/>
      <c r="V254" s="166"/>
      <c r="W254" s="166"/>
      <c r="X254" s="166"/>
      <c r="Y254" s="166"/>
      <c r="Z254" s="166"/>
      <c r="AA254" s="166"/>
      <c r="AB254" s="166"/>
      <c r="AC254" s="166"/>
      <c r="AD254" s="166"/>
      <c r="AE254" s="166"/>
      <c r="AF254" s="166"/>
      <c r="AG254" s="166"/>
      <c r="AH254" s="166"/>
      <c r="AI254" s="166"/>
    </row>
    <row r="255" spans="1:35" x14ac:dyDescent="0.2">
      <c r="A255" s="167" t="s">
        <v>205</v>
      </c>
      <c r="B255" s="162">
        <v>7</v>
      </c>
      <c r="C255" s="162">
        <f t="shared" si="6"/>
        <v>1368.75</v>
      </c>
      <c r="D255" s="162" t="s">
        <v>174</v>
      </c>
      <c r="E255" s="168">
        <v>20978817447.298</v>
      </c>
      <c r="F255" s="168">
        <v>20978817.447298001</v>
      </c>
      <c r="G255" s="168">
        <v>20978.817447298003</v>
      </c>
      <c r="H255" s="168">
        <v>20.978817447298002</v>
      </c>
      <c r="I255" s="164" t="e">
        <f>H255*$O$9/0.1*INDEX(Country_details!$N$9:N405,MATCH(Solar_data!A255,Country_details!$A$9:$A$154,0))</f>
        <v>#N/A</v>
      </c>
      <c r="J255" s="164">
        <f t="shared" si="7"/>
        <v>1368.75</v>
      </c>
      <c r="K255" s="164"/>
      <c r="L255" s="164"/>
      <c r="M255" s="164"/>
      <c r="N255" s="164"/>
      <c r="O255" s="166"/>
      <c r="P255" s="166"/>
      <c r="Q255" s="166"/>
      <c r="R255" s="166"/>
      <c r="S255" s="166"/>
      <c r="T255" s="166"/>
      <c r="U255" s="166"/>
      <c r="V255" s="166"/>
      <c r="W255" s="166"/>
      <c r="X255" s="166"/>
      <c r="Y255" s="166"/>
      <c r="Z255" s="166"/>
      <c r="AA255" s="166"/>
      <c r="AB255" s="166"/>
      <c r="AC255" s="166"/>
      <c r="AD255" s="166"/>
      <c r="AE255" s="166"/>
      <c r="AF255" s="166"/>
      <c r="AG255" s="166"/>
      <c r="AH255" s="166"/>
      <c r="AI255" s="166"/>
    </row>
    <row r="256" spans="1:35" x14ac:dyDescent="0.2">
      <c r="A256" s="167" t="s">
        <v>206</v>
      </c>
      <c r="B256" s="162">
        <v>4</v>
      </c>
      <c r="C256" s="162">
        <f t="shared" si="6"/>
        <v>821.25</v>
      </c>
      <c r="D256" s="162" t="s">
        <v>171</v>
      </c>
      <c r="E256" s="168">
        <v>105667634.83059999</v>
      </c>
      <c r="F256" s="168">
        <v>105667.6348306</v>
      </c>
      <c r="G256" s="168">
        <v>105.66763483060001</v>
      </c>
      <c r="H256" s="168">
        <v>0.10566763483060002</v>
      </c>
      <c r="I256" s="164" t="e">
        <f>H256*$O$9/0.1*INDEX(Country_details!$N$9:N406,MATCH(Solar_data!A256,Country_details!$A$9:$A$154,0))</f>
        <v>#N/A</v>
      </c>
      <c r="J256" s="164">
        <f t="shared" si="7"/>
        <v>821.25</v>
      </c>
      <c r="K256" s="164"/>
      <c r="L256" s="164"/>
      <c r="M256" s="164"/>
      <c r="N256" s="164"/>
      <c r="O256" s="166"/>
      <c r="P256" s="166"/>
      <c r="Q256" s="166"/>
      <c r="R256" s="166"/>
      <c r="S256" s="166"/>
      <c r="T256" s="166"/>
      <c r="U256" s="166"/>
      <c r="V256" s="166"/>
      <c r="W256" s="166"/>
      <c r="X256" s="166"/>
      <c r="Y256" s="166"/>
      <c r="Z256" s="166"/>
      <c r="AA256" s="166"/>
      <c r="AB256" s="166"/>
      <c r="AC256" s="166"/>
      <c r="AD256" s="166"/>
      <c r="AE256" s="166"/>
      <c r="AF256" s="166"/>
      <c r="AG256" s="166"/>
      <c r="AH256" s="166"/>
      <c r="AI256" s="166"/>
    </row>
    <row r="257" spans="1:35" x14ac:dyDescent="0.2">
      <c r="A257" s="167" t="s">
        <v>206</v>
      </c>
      <c r="B257" s="162">
        <v>5</v>
      </c>
      <c r="C257" s="162">
        <f t="shared" si="6"/>
        <v>1003.75</v>
      </c>
      <c r="D257" s="162" t="s">
        <v>172</v>
      </c>
      <c r="E257" s="168">
        <v>879833048.03770006</v>
      </c>
      <c r="F257" s="168">
        <v>879833.04803770012</v>
      </c>
      <c r="G257" s="168">
        <v>879.83304803770011</v>
      </c>
      <c r="H257" s="168">
        <v>0.87983304803770013</v>
      </c>
      <c r="I257" s="164" t="e">
        <f>H257*$O$9/0.1*INDEX(Country_details!$N$9:N407,MATCH(Solar_data!A257,Country_details!$A$9:$A$154,0))</f>
        <v>#N/A</v>
      </c>
      <c r="J257" s="164">
        <f t="shared" si="7"/>
        <v>1003.75</v>
      </c>
      <c r="K257" s="164"/>
      <c r="L257" s="164"/>
      <c r="M257" s="164"/>
      <c r="N257" s="164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6"/>
      <c r="Z257" s="166"/>
      <c r="AA257" s="166"/>
      <c r="AB257" s="166"/>
      <c r="AC257" s="166"/>
      <c r="AD257" s="166"/>
      <c r="AE257" s="166"/>
      <c r="AF257" s="166"/>
      <c r="AG257" s="166"/>
      <c r="AH257" s="166"/>
      <c r="AI257" s="166"/>
    </row>
    <row r="258" spans="1:35" x14ac:dyDescent="0.2">
      <c r="A258" s="167" t="s">
        <v>57</v>
      </c>
      <c r="B258" s="162">
        <v>9</v>
      </c>
      <c r="C258" s="162">
        <f t="shared" si="6"/>
        <v>1733.75</v>
      </c>
      <c r="D258" s="162" t="s">
        <v>157</v>
      </c>
      <c r="E258" s="168">
        <v>11373384638.5</v>
      </c>
      <c r="F258" s="168">
        <v>11373384.638499999</v>
      </c>
      <c r="G258" s="168">
        <v>11373.3846385</v>
      </c>
      <c r="H258" s="168">
        <v>11.373384638499999</v>
      </c>
      <c r="I258" s="164">
        <f>H258*$O$9/0.1*INDEX(Country_details!$N$9:N408,MATCH(Solar_data!A258,Country_details!$A$9:$A$154,0))</f>
        <v>30.708138523949998</v>
      </c>
      <c r="J258" s="164">
        <f t="shared" si="7"/>
        <v>1733.75</v>
      </c>
      <c r="K258" s="164"/>
      <c r="L258" s="164"/>
      <c r="M258" s="164"/>
      <c r="N258" s="164"/>
      <c r="O258" s="166"/>
      <c r="P258" s="166"/>
      <c r="Q258" s="166"/>
      <c r="R258" s="166"/>
      <c r="S258" s="166"/>
      <c r="T258" s="166"/>
      <c r="U258" s="166"/>
      <c r="V258" s="166"/>
      <c r="W258" s="166"/>
      <c r="X258" s="166"/>
      <c r="Y258" s="166"/>
      <c r="Z258" s="166"/>
      <c r="AA258" s="166"/>
      <c r="AB258" s="166"/>
      <c r="AC258" s="166"/>
      <c r="AD258" s="166"/>
      <c r="AE258" s="166"/>
      <c r="AF258" s="166"/>
      <c r="AG258" s="166"/>
      <c r="AH258" s="166"/>
      <c r="AI258" s="166"/>
    </row>
    <row r="259" spans="1:35" x14ac:dyDescent="0.2">
      <c r="A259" s="167" t="s">
        <v>57</v>
      </c>
      <c r="B259" s="162">
        <v>10</v>
      </c>
      <c r="C259" s="162">
        <f t="shared" si="6"/>
        <v>1916.25</v>
      </c>
      <c r="D259" s="162" t="s">
        <v>159</v>
      </c>
      <c r="E259" s="168">
        <v>17258813397.279999</v>
      </c>
      <c r="F259" s="168">
        <v>17258813.39728</v>
      </c>
      <c r="G259" s="168">
        <v>17258.813397279999</v>
      </c>
      <c r="H259" s="168">
        <v>17.258813397280001</v>
      </c>
      <c r="I259" s="164">
        <f>H259*$O$9/0.1*INDEX(Country_details!$N$9:N409,MATCH(Solar_data!A259,Country_details!$A$9:$A$154,0))</f>
        <v>46.598796172655994</v>
      </c>
      <c r="J259" s="164">
        <f t="shared" si="7"/>
        <v>1916.25</v>
      </c>
      <c r="K259" s="164"/>
      <c r="L259" s="164"/>
      <c r="M259" s="164"/>
      <c r="N259" s="164"/>
      <c r="O259" s="166"/>
      <c r="P259" s="166"/>
      <c r="Q259" s="166"/>
      <c r="R259" s="166"/>
      <c r="S259" s="166"/>
      <c r="T259" s="166"/>
      <c r="U259" s="166"/>
      <c r="V259" s="166"/>
      <c r="W259" s="166"/>
      <c r="X259" s="166"/>
      <c r="Y259" s="166"/>
      <c r="Z259" s="166"/>
      <c r="AA259" s="166"/>
      <c r="AB259" s="166"/>
      <c r="AC259" s="166"/>
      <c r="AD259" s="166"/>
      <c r="AE259" s="166"/>
      <c r="AF259" s="166"/>
      <c r="AG259" s="166"/>
      <c r="AH259" s="166"/>
      <c r="AI259" s="166"/>
    </row>
    <row r="260" spans="1:35" x14ac:dyDescent="0.2">
      <c r="A260" s="167" t="s">
        <v>57</v>
      </c>
      <c r="B260" s="162">
        <v>11</v>
      </c>
      <c r="C260" s="162">
        <f t="shared" si="6"/>
        <v>2098.75</v>
      </c>
      <c r="D260" s="162" t="s">
        <v>161</v>
      </c>
      <c r="E260" s="168">
        <v>24325784687.7528</v>
      </c>
      <c r="F260" s="168">
        <v>24325784.687752802</v>
      </c>
      <c r="G260" s="168">
        <v>24325.784687752803</v>
      </c>
      <c r="H260" s="168">
        <v>24.325784687752805</v>
      </c>
      <c r="I260" s="164">
        <f>H260*$O$9/0.1*INDEX(Country_details!$N$9:N410,MATCH(Solar_data!A260,Country_details!$A$9:$A$154,0))</f>
        <v>65.679618656932561</v>
      </c>
      <c r="J260" s="164">
        <f t="shared" si="7"/>
        <v>2098.75</v>
      </c>
      <c r="K260" s="164"/>
      <c r="L260" s="164"/>
      <c r="M260" s="164"/>
      <c r="N260" s="164"/>
      <c r="O260" s="166"/>
      <c r="P260" s="166"/>
      <c r="Q260" s="166"/>
      <c r="R260" s="166"/>
      <c r="S260" s="166"/>
      <c r="T260" s="166"/>
      <c r="U260" s="166"/>
      <c r="V260" s="166"/>
      <c r="W260" s="166"/>
      <c r="X260" s="166"/>
      <c r="Y260" s="166"/>
      <c r="Z260" s="166"/>
      <c r="AA260" s="166"/>
      <c r="AB260" s="166"/>
      <c r="AC260" s="166"/>
      <c r="AD260" s="166"/>
      <c r="AE260" s="166"/>
      <c r="AF260" s="166"/>
      <c r="AG260" s="166"/>
      <c r="AH260" s="166"/>
      <c r="AI260" s="166"/>
    </row>
    <row r="261" spans="1:35" x14ac:dyDescent="0.2">
      <c r="A261" s="167" t="s">
        <v>58</v>
      </c>
      <c r="B261" s="162">
        <v>5</v>
      </c>
      <c r="C261" s="162">
        <f t="shared" ref="C261:C324" si="8">(0.5*B261+0.25)*365</f>
        <v>1003.75</v>
      </c>
      <c r="D261" s="162" t="s">
        <v>172</v>
      </c>
      <c r="E261" s="168">
        <v>409321733760.73187</v>
      </c>
      <c r="F261" s="168">
        <v>409321733.76073188</v>
      </c>
      <c r="G261" s="168">
        <v>409321.73376073188</v>
      </c>
      <c r="H261" s="168">
        <v>409.32173376073189</v>
      </c>
      <c r="I261" s="164">
        <f>H261*$O$9/0.1*INDEX(Country_details!$N$9:N411,MATCH(Solar_data!A261,Country_details!$A$9:$A$154,0))</f>
        <v>1105.168681153976</v>
      </c>
      <c r="J261" s="164">
        <f t="shared" si="7"/>
        <v>1003.75</v>
      </c>
      <c r="K261" s="164"/>
      <c r="L261" s="164"/>
      <c r="M261" s="164"/>
      <c r="N261" s="164"/>
      <c r="O261" s="166"/>
      <c r="P261" s="166"/>
      <c r="Q261" s="166"/>
      <c r="R261" s="166"/>
      <c r="S261" s="166"/>
      <c r="T261" s="166"/>
      <c r="U261" s="166"/>
      <c r="V261" s="166"/>
      <c r="W261" s="166"/>
      <c r="X261" s="166"/>
      <c r="Y261" s="166"/>
      <c r="Z261" s="166"/>
      <c r="AA261" s="166"/>
      <c r="AB261" s="166"/>
      <c r="AC261" s="166"/>
      <c r="AD261" s="166"/>
      <c r="AE261" s="166"/>
      <c r="AF261" s="166"/>
      <c r="AG261" s="166"/>
      <c r="AH261" s="166"/>
      <c r="AI261" s="166"/>
    </row>
    <row r="262" spans="1:35" x14ac:dyDescent="0.2">
      <c r="A262" s="167" t="s">
        <v>58</v>
      </c>
      <c r="B262" s="162">
        <v>6</v>
      </c>
      <c r="C262" s="162">
        <f t="shared" si="8"/>
        <v>1186.25</v>
      </c>
      <c r="D262" s="162" t="s">
        <v>173</v>
      </c>
      <c r="E262" s="168">
        <v>116377133411.84731</v>
      </c>
      <c r="F262" s="168">
        <v>116377133.41184731</v>
      </c>
      <c r="G262" s="168">
        <v>116377.13341184732</v>
      </c>
      <c r="H262" s="168">
        <v>116.37713341184732</v>
      </c>
      <c r="I262" s="164">
        <f>H262*$O$9/0.1*INDEX(Country_details!$N$9:N412,MATCH(Solar_data!A262,Country_details!$A$9:$A$154,0))</f>
        <v>314.21826021198774</v>
      </c>
      <c r="J262" s="164">
        <f t="shared" si="7"/>
        <v>1186.25</v>
      </c>
      <c r="K262" s="164"/>
      <c r="L262" s="164"/>
      <c r="M262" s="164"/>
      <c r="N262" s="164"/>
      <c r="O262" s="166"/>
      <c r="P262" s="166"/>
      <c r="Q262" s="166"/>
      <c r="R262" s="166"/>
      <c r="S262" s="166"/>
      <c r="T262" s="166"/>
      <c r="U262" s="166"/>
      <c r="V262" s="166"/>
      <c r="W262" s="166"/>
      <c r="X262" s="166"/>
      <c r="Y262" s="166"/>
      <c r="Z262" s="166"/>
      <c r="AA262" s="166"/>
      <c r="AB262" s="166"/>
      <c r="AC262" s="166"/>
      <c r="AD262" s="166"/>
      <c r="AE262" s="166"/>
      <c r="AF262" s="166"/>
      <c r="AG262" s="166"/>
      <c r="AH262" s="166"/>
      <c r="AI262" s="166"/>
    </row>
    <row r="263" spans="1:35" x14ac:dyDescent="0.2">
      <c r="A263" s="167" t="s">
        <v>59</v>
      </c>
      <c r="B263" s="162">
        <v>6</v>
      </c>
      <c r="C263" s="162">
        <f t="shared" si="8"/>
        <v>1186.25</v>
      </c>
      <c r="D263" s="162" t="s">
        <v>173</v>
      </c>
      <c r="E263" s="168">
        <v>181578930046.00491</v>
      </c>
      <c r="F263" s="168">
        <v>181578930.04600492</v>
      </c>
      <c r="G263" s="168">
        <v>181578.93004600491</v>
      </c>
      <c r="H263" s="168">
        <v>181.57893004600493</v>
      </c>
      <c r="I263" s="164">
        <f>H263*$O$9/0.1*INDEX(Country_details!$N$9:N413,MATCH(Solar_data!A263,Country_details!$A$9:$A$154,0))</f>
        <v>490.26311112421325</v>
      </c>
      <c r="J263" s="164">
        <f t="shared" si="7"/>
        <v>1186.25</v>
      </c>
      <c r="K263" s="164"/>
      <c r="L263" s="164"/>
      <c r="M263" s="164"/>
      <c r="N263" s="164"/>
      <c r="O263" s="166"/>
      <c r="P263" s="166"/>
      <c r="Q263" s="166"/>
      <c r="R263" s="166"/>
      <c r="S263" s="166"/>
      <c r="T263" s="166"/>
      <c r="U263" s="166"/>
      <c r="V263" s="166"/>
      <c r="W263" s="166"/>
      <c r="X263" s="166"/>
      <c r="Y263" s="166"/>
      <c r="Z263" s="166"/>
      <c r="AA263" s="166"/>
      <c r="AB263" s="166"/>
      <c r="AC263" s="166"/>
      <c r="AD263" s="166"/>
      <c r="AE263" s="166"/>
      <c r="AF263" s="166"/>
      <c r="AG263" s="166"/>
      <c r="AH263" s="166"/>
      <c r="AI263" s="166"/>
    </row>
    <row r="264" spans="1:35" x14ac:dyDescent="0.2">
      <c r="A264" s="167" t="s">
        <v>59</v>
      </c>
      <c r="B264" s="162">
        <v>7</v>
      </c>
      <c r="C264" s="162">
        <f t="shared" si="8"/>
        <v>1368.75</v>
      </c>
      <c r="D264" s="162" t="s">
        <v>174</v>
      </c>
      <c r="E264" s="168">
        <v>427204624101.07098</v>
      </c>
      <c r="F264" s="168">
        <v>427204624.101071</v>
      </c>
      <c r="G264" s="168">
        <v>427204.62410107104</v>
      </c>
      <c r="H264" s="168">
        <v>427.20462410107103</v>
      </c>
      <c r="I264" s="164">
        <f>H264*$O$9/0.1*INDEX(Country_details!$N$9:N414,MATCH(Solar_data!A264,Country_details!$A$9:$A$154,0))</f>
        <v>1153.4524850728917</v>
      </c>
      <c r="J264" s="164">
        <f t="shared" si="7"/>
        <v>1368.75</v>
      </c>
      <c r="K264" s="164"/>
      <c r="L264" s="164"/>
      <c r="M264" s="164"/>
      <c r="N264" s="164"/>
      <c r="O264" s="166"/>
      <c r="P264" s="166"/>
      <c r="Q264" s="166"/>
      <c r="R264" s="166"/>
      <c r="S264" s="166"/>
      <c r="T264" s="166"/>
      <c r="U264" s="166"/>
      <c r="V264" s="166"/>
      <c r="W264" s="166"/>
      <c r="X264" s="166"/>
      <c r="Y264" s="166"/>
      <c r="Z264" s="166"/>
      <c r="AA264" s="166"/>
      <c r="AB264" s="166"/>
      <c r="AC264" s="166"/>
      <c r="AD264" s="166"/>
      <c r="AE264" s="166"/>
      <c r="AF264" s="166"/>
      <c r="AG264" s="166"/>
      <c r="AH264" s="166"/>
      <c r="AI264" s="166"/>
    </row>
    <row r="265" spans="1:35" x14ac:dyDescent="0.2">
      <c r="A265" s="167" t="s">
        <v>59</v>
      </c>
      <c r="B265" s="162">
        <v>8</v>
      </c>
      <c r="C265" s="162">
        <f t="shared" si="8"/>
        <v>1551.25</v>
      </c>
      <c r="D265" s="162" t="s">
        <v>164</v>
      </c>
      <c r="E265" s="168">
        <v>357060747039.9516</v>
      </c>
      <c r="F265" s="168">
        <v>357060747.03995162</v>
      </c>
      <c r="G265" s="168">
        <v>357060.74703995162</v>
      </c>
      <c r="H265" s="168">
        <v>357.06074703995165</v>
      </c>
      <c r="I265" s="164">
        <f>H265*$O$9/0.1*INDEX(Country_details!$N$9:N415,MATCH(Solar_data!A265,Country_details!$A$9:$A$154,0))</f>
        <v>964.06401700786955</v>
      </c>
      <c r="J265" s="164">
        <f t="shared" ref="J265:J328" si="9">(0.5*B265+0.25)*365</f>
        <v>1551.25</v>
      </c>
      <c r="K265" s="164"/>
      <c r="L265" s="164"/>
      <c r="M265" s="164"/>
      <c r="N265" s="164"/>
      <c r="O265" s="166"/>
      <c r="P265" s="166"/>
      <c r="Q265" s="166"/>
      <c r="R265" s="166"/>
      <c r="S265" s="166"/>
      <c r="T265" s="166"/>
      <c r="U265" s="166"/>
      <c r="V265" s="166"/>
      <c r="W265" s="166"/>
      <c r="X265" s="166"/>
      <c r="Y265" s="166"/>
      <c r="Z265" s="166"/>
      <c r="AA265" s="166"/>
      <c r="AB265" s="166"/>
      <c r="AC265" s="166"/>
      <c r="AD265" s="166"/>
      <c r="AE265" s="166"/>
      <c r="AF265" s="166"/>
      <c r="AG265" s="166"/>
      <c r="AH265" s="166"/>
      <c r="AI265" s="166"/>
    </row>
    <row r="266" spans="1:35" x14ac:dyDescent="0.2">
      <c r="A266" s="167" t="s">
        <v>59</v>
      </c>
      <c r="B266" s="162">
        <v>9</v>
      </c>
      <c r="C266" s="162">
        <f t="shared" si="8"/>
        <v>1733.75</v>
      </c>
      <c r="D266" s="162" t="s">
        <v>157</v>
      </c>
      <c r="E266" s="168">
        <v>176182330492.32089</v>
      </c>
      <c r="F266" s="168">
        <v>176182330.4923209</v>
      </c>
      <c r="G266" s="168">
        <v>176182.33049232091</v>
      </c>
      <c r="H266" s="168">
        <v>176.18233049232092</v>
      </c>
      <c r="I266" s="164">
        <f>H266*$O$9/0.1*INDEX(Country_details!$N$9:N416,MATCH(Solar_data!A266,Country_details!$A$9:$A$154,0))</f>
        <v>475.69229232926648</v>
      </c>
      <c r="J266" s="164">
        <f t="shared" si="9"/>
        <v>1733.75</v>
      </c>
      <c r="K266" s="164"/>
      <c r="L266" s="164"/>
      <c r="M266" s="164"/>
      <c r="N266" s="164"/>
      <c r="O266" s="166"/>
      <c r="P266" s="166"/>
      <c r="Q266" s="166"/>
      <c r="R266" s="166"/>
      <c r="S266" s="166"/>
      <c r="T266" s="166"/>
      <c r="U266" s="166"/>
      <c r="V266" s="166"/>
      <c r="W266" s="166"/>
      <c r="X266" s="166"/>
      <c r="Y266" s="166"/>
      <c r="Z266" s="166"/>
      <c r="AA266" s="166"/>
      <c r="AB266" s="166"/>
      <c r="AC266" s="166"/>
      <c r="AD266" s="166"/>
      <c r="AE266" s="166"/>
      <c r="AF266" s="166"/>
      <c r="AG266" s="166"/>
      <c r="AH266" s="166"/>
      <c r="AI266" s="166"/>
    </row>
    <row r="267" spans="1:35" x14ac:dyDescent="0.2">
      <c r="A267" s="167" t="s">
        <v>59</v>
      </c>
      <c r="B267" s="162">
        <v>10</v>
      </c>
      <c r="C267" s="162">
        <f t="shared" si="8"/>
        <v>1916.25</v>
      </c>
      <c r="D267" s="162" t="s">
        <v>159</v>
      </c>
      <c r="E267" s="168">
        <v>40583800585.659897</v>
      </c>
      <c r="F267" s="168">
        <v>40583800.585659899</v>
      </c>
      <c r="G267" s="168">
        <v>40583.800585659897</v>
      </c>
      <c r="H267" s="168">
        <v>40.583800585659901</v>
      </c>
      <c r="I267" s="164">
        <f>H267*$O$9/0.1*INDEX(Country_details!$N$9:N417,MATCH(Solar_data!A267,Country_details!$A$9:$A$154,0))</f>
        <v>109.57626158128174</v>
      </c>
      <c r="J267" s="164">
        <f t="shared" si="9"/>
        <v>1916.25</v>
      </c>
      <c r="K267" s="164"/>
      <c r="L267" s="164"/>
      <c r="M267" s="164"/>
      <c r="N267" s="164"/>
      <c r="O267" s="166"/>
      <c r="P267" s="166"/>
      <c r="Q267" s="166"/>
      <c r="R267" s="166"/>
      <c r="S267" s="166"/>
      <c r="T267" s="166"/>
      <c r="U267" s="166"/>
      <c r="V267" s="166"/>
      <c r="W267" s="166"/>
      <c r="X267" s="166"/>
      <c r="Y267" s="166"/>
      <c r="Z267" s="166"/>
      <c r="AA267" s="166"/>
      <c r="AB267" s="166"/>
      <c r="AC267" s="166"/>
      <c r="AD267" s="166"/>
      <c r="AE267" s="166"/>
      <c r="AF267" s="166"/>
      <c r="AG267" s="166"/>
      <c r="AH267" s="166"/>
      <c r="AI267" s="166"/>
    </row>
    <row r="268" spans="1:35" x14ac:dyDescent="0.2">
      <c r="A268" s="167" t="s">
        <v>207</v>
      </c>
      <c r="B268" s="162">
        <v>9</v>
      </c>
      <c r="C268" s="162">
        <f t="shared" si="8"/>
        <v>1733.75</v>
      </c>
      <c r="D268" s="162" t="s">
        <v>157</v>
      </c>
      <c r="E268" s="168">
        <v>70855846573.699203</v>
      </c>
      <c r="F268" s="168">
        <v>70855846.573699206</v>
      </c>
      <c r="G268" s="168">
        <v>70855.846573699208</v>
      </c>
      <c r="H268" s="168">
        <v>70.85584657369921</v>
      </c>
      <c r="I268" s="164" t="e">
        <f>H268*$O$9/0.1*INDEX(Country_details!$N$9:N418,MATCH(Solar_data!A268,Country_details!$A$9:$A$154,0))</f>
        <v>#N/A</v>
      </c>
      <c r="J268" s="164">
        <f t="shared" si="9"/>
        <v>1733.75</v>
      </c>
      <c r="K268" s="164"/>
      <c r="L268" s="164"/>
      <c r="M268" s="164"/>
      <c r="N268" s="164"/>
      <c r="O268" s="166"/>
      <c r="P268" s="166"/>
      <c r="Q268" s="166"/>
      <c r="R268" s="166"/>
      <c r="S268" s="166"/>
      <c r="T268" s="166"/>
      <c r="U268" s="166"/>
      <c r="V268" s="166"/>
      <c r="W268" s="166"/>
      <c r="X268" s="166"/>
      <c r="Y268" s="166"/>
      <c r="Z268" s="166"/>
      <c r="AA268" s="166"/>
      <c r="AB268" s="166"/>
      <c r="AC268" s="166"/>
      <c r="AD268" s="166"/>
      <c r="AE268" s="166"/>
      <c r="AF268" s="166"/>
      <c r="AG268" s="166"/>
      <c r="AH268" s="166"/>
      <c r="AI268" s="166"/>
    </row>
    <row r="269" spans="1:35" x14ac:dyDescent="0.2">
      <c r="A269" s="167" t="s">
        <v>207</v>
      </c>
      <c r="B269" s="162">
        <v>10</v>
      </c>
      <c r="C269" s="162">
        <f t="shared" si="8"/>
        <v>1916.25</v>
      </c>
      <c r="D269" s="162" t="s">
        <v>159</v>
      </c>
      <c r="E269" s="168">
        <v>154123910756.45291</v>
      </c>
      <c r="F269" s="168">
        <v>154123910.75645292</v>
      </c>
      <c r="G269" s="168">
        <v>154123.91075645291</v>
      </c>
      <c r="H269" s="168">
        <v>154.12391075645291</v>
      </c>
      <c r="I269" s="164" t="e">
        <f>H269*$O$9/0.1*INDEX(Country_details!$N$9:N419,MATCH(Solar_data!A269,Country_details!$A$9:$A$154,0))</f>
        <v>#N/A</v>
      </c>
      <c r="J269" s="164">
        <f t="shared" si="9"/>
        <v>1916.25</v>
      </c>
      <c r="K269" s="164"/>
      <c r="L269" s="164"/>
      <c r="M269" s="164"/>
      <c r="N269" s="164"/>
      <c r="O269" s="166"/>
      <c r="P269" s="166"/>
      <c r="Q269" s="166"/>
      <c r="R269" s="166"/>
      <c r="S269" s="166"/>
      <c r="T269" s="166"/>
      <c r="U269" s="166"/>
      <c r="V269" s="166"/>
      <c r="W269" s="166"/>
      <c r="X269" s="166"/>
      <c r="Y269" s="166"/>
      <c r="Z269" s="166"/>
      <c r="AA269" s="166"/>
      <c r="AB269" s="166"/>
      <c r="AC269" s="166"/>
      <c r="AD269" s="166"/>
      <c r="AE269" s="166"/>
      <c r="AF269" s="166"/>
      <c r="AG269" s="166"/>
      <c r="AH269" s="166"/>
      <c r="AI269" s="166"/>
    </row>
    <row r="270" spans="1:35" x14ac:dyDescent="0.2">
      <c r="A270" s="167" t="s">
        <v>207</v>
      </c>
      <c r="B270" s="162">
        <v>11</v>
      </c>
      <c r="C270" s="162">
        <f t="shared" si="8"/>
        <v>2098.75</v>
      </c>
      <c r="D270" s="162" t="s">
        <v>161</v>
      </c>
      <c r="E270" s="168">
        <v>5767114738.9099998</v>
      </c>
      <c r="F270" s="168">
        <v>5767114.7389099998</v>
      </c>
      <c r="G270" s="168">
        <v>5767.1147389099997</v>
      </c>
      <c r="H270" s="168">
        <v>5.7671147389100001</v>
      </c>
      <c r="I270" s="164" t="e">
        <f>H270*$O$9/0.1*INDEX(Country_details!$N$9:N420,MATCH(Solar_data!A270,Country_details!$A$9:$A$154,0))</f>
        <v>#N/A</v>
      </c>
      <c r="J270" s="164">
        <f t="shared" si="9"/>
        <v>2098.75</v>
      </c>
      <c r="K270" s="164"/>
      <c r="L270" s="164"/>
      <c r="M270" s="164"/>
      <c r="N270" s="164"/>
      <c r="O270" s="166"/>
      <c r="P270" s="166"/>
      <c r="Q270" s="166"/>
      <c r="R270" s="166"/>
      <c r="S270" s="166"/>
      <c r="T270" s="166"/>
      <c r="U270" s="166"/>
      <c r="V270" s="166"/>
      <c r="W270" s="166"/>
      <c r="X270" s="166"/>
      <c r="Y270" s="166"/>
      <c r="Z270" s="166"/>
      <c r="AA270" s="166"/>
      <c r="AB270" s="166"/>
      <c r="AC270" s="166"/>
      <c r="AD270" s="166"/>
      <c r="AE270" s="166"/>
      <c r="AF270" s="166"/>
      <c r="AG270" s="166"/>
      <c r="AH270" s="166"/>
      <c r="AI270" s="166"/>
    </row>
    <row r="271" spans="1:35" x14ac:dyDescent="0.2">
      <c r="A271" s="167" t="s">
        <v>208</v>
      </c>
      <c r="B271" s="162">
        <v>11</v>
      </c>
      <c r="C271" s="162">
        <f t="shared" si="8"/>
        <v>2098.75</v>
      </c>
      <c r="D271" s="162" t="s">
        <v>161</v>
      </c>
      <c r="E271" s="168">
        <v>2974098876.73</v>
      </c>
      <c r="F271" s="168">
        <v>2974098.8767300001</v>
      </c>
      <c r="G271" s="168">
        <v>2974.09887673</v>
      </c>
      <c r="H271" s="168">
        <v>2.9740988767300003</v>
      </c>
      <c r="I271" s="164" t="e">
        <f>H271*$O$9/0.1*INDEX(Country_details!$N$9:N421,MATCH(Solar_data!A271,Country_details!$A$9:$A$154,0))</f>
        <v>#N/A</v>
      </c>
      <c r="J271" s="164">
        <f t="shared" si="9"/>
        <v>2098.75</v>
      </c>
      <c r="K271" s="164"/>
      <c r="L271" s="164"/>
      <c r="M271" s="164"/>
      <c r="N271" s="164"/>
      <c r="O271" s="166"/>
      <c r="P271" s="166"/>
      <c r="Q271" s="166"/>
      <c r="R271" s="166"/>
      <c r="S271" s="166"/>
      <c r="T271" s="166"/>
      <c r="U271" s="166"/>
      <c r="V271" s="166"/>
      <c r="W271" s="166"/>
      <c r="X271" s="166"/>
      <c r="Y271" s="166"/>
      <c r="Z271" s="166"/>
      <c r="AA271" s="166"/>
      <c r="AB271" s="166"/>
      <c r="AC271" s="166"/>
      <c r="AD271" s="166"/>
      <c r="AE271" s="166"/>
      <c r="AF271" s="166"/>
      <c r="AG271" s="166"/>
      <c r="AH271" s="166"/>
      <c r="AI271" s="166"/>
    </row>
    <row r="272" spans="1:35" x14ac:dyDescent="0.2">
      <c r="A272" s="167" t="s">
        <v>209</v>
      </c>
      <c r="B272" s="162">
        <v>6</v>
      </c>
      <c r="C272" s="162">
        <f t="shared" si="8"/>
        <v>1186.25</v>
      </c>
      <c r="D272" s="162" t="s">
        <v>173</v>
      </c>
      <c r="E272" s="168">
        <v>8207840312.7139997</v>
      </c>
      <c r="F272" s="168">
        <v>8207840.3127140002</v>
      </c>
      <c r="G272" s="168">
        <v>8207.8403127140009</v>
      </c>
      <c r="H272" s="168">
        <v>8.2078403127140014</v>
      </c>
      <c r="I272" s="164" t="e">
        <f>H272*$O$9/0.1*INDEX(Country_details!$N$9:N422,MATCH(Solar_data!A272,Country_details!$A$9:$A$154,0))</f>
        <v>#N/A</v>
      </c>
      <c r="J272" s="164">
        <f t="shared" si="9"/>
        <v>1186.25</v>
      </c>
      <c r="K272" s="164"/>
      <c r="L272" s="164"/>
      <c r="M272" s="164"/>
      <c r="N272" s="164"/>
      <c r="O272" s="166"/>
      <c r="P272" s="166"/>
      <c r="Q272" s="166"/>
      <c r="R272" s="166"/>
      <c r="S272" s="166"/>
      <c r="T272" s="166"/>
      <c r="U272" s="166"/>
      <c r="V272" s="166"/>
      <c r="W272" s="166"/>
      <c r="X272" s="166"/>
      <c r="Y272" s="166"/>
      <c r="Z272" s="166"/>
      <c r="AA272" s="166"/>
      <c r="AB272" s="166"/>
      <c r="AC272" s="166"/>
      <c r="AD272" s="166"/>
      <c r="AE272" s="166"/>
      <c r="AF272" s="166"/>
      <c r="AG272" s="166"/>
      <c r="AH272" s="166"/>
      <c r="AI272" s="166"/>
    </row>
    <row r="273" spans="1:35" x14ac:dyDescent="0.2">
      <c r="A273" s="167" t="s">
        <v>209</v>
      </c>
      <c r="B273" s="162">
        <v>7</v>
      </c>
      <c r="C273" s="162">
        <f t="shared" si="8"/>
        <v>1368.75</v>
      </c>
      <c r="D273" s="162" t="s">
        <v>174</v>
      </c>
      <c r="E273" s="168">
        <v>2820005650.4000001</v>
      </c>
      <c r="F273" s="168">
        <v>2820005.6504000002</v>
      </c>
      <c r="G273" s="168">
        <v>2820.0056504000004</v>
      </c>
      <c r="H273" s="168">
        <v>2.8200056504000006</v>
      </c>
      <c r="I273" s="164" t="e">
        <f>H273*$O$9/0.1*INDEX(Country_details!$N$9:N423,MATCH(Solar_data!A273,Country_details!$A$9:$A$154,0))</f>
        <v>#N/A</v>
      </c>
      <c r="J273" s="164">
        <f t="shared" si="9"/>
        <v>1368.75</v>
      </c>
      <c r="K273" s="164"/>
      <c r="L273" s="164"/>
      <c r="M273" s="164"/>
      <c r="N273" s="164"/>
      <c r="O273" s="166"/>
      <c r="P273" s="166"/>
      <c r="Q273" s="166"/>
      <c r="R273" s="166"/>
      <c r="S273" s="166"/>
      <c r="T273" s="166"/>
      <c r="U273" s="166"/>
      <c r="V273" s="166"/>
      <c r="W273" s="166"/>
      <c r="X273" s="166"/>
      <c r="Y273" s="166"/>
      <c r="Z273" s="166"/>
      <c r="AA273" s="166"/>
      <c r="AB273" s="166"/>
      <c r="AC273" s="166"/>
      <c r="AD273" s="166"/>
      <c r="AE273" s="166"/>
      <c r="AF273" s="166"/>
      <c r="AG273" s="166"/>
      <c r="AH273" s="166"/>
      <c r="AI273" s="166"/>
    </row>
    <row r="274" spans="1:35" x14ac:dyDescent="0.2">
      <c r="A274" s="167" t="s">
        <v>60</v>
      </c>
      <c r="B274" s="162">
        <v>7</v>
      </c>
      <c r="C274" s="162">
        <f t="shared" si="8"/>
        <v>1368.75</v>
      </c>
      <c r="D274" s="162" t="s">
        <v>174</v>
      </c>
      <c r="E274" s="168">
        <v>7259236272.3036003</v>
      </c>
      <c r="F274" s="168">
        <v>7259236.2723036008</v>
      </c>
      <c r="G274" s="168">
        <v>7259.2362723036013</v>
      </c>
      <c r="H274" s="168">
        <v>7.2592362723036015</v>
      </c>
      <c r="I274" s="164">
        <f>H274*$O$9/0.1*INDEX(Country_details!$N$9:N424,MATCH(Solar_data!A274,Country_details!$A$9:$A$154,0))</f>
        <v>19.599937935219724</v>
      </c>
      <c r="J274" s="164">
        <f t="shared" si="9"/>
        <v>1368.75</v>
      </c>
      <c r="K274" s="164"/>
      <c r="L274" s="164"/>
      <c r="M274" s="164"/>
      <c r="N274" s="164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6"/>
      <c r="Z274" s="166"/>
      <c r="AA274" s="166"/>
      <c r="AB274" s="166"/>
      <c r="AC274" s="166"/>
      <c r="AD274" s="166"/>
      <c r="AE274" s="166"/>
      <c r="AF274" s="166"/>
      <c r="AG274" s="166"/>
      <c r="AH274" s="166"/>
      <c r="AI274" s="166"/>
    </row>
    <row r="275" spans="1:35" x14ac:dyDescent="0.2">
      <c r="A275" s="167" t="s">
        <v>60</v>
      </c>
      <c r="B275" s="162">
        <v>8</v>
      </c>
      <c r="C275" s="162">
        <f t="shared" si="8"/>
        <v>1551.25</v>
      </c>
      <c r="D275" s="162" t="s">
        <v>164</v>
      </c>
      <c r="E275" s="168">
        <v>371085160133.14191</v>
      </c>
      <c r="F275" s="168">
        <v>371085160.13314193</v>
      </c>
      <c r="G275" s="168">
        <v>371085.16013314197</v>
      </c>
      <c r="H275" s="168">
        <v>371.08516013314198</v>
      </c>
      <c r="I275" s="164">
        <f>H275*$O$9/0.1*INDEX(Country_details!$N$9:N425,MATCH(Solar_data!A275,Country_details!$A$9:$A$154,0))</f>
        <v>1001.9299323594832</v>
      </c>
      <c r="J275" s="164">
        <f t="shared" si="9"/>
        <v>1551.25</v>
      </c>
      <c r="K275" s="164"/>
      <c r="L275" s="164"/>
      <c r="M275" s="164"/>
      <c r="N275" s="164"/>
      <c r="O275" s="166"/>
      <c r="P275" s="166"/>
      <c r="Q275" s="166"/>
      <c r="R275" s="166"/>
      <c r="S275" s="166"/>
      <c r="T275" s="166"/>
      <c r="U275" s="166"/>
      <c r="V275" s="166"/>
      <c r="W275" s="166"/>
      <c r="X275" s="166"/>
      <c r="Y275" s="166"/>
      <c r="Z275" s="166"/>
      <c r="AA275" s="166"/>
      <c r="AB275" s="166"/>
      <c r="AC275" s="166"/>
      <c r="AD275" s="166"/>
      <c r="AE275" s="166"/>
      <c r="AF275" s="166"/>
      <c r="AG275" s="166"/>
      <c r="AH275" s="166"/>
      <c r="AI275" s="166"/>
    </row>
    <row r="276" spans="1:35" x14ac:dyDescent="0.2">
      <c r="A276" s="167" t="s">
        <v>60</v>
      </c>
      <c r="B276" s="162">
        <v>9</v>
      </c>
      <c r="C276" s="162">
        <f t="shared" si="8"/>
        <v>1733.75</v>
      </c>
      <c r="D276" s="162" t="s">
        <v>157</v>
      </c>
      <c r="E276" s="168">
        <v>258320265808.00711</v>
      </c>
      <c r="F276" s="168">
        <v>258320265.80800712</v>
      </c>
      <c r="G276" s="168">
        <v>258320.26580800713</v>
      </c>
      <c r="H276" s="168">
        <v>258.32026580800715</v>
      </c>
      <c r="I276" s="164">
        <f>H276*$O$9/0.1*INDEX(Country_details!$N$9:N426,MATCH(Solar_data!A276,Country_details!$A$9:$A$154,0))</f>
        <v>697.46471768161928</v>
      </c>
      <c r="J276" s="164">
        <f t="shared" si="9"/>
        <v>1733.75</v>
      </c>
      <c r="K276" s="164"/>
      <c r="L276" s="164"/>
      <c r="M276" s="164"/>
      <c r="N276" s="164"/>
      <c r="O276" s="166"/>
      <c r="P276" s="166"/>
      <c r="Q276" s="166"/>
      <c r="R276" s="166"/>
      <c r="S276" s="166"/>
      <c r="T276" s="166"/>
      <c r="U276" s="166"/>
      <c r="V276" s="166"/>
      <c r="W276" s="166"/>
      <c r="X276" s="166"/>
      <c r="Y276" s="166"/>
      <c r="Z276" s="166"/>
      <c r="AA276" s="166"/>
      <c r="AB276" s="166"/>
      <c r="AC276" s="166"/>
      <c r="AD276" s="166"/>
      <c r="AE276" s="166"/>
      <c r="AF276" s="166"/>
      <c r="AG276" s="166"/>
      <c r="AH276" s="166"/>
      <c r="AI276" s="166"/>
    </row>
    <row r="277" spans="1:35" x14ac:dyDescent="0.2">
      <c r="A277" s="167" t="s">
        <v>210</v>
      </c>
      <c r="B277" s="162">
        <v>11</v>
      </c>
      <c r="C277" s="162">
        <f t="shared" si="8"/>
        <v>2098.75</v>
      </c>
      <c r="D277" s="162" t="s">
        <v>161</v>
      </c>
      <c r="E277" s="168">
        <v>715749288.47019994</v>
      </c>
      <c r="F277" s="168">
        <v>715749.28847019991</v>
      </c>
      <c r="G277" s="168">
        <v>715.74928847019987</v>
      </c>
      <c r="H277" s="168">
        <v>0.71574928847019992</v>
      </c>
      <c r="I277" s="164" t="e">
        <f>H277*$O$9/0.1*INDEX(Country_details!$N$9:N427,MATCH(Solar_data!A277,Country_details!$A$9:$A$154,0))</f>
        <v>#N/A</v>
      </c>
      <c r="J277" s="164">
        <f t="shared" si="9"/>
        <v>2098.75</v>
      </c>
      <c r="K277" s="164"/>
      <c r="L277" s="164"/>
      <c r="M277" s="164"/>
      <c r="N277" s="164"/>
      <c r="O277" s="166"/>
      <c r="P277" s="166"/>
      <c r="Q277" s="166"/>
      <c r="R277" s="166"/>
      <c r="S277" s="166"/>
      <c r="T277" s="166"/>
      <c r="U277" s="166"/>
      <c r="V277" s="166"/>
      <c r="W277" s="166"/>
      <c r="X277" s="166"/>
      <c r="Y277" s="166"/>
      <c r="Z277" s="166"/>
      <c r="AA277" s="166"/>
      <c r="AB277" s="166"/>
      <c r="AC277" s="166"/>
      <c r="AD277" s="166"/>
      <c r="AE277" s="166"/>
      <c r="AF277" s="166"/>
      <c r="AG277" s="166"/>
      <c r="AH277" s="166"/>
      <c r="AI277" s="166"/>
    </row>
    <row r="278" spans="1:35" x14ac:dyDescent="0.2">
      <c r="A278" s="167" t="s">
        <v>61</v>
      </c>
      <c r="B278" s="162">
        <v>7</v>
      </c>
      <c r="C278" s="162">
        <f t="shared" si="8"/>
        <v>1368.75</v>
      </c>
      <c r="D278" s="162" t="s">
        <v>174</v>
      </c>
      <c r="E278" s="168">
        <v>100165139885.31</v>
      </c>
      <c r="F278" s="168">
        <v>100165139.88530999</v>
      </c>
      <c r="G278" s="168">
        <v>100165.13988531</v>
      </c>
      <c r="H278" s="168">
        <v>100.16513988531</v>
      </c>
      <c r="I278" s="164">
        <f>H278*$O$9/0.1*INDEX(Country_details!$N$9:N428,MATCH(Solar_data!A278,Country_details!$A$9:$A$154,0))</f>
        <v>270.44587769033694</v>
      </c>
      <c r="J278" s="164">
        <f t="shared" si="9"/>
        <v>1368.75</v>
      </c>
      <c r="K278" s="164"/>
      <c r="L278" s="164"/>
      <c r="M278" s="164"/>
      <c r="N278" s="164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6"/>
      <c r="Z278" s="166"/>
      <c r="AA278" s="166"/>
      <c r="AB278" s="166"/>
      <c r="AC278" s="166"/>
      <c r="AD278" s="166"/>
      <c r="AE278" s="166"/>
      <c r="AF278" s="166"/>
      <c r="AG278" s="166"/>
      <c r="AH278" s="166"/>
      <c r="AI278" s="166"/>
    </row>
    <row r="279" spans="1:35" x14ac:dyDescent="0.2">
      <c r="A279" s="167" t="s">
        <v>61</v>
      </c>
      <c r="B279" s="162">
        <v>8</v>
      </c>
      <c r="C279" s="162">
        <f t="shared" si="8"/>
        <v>1551.25</v>
      </c>
      <c r="D279" s="162" t="s">
        <v>164</v>
      </c>
      <c r="E279" s="168">
        <v>29690756802.149899</v>
      </c>
      <c r="F279" s="168">
        <v>29690756.802149899</v>
      </c>
      <c r="G279" s="168">
        <v>29690.756802149899</v>
      </c>
      <c r="H279" s="168">
        <v>29.690756802149899</v>
      </c>
      <c r="I279" s="164">
        <f>H279*$O$9/0.1*INDEX(Country_details!$N$9:N429,MATCH(Solar_data!A279,Country_details!$A$9:$A$154,0))</f>
        <v>80.165043365804721</v>
      </c>
      <c r="J279" s="164">
        <f t="shared" si="9"/>
        <v>1551.25</v>
      </c>
      <c r="K279" s="164"/>
      <c r="L279" s="164"/>
      <c r="M279" s="164"/>
      <c r="N279" s="164"/>
      <c r="O279" s="166"/>
      <c r="P279" s="166"/>
      <c r="Q279" s="166"/>
      <c r="R279" s="166"/>
      <c r="S279" s="166"/>
      <c r="T279" s="166"/>
      <c r="U279" s="166"/>
      <c r="V279" s="166"/>
      <c r="W279" s="166"/>
      <c r="X279" s="166"/>
      <c r="Y279" s="166"/>
      <c r="Z279" s="166"/>
      <c r="AA279" s="166"/>
      <c r="AB279" s="166"/>
      <c r="AC279" s="166"/>
      <c r="AD279" s="166"/>
      <c r="AE279" s="166"/>
      <c r="AF279" s="166"/>
      <c r="AG279" s="166"/>
      <c r="AH279" s="166"/>
      <c r="AI279" s="166"/>
    </row>
    <row r="280" spans="1:35" x14ac:dyDescent="0.2">
      <c r="A280" s="167" t="s">
        <v>61</v>
      </c>
      <c r="B280" s="162">
        <v>9</v>
      </c>
      <c r="C280" s="162">
        <f t="shared" si="8"/>
        <v>1733.75</v>
      </c>
      <c r="D280" s="162" t="s">
        <v>157</v>
      </c>
      <c r="E280" s="168">
        <v>24216946480.4482</v>
      </c>
      <c r="F280" s="168">
        <v>24216946.480448201</v>
      </c>
      <c r="G280" s="168">
        <v>24216.946480448201</v>
      </c>
      <c r="H280" s="168">
        <v>24.2169464804482</v>
      </c>
      <c r="I280" s="164">
        <f>H280*$O$9/0.1*INDEX(Country_details!$N$9:N430,MATCH(Solar_data!A280,Country_details!$A$9:$A$154,0))</f>
        <v>65.385755497210141</v>
      </c>
      <c r="J280" s="164">
        <f t="shared" si="9"/>
        <v>1733.75</v>
      </c>
      <c r="K280" s="164"/>
      <c r="L280" s="164"/>
      <c r="M280" s="164"/>
      <c r="N280" s="164"/>
      <c r="O280" s="166"/>
      <c r="P280" s="166"/>
      <c r="Q280" s="166"/>
      <c r="R280" s="166"/>
      <c r="S280" s="166"/>
      <c r="T280" s="166"/>
      <c r="U280" s="166"/>
      <c r="V280" s="166"/>
      <c r="W280" s="166"/>
      <c r="X280" s="166"/>
      <c r="Y280" s="166"/>
      <c r="Z280" s="166"/>
      <c r="AA280" s="166"/>
      <c r="AB280" s="166"/>
      <c r="AC280" s="166"/>
      <c r="AD280" s="166"/>
      <c r="AE280" s="166"/>
      <c r="AF280" s="166"/>
      <c r="AG280" s="166"/>
      <c r="AH280" s="166"/>
      <c r="AI280" s="166"/>
    </row>
    <row r="281" spans="1:35" x14ac:dyDescent="0.2">
      <c r="A281" s="167" t="s">
        <v>62</v>
      </c>
      <c r="B281" s="162">
        <v>5</v>
      </c>
      <c r="C281" s="162">
        <f t="shared" si="8"/>
        <v>1003.75</v>
      </c>
      <c r="D281" s="162" t="s">
        <v>172</v>
      </c>
      <c r="E281" s="168">
        <v>80054753338.992401</v>
      </c>
      <c r="F281" s="168">
        <v>80054753.338992402</v>
      </c>
      <c r="G281" s="168">
        <v>80054.753338992406</v>
      </c>
      <c r="H281" s="168">
        <v>80.054753338992413</v>
      </c>
      <c r="I281" s="164">
        <f>H281*$O$9/0.1*INDEX(Country_details!$N$9:N431,MATCH(Solar_data!A281,Country_details!$A$9:$A$154,0))</f>
        <v>216.14783401527953</v>
      </c>
      <c r="J281" s="164">
        <f t="shared" si="9"/>
        <v>1003.75</v>
      </c>
      <c r="K281" s="164"/>
      <c r="L281" s="164"/>
      <c r="M281" s="164"/>
      <c r="N281" s="164"/>
      <c r="O281" s="166"/>
      <c r="P281" s="166"/>
      <c r="Q281" s="166"/>
      <c r="R281" s="166"/>
      <c r="S281" s="166"/>
      <c r="T281" s="166"/>
      <c r="U281" s="166"/>
      <c r="V281" s="166"/>
      <c r="W281" s="166"/>
      <c r="X281" s="166"/>
      <c r="Y281" s="166"/>
      <c r="Z281" s="166"/>
      <c r="AA281" s="166"/>
      <c r="AB281" s="166"/>
      <c r="AC281" s="166"/>
      <c r="AD281" s="166"/>
      <c r="AE281" s="166"/>
      <c r="AF281" s="166"/>
      <c r="AG281" s="166"/>
      <c r="AH281" s="166"/>
      <c r="AI281" s="166"/>
    </row>
    <row r="282" spans="1:35" x14ac:dyDescent="0.2">
      <c r="A282" s="167" t="s">
        <v>62</v>
      </c>
      <c r="B282" s="162">
        <v>6</v>
      </c>
      <c r="C282" s="162">
        <f t="shared" si="8"/>
        <v>1186.25</v>
      </c>
      <c r="D282" s="162" t="s">
        <v>173</v>
      </c>
      <c r="E282" s="168">
        <v>501786789291.763</v>
      </c>
      <c r="F282" s="168">
        <v>501786789.29176301</v>
      </c>
      <c r="G282" s="168">
        <v>501786.78929176304</v>
      </c>
      <c r="H282" s="168">
        <v>501.78678929176306</v>
      </c>
      <c r="I282" s="164">
        <f>H282*$O$9/0.1*INDEX(Country_details!$N$9:N432,MATCH(Solar_data!A282,Country_details!$A$9:$A$154,0))</f>
        <v>1354.8243310877599</v>
      </c>
      <c r="J282" s="164">
        <f t="shared" si="9"/>
        <v>1186.25</v>
      </c>
      <c r="K282" s="164"/>
      <c r="L282" s="164"/>
      <c r="M282" s="164"/>
      <c r="N282" s="164"/>
      <c r="O282" s="166"/>
      <c r="P282" s="166"/>
      <c r="Q282" s="166"/>
      <c r="R282" s="166"/>
      <c r="S282" s="166"/>
      <c r="T282" s="166"/>
      <c r="U282" s="166"/>
      <c r="V282" s="166"/>
      <c r="W282" s="166"/>
      <c r="X282" s="166"/>
      <c r="Y282" s="166"/>
      <c r="Z282" s="166"/>
      <c r="AA282" s="166"/>
      <c r="AB282" s="166"/>
      <c r="AC282" s="166"/>
      <c r="AD282" s="166"/>
      <c r="AE282" s="166"/>
      <c r="AF282" s="166"/>
      <c r="AG282" s="166"/>
      <c r="AH282" s="166"/>
      <c r="AI282" s="166"/>
    </row>
    <row r="283" spans="1:35" x14ac:dyDescent="0.2">
      <c r="A283" s="167" t="s">
        <v>62</v>
      </c>
      <c r="B283" s="162">
        <v>7</v>
      </c>
      <c r="C283" s="162">
        <f t="shared" si="8"/>
        <v>1368.75</v>
      </c>
      <c r="D283" s="162" t="s">
        <v>174</v>
      </c>
      <c r="E283" s="168">
        <v>35221301828.397598</v>
      </c>
      <c r="F283" s="168">
        <v>35221301.828397602</v>
      </c>
      <c r="G283" s="168">
        <v>35221.301828397605</v>
      </c>
      <c r="H283" s="168">
        <v>35.221301828397607</v>
      </c>
      <c r="I283" s="164">
        <f>H283*$O$9/0.1*INDEX(Country_details!$N$9:N433,MATCH(Solar_data!A283,Country_details!$A$9:$A$154,0))</f>
        <v>95.097514936673534</v>
      </c>
      <c r="J283" s="164">
        <f t="shared" si="9"/>
        <v>1368.75</v>
      </c>
      <c r="K283" s="164"/>
      <c r="L283" s="164"/>
      <c r="M283" s="164"/>
      <c r="N283" s="164"/>
      <c r="O283" s="166"/>
      <c r="P283" s="166"/>
      <c r="Q283" s="166"/>
      <c r="R283" s="166"/>
      <c r="S283" s="166"/>
      <c r="T283" s="166"/>
      <c r="U283" s="166"/>
      <c r="V283" s="166"/>
      <c r="W283" s="166"/>
      <c r="X283" s="166"/>
      <c r="Y283" s="166"/>
      <c r="Z283" s="166"/>
      <c r="AA283" s="166"/>
      <c r="AB283" s="166"/>
      <c r="AC283" s="166"/>
      <c r="AD283" s="166"/>
      <c r="AE283" s="166"/>
      <c r="AF283" s="166"/>
      <c r="AG283" s="166"/>
      <c r="AH283" s="166"/>
      <c r="AI283" s="166"/>
    </row>
    <row r="284" spans="1:35" x14ac:dyDescent="0.2">
      <c r="A284" s="167" t="s">
        <v>62</v>
      </c>
      <c r="B284" s="162">
        <v>8</v>
      </c>
      <c r="C284" s="162">
        <f t="shared" si="8"/>
        <v>1551.25</v>
      </c>
      <c r="D284" s="162" t="s">
        <v>164</v>
      </c>
      <c r="E284" s="168">
        <v>1636143438.5845001</v>
      </c>
      <c r="F284" s="168">
        <v>1636143.4385845</v>
      </c>
      <c r="G284" s="168">
        <v>1636.1434385845</v>
      </c>
      <c r="H284" s="168">
        <v>1.6361434385845</v>
      </c>
      <c r="I284" s="164">
        <f>H284*$O$9/0.1*INDEX(Country_details!$N$9:N434,MATCH(Solar_data!A284,Country_details!$A$9:$A$154,0))</f>
        <v>4.4175872841781496</v>
      </c>
      <c r="J284" s="164">
        <f t="shared" si="9"/>
        <v>1551.25</v>
      </c>
      <c r="K284" s="164"/>
      <c r="L284" s="164"/>
      <c r="M284" s="164"/>
      <c r="N284" s="164"/>
      <c r="O284" s="166"/>
      <c r="P284" s="166"/>
      <c r="Q284" s="166"/>
      <c r="R284" s="166"/>
      <c r="S284" s="166"/>
      <c r="T284" s="166"/>
      <c r="U284" s="166"/>
      <c r="V284" s="166"/>
      <c r="W284" s="166"/>
      <c r="X284" s="166"/>
      <c r="Y284" s="166"/>
      <c r="Z284" s="166"/>
      <c r="AA284" s="166"/>
      <c r="AB284" s="166"/>
      <c r="AC284" s="166"/>
      <c r="AD284" s="166"/>
      <c r="AE284" s="166"/>
      <c r="AF284" s="166"/>
      <c r="AG284" s="166"/>
      <c r="AH284" s="166"/>
      <c r="AI284" s="166"/>
    </row>
    <row r="285" spans="1:35" x14ac:dyDescent="0.2">
      <c r="A285" s="167" t="s">
        <v>63</v>
      </c>
      <c r="B285" s="162">
        <v>9</v>
      </c>
      <c r="C285" s="162">
        <f t="shared" si="8"/>
        <v>1733.75</v>
      </c>
      <c r="D285" s="162" t="s">
        <v>157</v>
      </c>
      <c r="E285" s="168">
        <v>107155383028.5107</v>
      </c>
      <c r="F285" s="168">
        <v>107155383.0285107</v>
      </c>
      <c r="G285" s="168">
        <v>107155.38302851071</v>
      </c>
      <c r="H285" s="168">
        <v>107.15538302851071</v>
      </c>
      <c r="I285" s="164">
        <f>H285*$O$9/0.1*INDEX(Country_details!$N$9:N435,MATCH(Solar_data!A285,Country_details!$A$9:$A$154,0))</f>
        <v>273.24622672270226</v>
      </c>
      <c r="J285" s="164">
        <f t="shared" si="9"/>
        <v>1733.75</v>
      </c>
      <c r="K285" s="164"/>
      <c r="L285" s="164"/>
      <c r="M285" s="164"/>
      <c r="N285" s="164"/>
      <c r="O285" s="166"/>
      <c r="P285" s="166"/>
      <c r="Q285" s="166"/>
      <c r="R285" s="166"/>
      <c r="S285" s="166"/>
      <c r="T285" s="166"/>
      <c r="U285" s="166"/>
      <c r="V285" s="166"/>
      <c r="W285" s="166"/>
      <c r="X285" s="166"/>
      <c r="Y285" s="166"/>
      <c r="Z285" s="166"/>
      <c r="AA285" s="166"/>
      <c r="AB285" s="166"/>
      <c r="AC285" s="166"/>
      <c r="AD285" s="166"/>
      <c r="AE285" s="166"/>
      <c r="AF285" s="166"/>
      <c r="AG285" s="166"/>
      <c r="AH285" s="166"/>
      <c r="AI285" s="166"/>
    </row>
    <row r="286" spans="1:35" x14ac:dyDescent="0.2">
      <c r="A286" s="167" t="s">
        <v>63</v>
      </c>
      <c r="B286" s="162">
        <v>10</v>
      </c>
      <c r="C286" s="162">
        <f t="shared" si="8"/>
        <v>1916.25</v>
      </c>
      <c r="D286" s="162" t="s">
        <v>159</v>
      </c>
      <c r="E286" s="168">
        <v>311092704939.9856</v>
      </c>
      <c r="F286" s="168">
        <v>311092704.93998557</v>
      </c>
      <c r="G286" s="168">
        <v>311092.70493998559</v>
      </c>
      <c r="H286" s="168">
        <v>311.09270493998559</v>
      </c>
      <c r="I286" s="164">
        <f>H286*$O$9/0.1*INDEX(Country_details!$N$9:N436,MATCH(Solar_data!A286,Country_details!$A$9:$A$154,0))</f>
        <v>793.28639759696318</v>
      </c>
      <c r="J286" s="164">
        <f t="shared" si="9"/>
        <v>1916.25</v>
      </c>
      <c r="K286" s="164"/>
      <c r="L286" s="164"/>
      <c r="M286" s="164"/>
      <c r="N286" s="164"/>
      <c r="O286" s="166"/>
      <c r="P286" s="166"/>
      <c r="Q286" s="166"/>
      <c r="R286" s="166"/>
      <c r="S286" s="166"/>
      <c r="T286" s="166"/>
      <c r="U286" s="166"/>
      <c r="V286" s="166"/>
      <c r="W286" s="166"/>
      <c r="X286" s="166"/>
      <c r="Y286" s="166"/>
      <c r="Z286" s="166"/>
      <c r="AA286" s="166"/>
      <c r="AB286" s="166"/>
      <c r="AC286" s="166"/>
      <c r="AD286" s="166"/>
      <c r="AE286" s="166"/>
      <c r="AF286" s="166"/>
      <c r="AG286" s="166"/>
      <c r="AH286" s="166"/>
      <c r="AI286" s="166"/>
    </row>
    <row r="287" spans="1:35" x14ac:dyDescent="0.2">
      <c r="A287" s="167" t="s">
        <v>63</v>
      </c>
      <c r="B287" s="162">
        <v>11</v>
      </c>
      <c r="C287" s="162">
        <f t="shared" si="8"/>
        <v>2098.75</v>
      </c>
      <c r="D287" s="162" t="s">
        <v>161</v>
      </c>
      <c r="E287" s="168">
        <v>284833568198.70331</v>
      </c>
      <c r="F287" s="168">
        <v>284833568.19870329</v>
      </c>
      <c r="G287" s="168">
        <v>284833.56819870329</v>
      </c>
      <c r="H287" s="168">
        <v>284.83356819870329</v>
      </c>
      <c r="I287" s="164">
        <f>H287*$O$9/0.1*INDEX(Country_details!$N$9:N437,MATCH(Solar_data!A287,Country_details!$A$9:$A$154,0))</f>
        <v>726.32559890669336</v>
      </c>
      <c r="J287" s="164">
        <f t="shared" si="9"/>
        <v>2098.75</v>
      </c>
      <c r="K287" s="164"/>
      <c r="L287" s="164"/>
      <c r="M287" s="164"/>
      <c r="N287" s="164"/>
      <c r="O287" s="166"/>
      <c r="P287" s="166"/>
      <c r="Q287" s="166"/>
      <c r="R287" s="166"/>
      <c r="S287" s="166"/>
      <c r="T287" s="166"/>
      <c r="U287" s="166"/>
      <c r="V287" s="166"/>
      <c r="W287" s="166"/>
      <c r="X287" s="166"/>
      <c r="Y287" s="166"/>
      <c r="Z287" s="166"/>
      <c r="AA287" s="166"/>
      <c r="AB287" s="166"/>
      <c r="AC287" s="166"/>
      <c r="AD287" s="166"/>
      <c r="AE287" s="166"/>
      <c r="AF287" s="166"/>
      <c r="AG287" s="166"/>
      <c r="AH287" s="166"/>
      <c r="AI287" s="166"/>
    </row>
    <row r="288" spans="1:35" x14ac:dyDescent="0.2">
      <c r="A288" s="167" t="s">
        <v>63</v>
      </c>
      <c r="B288" s="162">
        <v>12</v>
      </c>
      <c r="C288" s="162">
        <f t="shared" si="8"/>
        <v>2281.25</v>
      </c>
      <c r="D288" s="162" t="s">
        <v>162</v>
      </c>
      <c r="E288" s="168">
        <v>2973379159.71</v>
      </c>
      <c r="F288" s="168">
        <v>2973379.1597100003</v>
      </c>
      <c r="G288" s="168">
        <v>2973.3791597100003</v>
      </c>
      <c r="H288" s="168">
        <v>2.9733791597100003</v>
      </c>
      <c r="I288" s="164">
        <f>H288*$O$9/0.1*INDEX(Country_details!$N$9:N438,MATCH(Solar_data!A288,Country_details!$A$9:$A$154,0))</f>
        <v>7.5821168572605</v>
      </c>
      <c r="J288" s="164">
        <f t="shared" si="9"/>
        <v>2281.25</v>
      </c>
      <c r="K288" s="164"/>
      <c r="L288" s="164"/>
      <c r="M288" s="164"/>
      <c r="N288" s="164"/>
      <c r="O288" s="166"/>
      <c r="P288" s="166"/>
      <c r="Q288" s="166"/>
      <c r="R288" s="166"/>
      <c r="S288" s="166"/>
      <c r="T288" s="166"/>
      <c r="U288" s="166"/>
      <c r="V288" s="166"/>
      <c r="W288" s="166"/>
      <c r="X288" s="166"/>
      <c r="Y288" s="166"/>
      <c r="Z288" s="166"/>
      <c r="AA288" s="166"/>
      <c r="AB288" s="166"/>
      <c r="AC288" s="166"/>
      <c r="AD288" s="166"/>
      <c r="AE288" s="166"/>
      <c r="AF288" s="166"/>
      <c r="AG288" s="166"/>
      <c r="AH288" s="166"/>
      <c r="AI288" s="166"/>
    </row>
    <row r="289" spans="1:35" x14ac:dyDescent="0.2">
      <c r="A289" s="167" t="s">
        <v>211</v>
      </c>
      <c r="B289" s="162">
        <v>10</v>
      </c>
      <c r="C289" s="162">
        <f t="shared" si="8"/>
        <v>1916.25</v>
      </c>
      <c r="D289" s="162" t="s">
        <v>159</v>
      </c>
      <c r="E289" s="168">
        <v>15647756.243100001</v>
      </c>
      <c r="F289" s="168">
        <v>15647.756243100001</v>
      </c>
      <c r="G289" s="168">
        <v>15.647756243100002</v>
      </c>
      <c r="H289" s="168">
        <v>1.5647756243100001E-2</v>
      </c>
      <c r="I289" s="164" t="e">
        <f>H289*$O$9/0.1*INDEX(Country_details!$N$9:N439,MATCH(Solar_data!A289,Country_details!$A$9:$A$154,0))</f>
        <v>#N/A</v>
      </c>
      <c r="J289" s="164">
        <f t="shared" si="9"/>
        <v>1916.25</v>
      </c>
      <c r="K289" s="164"/>
      <c r="L289" s="164"/>
      <c r="M289" s="164"/>
      <c r="N289" s="164"/>
      <c r="O289" s="166"/>
      <c r="P289" s="166"/>
      <c r="Q289" s="166"/>
      <c r="R289" s="166"/>
      <c r="S289" s="166"/>
      <c r="T289" s="166"/>
      <c r="U289" s="166"/>
      <c r="V289" s="166"/>
      <c r="W289" s="166"/>
      <c r="X289" s="166"/>
      <c r="Y289" s="166"/>
      <c r="Z289" s="166"/>
      <c r="AA289" s="166"/>
      <c r="AB289" s="166"/>
      <c r="AC289" s="166"/>
      <c r="AD289" s="166"/>
      <c r="AE289" s="166"/>
      <c r="AF289" s="166"/>
      <c r="AG289" s="166"/>
      <c r="AH289" s="166"/>
      <c r="AI289" s="166"/>
    </row>
    <row r="290" spans="1:35" x14ac:dyDescent="0.2">
      <c r="A290" s="167" t="s">
        <v>212</v>
      </c>
      <c r="B290" s="162">
        <v>11</v>
      </c>
      <c r="C290" s="162">
        <f t="shared" si="8"/>
        <v>2098.75</v>
      </c>
      <c r="D290" s="162" t="s">
        <v>161</v>
      </c>
      <c r="E290" s="168">
        <v>13681351.1678</v>
      </c>
      <c r="F290" s="168">
        <v>13681.3511678</v>
      </c>
      <c r="G290" s="168">
        <v>13.681351167799999</v>
      </c>
      <c r="H290" s="168">
        <v>1.3681351167799999E-2</v>
      </c>
      <c r="I290" s="164" t="e">
        <f>H290*$O$9/0.1*INDEX(Country_details!$N$9:N440,MATCH(Solar_data!A290,Country_details!$A$9:$A$154,0))</f>
        <v>#N/A</v>
      </c>
      <c r="J290" s="164">
        <f t="shared" si="9"/>
        <v>2098.75</v>
      </c>
      <c r="K290" s="164"/>
      <c r="L290" s="164"/>
      <c r="M290" s="164"/>
      <c r="N290" s="164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6"/>
      <c r="Z290" s="166"/>
      <c r="AA290" s="166"/>
      <c r="AB290" s="166"/>
      <c r="AC290" s="166"/>
      <c r="AD290" s="166"/>
      <c r="AE290" s="166"/>
      <c r="AF290" s="166"/>
      <c r="AG290" s="166"/>
      <c r="AH290" s="166"/>
      <c r="AI290" s="166"/>
    </row>
    <row r="291" spans="1:35" x14ac:dyDescent="0.2">
      <c r="A291" s="167" t="s">
        <v>213</v>
      </c>
      <c r="B291" s="162">
        <v>8</v>
      </c>
      <c r="C291" s="162">
        <f t="shared" si="8"/>
        <v>1551.25</v>
      </c>
      <c r="D291" s="162" t="s">
        <v>164</v>
      </c>
      <c r="E291" s="168">
        <v>130318433534.48689</v>
      </c>
      <c r="F291" s="168">
        <v>130318433.53448689</v>
      </c>
      <c r="G291" s="168">
        <v>130318.43353448689</v>
      </c>
      <c r="H291" s="168">
        <v>130.3184335344869</v>
      </c>
      <c r="I291" s="164" t="e">
        <f>H291*$O$9/0.1*INDEX(Country_details!$N$9:N441,MATCH(Solar_data!A291,Country_details!$A$9:$A$154,0))</f>
        <v>#N/A</v>
      </c>
      <c r="J291" s="164">
        <f t="shared" si="9"/>
        <v>1551.25</v>
      </c>
      <c r="K291" s="164"/>
      <c r="L291" s="164"/>
      <c r="M291" s="164"/>
      <c r="N291" s="164"/>
      <c r="O291" s="166"/>
      <c r="P291" s="166"/>
      <c r="Q291" s="166"/>
      <c r="R291" s="166"/>
      <c r="S291" s="166"/>
      <c r="T291" s="166"/>
      <c r="U291" s="166"/>
      <c r="V291" s="166"/>
      <c r="W291" s="166"/>
      <c r="X291" s="166"/>
      <c r="Y291" s="166"/>
      <c r="Z291" s="166"/>
      <c r="AA291" s="166"/>
      <c r="AB291" s="166"/>
      <c r="AC291" s="166"/>
      <c r="AD291" s="166"/>
      <c r="AE291" s="166"/>
      <c r="AF291" s="166"/>
      <c r="AG291" s="166"/>
      <c r="AH291" s="166"/>
      <c r="AI291" s="166"/>
    </row>
    <row r="292" spans="1:35" x14ac:dyDescent="0.2">
      <c r="A292" s="167" t="s">
        <v>213</v>
      </c>
      <c r="B292" s="162">
        <v>9</v>
      </c>
      <c r="C292" s="162">
        <f t="shared" si="8"/>
        <v>1733.75</v>
      </c>
      <c r="D292" s="162" t="s">
        <v>157</v>
      </c>
      <c r="E292" s="168">
        <v>155326564965.41891</v>
      </c>
      <c r="F292" s="168">
        <v>155326564.96541891</v>
      </c>
      <c r="G292" s="168">
        <v>155326.56496541892</v>
      </c>
      <c r="H292" s="168">
        <v>155.32656496541892</v>
      </c>
      <c r="I292" s="164" t="e">
        <f>H292*$O$9/0.1*INDEX(Country_details!$N$9:N442,MATCH(Solar_data!A292,Country_details!$A$9:$A$154,0))</f>
        <v>#N/A</v>
      </c>
      <c r="J292" s="164">
        <f t="shared" si="9"/>
        <v>1733.75</v>
      </c>
      <c r="K292" s="164"/>
      <c r="L292" s="164"/>
      <c r="M292" s="164"/>
      <c r="N292" s="164"/>
      <c r="O292" s="166"/>
      <c r="P292" s="166"/>
      <c r="Q292" s="166"/>
      <c r="R292" s="166"/>
      <c r="S292" s="166"/>
      <c r="T292" s="166"/>
      <c r="U292" s="166"/>
      <c r="V292" s="166"/>
      <c r="W292" s="166"/>
      <c r="X292" s="166"/>
      <c r="Y292" s="166"/>
      <c r="Z292" s="166"/>
      <c r="AA292" s="166"/>
      <c r="AB292" s="166"/>
      <c r="AC292" s="166"/>
      <c r="AD292" s="166"/>
      <c r="AE292" s="166"/>
      <c r="AF292" s="166"/>
      <c r="AG292" s="166"/>
      <c r="AH292" s="166"/>
      <c r="AI292" s="166"/>
    </row>
    <row r="293" spans="1:35" x14ac:dyDescent="0.2">
      <c r="A293" s="167" t="s">
        <v>213</v>
      </c>
      <c r="B293" s="162">
        <v>10</v>
      </c>
      <c r="C293" s="162">
        <f t="shared" si="8"/>
        <v>1916.25</v>
      </c>
      <c r="D293" s="162" t="s">
        <v>159</v>
      </c>
      <c r="E293" s="168">
        <v>27641076896.0411</v>
      </c>
      <c r="F293" s="168">
        <v>27641076.896041099</v>
      </c>
      <c r="G293" s="168">
        <v>27641.076896041101</v>
      </c>
      <c r="H293" s="168">
        <v>27.641076896041103</v>
      </c>
      <c r="I293" s="164" t="e">
        <f>H293*$O$9/0.1*INDEX(Country_details!$N$9:N443,MATCH(Solar_data!A293,Country_details!$A$9:$A$154,0))</f>
        <v>#N/A</v>
      </c>
      <c r="J293" s="164">
        <f t="shared" si="9"/>
        <v>1916.25</v>
      </c>
      <c r="K293" s="164"/>
      <c r="L293" s="164"/>
      <c r="M293" s="164"/>
      <c r="N293" s="164"/>
      <c r="O293" s="166"/>
      <c r="P293" s="166"/>
      <c r="Q293" s="166"/>
      <c r="R293" s="166"/>
      <c r="S293" s="166"/>
      <c r="T293" s="166"/>
      <c r="U293" s="166"/>
      <c r="V293" s="166"/>
      <c r="W293" s="166"/>
      <c r="X293" s="166"/>
      <c r="Y293" s="166"/>
      <c r="Z293" s="166"/>
      <c r="AA293" s="166"/>
      <c r="AB293" s="166"/>
      <c r="AC293" s="166"/>
      <c r="AD293" s="166"/>
      <c r="AE293" s="166"/>
      <c r="AF293" s="166"/>
      <c r="AG293" s="166"/>
      <c r="AH293" s="166"/>
      <c r="AI293" s="166"/>
    </row>
    <row r="294" spans="1:35" x14ac:dyDescent="0.2">
      <c r="A294" s="167" t="s">
        <v>213</v>
      </c>
      <c r="B294" s="162">
        <v>11</v>
      </c>
      <c r="C294" s="162">
        <f t="shared" si="8"/>
        <v>2098.75</v>
      </c>
      <c r="D294" s="162" t="s">
        <v>161</v>
      </c>
      <c r="E294" s="168">
        <v>2185652656.8948002</v>
      </c>
      <c r="F294" s="168">
        <v>2185652.6568948003</v>
      </c>
      <c r="G294" s="168">
        <v>2185.6526568948002</v>
      </c>
      <c r="H294" s="168">
        <v>2.1856526568948</v>
      </c>
      <c r="I294" s="164" t="e">
        <f>H294*$O$9/0.1*INDEX(Country_details!$N$9:N444,MATCH(Solar_data!A294,Country_details!$A$9:$A$154,0))</f>
        <v>#N/A</v>
      </c>
      <c r="J294" s="164">
        <f t="shared" si="9"/>
        <v>2098.75</v>
      </c>
      <c r="K294" s="164"/>
      <c r="L294" s="164"/>
      <c r="M294" s="164"/>
      <c r="N294" s="164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6"/>
      <c r="Z294" s="166"/>
      <c r="AA294" s="166"/>
      <c r="AB294" s="166"/>
      <c r="AC294" s="166"/>
      <c r="AD294" s="166"/>
      <c r="AE294" s="166"/>
      <c r="AF294" s="166"/>
      <c r="AG294" s="166"/>
      <c r="AH294" s="166"/>
      <c r="AI294" s="166"/>
    </row>
    <row r="295" spans="1:35" x14ac:dyDescent="0.2">
      <c r="A295" s="167" t="s">
        <v>214</v>
      </c>
      <c r="B295" s="162">
        <v>3</v>
      </c>
      <c r="C295" s="162">
        <f t="shared" si="8"/>
        <v>638.75</v>
      </c>
      <c r="D295" s="162" t="s">
        <v>170</v>
      </c>
      <c r="E295" s="168">
        <v>23880908789.132999</v>
      </c>
      <c r="F295" s="168">
        <v>23880908.789133001</v>
      </c>
      <c r="G295" s="168">
        <v>23880.908789133002</v>
      </c>
      <c r="H295" s="168">
        <v>23.880908789133002</v>
      </c>
      <c r="I295" s="164">
        <f>H295*$O$9/0.1*INDEX(Country_details!$N$9:N445,MATCH(Solar_data!A295,Country_details!$A$9:$A$154,0))</f>
        <v>64.478453730659098</v>
      </c>
      <c r="J295" s="164">
        <f t="shared" si="9"/>
        <v>638.75</v>
      </c>
      <c r="K295" s="164"/>
      <c r="L295" s="164"/>
      <c r="M295" s="164"/>
      <c r="N295" s="164"/>
      <c r="O295" s="166"/>
      <c r="P295" s="166"/>
      <c r="Q295" s="166"/>
      <c r="R295" s="166"/>
      <c r="S295" s="166"/>
      <c r="T295" s="166"/>
      <c r="U295" s="166"/>
      <c r="V295" s="166"/>
      <c r="W295" s="166"/>
      <c r="X295" s="166"/>
      <c r="Y295" s="166"/>
      <c r="Z295" s="166"/>
      <c r="AA295" s="166"/>
      <c r="AB295" s="166"/>
      <c r="AC295" s="166"/>
      <c r="AD295" s="166"/>
      <c r="AE295" s="166"/>
      <c r="AF295" s="166"/>
      <c r="AG295" s="166"/>
      <c r="AH295" s="166"/>
      <c r="AI295" s="166"/>
    </row>
    <row r="296" spans="1:35" x14ac:dyDescent="0.2">
      <c r="A296" s="167" t="s">
        <v>214</v>
      </c>
      <c r="B296" s="162">
        <v>4</v>
      </c>
      <c r="C296" s="162">
        <f t="shared" si="8"/>
        <v>821.25</v>
      </c>
      <c r="D296" s="162" t="s">
        <v>171</v>
      </c>
      <c r="E296" s="168">
        <v>325620013135.06738</v>
      </c>
      <c r="F296" s="168">
        <v>325620013.1350674</v>
      </c>
      <c r="G296" s="168">
        <v>325620.01313506742</v>
      </c>
      <c r="H296" s="168">
        <v>325.62001313506744</v>
      </c>
      <c r="I296" s="164">
        <f>H296*$O$9/0.1*INDEX(Country_details!$N$9:N446,MATCH(Solar_data!A296,Country_details!$A$9:$A$154,0))</f>
        <v>879.17403546468199</v>
      </c>
      <c r="J296" s="164">
        <f t="shared" si="9"/>
        <v>821.25</v>
      </c>
      <c r="K296" s="164"/>
      <c r="L296" s="164"/>
      <c r="M296" s="164"/>
      <c r="N296" s="164"/>
      <c r="O296" s="166"/>
      <c r="P296" s="166"/>
      <c r="Q296" s="166"/>
      <c r="R296" s="166"/>
      <c r="S296" s="166"/>
      <c r="T296" s="166"/>
      <c r="U296" s="166"/>
      <c r="V296" s="166"/>
      <c r="W296" s="166"/>
      <c r="X296" s="166"/>
      <c r="Y296" s="166"/>
      <c r="Z296" s="166"/>
      <c r="AA296" s="166"/>
      <c r="AB296" s="166"/>
      <c r="AC296" s="166"/>
      <c r="AD296" s="166"/>
      <c r="AE296" s="166"/>
      <c r="AF296" s="166"/>
      <c r="AG296" s="166"/>
      <c r="AH296" s="166"/>
      <c r="AI296" s="166"/>
    </row>
    <row r="297" spans="1:35" x14ac:dyDescent="0.2">
      <c r="A297" s="167" t="s">
        <v>214</v>
      </c>
      <c r="B297" s="162">
        <v>5</v>
      </c>
      <c r="C297" s="162">
        <f t="shared" si="8"/>
        <v>1003.75</v>
      </c>
      <c r="D297" s="162" t="s">
        <v>172</v>
      </c>
      <c r="E297" s="168">
        <v>382773227607.91663</v>
      </c>
      <c r="F297" s="168">
        <v>382773227.60791665</v>
      </c>
      <c r="G297" s="168">
        <v>382773.22760791663</v>
      </c>
      <c r="H297" s="168">
        <v>382.77322760791662</v>
      </c>
      <c r="I297" s="164">
        <f>H297*$O$9/0.1*INDEX(Country_details!$N$9:N447,MATCH(Solar_data!A297,Country_details!$A$9:$A$154,0))</f>
        <v>1033.487714541375</v>
      </c>
      <c r="J297" s="164">
        <f t="shared" si="9"/>
        <v>1003.75</v>
      </c>
      <c r="K297" s="164"/>
      <c r="L297" s="164"/>
      <c r="M297" s="164"/>
      <c r="N297" s="164"/>
      <c r="O297" s="166"/>
      <c r="P297" s="166"/>
      <c r="Q297" s="166"/>
      <c r="R297" s="166"/>
      <c r="S297" s="166"/>
      <c r="T297" s="166"/>
      <c r="U297" s="166"/>
      <c r="V297" s="166"/>
      <c r="W297" s="166"/>
      <c r="X297" s="166"/>
      <c r="Y297" s="166"/>
      <c r="Z297" s="166"/>
      <c r="AA297" s="166"/>
      <c r="AB297" s="166"/>
      <c r="AC297" s="166"/>
      <c r="AD297" s="166"/>
      <c r="AE297" s="166"/>
      <c r="AF297" s="166"/>
      <c r="AG297" s="166"/>
      <c r="AH297" s="166"/>
      <c r="AI297" s="166"/>
    </row>
    <row r="298" spans="1:35" x14ac:dyDescent="0.2">
      <c r="A298" s="167" t="s">
        <v>214</v>
      </c>
      <c r="B298" s="162">
        <v>6</v>
      </c>
      <c r="C298" s="162">
        <f t="shared" si="8"/>
        <v>1186.25</v>
      </c>
      <c r="D298" s="162" t="s">
        <v>173</v>
      </c>
      <c r="E298" s="168">
        <v>696519589456.93298</v>
      </c>
      <c r="F298" s="168">
        <v>696519589.45693302</v>
      </c>
      <c r="G298" s="168">
        <v>696519.58945693308</v>
      </c>
      <c r="H298" s="168">
        <v>696.51958945693309</v>
      </c>
      <c r="I298" s="164">
        <f>H298*$O$9/0.1*INDEX(Country_details!$N$9:N448,MATCH(Solar_data!A298,Country_details!$A$9:$A$154,0))</f>
        <v>1880.6028915337192</v>
      </c>
      <c r="J298" s="164">
        <f t="shared" si="9"/>
        <v>1186.25</v>
      </c>
      <c r="K298" s="164"/>
      <c r="L298" s="164"/>
      <c r="M298" s="164"/>
      <c r="N298" s="164"/>
      <c r="O298" s="166"/>
      <c r="P298" s="166"/>
      <c r="Q298" s="166"/>
      <c r="R298" s="166"/>
      <c r="S298" s="166"/>
      <c r="T298" s="166"/>
      <c r="U298" s="166"/>
      <c r="V298" s="166"/>
      <c r="W298" s="166"/>
      <c r="X298" s="166"/>
      <c r="Y298" s="166"/>
      <c r="Z298" s="166"/>
      <c r="AA298" s="166"/>
      <c r="AB298" s="166"/>
      <c r="AC298" s="166"/>
      <c r="AD298" s="166"/>
      <c r="AE298" s="166"/>
      <c r="AF298" s="166"/>
      <c r="AG298" s="166"/>
      <c r="AH298" s="166"/>
      <c r="AI298" s="166"/>
    </row>
    <row r="299" spans="1:35" x14ac:dyDescent="0.2">
      <c r="A299" s="167" t="s">
        <v>214</v>
      </c>
      <c r="B299" s="162">
        <v>7</v>
      </c>
      <c r="C299" s="162">
        <f t="shared" si="8"/>
        <v>1368.75</v>
      </c>
      <c r="D299" s="162" t="s">
        <v>174</v>
      </c>
      <c r="E299" s="168">
        <v>843270221101.38977</v>
      </c>
      <c r="F299" s="168">
        <v>843270221.10138977</v>
      </c>
      <c r="G299" s="168">
        <v>843270.22110138973</v>
      </c>
      <c r="H299" s="168">
        <v>843.27022110138978</v>
      </c>
      <c r="I299" s="164">
        <f>H299*$O$9/0.1*INDEX(Country_details!$N$9:N449,MATCH(Solar_data!A299,Country_details!$A$9:$A$154,0))</f>
        <v>2276.8295969737519</v>
      </c>
      <c r="J299" s="164">
        <f t="shared" si="9"/>
        <v>1368.75</v>
      </c>
      <c r="K299" s="164"/>
      <c r="L299" s="164"/>
      <c r="M299" s="164"/>
      <c r="N299" s="164"/>
      <c r="O299" s="166"/>
      <c r="P299" s="166"/>
      <c r="Q299" s="166"/>
      <c r="R299" s="166"/>
      <c r="S299" s="166"/>
      <c r="T299" s="166"/>
      <c r="U299" s="166"/>
      <c r="V299" s="166"/>
      <c r="W299" s="166"/>
      <c r="X299" s="166"/>
      <c r="Y299" s="166"/>
      <c r="Z299" s="166"/>
      <c r="AA299" s="166"/>
      <c r="AB299" s="166"/>
      <c r="AC299" s="166"/>
      <c r="AD299" s="166"/>
      <c r="AE299" s="166"/>
      <c r="AF299" s="166"/>
      <c r="AG299" s="166"/>
      <c r="AH299" s="166"/>
      <c r="AI299" s="166"/>
    </row>
    <row r="300" spans="1:35" x14ac:dyDescent="0.2">
      <c r="A300" s="167" t="s">
        <v>214</v>
      </c>
      <c r="B300" s="162">
        <v>8</v>
      </c>
      <c r="C300" s="162">
        <f t="shared" si="8"/>
        <v>1551.25</v>
      </c>
      <c r="D300" s="162" t="s">
        <v>164</v>
      </c>
      <c r="E300" s="168">
        <v>1822740187549.4573</v>
      </c>
      <c r="F300" s="168">
        <v>1822740187.5494573</v>
      </c>
      <c r="G300" s="168">
        <v>1822740.1875494574</v>
      </c>
      <c r="H300" s="168">
        <v>1822.7401875494575</v>
      </c>
      <c r="I300" s="164">
        <f>H300*$O$9/0.1*INDEX(Country_details!$N$9:N450,MATCH(Solar_data!A300,Country_details!$A$9:$A$154,0))</f>
        <v>4921.3985063835353</v>
      </c>
      <c r="J300" s="164">
        <f t="shared" si="9"/>
        <v>1551.25</v>
      </c>
      <c r="K300" s="164"/>
      <c r="L300" s="164"/>
      <c r="M300" s="164"/>
      <c r="N300" s="164"/>
      <c r="O300" s="166"/>
      <c r="P300" s="166"/>
      <c r="Q300" s="166"/>
      <c r="R300" s="166"/>
      <c r="S300" s="166"/>
      <c r="T300" s="166"/>
      <c r="U300" s="166"/>
      <c r="V300" s="166"/>
      <c r="W300" s="166"/>
      <c r="X300" s="166"/>
      <c r="Y300" s="166"/>
      <c r="Z300" s="166"/>
      <c r="AA300" s="166"/>
      <c r="AB300" s="166"/>
      <c r="AC300" s="166"/>
      <c r="AD300" s="166"/>
      <c r="AE300" s="166"/>
      <c r="AF300" s="166"/>
      <c r="AG300" s="166"/>
      <c r="AH300" s="166"/>
      <c r="AI300" s="166"/>
    </row>
    <row r="301" spans="1:35" x14ac:dyDescent="0.2">
      <c r="A301" s="167" t="s">
        <v>64</v>
      </c>
      <c r="B301" s="162">
        <v>10</v>
      </c>
      <c r="C301" s="162">
        <f t="shared" si="8"/>
        <v>1916.25</v>
      </c>
      <c r="D301" s="162" t="s">
        <v>159</v>
      </c>
      <c r="E301" s="168">
        <v>506762500.64109999</v>
      </c>
      <c r="F301" s="168">
        <v>506762.50064109999</v>
      </c>
      <c r="G301" s="168">
        <v>506.76250064110002</v>
      </c>
      <c r="H301" s="168">
        <v>0.50676250064110007</v>
      </c>
      <c r="I301" s="164">
        <f>H301*$O$9/0.1*INDEX(Country_details!$N$9:N451,MATCH(Solar_data!A301,Country_details!$A$9:$A$154,0))</f>
        <v>1.3682587517309701</v>
      </c>
      <c r="J301" s="164">
        <f t="shared" si="9"/>
        <v>1916.25</v>
      </c>
      <c r="K301" s="164"/>
      <c r="L301" s="164"/>
      <c r="M301" s="164"/>
      <c r="N301" s="164"/>
      <c r="O301" s="166"/>
      <c r="P301" s="166"/>
      <c r="Q301" s="166"/>
      <c r="R301" s="166"/>
      <c r="S301" s="166"/>
      <c r="T301" s="166"/>
      <c r="U301" s="166"/>
      <c r="V301" s="166"/>
      <c r="W301" s="166"/>
      <c r="X301" s="166"/>
      <c r="Y301" s="166"/>
      <c r="Z301" s="166"/>
      <c r="AA301" s="166"/>
      <c r="AB301" s="166"/>
      <c r="AC301" s="166"/>
      <c r="AD301" s="166"/>
      <c r="AE301" s="166"/>
      <c r="AF301" s="166"/>
      <c r="AG301" s="166"/>
      <c r="AH301" s="166"/>
      <c r="AI301" s="166"/>
    </row>
    <row r="302" spans="1:35" x14ac:dyDescent="0.2">
      <c r="A302" s="167" t="s">
        <v>215</v>
      </c>
      <c r="B302" s="162">
        <v>9</v>
      </c>
      <c r="C302" s="162">
        <f t="shared" si="8"/>
        <v>1733.75</v>
      </c>
      <c r="D302" s="162" t="s">
        <v>157</v>
      </c>
      <c r="E302" s="168">
        <v>574512531.68700004</v>
      </c>
      <c r="F302" s="168">
        <v>574512.53168700007</v>
      </c>
      <c r="G302" s="168">
        <v>574.51253168700009</v>
      </c>
      <c r="H302" s="168">
        <v>0.57451253168700012</v>
      </c>
      <c r="I302" s="164" t="e">
        <f>H302*$O$9/0.1*INDEX(Country_details!$N$9:N452,MATCH(Solar_data!A302,Country_details!$A$9:$A$154,0))</f>
        <v>#N/A</v>
      </c>
      <c r="J302" s="164">
        <f t="shared" si="9"/>
        <v>1733.75</v>
      </c>
      <c r="K302" s="164"/>
      <c r="L302" s="164"/>
      <c r="M302" s="164"/>
      <c r="N302" s="164"/>
      <c r="O302" s="166"/>
      <c r="P302" s="166"/>
      <c r="Q302" s="166"/>
      <c r="R302" s="166"/>
      <c r="S302" s="166"/>
      <c r="T302" s="166"/>
      <c r="U302" s="166"/>
      <c r="V302" s="166"/>
      <c r="W302" s="166"/>
      <c r="X302" s="166"/>
      <c r="Y302" s="166"/>
      <c r="Z302" s="166"/>
      <c r="AA302" s="166"/>
      <c r="AB302" s="166"/>
      <c r="AC302" s="166"/>
      <c r="AD302" s="166"/>
      <c r="AE302" s="166"/>
      <c r="AF302" s="166"/>
      <c r="AG302" s="166"/>
      <c r="AH302" s="166"/>
      <c r="AI302" s="166"/>
    </row>
    <row r="303" spans="1:35" x14ac:dyDescent="0.2">
      <c r="A303" s="167" t="s">
        <v>215</v>
      </c>
      <c r="B303" s="162">
        <v>10</v>
      </c>
      <c r="C303" s="162">
        <f t="shared" si="8"/>
        <v>1916.25</v>
      </c>
      <c r="D303" s="162" t="s">
        <v>159</v>
      </c>
      <c r="E303" s="168">
        <v>2597564596.0609999</v>
      </c>
      <c r="F303" s="168">
        <v>2597564.5960610001</v>
      </c>
      <c r="G303" s="168">
        <v>2597.564596061</v>
      </c>
      <c r="H303" s="168">
        <v>2.5975645960609999</v>
      </c>
      <c r="I303" s="164" t="e">
        <f>H303*$O$9/0.1*INDEX(Country_details!$N$9:N453,MATCH(Solar_data!A303,Country_details!$A$9:$A$154,0))</f>
        <v>#N/A</v>
      </c>
      <c r="J303" s="164">
        <f t="shared" si="9"/>
        <v>1916.25</v>
      </c>
      <c r="K303" s="164"/>
      <c r="L303" s="164"/>
      <c r="M303" s="164"/>
      <c r="N303" s="164"/>
      <c r="O303" s="166"/>
      <c r="P303" s="166"/>
      <c r="Q303" s="166"/>
      <c r="R303" s="166"/>
      <c r="S303" s="166"/>
      <c r="T303" s="166"/>
      <c r="U303" s="166"/>
      <c r="V303" s="166"/>
      <c r="W303" s="166"/>
      <c r="X303" s="166"/>
      <c r="Y303" s="166"/>
      <c r="Z303" s="166"/>
      <c r="AA303" s="166"/>
      <c r="AB303" s="166"/>
      <c r="AC303" s="166"/>
      <c r="AD303" s="166"/>
      <c r="AE303" s="166"/>
      <c r="AF303" s="166"/>
      <c r="AG303" s="166"/>
      <c r="AH303" s="166"/>
      <c r="AI303" s="166"/>
    </row>
    <row r="304" spans="1:35" x14ac:dyDescent="0.2">
      <c r="A304" s="167" t="s">
        <v>216</v>
      </c>
      <c r="B304" s="162">
        <v>12</v>
      </c>
      <c r="C304" s="162">
        <f t="shared" si="8"/>
        <v>2281.25</v>
      </c>
      <c r="D304" s="162" t="s">
        <v>162</v>
      </c>
      <c r="E304" s="168">
        <v>1091556685.04</v>
      </c>
      <c r="F304" s="168">
        <v>1091556.6850399999</v>
      </c>
      <c r="G304" s="168">
        <v>1091.5566850399998</v>
      </c>
      <c r="H304" s="168">
        <v>1.0915566850399998</v>
      </c>
      <c r="I304" s="164" t="e">
        <f>H304*$O$9/0.1*INDEX(Country_details!$N$9:N454,MATCH(Solar_data!A304,Country_details!$A$9:$A$154,0))</f>
        <v>#N/A</v>
      </c>
      <c r="J304" s="164">
        <f t="shared" si="9"/>
        <v>2281.25</v>
      </c>
      <c r="K304" s="164"/>
      <c r="L304" s="164"/>
      <c r="M304" s="164"/>
      <c r="N304" s="164"/>
      <c r="O304" s="166"/>
      <c r="P304" s="166"/>
      <c r="Q304" s="166"/>
      <c r="R304" s="166"/>
      <c r="S304" s="166"/>
      <c r="T304" s="166"/>
      <c r="U304" s="166"/>
      <c r="V304" s="166"/>
      <c r="W304" s="166"/>
      <c r="X304" s="166"/>
      <c r="Y304" s="166"/>
      <c r="Z304" s="166"/>
      <c r="AA304" s="166"/>
      <c r="AB304" s="166"/>
      <c r="AC304" s="166"/>
      <c r="AD304" s="166"/>
      <c r="AE304" s="166"/>
      <c r="AF304" s="166"/>
      <c r="AG304" s="166"/>
      <c r="AH304" s="166"/>
      <c r="AI304" s="166"/>
    </row>
    <row r="305" spans="1:35" x14ac:dyDescent="0.2">
      <c r="A305" s="167" t="s">
        <v>65</v>
      </c>
      <c r="B305" s="162">
        <v>9</v>
      </c>
      <c r="C305" s="162">
        <f t="shared" si="8"/>
        <v>1733.75</v>
      </c>
      <c r="D305" s="162" t="s">
        <v>157</v>
      </c>
      <c r="E305" s="168">
        <v>4892920665.9440002</v>
      </c>
      <c r="F305" s="168">
        <v>4892920.6659440007</v>
      </c>
      <c r="G305" s="168">
        <v>4892.9206659440006</v>
      </c>
      <c r="H305" s="168">
        <v>4.8929206659440005</v>
      </c>
      <c r="I305" s="164">
        <f>H305*$O$9/0.1*INDEX(Country_details!$N$9:N455,MATCH(Solar_data!A305,Country_details!$A$9:$A$154,0))</f>
        <v>12.476947698157201</v>
      </c>
      <c r="J305" s="164">
        <f t="shared" si="9"/>
        <v>1733.75</v>
      </c>
      <c r="K305" s="164"/>
      <c r="L305" s="164"/>
      <c r="M305" s="164"/>
      <c r="N305" s="164"/>
      <c r="O305" s="166"/>
      <c r="P305" s="166"/>
      <c r="Q305" s="166"/>
      <c r="R305" s="166"/>
      <c r="S305" s="166"/>
      <c r="T305" s="166"/>
      <c r="U305" s="166"/>
      <c r="V305" s="166"/>
      <c r="W305" s="166"/>
      <c r="X305" s="166"/>
      <c r="Y305" s="166"/>
      <c r="Z305" s="166"/>
      <c r="AA305" s="166"/>
      <c r="AB305" s="166"/>
      <c r="AC305" s="166"/>
      <c r="AD305" s="166"/>
      <c r="AE305" s="166"/>
      <c r="AF305" s="166"/>
      <c r="AG305" s="166"/>
      <c r="AH305" s="166"/>
      <c r="AI305" s="166"/>
    </row>
    <row r="306" spans="1:35" x14ac:dyDescent="0.2">
      <c r="A306" s="167" t="s">
        <v>65</v>
      </c>
      <c r="B306" s="162">
        <v>10</v>
      </c>
      <c r="C306" s="162">
        <f t="shared" si="8"/>
        <v>1916.25</v>
      </c>
      <c r="D306" s="162" t="s">
        <v>159</v>
      </c>
      <c r="E306" s="168">
        <v>159113608536.9408</v>
      </c>
      <c r="F306" s="168">
        <v>159113608.53694081</v>
      </c>
      <c r="G306" s="168">
        <v>159113.60853694082</v>
      </c>
      <c r="H306" s="168">
        <v>159.11360853694083</v>
      </c>
      <c r="I306" s="164">
        <f>H306*$O$9/0.1*INDEX(Country_details!$N$9:N456,MATCH(Solar_data!A306,Country_details!$A$9:$A$154,0))</f>
        <v>405.73970176919909</v>
      </c>
      <c r="J306" s="164">
        <f t="shared" si="9"/>
        <v>1916.25</v>
      </c>
      <c r="K306" s="164"/>
      <c r="L306" s="164"/>
      <c r="M306" s="164"/>
      <c r="N306" s="164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6"/>
      <c r="Z306" s="166"/>
      <c r="AA306" s="166"/>
      <c r="AB306" s="166"/>
      <c r="AC306" s="166"/>
      <c r="AD306" s="166"/>
      <c r="AE306" s="166"/>
      <c r="AF306" s="166"/>
      <c r="AG306" s="166"/>
      <c r="AH306" s="166"/>
      <c r="AI306" s="166"/>
    </row>
    <row r="307" spans="1:35" x14ac:dyDescent="0.2">
      <c r="A307" s="167" t="s">
        <v>65</v>
      </c>
      <c r="B307" s="162">
        <v>11</v>
      </c>
      <c r="C307" s="162">
        <f t="shared" si="8"/>
        <v>2098.75</v>
      </c>
      <c r="D307" s="162" t="s">
        <v>161</v>
      </c>
      <c r="E307" s="168">
        <v>137403574066.6214</v>
      </c>
      <c r="F307" s="168">
        <v>137403574.06662139</v>
      </c>
      <c r="G307" s="168">
        <v>137403.5740666214</v>
      </c>
      <c r="H307" s="168">
        <v>137.40357406662139</v>
      </c>
      <c r="I307" s="164">
        <f>H307*$O$9/0.1*INDEX(Country_details!$N$9:N457,MATCH(Solar_data!A307,Country_details!$A$9:$A$154,0))</f>
        <v>350.37911386988452</v>
      </c>
      <c r="J307" s="164">
        <f t="shared" si="9"/>
        <v>2098.75</v>
      </c>
      <c r="K307" s="164"/>
      <c r="L307" s="164"/>
      <c r="M307" s="164"/>
      <c r="N307" s="164"/>
      <c r="O307" s="166"/>
      <c r="P307" s="166"/>
      <c r="Q307" s="166"/>
      <c r="R307" s="166"/>
      <c r="S307" s="166"/>
      <c r="T307" s="166"/>
      <c r="U307" s="166"/>
      <c r="V307" s="166"/>
      <c r="W307" s="166"/>
      <c r="X307" s="166"/>
      <c r="Y307" s="166"/>
      <c r="Z307" s="166"/>
      <c r="AA307" s="166"/>
      <c r="AB307" s="166"/>
      <c r="AC307" s="166"/>
      <c r="AD307" s="166"/>
      <c r="AE307" s="166"/>
      <c r="AF307" s="166"/>
      <c r="AG307" s="166"/>
      <c r="AH307" s="166"/>
      <c r="AI307" s="166"/>
    </row>
    <row r="308" spans="1:35" x14ac:dyDescent="0.2">
      <c r="A308" s="167" t="s">
        <v>65</v>
      </c>
      <c r="B308" s="162">
        <v>12</v>
      </c>
      <c r="C308" s="162">
        <f t="shared" si="8"/>
        <v>2281.25</v>
      </c>
      <c r="D308" s="162" t="s">
        <v>162</v>
      </c>
      <c r="E308" s="168">
        <v>27280737351.734901</v>
      </c>
      <c r="F308" s="168">
        <v>27280737.351734903</v>
      </c>
      <c r="G308" s="168">
        <v>27280.737351734904</v>
      </c>
      <c r="H308" s="168">
        <v>27.280737351734906</v>
      </c>
      <c r="I308" s="164">
        <f>H308*$O$9/0.1*INDEX(Country_details!$N$9:N458,MATCH(Solar_data!A308,Country_details!$A$9:$A$154,0))</f>
        <v>69.565880246923996</v>
      </c>
      <c r="J308" s="164">
        <f t="shared" si="9"/>
        <v>2281.25</v>
      </c>
      <c r="K308" s="164"/>
      <c r="L308" s="164"/>
      <c r="M308" s="164"/>
      <c r="N308" s="164"/>
      <c r="O308" s="166"/>
      <c r="P308" s="166"/>
      <c r="Q308" s="166"/>
      <c r="R308" s="166"/>
      <c r="S308" s="166"/>
      <c r="T308" s="166"/>
      <c r="U308" s="166"/>
      <c r="V308" s="166"/>
      <c r="W308" s="166"/>
      <c r="X308" s="166"/>
      <c r="Y308" s="166"/>
      <c r="Z308" s="166"/>
      <c r="AA308" s="166"/>
      <c r="AB308" s="166"/>
      <c r="AC308" s="166"/>
      <c r="AD308" s="166"/>
      <c r="AE308" s="166"/>
      <c r="AF308" s="166"/>
      <c r="AG308" s="166"/>
      <c r="AH308" s="166"/>
      <c r="AI308" s="166"/>
    </row>
    <row r="309" spans="1:35" x14ac:dyDescent="0.2">
      <c r="A309" s="167" t="s">
        <v>217</v>
      </c>
      <c r="B309" s="162">
        <v>7</v>
      </c>
      <c r="C309" s="162">
        <f t="shared" si="8"/>
        <v>1368.75</v>
      </c>
      <c r="D309" s="162" t="s">
        <v>174</v>
      </c>
      <c r="E309" s="168">
        <v>91583045.740700006</v>
      </c>
      <c r="F309" s="168">
        <v>91583.045740700007</v>
      </c>
      <c r="G309" s="168">
        <v>91.583045740700015</v>
      </c>
      <c r="H309" s="168">
        <v>9.1583045740700017E-2</v>
      </c>
      <c r="I309" s="164" t="e">
        <f>H309*$O$9/0.1*INDEX(Country_details!$N$9:N459,MATCH(Solar_data!A309,Country_details!$A$9:$A$154,0))</f>
        <v>#N/A</v>
      </c>
      <c r="J309" s="164">
        <f t="shared" si="9"/>
        <v>1368.75</v>
      </c>
      <c r="K309" s="164"/>
      <c r="L309" s="164"/>
      <c r="M309" s="164"/>
      <c r="N309" s="164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6"/>
      <c r="Z309" s="166"/>
      <c r="AA309" s="166"/>
      <c r="AB309" s="166"/>
      <c r="AC309" s="166"/>
      <c r="AD309" s="166"/>
      <c r="AE309" s="166"/>
      <c r="AF309" s="166"/>
      <c r="AG309" s="166"/>
      <c r="AH309" s="166"/>
      <c r="AI309" s="166"/>
    </row>
    <row r="310" spans="1:35" x14ac:dyDescent="0.2">
      <c r="A310" s="167" t="s">
        <v>66</v>
      </c>
      <c r="B310" s="162">
        <v>9</v>
      </c>
      <c r="C310" s="162">
        <f t="shared" si="8"/>
        <v>1733.75</v>
      </c>
      <c r="D310" s="162" t="s">
        <v>157</v>
      </c>
      <c r="E310" s="168">
        <v>16620831961.488899</v>
      </c>
      <c r="F310" s="168">
        <v>16620831.961488899</v>
      </c>
      <c r="G310" s="168">
        <v>16620.831961488901</v>
      </c>
      <c r="H310" s="168">
        <v>16.6208319614889</v>
      </c>
      <c r="I310" s="164">
        <f>H310*$O$9/0.1*INDEX(Country_details!$N$9:N460,MATCH(Solar_data!A310,Country_details!$A$9:$A$154,0))</f>
        <v>44.876246296020028</v>
      </c>
      <c r="J310" s="164">
        <f t="shared" si="9"/>
        <v>1733.75</v>
      </c>
      <c r="K310" s="164"/>
      <c r="L310" s="164"/>
      <c r="M310" s="164"/>
      <c r="N310" s="164"/>
      <c r="O310" s="166"/>
      <c r="P310" s="166"/>
      <c r="Q310" s="166"/>
      <c r="R310" s="166"/>
      <c r="S310" s="166"/>
      <c r="T310" s="166"/>
      <c r="U310" s="166"/>
      <c r="V310" s="166"/>
      <c r="W310" s="166"/>
      <c r="X310" s="166"/>
      <c r="Y310" s="166"/>
      <c r="Z310" s="166"/>
      <c r="AA310" s="166"/>
      <c r="AB310" s="166"/>
      <c r="AC310" s="166"/>
      <c r="AD310" s="166"/>
      <c r="AE310" s="166"/>
      <c r="AF310" s="166"/>
      <c r="AG310" s="166"/>
      <c r="AH310" s="166"/>
      <c r="AI310" s="166"/>
    </row>
    <row r="311" spans="1:35" x14ac:dyDescent="0.2">
      <c r="A311" s="167" t="s">
        <v>66</v>
      </c>
      <c r="B311" s="162">
        <v>10</v>
      </c>
      <c r="C311" s="162">
        <f t="shared" si="8"/>
        <v>1916.25</v>
      </c>
      <c r="D311" s="162" t="s">
        <v>159</v>
      </c>
      <c r="E311" s="168">
        <v>355924934166.36218</v>
      </c>
      <c r="F311" s="168">
        <v>355924934.16636217</v>
      </c>
      <c r="G311" s="168">
        <v>355924.93416636216</v>
      </c>
      <c r="H311" s="168">
        <v>355.92493416636216</v>
      </c>
      <c r="I311" s="164">
        <f>H311*$O$9/0.1*INDEX(Country_details!$N$9:N461,MATCH(Solar_data!A311,Country_details!$A$9:$A$154,0))</f>
        <v>960.99732224917784</v>
      </c>
      <c r="J311" s="164">
        <f t="shared" si="9"/>
        <v>1916.25</v>
      </c>
      <c r="K311" s="164"/>
      <c r="L311" s="164"/>
      <c r="M311" s="164"/>
      <c r="N311" s="164"/>
      <c r="O311" s="166"/>
      <c r="P311" s="166"/>
      <c r="Q311" s="166"/>
      <c r="R311" s="166"/>
      <c r="S311" s="166"/>
      <c r="T311" s="166"/>
      <c r="U311" s="166"/>
      <c r="V311" s="166"/>
      <c r="W311" s="166"/>
      <c r="X311" s="166"/>
      <c r="Y311" s="166"/>
      <c r="Z311" s="166"/>
      <c r="AA311" s="166"/>
      <c r="AB311" s="166"/>
      <c r="AC311" s="166"/>
      <c r="AD311" s="166"/>
      <c r="AE311" s="166"/>
      <c r="AF311" s="166"/>
      <c r="AG311" s="166"/>
      <c r="AH311" s="166"/>
      <c r="AI311" s="166"/>
    </row>
    <row r="312" spans="1:35" x14ac:dyDescent="0.2">
      <c r="A312" s="167" t="s">
        <v>66</v>
      </c>
      <c r="B312" s="162">
        <v>11</v>
      </c>
      <c r="C312" s="162">
        <f t="shared" si="8"/>
        <v>2098.75</v>
      </c>
      <c r="D312" s="162" t="s">
        <v>161</v>
      </c>
      <c r="E312" s="168">
        <v>357467363126.76318</v>
      </c>
      <c r="F312" s="168">
        <v>357467363.12676316</v>
      </c>
      <c r="G312" s="168">
        <v>357467.3631267632</v>
      </c>
      <c r="H312" s="168">
        <v>357.46736312676319</v>
      </c>
      <c r="I312" s="164">
        <f>H312*$O$9/0.1*INDEX(Country_details!$N$9:N462,MATCH(Solar_data!A312,Country_details!$A$9:$A$154,0))</f>
        <v>965.16188044226055</v>
      </c>
      <c r="J312" s="164">
        <f t="shared" si="9"/>
        <v>2098.75</v>
      </c>
      <c r="K312" s="164"/>
      <c r="L312" s="164"/>
      <c r="M312" s="164"/>
      <c r="N312" s="164"/>
      <c r="O312" s="166"/>
      <c r="P312" s="166"/>
      <c r="Q312" s="166"/>
      <c r="R312" s="166"/>
      <c r="S312" s="166"/>
      <c r="T312" s="166"/>
      <c r="U312" s="166"/>
      <c r="V312" s="166"/>
      <c r="W312" s="166"/>
      <c r="X312" s="166"/>
      <c r="Y312" s="166"/>
      <c r="Z312" s="166"/>
      <c r="AA312" s="166"/>
      <c r="AB312" s="166"/>
      <c r="AC312" s="166"/>
      <c r="AD312" s="166"/>
      <c r="AE312" s="166"/>
      <c r="AF312" s="166"/>
      <c r="AG312" s="166"/>
      <c r="AH312" s="166"/>
      <c r="AI312" s="166"/>
    </row>
    <row r="313" spans="1:35" x14ac:dyDescent="0.2">
      <c r="A313" s="167" t="s">
        <v>218</v>
      </c>
      <c r="B313" s="162">
        <v>10</v>
      </c>
      <c r="C313" s="162">
        <f t="shared" si="8"/>
        <v>1916.25</v>
      </c>
      <c r="D313" s="162" t="s">
        <v>159</v>
      </c>
      <c r="E313" s="168">
        <v>54719510914.116798</v>
      </c>
      <c r="F313" s="168">
        <v>54719510.9141168</v>
      </c>
      <c r="G313" s="168">
        <v>54719.5109141168</v>
      </c>
      <c r="H313" s="168">
        <v>54.719510914116803</v>
      </c>
      <c r="I313" s="164" t="e">
        <f>H313*$O$9/0.1*INDEX(Country_details!$N$9:N463,MATCH(Solar_data!A313,Country_details!$A$9:$A$154,0))</f>
        <v>#N/A</v>
      </c>
      <c r="J313" s="164">
        <f t="shared" si="9"/>
        <v>1916.25</v>
      </c>
      <c r="K313" s="164"/>
      <c r="L313" s="164"/>
      <c r="M313" s="164"/>
      <c r="N313" s="164"/>
      <c r="O313" s="166"/>
      <c r="P313" s="166"/>
      <c r="Q313" s="166"/>
      <c r="R313" s="166"/>
      <c r="S313" s="166"/>
      <c r="T313" s="166"/>
      <c r="U313" s="166"/>
      <c r="V313" s="166"/>
      <c r="W313" s="166"/>
      <c r="X313" s="166"/>
      <c r="Y313" s="166"/>
      <c r="Z313" s="166"/>
      <c r="AA313" s="166"/>
      <c r="AB313" s="166"/>
      <c r="AC313" s="166"/>
      <c r="AD313" s="166"/>
      <c r="AE313" s="166"/>
      <c r="AF313" s="166"/>
      <c r="AG313" s="166"/>
      <c r="AH313" s="166"/>
      <c r="AI313" s="166"/>
    </row>
    <row r="314" spans="1:35" x14ac:dyDescent="0.2">
      <c r="A314" s="167" t="s">
        <v>218</v>
      </c>
      <c r="B314" s="162">
        <v>11</v>
      </c>
      <c r="C314" s="162">
        <f t="shared" si="8"/>
        <v>2098.75</v>
      </c>
      <c r="D314" s="162" t="s">
        <v>161</v>
      </c>
      <c r="E314" s="168">
        <v>38942648081.266602</v>
      </c>
      <c r="F314" s="168">
        <v>38942648.081266604</v>
      </c>
      <c r="G314" s="168">
        <v>38942.648081266605</v>
      </c>
      <c r="H314" s="168">
        <v>38.942648081266604</v>
      </c>
      <c r="I314" s="164" t="e">
        <f>H314*$O$9/0.1*INDEX(Country_details!$N$9:N464,MATCH(Solar_data!A314,Country_details!$A$9:$A$154,0))</f>
        <v>#N/A</v>
      </c>
      <c r="J314" s="164">
        <f t="shared" si="9"/>
        <v>2098.75</v>
      </c>
      <c r="K314" s="164"/>
      <c r="L314" s="164"/>
      <c r="M314" s="164"/>
      <c r="N314" s="164"/>
      <c r="O314" s="166"/>
      <c r="P314" s="166"/>
      <c r="Q314" s="166"/>
      <c r="R314" s="166"/>
      <c r="S314" s="166"/>
      <c r="T314" s="166"/>
      <c r="U314" s="166"/>
      <c r="V314" s="166"/>
      <c r="W314" s="166"/>
      <c r="X314" s="166"/>
      <c r="Y314" s="166"/>
      <c r="Z314" s="166"/>
      <c r="AA314" s="166"/>
      <c r="AB314" s="166"/>
      <c r="AC314" s="166"/>
      <c r="AD314" s="166"/>
      <c r="AE314" s="166"/>
      <c r="AF314" s="166"/>
      <c r="AG314" s="166"/>
      <c r="AH314" s="166"/>
      <c r="AI314" s="166"/>
    </row>
    <row r="315" spans="1:35" x14ac:dyDescent="0.2">
      <c r="A315" s="167" t="s">
        <v>67</v>
      </c>
      <c r="B315" s="162">
        <v>9</v>
      </c>
      <c r="C315" s="162">
        <f t="shared" si="8"/>
        <v>1733.75</v>
      </c>
      <c r="D315" s="162" t="s">
        <v>157</v>
      </c>
      <c r="E315" s="168">
        <v>264907294051.14581</v>
      </c>
      <c r="F315" s="168">
        <v>264907294.05114582</v>
      </c>
      <c r="G315" s="168">
        <v>264907.29405114584</v>
      </c>
      <c r="H315" s="168">
        <v>264.90729405114587</v>
      </c>
      <c r="I315" s="164">
        <f>H315*$O$9/0.1*INDEX(Country_details!$N$9:N465,MATCH(Solar_data!A315,Country_details!$A$9:$A$154,0))</f>
        <v>715.24969393809386</v>
      </c>
      <c r="J315" s="164">
        <f t="shared" si="9"/>
        <v>1733.75</v>
      </c>
      <c r="K315" s="164"/>
      <c r="L315" s="164"/>
      <c r="M315" s="164"/>
      <c r="N315" s="164"/>
      <c r="O315" s="166"/>
      <c r="P315" s="166"/>
      <c r="Q315" s="166"/>
      <c r="R315" s="166"/>
      <c r="S315" s="166"/>
      <c r="T315" s="166"/>
      <c r="U315" s="166"/>
      <c r="V315" s="166"/>
      <c r="W315" s="166"/>
      <c r="X315" s="166"/>
      <c r="Y315" s="166"/>
      <c r="Z315" s="166"/>
      <c r="AA315" s="166"/>
      <c r="AB315" s="166"/>
      <c r="AC315" s="166"/>
      <c r="AD315" s="166"/>
      <c r="AE315" s="166"/>
      <c r="AF315" s="166"/>
      <c r="AG315" s="166"/>
      <c r="AH315" s="166"/>
      <c r="AI315" s="166"/>
    </row>
    <row r="316" spans="1:35" x14ac:dyDescent="0.2">
      <c r="A316" s="167" t="s">
        <v>67</v>
      </c>
      <c r="B316" s="162">
        <v>10</v>
      </c>
      <c r="C316" s="162">
        <f t="shared" si="8"/>
        <v>1916.25</v>
      </c>
      <c r="D316" s="162" t="s">
        <v>159</v>
      </c>
      <c r="E316" s="168">
        <v>310602115060.94513</v>
      </c>
      <c r="F316" s="168">
        <v>310602115.06094515</v>
      </c>
      <c r="G316" s="168">
        <v>310602.11506094516</v>
      </c>
      <c r="H316" s="168">
        <v>310.60211506094515</v>
      </c>
      <c r="I316" s="164">
        <f>H316*$O$9/0.1*INDEX(Country_details!$N$9:N466,MATCH(Solar_data!A316,Country_details!$A$9:$A$154,0))</f>
        <v>838.62571066455178</v>
      </c>
      <c r="J316" s="164">
        <f t="shared" si="9"/>
        <v>1916.25</v>
      </c>
      <c r="K316" s="164"/>
      <c r="L316" s="164"/>
      <c r="M316" s="164"/>
      <c r="N316" s="164"/>
      <c r="O316" s="166"/>
      <c r="P316" s="166"/>
      <c r="Q316" s="166"/>
      <c r="R316" s="166"/>
      <c r="S316" s="166"/>
      <c r="T316" s="166"/>
      <c r="U316" s="166"/>
      <c r="V316" s="166"/>
      <c r="W316" s="166"/>
      <c r="X316" s="166"/>
      <c r="Y316" s="166"/>
      <c r="Z316" s="166"/>
      <c r="AA316" s="166"/>
      <c r="AB316" s="166"/>
      <c r="AC316" s="166"/>
      <c r="AD316" s="166"/>
      <c r="AE316" s="166"/>
      <c r="AF316" s="166"/>
      <c r="AG316" s="166"/>
      <c r="AH316" s="166"/>
      <c r="AI316" s="166"/>
    </row>
    <row r="317" spans="1:35" x14ac:dyDescent="0.2">
      <c r="A317" s="167" t="s">
        <v>67</v>
      </c>
      <c r="B317" s="162">
        <v>11</v>
      </c>
      <c r="C317" s="162">
        <f t="shared" si="8"/>
        <v>2098.75</v>
      </c>
      <c r="D317" s="162" t="s">
        <v>161</v>
      </c>
      <c r="E317" s="168">
        <v>312677453.3585</v>
      </c>
      <c r="F317" s="168">
        <v>312677.45335850003</v>
      </c>
      <c r="G317" s="168">
        <v>312.67745335850003</v>
      </c>
      <c r="H317" s="168">
        <v>0.31267745335850006</v>
      </c>
      <c r="I317" s="164">
        <f>H317*$O$9/0.1*INDEX(Country_details!$N$9:N467,MATCH(Solar_data!A317,Country_details!$A$9:$A$154,0))</f>
        <v>0.84422912406795003</v>
      </c>
      <c r="J317" s="164">
        <f t="shared" si="9"/>
        <v>2098.75</v>
      </c>
      <c r="K317" s="164"/>
      <c r="L317" s="164"/>
      <c r="M317" s="164"/>
      <c r="N317" s="164"/>
      <c r="O317" s="166"/>
      <c r="P317" s="166"/>
      <c r="Q317" s="166"/>
      <c r="R317" s="166"/>
      <c r="S317" s="166"/>
      <c r="T317" s="166"/>
      <c r="U317" s="166"/>
      <c r="V317" s="166"/>
      <c r="W317" s="166"/>
      <c r="X317" s="166"/>
      <c r="Y317" s="166"/>
      <c r="Z317" s="166"/>
      <c r="AA317" s="166"/>
      <c r="AB317" s="166"/>
      <c r="AC317" s="166"/>
      <c r="AD317" s="166"/>
      <c r="AE317" s="166"/>
      <c r="AF317" s="166"/>
      <c r="AG317" s="166"/>
      <c r="AH317" s="166"/>
      <c r="AI317" s="166"/>
    </row>
    <row r="318" spans="1:35" x14ac:dyDescent="0.2">
      <c r="A318" s="167" t="s">
        <v>68</v>
      </c>
      <c r="B318" s="162">
        <v>11</v>
      </c>
      <c r="C318" s="162">
        <f t="shared" si="8"/>
        <v>2098.75</v>
      </c>
      <c r="D318" s="162" t="s">
        <v>161</v>
      </c>
      <c r="E318" s="168">
        <v>26758515414.606899</v>
      </c>
      <c r="F318" s="168">
        <v>26758515.414606899</v>
      </c>
      <c r="G318" s="168">
        <v>26758.5154146069</v>
      </c>
      <c r="H318" s="168">
        <v>26.758515414606901</v>
      </c>
      <c r="I318" s="164">
        <f>H318*$O$9/0.1*INDEX(Country_details!$N$9:N468,MATCH(Solar_data!A318,Country_details!$A$9:$A$154,0))</f>
        <v>68.234214307247598</v>
      </c>
      <c r="J318" s="164">
        <f t="shared" si="9"/>
        <v>2098.75</v>
      </c>
      <c r="K318" s="164"/>
      <c r="L318" s="164"/>
      <c r="M318" s="164"/>
      <c r="N318" s="164"/>
      <c r="O318" s="166"/>
      <c r="P318" s="166"/>
      <c r="Q318" s="166"/>
      <c r="R318" s="166"/>
      <c r="S318" s="166"/>
      <c r="T318" s="166"/>
      <c r="U318" s="166"/>
      <c r="V318" s="166"/>
      <c r="W318" s="166"/>
      <c r="X318" s="166"/>
      <c r="Y318" s="166"/>
      <c r="Z318" s="166"/>
      <c r="AA318" s="166"/>
      <c r="AB318" s="166"/>
      <c r="AC318" s="166"/>
      <c r="AD318" s="166"/>
      <c r="AE318" s="166"/>
      <c r="AF318" s="166"/>
      <c r="AG318" s="166"/>
      <c r="AH318" s="166"/>
      <c r="AI318" s="166"/>
    </row>
    <row r="319" spans="1:35" x14ac:dyDescent="0.2">
      <c r="A319" s="167" t="s">
        <v>68</v>
      </c>
      <c r="B319" s="162">
        <v>12</v>
      </c>
      <c r="C319" s="162">
        <f t="shared" si="8"/>
        <v>2281.25</v>
      </c>
      <c r="D319" s="162" t="s">
        <v>162</v>
      </c>
      <c r="E319" s="168">
        <v>66189071206.915001</v>
      </c>
      <c r="F319" s="168">
        <v>66189071.206914999</v>
      </c>
      <c r="G319" s="168">
        <v>66189.071206915003</v>
      </c>
      <c r="H319" s="168">
        <v>66.189071206915003</v>
      </c>
      <c r="I319" s="164">
        <f>H319*$O$9/0.1*INDEX(Country_details!$N$9:N469,MATCH(Solar_data!A319,Country_details!$A$9:$A$154,0))</f>
        <v>168.78213157763324</v>
      </c>
      <c r="J319" s="164">
        <f t="shared" si="9"/>
        <v>2281.25</v>
      </c>
      <c r="K319" s="164"/>
      <c r="L319" s="164"/>
      <c r="M319" s="164"/>
      <c r="N319" s="164"/>
      <c r="O319" s="166"/>
      <c r="P319" s="166"/>
      <c r="Q319" s="166"/>
      <c r="R319" s="166"/>
      <c r="S319" s="166"/>
      <c r="T319" s="166"/>
      <c r="U319" s="166"/>
      <c r="V319" s="166"/>
      <c r="W319" s="166"/>
      <c r="X319" s="166"/>
      <c r="Y319" s="166"/>
      <c r="Z319" s="166"/>
      <c r="AA319" s="166"/>
      <c r="AB319" s="166"/>
      <c r="AC319" s="166"/>
      <c r="AD319" s="166"/>
      <c r="AE319" s="166"/>
      <c r="AF319" s="166"/>
      <c r="AG319" s="166"/>
      <c r="AH319" s="166"/>
      <c r="AI319" s="166"/>
    </row>
    <row r="320" spans="1:35" x14ac:dyDescent="0.2">
      <c r="A320" s="167" t="s">
        <v>219</v>
      </c>
      <c r="B320" s="162">
        <v>5</v>
      </c>
      <c r="C320" s="162">
        <f t="shared" si="8"/>
        <v>1003.75</v>
      </c>
      <c r="D320" s="162" t="s">
        <v>172</v>
      </c>
      <c r="E320" s="168">
        <v>462246189.16500002</v>
      </c>
      <c r="F320" s="168">
        <v>462246.18916500005</v>
      </c>
      <c r="G320" s="168">
        <v>462.24618916500003</v>
      </c>
      <c r="H320" s="168">
        <v>0.46224618916500004</v>
      </c>
      <c r="I320" s="164" t="e">
        <f>H320*$O$9/0.1*INDEX(Country_details!$N$9:N470,MATCH(Solar_data!A320,Country_details!$A$9:$A$154,0))</f>
        <v>#N/A</v>
      </c>
      <c r="J320" s="164">
        <f t="shared" si="9"/>
        <v>1003.75</v>
      </c>
      <c r="K320" s="164"/>
      <c r="L320" s="164"/>
      <c r="M320" s="164"/>
      <c r="N320" s="164"/>
      <c r="O320" s="166"/>
      <c r="P320" s="166"/>
      <c r="Q320" s="166"/>
      <c r="R320" s="166"/>
      <c r="S320" s="166"/>
      <c r="T320" s="166"/>
      <c r="U320" s="166"/>
      <c r="V320" s="166"/>
      <c r="W320" s="166"/>
      <c r="X320" s="166"/>
      <c r="Y320" s="166"/>
      <c r="Z320" s="166"/>
      <c r="AA320" s="166"/>
      <c r="AB320" s="166"/>
      <c r="AC320" s="166"/>
      <c r="AD320" s="166"/>
      <c r="AE320" s="166"/>
      <c r="AF320" s="166"/>
      <c r="AG320" s="166"/>
      <c r="AH320" s="166"/>
      <c r="AI320" s="166"/>
    </row>
    <row r="321" spans="1:35" x14ac:dyDescent="0.2">
      <c r="A321" s="167" t="s">
        <v>219</v>
      </c>
      <c r="B321" s="162">
        <v>6</v>
      </c>
      <c r="C321" s="162">
        <f t="shared" si="8"/>
        <v>1186.25</v>
      </c>
      <c r="D321" s="162" t="s">
        <v>173</v>
      </c>
      <c r="E321" s="168">
        <v>1003945.1538</v>
      </c>
      <c r="F321" s="168">
        <v>1003.9451538</v>
      </c>
      <c r="G321" s="168">
        <v>1.0039451537999999</v>
      </c>
      <c r="H321" s="168">
        <v>1.0039451537999999E-3</v>
      </c>
      <c r="I321" s="164" t="e">
        <f>H321*$O$9/0.1*INDEX(Country_details!$N$9:N471,MATCH(Solar_data!A321,Country_details!$A$9:$A$154,0))</f>
        <v>#N/A</v>
      </c>
      <c r="J321" s="164">
        <f t="shared" si="9"/>
        <v>1186.25</v>
      </c>
      <c r="K321" s="164"/>
      <c r="L321" s="164"/>
      <c r="M321" s="164"/>
      <c r="N321" s="164"/>
      <c r="O321" s="166"/>
      <c r="P321" s="166"/>
      <c r="Q321" s="166"/>
      <c r="R321" s="166"/>
      <c r="S321" s="166"/>
      <c r="T321" s="166"/>
      <c r="U321" s="166"/>
      <c r="V321" s="166"/>
      <c r="W321" s="166"/>
      <c r="X321" s="166"/>
      <c r="Y321" s="166"/>
      <c r="Z321" s="166"/>
      <c r="AA321" s="166"/>
      <c r="AB321" s="166"/>
      <c r="AC321" s="166"/>
      <c r="AD321" s="166"/>
      <c r="AE321" s="166"/>
      <c r="AF321" s="166"/>
      <c r="AG321" s="166"/>
      <c r="AH321" s="166"/>
      <c r="AI321" s="166"/>
    </row>
    <row r="322" spans="1:35" x14ac:dyDescent="0.2">
      <c r="A322" s="167" t="s">
        <v>69</v>
      </c>
      <c r="B322" s="162">
        <v>9</v>
      </c>
      <c r="C322" s="162">
        <f t="shared" si="8"/>
        <v>1733.75</v>
      </c>
      <c r="D322" s="162" t="s">
        <v>157</v>
      </c>
      <c r="E322" s="168">
        <v>57686838121.578499</v>
      </c>
      <c r="F322" s="168">
        <v>57686838.1215785</v>
      </c>
      <c r="G322" s="168">
        <v>57686.838121578498</v>
      </c>
      <c r="H322" s="168">
        <v>57.686838121578496</v>
      </c>
      <c r="I322" s="164">
        <f>H322*$O$9/0.1*INDEX(Country_details!$N$9:N472,MATCH(Solar_data!A322,Country_details!$A$9:$A$154,0))</f>
        <v>147.10143721002515</v>
      </c>
      <c r="J322" s="164">
        <f t="shared" si="9"/>
        <v>1733.75</v>
      </c>
      <c r="K322" s="164"/>
      <c r="L322" s="164"/>
      <c r="M322" s="164"/>
      <c r="N322" s="164"/>
      <c r="O322" s="166"/>
      <c r="P322" s="166"/>
      <c r="Q322" s="166"/>
      <c r="R322" s="166"/>
      <c r="S322" s="166"/>
      <c r="T322" s="166"/>
      <c r="U322" s="166"/>
      <c r="V322" s="166"/>
      <c r="W322" s="166"/>
      <c r="X322" s="166"/>
      <c r="Y322" s="166"/>
      <c r="Z322" s="166"/>
      <c r="AA322" s="166"/>
      <c r="AB322" s="166"/>
      <c r="AC322" s="166"/>
      <c r="AD322" s="166"/>
      <c r="AE322" s="166"/>
      <c r="AF322" s="166"/>
      <c r="AG322" s="166"/>
      <c r="AH322" s="166"/>
      <c r="AI322" s="166"/>
    </row>
    <row r="323" spans="1:35" x14ac:dyDescent="0.2">
      <c r="A323" s="167" t="s">
        <v>69</v>
      </c>
      <c r="B323" s="162">
        <v>10</v>
      </c>
      <c r="C323" s="162">
        <f t="shared" si="8"/>
        <v>1916.25</v>
      </c>
      <c r="D323" s="162" t="s">
        <v>159</v>
      </c>
      <c r="E323" s="168">
        <v>222552467613.37561</v>
      </c>
      <c r="F323" s="168">
        <v>222552467.6133756</v>
      </c>
      <c r="G323" s="168">
        <v>222552.4676133756</v>
      </c>
      <c r="H323" s="168">
        <v>222.5524676133756</v>
      </c>
      <c r="I323" s="164">
        <f>H323*$O$9/0.1*INDEX(Country_details!$N$9:N473,MATCH(Solar_data!A323,Country_details!$A$9:$A$154,0))</f>
        <v>567.5087924141078</v>
      </c>
      <c r="J323" s="164">
        <f t="shared" si="9"/>
        <v>1916.25</v>
      </c>
      <c r="K323" s="164"/>
      <c r="L323" s="164"/>
      <c r="M323" s="164"/>
      <c r="N323" s="164"/>
      <c r="O323" s="166"/>
      <c r="P323" s="166"/>
      <c r="Q323" s="166"/>
      <c r="R323" s="166"/>
      <c r="S323" s="166"/>
      <c r="T323" s="166"/>
      <c r="U323" s="166"/>
      <c r="V323" s="166"/>
      <c r="W323" s="166"/>
      <c r="X323" s="166"/>
      <c r="Y323" s="166"/>
      <c r="Z323" s="166"/>
      <c r="AA323" s="166"/>
      <c r="AB323" s="166"/>
      <c r="AC323" s="166"/>
      <c r="AD323" s="166"/>
      <c r="AE323" s="166"/>
      <c r="AF323" s="166"/>
      <c r="AG323" s="166"/>
      <c r="AH323" s="166"/>
      <c r="AI323" s="166"/>
    </row>
    <row r="324" spans="1:35" x14ac:dyDescent="0.2">
      <c r="A324" s="167" t="s">
        <v>69</v>
      </c>
      <c r="B324" s="162">
        <v>11</v>
      </c>
      <c r="C324" s="162">
        <f t="shared" si="8"/>
        <v>2098.75</v>
      </c>
      <c r="D324" s="162" t="s">
        <v>161</v>
      </c>
      <c r="E324" s="168">
        <v>33182354617.840302</v>
      </c>
      <c r="F324" s="168">
        <v>33182354.617840301</v>
      </c>
      <c r="G324" s="168">
        <v>33182.354617840305</v>
      </c>
      <c r="H324" s="168">
        <v>33.182354617840303</v>
      </c>
      <c r="I324" s="164">
        <f>H324*$O$9/0.1*INDEX(Country_details!$N$9:N474,MATCH(Solar_data!A324,Country_details!$A$9:$A$154,0))</f>
        <v>84.615004275492765</v>
      </c>
      <c r="J324" s="164">
        <f t="shared" si="9"/>
        <v>2098.75</v>
      </c>
      <c r="K324" s="164"/>
      <c r="L324" s="164"/>
      <c r="M324" s="164"/>
      <c r="N324" s="164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6"/>
      <c r="Z324" s="166"/>
      <c r="AA324" s="166"/>
      <c r="AB324" s="166"/>
      <c r="AC324" s="166"/>
      <c r="AD324" s="166"/>
      <c r="AE324" s="166"/>
      <c r="AF324" s="166"/>
      <c r="AG324" s="166"/>
      <c r="AH324" s="166"/>
      <c r="AI324" s="166"/>
    </row>
    <row r="325" spans="1:35" x14ac:dyDescent="0.2">
      <c r="A325" s="167" t="s">
        <v>69</v>
      </c>
      <c r="B325" s="162">
        <v>12</v>
      </c>
      <c r="C325" s="162">
        <f t="shared" ref="C325:C388" si="10">(0.5*B325+0.25)*365</f>
        <v>2281.25</v>
      </c>
      <c r="D325" s="162" t="s">
        <v>162</v>
      </c>
      <c r="E325" s="168">
        <v>9194571419.7875996</v>
      </c>
      <c r="F325" s="168">
        <v>9194571.4197876006</v>
      </c>
      <c r="G325" s="168">
        <v>9194.5714197876005</v>
      </c>
      <c r="H325" s="168">
        <v>9.1945714197876001</v>
      </c>
      <c r="I325" s="164">
        <f>H325*$O$9/0.1*INDEX(Country_details!$N$9:N475,MATCH(Solar_data!A325,Country_details!$A$9:$A$154,0))</f>
        <v>23.446157120458377</v>
      </c>
      <c r="J325" s="164">
        <f t="shared" si="9"/>
        <v>2281.25</v>
      </c>
      <c r="K325" s="164"/>
      <c r="L325" s="164"/>
      <c r="M325" s="164"/>
      <c r="N325" s="164"/>
      <c r="O325" s="166"/>
      <c r="P325" s="166"/>
      <c r="Q325" s="166"/>
      <c r="R325" s="166"/>
      <c r="S325" s="166"/>
      <c r="T325" s="166"/>
      <c r="U325" s="166"/>
      <c r="V325" s="166"/>
      <c r="W325" s="166"/>
      <c r="X325" s="166"/>
      <c r="Y325" s="166"/>
      <c r="Z325" s="166"/>
      <c r="AA325" s="166"/>
      <c r="AB325" s="166"/>
      <c r="AC325" s="166"/>
      <c r="AD325" s="166"/>
      <c r="AE325" s="166"/>
      <c r="AF325" s="166"/>
      <c r="AG325" s="166"/>
      <c r="AH325" s="166"/>
      <c r="AI325" s="166"/>
    </row>
    <row r="326" spans="1:35" x14ac:dyDescent="0.2">
      <c r="A326" s="167" t="s">
        <v>220</v>
      </c>
      <c r="B326" s="162">
        <v>12</v>
      </c>
      <c r="C326" s="162">
        <f t="shared" si="10"/>
        <v>2281.25</v>
      </c>
      <c r="D326" s="162" t="s">
        <v>162</v>
      </c>
      <c r="E326" s="168">
        <v>6556633.7055000002</v>
      </c>
      <c r="F326" s="168">
        <v>6556.6337055000004</v>
      </c>
      <c r="G326" s="168">
        <v>6.5566337055000004</v>
      </c>
      <c r="H326" s="168">
        <v>6.5566337055000005E-3</v>
      </c>
      <c r="I326" s="164" t="e">
        <f>H326*$O$9/0.1*INDEX(Country_details!$N$9:N476,MATCH(Solar_data!A326,Country_details!$A$9:$A$154,0))</f>
        <v>#N/A</v>
      </c>
      <c r="J326" s="164">
        <f t="shared" si="9"/>
        <v>2281.25</v>
      </c>
      <c r="K326" s="164"/>
      <c r="L326" s="164"/>
      <c r="M326" s="164"/>
      <c r="N326" s="164"/>
      <c r="O326" s="166"/>
      <c r="P326" s="166"/>
      <c r="Q326" s="166"/>
      <c r="R326" s="166"/>
      <c r="S326" s="166"/>
      <c r="T326" s="166"/>
      <c r="U326" s="166"/>
      <c r="V326" s="166"/>
      <c r="W326" s="166"/>
      <c r="X326" s="166"/>
      <c r="Y326" s="166"/>
      <c r="Z326" s="166"/>
      <c r="AA326" s="166"/>
      <c r="AB326" s="166"/>
      <c r="AC326" s="166"/>
      <c r="AD326" s="166"/>
      <c r="AE326" s="166"/>
      <c r="AF326" s="166"/>
      <c r="AG326" s="166"/>
      <c r="AH326" s="166"/>
      <c r="AI326" s="166"/>
    </row>
    <row r="327" spans="1:35" x14ac:dyDescent="0.2">
      <c r="A327" s="167" t="s">
        <v>221</v>
      </c>
      <c r="B327" s="162">
        <v>7</v>
      </c>
      <c r="C327" s="162">
        <f t="shared" si="10"/>
        <v>1368.75</v>
      </c>
      <c r="D327" s="162" t="s">
        <v>174</v>
      </c>
      <c r="E327" s="168">
        <v>176768643184.7869</v>
      </c>
      <c r="F327" s="168">
        <v>176768643.18478689</v>
      </c>
      <c r="G327" s="168">
        <v>176768.6431847869</v>
      </c>
      <c r="H327" s="168">
        <v>176.7686431847869</v>
      </c>
      <c r="I327" s="164" t="e">
        <f>H327*$O$9/0.1*INDEX(Country_details!$N$9:N477,MATCH(Solar_data!A327,Country_details!$A$9:$A$154,0))</f>
        <v>#N/A</v>
      </c>
      <c r="J327" s="164">
        <f t="shared" si="9"/>
        <v>1368.75</v>
      </c>
      <c r="K327" s="164"/>
      <c r="L327" s="164"/>
      <c r="M327" s="164"/>
      <c r="N327" s="164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6"/>
      <c r="Z327" s="166"/>
      <c r="AA327" s="166"/>
      <c r="AB327" s="166"/>
      <c r="AC327" s="166"/>
      <c r="AD327" s="166"/>
      <c r="AE327" s="166"/>
      <c r="AF327" s="166"/>
      <c r="AG327" s="166"/>
      <c r="AH327" s="166"/>
      <c r="AI327" s="166"/>
    </row>
    <row r="328" spans="1:35" x14ac:dyDescent="0.2">
      <c r="A328" s="167" t="s">
        <v>221</v>
      </c>
      <c r="B328" s="162">
        <v>8</v>
      </c>
      <c r="C328" s="162">
        <f t="shared" si="10"/>
        <v>1551.25</v>
      </c>
      <c r="D328" s="162" t="s">
        <v>164</v>
      </c>
      <c r="E328" s="168">
        <v>16674023535.8787</v>
      </c>
      <c r="F328" s="168">
        <v>16674023.535878701</v>
      </c>
      <c r="G328" s="168">
        <v>16674.023535878703</v>
      </c>
      <c r="H328" s="168">
        <v>16.674023535878703</v>
      </c>
      <c r="I328" s="164" t="e">
        <f>H328*$O$9/0.1*INDEX(Country_details!$N$9:N478,MATCH(Solar_data!A328,Country_details!$A$9:$A$154,0))</f>
        <v>#N/A</v>
      </c>
      <c r="J328" s="164">
        <f t="shared" si="9"/>
        <v>1551.25</v>
      </c>
      <c r="K328" s="164"/>
      <c r="L328" s="164"/>
      <c r="M328" s="164"/>
      <c r="N328" s="164"/>
      <c r="O328" s="166"/>
      <c r="P328" s="166"/>
      <c r="Q328" s="166"/>
      <c r="R328" s="166"/>
      <c r="S328" s="166"/>
      <c r="T328" s="166"/>
      <c r="U328" s="166"/>
      <c r="V328" s="166"/>
      <c r="W328" s="166"/>
      <c r="X328" s="166"/>
      <c r="Y328" s="166"/>
      <c r="Z328" s="166"/>
      <c r="AA328" s="166"/>
      <c r="AB328" s="166"/>
      <c r="AC328" s="166"/>
      <c r="AD328" s="166"/>
      <c r="AE328" s="166"/>
      <c r="AF328" s="166"/>
      <c r="AG328" s="166"/>
      <c r="AH328" s="166"/>
      <c r="AI328" s="166"/>
    </row>
    <row r="329" spans="1:35" x14ac:dyDescent="0.2">
      <c r="A329" s="167" t="s">
        <v>222</v>
      </c>
      <c r="B329" s="162">
        <v>3</v>
      </c>
      <c r="C329" s="162">
        <f t="shared" si="10"/>
        <v>638.75</v>
      </c>
      <c r="D329" s="162" t="s">
        <v>170</v>
      </c>
      <c r="E329" s="168">
        <v>147129975.89160001</v>
      </c>
      <c r="F329" s="168">
        <v>147129.97589160001</v>
      </c>
      <c r="G329" s="168">
        <v>147.12997589160003</v>
      </c>
      <c r="H329" s="168">
        <v>0.14712997589160004</v>
      </c>
      <c r="I329" s="164" t="e">
        <f>H329*$O$9/0.1*INDEX(Country_details!$N$9:N479,MATCH(Solar_data!A329,Country_details!$A$9:$A$154,0))</f>
        <v>#N/A</v>
      </c>
      <c r="J329" s="164">
        <f t="shared" ref="J329:J392" si="11">(0.5*B329+0.25)*365</f>
        <v>638.75</v>
      </c>
      <c r="K329" s="164"/>
      <c r="L329" s="164"/>
      <c r="M329" s="164"/>
      <c r="N329" s="164"/>
      <c r="O329" s="166"/>
      <c r="P329" s="166"/>
      <c r="Q329" s="166"/>
      <c r="R329" s="166"/>
      <c r="S329" s="166"/>
      <c r="T329" s="166"/>
      <c r="U329" s="166"/>
      <c r="V329" s="166"/>
      <c r="W329" s="166"/>
      <c r="X329" s="166"/>
      <c r="Y329" s="166"/>
      <c r="Z329" s="166"/>
      <c r="AA329" s="166"/>
      <c r="AB329" s="166"/>
      <c r="AC329" s="166"/>
      <c r="AD329" s="166"/>
      <c r="AE329" s="166"/>
      <c r="AF329" s="166"/>
      <c r="AG329" s="166"/>
      <c r="AH329" s="166"/>
      <c r="AI329" s="166"/>
    </row>
    <row r="330" spans="1:35" x14ac:dyDescent="0.2">
      <c r="A330" s="167" t="s">
        <v>222</v>
      </c>
      <c r="B330" s="162">
        <v>4</v>
      </c>
      <c r="C330" s="162">
        <f t="shared" si="10"/>
        <v>821.25</v>
      </c>
      <c r="D330" s="162" t="s">
        <v>171</v>
      </c>
      <c r="E330" s="168">
        <v>14099737208.2188</v>
      </c>
      <c r="F330" s="168">
        <v>14099737.2082188</v>
      </c>
      <c r="G330" s="168">
        <v>14099.737208218799</v>
      </c>
      <c r="H330" s="168">
        <v>14.0997372082188</v>
      </c>
      <c r="I330" s="164" t="e">
        <f>H330*$O$9/0.1*INDEX(Country_details!$N$9:N480,MATCH(Solar_data!A330,Country_details!$A$9:$A$154,0))</f>
        <v>#N/A</v>
      </c>
      <c r="J330" s="164">
        <f t="shared" si="11"/>
        <v>821.25</v>
      </c>
      <c r="K330" s="164"/>
      <c r="L330" s="164"/>
      <c r="M330" s="164"/>
      <c r="N330" s="164"/>
      <c r="O330" s="166"/>
      <c r="P330" s="166"/>
      <c r="Q330" s="166"/>
      <c r="R330" s="166"/>
      <c r="S330" s="166"/>
      <c r="T330" s="166"/>
      <c r="U330" s="166"/>
      <c r="V330" s="166"/>
      <c r="W330" s="166"/>
      <c r="X330" s="166"/>
      <c r="Y330" s="166"/>
      <c r="Z330" s="166"/>
      <c r="AA330" s="166"/>
      <c r="AB330" s="166"/>
      <c r="AC330" s="166"/>
      <c r="AD330" s="166"/>
      <c r="AE330" s="166"/>
      <c r="AF330" s="166"/>
      <c r="AG330" s="166"/>
      <c r="AH330" s="166"/>
      <c r="AI330" s="166"/>
    </row>
    <row r="331" spans="1:35" x14ac:dyDescent="0.2">
      <c r="A331" s="167" t="s">
        <v>222</v>
      </c>
      <c r="B331" s="162">
        <v>5</v>
      </c>
      <c r="C331" s="162">
        <f t="shared" si="10"/>
        <v>1003.75</v>
      </c>
      <c r="D331" s="162" t="s">
        <v>172</v>
      </c>
      <c r="E331" s="168">
        <v>128535349938.37041</v>
      </c>
      <c r="F331" s="168">
        <v>128535349.93837041</v>
      </c>
      <c r="G331" s="168">
        <v>128535.3499383704</v>
      </c>
      <c r="H331" s="168">
        <v>128.53534993837042</v>
      </c>
      <c r="I331" s="164" t="e">
        <f>H331*$O$9/0.1*INDEX(Country_details!$N$9:N481,MATCH(Solar_data!A331,Country_details!$A$9:$A$154,0))</f>
        <v>#N/A</v>
      </c>
      <c r="J331" s="164">
        <f t="shared" si="11"/>
        <v>1003.75</v>
      </c>
      <c r="K331" s="164"/>
      <c r="L331" s="164"/>
      <c r="M331" s="164"/>
      <c r="N331" s="164"/>
      <c r="O331" s="166"/>
      <c r="P331" s="166"/>
      <c r="Q331" s="166"/>
      <c r="R331" s="166"/>
      <c r="S331" s="166"/>
      <c r="T331" s="166"/>
      <c r="U331" s="166"/>
      <c r="V331" s="166"/>
      <c r="W331" s="166"/>
      <c r="X331" s="166"/>
      <c r="Y331" s="166"/>
      <c r="Z331" s="166"/>
      <c r="AA331" s="166"/>
      <c r="AB331" s="166"/>
      <c r="AC331" s="166"/>
      <c r="AD331" s="166"/>
      <c r="AE331" s="166"/>
      <c r="AF331" s="166"/>
      <c r="AG331" s="166"/>
      <c r="AH331" s="166"/>
      <c r="AI331" s="166"/>
    </row>
    <row r="332" spans="1:35" x14ac:dyDescent="0.2">
      <c r="A332" s="167" t="s">
        <v>70</v>
      </c>
      <c r="B332" s="162">
        <v>7</v>
      </c>
      <c r="C332" s="162">
        <f t="shared" si="10"/>
        <v>1368.75</v>
      </c>
      <c r="D332" s="162" t="s">
        <v>174</v>
      </c>
      <c r="E332" s="168">
        <v>779955385.28499997</v>
      </c>
      <c r="F332" s="168">
        <v>779955.38528499997</v>
      </c>
      <c r="G332" s="168">
        <v>779.95538528500003</v>
      </c>
      <c r="H332" s="168">
        <v>0.77995538528500008</v>
      </c>
      <c r="I332" s="164">
        <f>H332*$O$9/0.1*INDEX(Country_details!$N$9:N482,MATCH(Solar_data!A332,Country_details!$A$9:$A$154,0))</f>
        <v>1.7548996168912501</v>
      </c>
      <c r="J332" s="164">
        <f t="shared" si="11"/>
        <v>1368.75</v>
      </c>
      <c r="K332" s="164"/>
      <c r="L332" s="164"/>
      <c r="M332" s="164"/>
      <c r="N332" s="164"/>
      <c r="O332" s="166"/>
      <c r="P332" s="166"/>
      <c r="Q332" s="166"/>
      <c r="R332" s="166"/>
      <c r="S332" s="166"/>
      <c r="T332" s="166"/>
      <c r="U332" s="166"/>
      <c r="V332" s="166"/>
      <c r="W332" s="166"/>
      <c r="X332" s="166"/>
      <c r="Y332" s="166"/>
      <c r="Z332" s="166"/>
      <c r="AA332" s="166"/>
      <c r="AB332" s="166"/>
      <c r="AC332" s="166"/>
      <c r="AD332" s="166"/>
      <c r="AE332" s="166"/>
      <c r="AF332" s="166"/>
      <c r="AG332" s="166"/>
      <c r="AH332" s="166"/>
      <c r="AI332" s="166"/>
    </row>
    <row r="333" spans="1:35" x14ac:dyDescent="0.2">
      <c r="A333" s="167" t="s">
        <v>70</v>
      </c>
      <c r="B333" s="162">
        <v>8</v>
      </c>
      <c r="C333" s="162">
        <f t="shared" si="10"/>
        <v>1551.25</v>
      </c>
      <c r="D333" s="162" t="s">
        <v>164</v>
      </c>
      <c r="E333" s="168">
        <v>131397657678.84109</v>
      </c>
      <c r="F333" s="168">
        <v>131397657.6788411</v>
      </c>
      <c r="G333" s="168">
        <v>131397.65767884109</v>
      </c>
      <c r="H333" s="168">
        <v>131.39765767884109</v>
      </c>
      <c r="I333" s="164">
        <f>H333*$O$9/0.1*INDEX(Country_details!$N$9:N483,MATCH(Solar_data!A333,Country_details!$A$9:$A$154,0))</f>
        <v>295.6447297773924</v>
      </c>
      <c r="J333" s="164">
        <f t="shared" si="11"/>
        <v>1551.25</v>
      </c>
      <c r="K333" s="164"/>
      <c r="L333" s="164"/>
      <c r="M333" s="164"/>
      <c r="N333" s="164"/>
      <c r="O333" s="166"/>
      <c r="P333" s="166"/>
      <c r="Q333" s="166"/>
      <c r="R333" s="166"/>
      <c r="S333" s="166"/>
      <c r="T333" s="166"/>
      <c r="U333" s="166"/>
      <c r="V333" s="166"/>
      <c r="W333" s="166"/>
      <c r="X333" s="166"/>
      <c r="Y333" s="166"/>
      <c r="Z333" s="166"/>
      <c r="AA333" s="166"/>
      <c r="AB333" s="166"/>
      <c r="AC333" s="166"/>
      <c r="AD333" s="166"/>
      <c r="AE333" s="166"/>
      <c r="AF333" s="166"/>
      <c r="AG333" s="166"/>
      <c r="AH333" s="166"/>
      <c r="AI333" s="166"/>
    </row>
    <row r="334" spans="1:35" x14ac:dyDescent="0.2">
      <c r="A334" s="167" t="s">
        <v>70</v>
      </c>
      <c r="B334" s="162">
        <v>9</v>
      </c>
      <c r="C334" s="162">
        <f t="shared" si="10"/>
        <v>1733.75</v>
      </c>
      <c r="D334" s="162" t="s">
        <v>157</v>
      </c>
      <c r="E334" s="168">
        <v>356852172406.24438</v>
      </c>
      <c r="F334" s="168">
        <v>356852172.4062444</v>
      </c>
      <c r="G334" s="168">
        <v>356852.17240624438</v>
      </c>
      <c r="H334" s="168">
        <v>356.85217240624439</v>
      </c>
      <c r="I334" s="164">
        <f>H334*$O$9/0.1*INDEX(Country_details!$N$9:N484,MATCH(Solar_data!A334,Country_details!$A$9:$A$154,0))</f>
        <v>802.91738791404975</v>
      </c>
      <c r="J334" s="164">
        <f t="shared" si="11"/>
        <v>1733.75</v>
      </c>
      <c r="K334" s="164"/>
      <c r="L334" s="164"/>
      <c r="M334" s="164"/>
      <c r="N334" s="164"/>
      <c r="O334" s="166"/>
      <c r="P334" s="166"/>
      <c r="Q334" s="166"/>
      <c r="R334" s="166"/>
      <c r="S334" s="166"/>
      <c r="T334" s="166"/>
      <c r="U334" s="166"/>
      <c r="V334" s="166"/>
      <c r="W334" s="166"/>
      <c r="X334" s="166"/>
      <c r="Y334" s="166"/>
      <c r="Z334" s="166"/>
      <c r="AA334" s="166"/>
      <c r="AB334" s="166"/>
      <c r="AC334" s="166"/>
      <c r="AD334" s="166"/>
      <c r="AE334" s="166"/>
      <c r="AF334" s="166"/>
      <c r="AG334" s="166"/>
      <c r="AH334" s="166"/>
      <c r="AI334" s="166"/>
    </row>
    <row r="335" spans="1:35" x14ac:dyDescent="0.2">
      <c r="A335" s="167" t="s">
        <v>70</v>
      </c>
      <c r="B335" s="162">
        <v>10</v>
      </c>
      <c r="C335" s="162">
        <f t="shared" si="10"/>
        <v>1916.25</v>
      </c>
      <c r="D335" s="162" t="s">
        <v>159</v>
      </c>
      <c r="E335" s="168">
        <v>1604745320171.1531</v>
      </c>
      <c r="F335" s="168">
        <v>1604745320.1711531</v>
      </c>
      <c r="G335" s="168">
        <v>1604745.3201711532</v>
      </c>
      <c r="H335" s="168">
        <v>1604.7453201711533</v>
      </c>
      <c r="I335" s="164">
        <f>H335*$O$9/0.1*INDEX(Country_details!$N$9:N485,MATCH(Solar_data!A335,Country_details!$A$9:$A$154,0))</f>
        <v>3610.6769703850941</v>
      </c>
      <c r="J335" s="164">
        <f t="shared" si="11"/>
        <v>1916.25</v>
      </c>
      <c r="K335" s="164"/>
      <c r="L335" s="164"/>
      <c r="M335" s="164"/>
      <c r="N335" s="164"/>
      <c r="O335" s="166"/>
      <c r="P335" s="166"/>
      <c r="Q335" s="166"/>
      <c r="R335" s="166"/>
      <c r="S335" s="166"/>
      <c r="T335" s="166"/>
      <c r="U335" s="166"/>
      <c r="V335" s="166"/>
      <c r="W335" s="166"/>
      <c r="X335" s="166"/>
      <c r="Y335" s="166"/>
      <c r="Z335" s="166"/>
      <c r="AA335" s="166"/>
      <c r="AB335" s="166"/>
      <c r="AC335" s="166"/>
      <c r="AD335" s="166"/>
      <c r="AE335" s="166"/>
      <c r="AF335" s="166"/>
      <c r="AG335" s="166"/>
      <c r="AH335" s="166"/>
      <c r="AI335" s="166"/>
    </row>
    <row r="336" spans="1:35" x14ac:dyDescent="0.2">
      <c r="A336" s="167" t="s">
        <v>70</v>
      </c>
      <c r="B336" s="162">
        <v>11</v>
      </c>
      <c r="C336" s="162">
        <f t="shared" si="10"/>
        <v>2098.75</v>
      </c>
      <c r="D336" s="162" t="s">
        <v>161</v>
      </c>
      <c r="E336" s="168">
        <v>5166527059984.2959</v>
      </c>
      <c r="F336" s="168">
        <v>5166527059.9842958</v>
      </c>
      <c r="G336" s="168">
        <v>5166527.0599842956</v>
      </c>
      <c r="H336" s="168">
        <v>5166.5270599842961</v>
      </c>
      <c r="I336" s="164">
        <f>H336*$O$9/0.1*INDEX(Country_details!$N$9:N486,MATCH(Solar_data!A336,Country_details!$A$9:$A$154,0))</f>
        <v>11624.685884964665</v>
      </c>
      <c r="J336" s="164">
        <f t="shared" si="11"/>
        <v>2098.75</v>
      </c>
      <c r="K336" s="164"/>
      <c r="L336" s="164"/>
      <c r="M336" s="164"/>
      <c r="N336" s="164"/>
      <c r="O336" s="166"/>
      <c r="P336" s="166"/>
      <c r="Q336" s="166"/>
      <c r="R336" s="166"/>
      <c r="S336" s="166"/>
      <c r="T336" s="166"/>
      <c r="U336" s="166"/>
      <c r="V336" s="166"/>
      <c r="W336" s="166"/>
      <c r="X336" s="166"/>
      <c r="Y336" s="166"/>
      <c r="Z336" s="166"/>
      <c r="AA336" s="166"/>
      <c r="AB336" s="166"/>
      <c r="AC336" s="166"/>
      <c r="AD336" s="166"/>
      <c r="AE336" s="166"/>
      <c r="AF336" s="166"/>
      <c r="AG336" s="166"/>
      <c r="AH336" s="166"/>
      <c r="AI336" s="166"/>
    </row>
    <row r="337" spans="1:35" x14ac:dyDescent="0.2">
      <c r="A337" s="167" t="s">
        <v>70</v>
      </c>
      <c r="B337" s="162">
        <v>12</v>
      </c>
      <c r="C337" s="162">
        <f t="shared" si="10"/>
        <v>2281.25</v>
      </c>
      <c r="D337" s="162" t="s">
        <v>162</v>
      </c>
      <c r="E337" s="168">
        <v>2126916189734.5825</v>
      </c>
      <c r="F337" s="168">
        <v>2126916189.7345827</v>
      </c>
      <c r="G337" s="168">
        <v>2126916.1897345828</v>
      </c>
      <c r="H337" s="168">
        <v>2126.916189734583</v>
      </c>
      <c r="I337" s="164">
        <f>H337*$O$9/0.1*INDEX(Country_details!$N$9:N487,MATCH(Solar_data!A337,Country_details!$A$9:$A$154,0))</f>
        <v>4785.561426902811</v>
      </c>
      <c r="J337" s="164">
        <f t="shared" si="11"/>
        <v>2281.25</v>
      </c>
      <c r="K337" s="164"/>
      <c r="L337" s="164"/>
      <c r="M337" s="164"/>
      <c r="N337" s="164"/>
      <c r="O337" s="166"/>
      <c r="P337" s="166"/>
      <c r="Q337" s="166"/>
      <c r="R337" s="166"/>
      <c r="S337" s="166"/>
      <c r="T337" s="166"/>
      <c r="U337" s="166"/>
      <c r="V337" s="166"/>
      <c r="W337" s="166"/>
      <c r="X337" s="166"/>
      <c r="Y337" s="166"/>
      <c r="Z337" s="166"/>
      <c r="AA337" s="166"/>
      <c r="AB337" s="166"/>
      <c r="AC337" s="166"/>
      <c r="AD337" s="166"/>
      <c r="AE337" s="166"/>
      <c r="AF337" s="166"/>
      <c r="AG337" s="166"/>
      <c r="AH337" s="166"/>
      <c r="AI337" s="166"/>
    </row>
    <row r="338" spans="1:35" x14ac:dyDescent="0.2">
      <c r="A338" s="167" t="s">
        <v>70</v>
      </c>
      <c r="B338" s="162">
        <v>13</v>
      </c>
      <c r="C338" s="162">
        <f t="shared" si="10"/>
        <v>2463.75</v>
      </c>
      <c r="D338" s="162" t="s">
        <v>163</v>
      </c>
      <c r="E338" s="168">
        <v>476362419935.45648</v>
      </c>
      <c r="F338" s="168">
        <v>476362419.93545651</v>
      </c>
      <c r="G338" s="168">
        <v>476362.41993545654</v>
      </c>
      <c r="H338" s="168">
        <v>476.36241993545656</v>
      </c>
      <c r="I338" s="164">
        <f>H338*$O$9/0.1*INDEX(Country_details!$N$9:N488,MATCH(Solar_data!A338,Country_details!$A$9:$A$154,0))</f>
        <v>1071.8154448547773</v>
      </c>
      <c r="J338" s="164">
        <f t="shared" si="11"/>
        <v>2463.75</v>
      </c>
      <c r="K338" s="164"/>
      <c r="L338" s="164"/>
      <c r="M338" s="164"/>
      <c r="N338" s="164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6"/>
      <c r="Z338" s="166"/>
      <c r="AA338" s="166"/>
      <c r="AB338" s="166"/>
      <c r="AC338" s="166"/>
      <c r="AD338" s="166"/>
      <c r="AE338" s="166"/>
      <c r="AF338" s="166"/>
      <c r="AG338" s="166"/>
      <c r="AH338" s="166"/>
      <c r="AI338" s="166"/>
    </row>
    <row r="339" spans="1:35" x14ac:dyDescent="0.2">
      <c r="A339" s="167" t="s">
        <v>70</v>
      </c>
      <c r="B339" s="162">
        <v>14</v>
      </c>
      <c r="C339" s="162">
        <f t="shared" si="10"/>
        <v>2646.25</v>
      </c>
      <c r="D339" s="162" t="s">
        <v>165</v>
      </c>
      <c r="E339" s="168">
        <v>13514424737.7677</v>
      </c>
      <c r="F339" s="168">
        <v>13514424.7377677</v>
      </c>
      <c r="G339" s="168">
        <v>13514.4247377677</v>
      </c>
      <c r="H339" s="168">
        <v>13.514424737767701</v>
      </c>
      <c r="I339" s="164">
        <f>H339*$O$9/0.1*INDEX(Country_details!$N$9:N489,MATCH(Solar_data!A339,Country_details!$A$9:$A$154,0))</f>
        <v>30.407455659977323</v>
      </c>
      <c r="J339" s="164">
        <f t="shared" si="11"/>
        <v>2646.25</v>
      </c>
      <c r="K339" s="164"/>
      <c r="L339" s="164"/>
      <c r="M339" s="164"/>
      <c r="N339" s="164"/>
      <c r="O339" s="166"/>
      <c r="P339" s="166"/>
      <c r="Q339" s="166"/>
      <c r="R339" s="166"/>
      <c r="S339" s="166"/>
      <c r="T339" s="166"/>
      <c r="U339" s="166"/>
      <c r="V339" s="166"/>
      <c r="W339" s="166"/>
      <c r="X339" s="166"/>
      <c r="Y339" s="166"/>
      <c r="Z339" s="166"/>
      <c r="AA339" s="166"/>
      <c r="AB339" s="166"/>
      <c r="AC339" s="166"/>
      <c r="AD339" s="166"/>
      <c r="AE339" s="166"/>
      <c r="AF339" s="166"/>
      <c r="AG339" s="166"/>
      <c r="AH339" s="166"/>
      <c r="AI339" s="166"/>
    </row>
    <row r="340" spans="1:35" x14ac:dyDescent="0.2">
      <c r="A340" s="167" t="s">
        <v>71</v>
      </c>
      <c r="B340" s="162">
        <v>8</v>
      </c>
      <c r="C340" s="162">
        <f t="shared" si="10"/>
        <v>1551.25</v>
      </c>
      <c r="D340" s="162" t="s">
        <v>164</v>
      </c>
      <c r="E340" s="168">
        <v>99958031173.729996</v>
      </c>
      <c r="F340" s="168">
        <v>99958031.173730001</v>
      </c>
      <c r="G340" s="168">
        <v>99958.031173730007</v>
      </c>
      <c r="H340" s="168">
        <v>99.958031173730006</v>
      </c>
      <c r="I340" s="164">
        <f>H340*$O$9/0.1*INDEX(Country_details!$N$9:N490,MATCH(Solar_data!A340,Country_details!$A$9:$A$154,0))</f>
        <v>239.89927481695202</v>
      </c>
      <c r="J340" s="164">
        <f t="shared" si="11"/>
        <v>1551.25</v>
      </c>
      <c r="K340" s="164"/>
      <c r="L340" s="164"/>
      <c r="M340" s="164"/>
      <c r="N340" s="164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6"/>
      <c r="Z340" s="166"/>
      <c r="AA340" s="166"/>
      <c r="AB340" s="166"/>
      <c r="AC340" s="166"/>
      <c r="AD340" s="166"/>
      <c r="AE340" s="166"/>
      <c r="AF340" s="166"/>
      <c r="AG340" s="166"/>
      <c r="AH340" s="166"/>
      <c r="AI340" s="166"/>
    </row>
    <row r="341" spans="1:35" x14ac:dyDescent="0.2">
      <c r="A341" s="167" t="s">
        <v>71</v>
      </c>
      <c r="B341" s="162">
        <v>9</v>
      </c>
      <c r="C341" s="162">
        <f t="shared" si="10"/>
        <v>1733.75</v>
      </c>
      <c r="D341" s="162" t="s">
        <v>157</v>
      </c>
      <c r="E341" s="168">
        <v>3439635219089.3818</v>
      </c>
      <c r="F341" s="168">
        <v>3439635219.0893817</v>
      </c>
      <c r="G341" s="168">
        <v>3439635.2190893819</v>
      </c>
      <c r="H341" s="168">
        <v>3439.6352190893817</v>
      </c>
      <c r="I341" s="164">
        <f>H341*$O$9/0.1*INDEX(Country_details!$N$9:N491,MATCH(Solar_data!A341,Country_details!$A$9:$A$154,0))</f>
        <v>8255.1245258145154</v>
      </c>
      <c r="J341" s="164">
        <f t="shared" si="11"/>
        <v>1733.75</v>
      </c>
      <c r="K341" s="164"/>
      <c r="L341" s="164"/>
      <c r="M341" s="164"/>
      <c r="N341" s="164"/>
      <c r="O341" s="166"/>
      <c r="P341" s="166"/>
      <c r="Q341" s="166"/>
      <c r="R341" s="166"/>
      <c r="S341" s="166"/>
      <c r="T341" s="166"/>
      <c r="U341" s="166"/>
      <c r="V341" s="166"/>
      <c r="W341" s="166"/>
      <c r="X341" s="166"/>
      <c r="Y341" s="166"/>
      <c r="Z341" s="166"/>
      <c r="AA341" s="166"/>
      <c r="AB341" s="166"/>
      <c r="AC341" s="166"/>
      <c r="AD341" s="166"/>
      <c r="AE341" s="166"/>
      <c r="AF341" s="166"/>
      <c r="AG341" s="166"/>
      <c r="AH341" s="166"/>
      <c r="AI341" s="166"/>
    </row>
    <row r="342" spans="1:35" x14ac:dyDescent="0.2">
      <c r="A342" s="167" t="s">
        <v>71</v>
      </c>
      <c r="B342" s="162">
        <v>10</v>
      </c>
      <c r="C342" s="162">
        <f t="shared" si="10"/>
        <v>1916.25</v>
      </c>
      <c r="D342" s="162" t="s">
        <v>159</v>
      </c>
      <c r="E342" s="168">
        <v>923189080730.36182</v>
      </c>
      <c r="F342" s="168">
        <v>923189080.73036182</v>
      </c>
      <c r="G342" s="168">
        <v>923189.08073036186</v>
      </c>
      <c r="H342" s="168">
        <v>923.18908073036187</v>
      </c>
      <c r="I342" s="164">
        <f>H342*$O$9/0.1*INDEX(Country_details!$N$9:N492,MATCH(Solar_data!A342,Country_details!$A$9:$A$154,0))</f>
        <v>2215.6537937528683</v>
      </c>
      <c r="J342" s="164">
        <f t="shared" si="11"/>
        <v>1916.25</v>
      </c>
      <c r="K342" s="164"/>
      <c r="L342" s="164"/>
      <c r="M342" s="164"/>
      <c r="N342" s="164"/>
      <c r="O342" s="166"/>
      <c r="P342" s="166"/>
      <c r="Q342" s="166"/>
      <c r="R342" s="166"/>
      <c r="S342" s="166"/>
      <c r="T342" s="166"/>
      <c r="U342" s="166"/>
      <c r="V342" s="166"/>
      <c r="W342" s="166"/>
      <c r="X342" s="166"/>
      <c r="Y342" s="166"/>
      <c r="Z342" s="166"/>
      <c r="AA342" s="166"/>
      <c r="AB342" s="166"/>
      <c r="AC342" s="166"/>
      <c r="AD342" s="166"/>
      <c r="AE342" s="166"/>
      <c r="AF342" s="166"/>
      <c r="AG342" s="166"/>
      <c r="AH342" s="166"/>
      <c r="AI342" s="166"/>
    </row>
    <row r="343" spans="1:35" x14ac:dyDescent="0.2">
      <c r="A343" s="167" t="s">
        <v>71</v>
      </c>
      <c r="B343" s="162">
        <v>11</v>
      </c>
      <c r="C343" s="162">
        <f t="shared" si="10"/>
        <v>2098.75</v>
      </c>
      <c r="D343" s="162" t="s">
        <v>161</v>
      </c>
      <c r="E343" s="168">
        <v>403123496080.34723</v>
      </c>
      <c r="F343" s="168">
        <v>403123496.08034724</v>
      </c>
      <c r="G343" s="168">
        <v>403123.49608034722</v>
      </c>
      <c r="H343" s="168">
        <v>403.12349608034725</v>
      </c>
      <c r="I343" s="164">
        <f>H343*$O$9/0.1*INDEX(Country_details!$N$9:N493,MATCH(Solar_data!A343,Country_details!$A$9:$A$154,0))</f>
        <v>967.49639059283334</v>
      </c>
      <c r="J343" s="164">
        <f t="shared" si="11"/>
        <v>2098.75</v>
      </c>
      <c r="K343" s="164"/>
      <c r="L343" s="164"/>
      <c r="M343" s="164"/>
      <c r="N343" s="164"/>
      <c r="O343" s="166"/>
      <c r="P343" s="166"/>
      <c r="Q343" s="166"/>
      <c r="R343" s="166"/>
      <c r="S343" s="166"/>
      <c r="T343" s="166"/>
      <c r="U343" s="166"/>
      <c r="V343" s="166"/>
      <c r="W343" s="166"/>
      <c r="X343" s="166"/>
      <c r="Y343" s="166"/>
      <c r="Z343" s="166"/>
      <c r="AA343" s="166"/>
      <c r="AB343" s="166"/>
      <c r="AC343" s="166"/>
      <c r="AD343" s="166"/>
      <c r="AE343" s="166"/>
      <c r="AF343" s="166"/>
      <c r="AG343" s="166"/>
      <c r="AH343" s="166"/>
      <c r="AI343" s="166"/>
    </row>
    <row r="344" spans="1:35" x14ac:dyDescent="0.2">
      <c r="A344" s="167" t="s">
        <v>71</v>
      </c>
      <c r="B344" s="162">
        <v>12</v>
      </c>
      <c r="C344" s="162">
        <f t="shared" si="10"/>
        <v>2281.25</v>
      </c>
      <c r="D344" s="162" t="s">
        <v>162</v>
      </c>
      <c r="E344" s="168">
        <v>66238573749.894798</v>
      </c>
      <c r="F344" s="168">
        <v>66238573.749894798</v>
      </c>
      <c r="G344" s="168">
        <v>66238.5737498948</v>
      </c>
      <c r="H344" s="168">
        <v>66.238573749894798</v>
      </c>
      <c r="I344" s="164">
        <f>H344*$O$9/0.1*INDEX(Country_details!$N$9:N494,MATCH(Solar_data!A344,Country_details!$A$9:$A$154,0))</f>
        <v>158.9725769997475</v>
      </c>
      <c r="J344" s="164">
        <f t="shared" si="11"/>
        <v>2281.25</v>
      </c>
      <c r="K344" s="164"/>
      <c r="L344" s="164"/>
      <c r="M344" s="164"/>
      <c r="N344" s="164"/>
      <c r="O344" s="166"/>
      <c r="P344" s="166"/>
      <c r="Q344" s="166"/>
      <c r="R344" s="166"/>
      <c r="S344" s="166"/>
      <c r="T344" s="166"/>
      <c r="U344" s="166"/>
      <c r="V344" s="166"/>
      <c r="W344" s="166"/>
      <c r="X344" s="166"/>
      <c r="Y344" s="166"/>
      <c r="Z344" s="166"/>
      <c r="AA344" s="166"/>
      <c r="AB344" s="166"/>
      <c r="AC344" s="166"/>
      <c r="AD344" s="166"/>
      <c r="AE344" s="166"/>
      <c r="AF344" s="166"/>
      <c r="AG344" s="166"/>
      <c r="AH344" s="166"/>
      <c r="AI344" s="166"/>
    </row>
    <row r="345" spans="1:35" x14ac:dyDescent="0.2">
      <c r="A345" s="167" t="s">
        <v>71</v>
      </c>
      <c r="B345" s="162">
        <v>13</v>
      </c>
      <c r="C345" s="162">
        <f t="shared" si="10"/>
        <v>2463.75</v>
      </c>
      <c r="D345" s="162" t="s">
        <v>163</v>
      </c>
      <c r="E345" s="168">
        <v>35846440818.579002</v>
      </c>
      <c r="F345" s="168">
        <v>35846440.818579003</v>
      </c>
      <c r="G345" s="168">
        <v>35846.440818579002</v>
      </c>
      <c r="H345" s="168">
        <v>35.846440818579005</v>
      </c>
      <c r="I345" s="164">
        <f>H345*$O$9/0.1*INDEX(Country_details!$N$9:N495,MATCH(Solar_data!A345,Country_details!$A$9:$A$154,0))</f>
        <v>86.031457964589606</v>
      </c>
      <c r="J345" s="164">
        <f t="shared" si="11"/>
        <v>2463.75</v>
      </c>
      <c r="K345" s="164"/>
      <c r="L345" s="164"/>
      <c r="M345" s="164"/>
      <c r="N345" s="164"/>
      <c r="O345" s="166"/>
      <c r="P345" s="166"/>
      <c r="Q345" s="166"/>
      <c r="R345" s="166"/>
      <c r="S345" s="166"/>
      <c r="T345" s="166"/>
      <c r="U345" s="166"/>
      <c r="V345" s="166"/>
      <c r="W345" s="166"/>
      <c r="X345" s="166"/>
      <c r="Y345" s="166"/>
      <c r="Z345" s="166"/>
      <c r="AA345" s="166"/>
      <c r="AB345" s="166"/>
      <c r="AC345" s="166"/>
      <c r="AD345" s="166"/>
      <c r="AE345" s="166"/>
      <c r="AF345" s="166"/>
      <c r="AG345" s="166"/>
      <c r="AH345" s="166"/>
      <c r="AI345" s="166"/>
    </row>
    <row r="346" spans="1:35" x14ac:dyDescent="0.2">
      <c r="A346" s="167" t="s">
        <v>72</v>
      </c>
      <c r="B346" s="162">
        <v>7</v>
      </c>
      <c r="C346" s="162">
        <f t="shared" si="10"/>
        <v>1368.75</v>
      </c>
      <c r="D346" s="162" t="s">
        <v>174</v>
      </c>
      <c r="E346" s="168">
        <v>1124993528.0899999</v>
      </c>
      <c r="F346" s="168">
        <v>1124993.5280899999</v>
      </c>
      <c r="G346" s="168">
        <v>1124.9935280899999</v>
      </c>
      <c r="H346" s="168">
        <v>1.1249935280899999</v>
      </c>
      <c r="I346" s="164">
        <f>H346*$O$9/0.1*INDEX(Country_details!$N$9:N496,MATCH(Solar_data!A346,Country_details!$A$9:$A$154,0))</f>
        <v>2.6999844674159994</v>
      </c>
      <c r="J346" s="164">
        <f t="shared" si="11"/>
        <v>1368.75</v>
      </c>
      <c r="K346" s="164"/>
      <c r="L346" s="164"/>
      <c r="M346" s="164"/>
      <c r="N346" s="164"/>
      <c r="O346" s="166"/>
      <c r="P346" s="166"/>
      <c r="Q346" s="166"/>
      <c r="R346" s="166"/>
      <c r="S346" s="166"/>
      <c r="T346" s="166"/>
      <c r="U346" s="166"/>
      <c r="V346" s="166"/>
      <c r="W346" s="166"/>
      <c r="X346" s="166"/>
      <c r="Y346" s="166"/>
      <c r="Z346" s="166"/>
      <c r="AA346" s="166"/>
      <c r="AB346" s="166"/>
      <c r="AC346" s="166"/>
      <c r="AD346" s="166"/>
      <c r="AE346" s="166"/>
      <c r="AF346" s="166"/>
      <c r="AG346" s="166"/>
      <c r="AH346" s="166"/>
      <c r="AI346" s="166"/>
    </row>
    <row r="347" spans="1:35" x14ac:dyDescent="0.2">
      <c r="A347" s="167" t="s">
        <v>72</v>
      </c>
      <c r="B347" s="162">
        <v>8</v>
      </c>
      <c r="C347" s="162">
        <f t="shared" si="10"/>
        <v>1551.25</v>
      </c>
      <c r="D347" s="162" t="s">
        <v>164</v>
      </c>
      <c r="E347" s="168">
        <v>115112489447.6785</v>
      </c>
      <c r="F347" s="168">
        <v>115112489.44767851</v>
      </c>
      <c r="G347" s="168">
        <v>115112.48944767851</v>
      </c>
      <c r="H347" s="168">
        <v>115.11248944767851</v>
      </c>
      <c r="I347" s="164">
        <f>H347*$O$9/0.1*INDEX(Country_details!$N$9:N497,MATCH(Solar_data!A347,Country_details!$A$9:$A$154,0))</f>
        <v>276.2699746744284</v>
      </c>
      <c r="J347" s="164">
        <f t="shared" si="11"/>
        <v>1551.25</v>
      </c>
      <c r="K347" s="164"/>
      <c r="L347" s="164"/>
      <c r="M347" s="164"/>
      <c r="N347" s="164"/>
      <c r="O347" s="166"/>
      <c r="P347" s="166"/>
      <c r="Q347" s="166"/>
      <c r="R347" s="166"/>
      <c r="S347" s="166"/>
      <c r="T347" s="166"/>
      <c r="U347" s="166"/>
      <c r="V347" s="166"/>
      <c r="W347" s="166"/>
      <c r="X347" s="166"/>
      <c r="Y347" s="166"/>
      <c r="Z347" s="166"/>
      <c r="AA347" s="166"/>
      <c r="AB347" s="166"/>
      <c r="AC347" s="166"/>
      <c r="AD347" s="166"/>
      <c r="AE347" s="166"/>
      <c r="AF347" s="166"/>
      <c r="AG347" s="166"/>
      <c r="AH347" s="166"/>
      <c r="AI347" s="166"/>
    </row>
    <row r="348" spans="1:35" x14ac:dyDescent="0.2">
      <c r="A348" s="167" t="s">
        <v>72</v>
      </c>
      <c r="B348" s="162">
        <v>9</v>
      </c>
      <c r="C348" s="162">
        <f t="shared" si="10"/>
        <v>1733.75</v>
      </c>
      <c r="D348" s="162" t="s">
        <v>157</v>
      </c>
      <c r="E348" s="168">
        <v>291971555723.80823</v>
      </c>
      <c r="F348" s="168">
        <v>291971555.72380823</v>
      </c>
      <c r="G348" s="168">
        <v>291971.55572380824</v>
      </c>
      <c r="H348" s="168">
        <v>291.97155572380825</v>
      </c>
      <c r="I348" s="164">
        <f>H348*$O$9/0.1*INDEX(Country_details!$N$9:N498,MATCH(Solar_data!A348,Country_details!$A$9:$A$154,0))</f>
        <v>700.73173373713973</v>
      </c>
      <c r="J348" s="164">
        <f t="shared" si="11"/>
        <v>1733.75</v>
      </c>
      <c r="K348" s="164"/>
      <c r="L348" s="164"/>
      <c r="M348" s="164"/>
      <c r="N348" s="164"/>
      <c r="O348" s="166"/>
      <c r="P348" s="166"/>
      <c r="Q348" s="166"/>
      <c r="R348" s="166"/>
      <c r="S348" s="166"/>
      <c r="T348" s="166"/>
      <c r="U348" s="166"/>
      <c r="V348" s="166"/>
      <c r="W348" s="166"/>
      <c r="X348" s="166"/>
      <c r="Y348" s="166"/>
      <c r="Z348" s="166"/>
      <c r="AA348" s="166"/>
      <c r="AB348" s="166"/>
      <c r="AC348" s="166"/>
      <c r="AD348" s="166"/>
      <c r="AE348" s="166"/>
      <c r="AF348" s="166"/>
      <c r="AG348" s="166"/>
      <c r="AH348" s="166"/>
      <c r="AI348" s="166"/>
    </row>
    <row r="349" spans="1:35" x14ac:dyDescent="0.2">
      <c r="A349" s="167" t="s">
        <v>72</v>
      </c>
      <c r="B349" s="162">
        <v>10</v>
      </c>
      <c r="C349" s="162">
        <f t="shared" si="10"/>
        <v>1916.25</v>
      </c>
      <c r="D349" s="162" t="s">
        <v>159</v>
      </c>
      <c r="E349" s="168">
        <v>811046745697.12561</v>
      </c>
      <c r="F349" s="168">
        <v>811046745.69712567</v>
      </c>
      <c r="G349" s="168">
        <v>811046.74569712568</v>
      </c>
      <c r="H349" s="168">
        <v>811.04674569712574</v>
      </c>
      <c r="I349" s="164">
        <f>H349*$O$9/0.1*INDEX(Country_details!$N$9:N499,MATCH(Solar_data!A349,Country_details!$A$9:$A$154,0))</f>
        <v>1946.5121896731016</v>
      </c>
      <c r="J349" s="164">
        <f t="shared" si="11"/>
        <v>1916.25</v>
      </c>
      <c r="K349" s="164"/>
      <c r="L349" s="164"/>
      <c r="M349" s="164"/>
      <c r="N349" s="164"/>
      <c r="O349" s="166"/>
      <c r="P349" s="166"/>
      <c r="Q349" s="166"/>
      <c r="R349" s="166"/>
      <c r="S349" s="166"/>
      <c r="T349" s="166"/>
      <c r="U349" s="166"/>
      <c r="V349" s="166"/>
      <c r="W349" s="166"/>
      <c r="X349" s="166"/>
      <c r="Y349" s="166"/>
      <c r="Z349" s="166"/>
      <c r="AA349" s="166"/>
      <c r="AB349" s="166"/>
      <c r="AC349" s="166"/>
      <c r="AD349" s="166"/>
      <c r="AE349" s="166"/>
      <c r="AF349" s="166"/>
      <c r="AG349" s="166"/>
      <c r="AH349" s="166"/>
      <c r="AI349" s="166"/>
    </row>
    <row r="350" spans="1:35" x14ac:dyDescent="0.2">
      <c r="A350" s="167" t="s">
        <v>72</v>
      </c>
      <c r="B350" s="162">
        <v>11</v>
      </c>
      <c r="C350" s="162">
        <f t="shared" si="10"/>
        <v>2098.75</v>
      </c>
      <c r="D350" s="162" t="s">
        <v>161</v>
      </c>
      <c r="E350" s="168">
        <v>3215106958349.1421</v>
      </c>
      <c r="F350" s="168">
        <v>3215106958.3491421</v>
      </c>
      <c r="G350" s="168">
        <v>3215106.9583491422</v>
      </c>
      <c r="H350" s="168">
        <v>3215.1069583491421</v>
      </c>
      <c r="I350" s="164">
        <f>H350*$O$9/0.1*INDEX(Country_details!$N$9:N500,MATCH(Solar_data!A350,Country_details!$A$9:$A$154,0))</f>
        <v>7716.2567000379395</v>
      </c>
      <c r="J350" s="164">
        <f t="shared" si="11"/>
        <v>2098.75</v>
      </c>
      <c r="K350" s="164"/>
      <c r="L350" s="164"/>
      <c r="M350" s="164"/>
      <c r="N350" s="164"/>
      <c r="O350" s="166"/>
      <c r="P350" s="166"/>
      <c r="Q350" s="166"/>
      <c r="R350" s="166"/>
      <c r="S350" s="166"/>
      <c r="T350" s="166"/>
      <c r="U350" s="166"/>
      <c r="V350" s="166"/>
      <c r="W350" s="166"/>
      <c r="X350" s="166"/>
      <c r="Y350" s="166"/>
      <c r="Z350" s="166"/>
      <c r="AA350" s="166"/>
      <c r="AB350" s="166"/>
      <c r="AC350" s="166"/>
      <c r="AD350" s="166"/>
      <c r="AE350" s="166"/>
      <c r="AF350" s="166"/>
      <c r="AG350" s="166"/>
      <c r="AH350" s="166"/>
      <c r="AI350" s="166"/>
    </row>
    <row r="351" spans="1:35" x14ac:dyDescent="0.2">
      <c r="A351" s="167" t="s">
        <v>72</v>
      </c>
      <c r="B351" s="162">
        <v>12</v>
      </c>
      <c r="C351" s="162">
        <f t="shared" si="10"/>
        <v>2281.25</v>
      </c>
      <c r="D351" s="162" t="s">
        <v>162</v>
      </c>
      <c r="E351" s="168">
        <v>736256870270.92371</v>
      </c>
      <c r="F351" s="168">
        <v>736256870.27092373</v>
      </c>
      <c r="G351" s="168">
        <v>736256.87027092371</v>
      </c>
      <c r="H351" s="168">
        <v>736.25687027092374</v>
      </c>
      <c r="I351" s="164">
        <f>H351*$O$9/0.1*INDEX(Country_details!$N$9:N501,MATCH(Solar_data!A351,Country_details!$A$9:$A$154,0))</f>
        <v>1767.0164886502168</v>
      </c>
      <c r="J351" s="164">
        <f t="shared" si="11"/>
        <v>2281.25</v>
      </c>
      <c r="K351" s="164"/>
      <c r="L351" s="164"/>
      <c r="M351" s="164"/>
      <c r="N351" s="164"/>
      <c r="O351" s="166"/>
      <c r="P351" s="166"/>
      <c r="Q351" s="166"/>
      <c r="R351" s="166"/>
      <c r="S351" s="166"/>
      <c r="T351" s="166"/>
      <c r="U351" s="166"/>
      <c r="V351" s="166"/>
      <c r="W351" s="166"/>
      <c r="X351" s="166"/>
      <c r="Y351" s="166"/>
      <c r="Z351" s="166"/>
      <c r="AA351" s="166"/>
      <c r="AB351" s="166"/>
      <c r="AC351" s="166"/>
      <c r="AD351" s="166"/>
      <c r="AE351" s="166"/>
      <c r="AF351" s="166"/>
      <c r="AG351" s="166"/>
      <c r="AH351" s="166"/>
      <c r="AI351" s="166"/>
    </row>
    <row r="352" spans="1:35" x14ac:dyDescent="0.2">
      <c r="A352" s="167" t="s">
        <v>72</v>
      </c>
      <c r="B352" s="162">
        <v>13</v>
      </c>
      <c r="C352" s="162">
        <f t="shared" si="10"/>
        <v>2463.75</v>
      </c>
      <c r="D352" s="162" t="s">
        <v>163</v>
      </c>
      <c r="E352" s="168">
        <v>13291679024.5613</v>
      </c>
      <c r="F352" s="168">
        <v>13291679.024561301</v>
      </c>
      <c r="G352" s="168">
        <v>13291.679024561301</v>
      </c>
      <c r="H352" s="168">
        <v>13.291679024561301</v>
      </c>
      <c r="I352" s="164">
        <f>H352*$O$9/0.1*INDEX(Country_details!$N$9:N502,MATCH(Solar_data!A352,Country_details!$A$9:$A$154,0))</f>
        <v>31.900029658947119</v>
      </c>
      <c r="J352" s="164">
        <f t="shared" si="11"/>
        <v>2463.75</v>
      </c>
      <c r="K352" s="164"/>
      <c r="L352" s="164"/>
      <c r="M352" s="164"/>
      <c r="N352" s="164"/>
      <c r="O352" s="166"/>
      <c r="P352" s="166"/>
      <c r="Q352" s="166"/>
      <c r="R352" s="166"/>
      <c r="S352" s="166"/>
      <c r="T352" s="166"/>
      <c r="U352" s="166"/>
      <c r="V352" s="166"/>
      <c r="W352" s="166"/>
      <c r="X352" s="166"/>
      <c r="Y352" s="166"/>
      <c r="Z352" s="166"/>
      <c r="AA352" s="166"/>
      <c r="AB352" s="166"/>
      <c r="AC352" s="166"/>
      <c r="AD352" s="166"/>
      <c r="AE352" s="166"/>
      <c r="AF352" s="166"/>
      <c r="AG352" s="166"/>
      <c r="AH352" s="166"/>
      <c r="AI352" s="166"/>
    </row>
    <row r="353" spans="1:35" x14ac:dyDescent="0.2">
      <c r="A353" s="167" t="s">
        <v>73</v>
      </c>
      <c r="B353" s="162">
        <v>9</v>
      </c>
      <c r="C353" s="162">
        <f t="shared" si="10"/>
        <v>1733.75</v>
      </c>
      <c r="D353" s="162" t="s">
        <v>157</v>
      </c>
      <c r="E353" s="168">
        <v>219040024159.496</v>
      </c>
      <c r="F353" s="168">
        <v>219040024.15949601</v>
      </c>
      <c r="G353" s="168">
        <v>219040.02415949601</v>
      </c>
      <c r="H353" s="168">
        <v>219.04002415949603</v>
      </c>
      <c r="I353" s="164">
        <f>H353*$O$9/0.1*INDEX(Country_details!$N$9:N503,MATCH(Solar_data!A353,Country_details!$A$9:$A$154,0))</f>
        <v>525.69605798279042</v>
      </c>
      <c r="J353" s="164">
        <f t="shared" si="11"/>
        <v>1733.75</v>
      </c>
      <c r="K353" s="164"/>
      <c r="L353" s="164"/>
      <c r="M353" s="164"/>
      <c r="N353" s="164"/>
      <c r="O353" s="166"/>
      <c r="P353" s="166"/>
      <c r="Q353" s="166"/>
      <c r="R353" s="166"/>
      <c r="S353" s="166"/>
      <c r="T353" s="166"/>
      <c r="U353" s="166"/>
      <c r="V353" s="166"/>
      <c r="W353" s="166"/>
      <c r="X353" s="166"/>
      <c r="Y353" s="166"/>
      <c r="Z353" s="166"/>
      <c r="AA353" s="166"/>
      <c r="AB353" s="166"/>
      <c r="AC353" s="166"/>
      <c r="AD353" s="166"/>
      <c r="AE353" s="166"/>
      <c r="AF353" s="166"/>
      <c r="AG353" s="166"/>
      <c r="AH353" s="166"/>
      <c r="AI353" s="166"/>
    </row>
    <row r="354" spans="1:35" x14ac:dyDescent="0.2">
      <c r="A354" s="167" t="s">
        <v>73</v>
      </c>
      <c r="B354" s="162">
        <v>10</v>
      </c>
      <c r="C354" s="162">
        <f t="shared" si="10"/>
        <v>1916.25</v>
      </c>
      <c r="D354" s="162" t="s">
        <v>159</v>
      </c>
      <c r="E354" s="168">
        <v>353299645351.73322</v>
      </c>
      <c r="F354" s="168">
        <v>353299645.35173321</v>
      </c>
      <c r="G354" s="168">
        <v>353299.6453517332</v>
      </c>
      <c r="H354" s="168">
        <v>353.2996453517332</v>
      </c>
      <c r="I354" s="164">
        <f>H354*$O$9/0.1*INDEX(Country_details!$N$9:N504,MATCH(Solar_data!A354,Country_details!$A$9:$A$154,0))</f>
        <v>847.91914884415974</v>
      </c>
      <c r="J354" s="164">
        <f t="shared" si="11"/>
        <v>1916.25</v>
      </c>
      <c r="K354" s="164"/>
      <c r="L354" s="164"/>
      <c r="M354" s="164"/>
      <c r="N354" s="164"/>
      <c r="O354" s="166"/>
      <c r="P354" s="166"/>
      <c r="Q354" s="166"/>
      <c r="R354" s="166"/>
      <c r="S354" s="166"/>
      <c r="T354" s="166"/>
      <c r="U354" s="166"/>
      <c r="V354" s="166"/>
      <c r="W354" s="166"/>
      <c r="X354" s="166"/>
      <c r="Y354" s="166"/>
      <c r="Z354" s="166"/>
      <c r="AA354" s="166"/>
      <c r="AB354" s="166"/>
      <c r="AC354" s="166"/>
      <c r="AD354" s="166"/>
      <c r="AE354" s="166"/>
      <c r="AF354" s="166"/>
      <c r="AG354" s="166"/>
      <c r="AH354" s="166"/>
      <c r="AI354" s="166"/>
    </row>
    <row r="355" spans="1:35" x14ac:dyDescent="0.2">
      <c r="A355" s="167" t="s">
        <v>73</v>
      </c>
      <c r="B355" s="162">
        <v>11</v>
      </c>
      <c r="C355" s="162">
        <f t="shared" si="10"/>
        <v>2098.75</v>
      </c>
      <c r="D355" s="162" t="s">
        <v>161</v>
      </c>
      <c r="E355" s="168">
        <v>16598854400.5091</v>
      </c>
      <c r="F355" s="168">
        <v>16598854.4005091</v>
      </c>
      <c r="G355" s="168">
        <v>16598.854400509103</v>
      </c>
      <c r="H355" s="168">
        <v>16.598854400509104</v>
      </c>
      <c r="I355" s="164">
        <f>H355*$O$9/0.1*INDEX(Country_details!$N$9:N505,MATCH(Solar_data!A355,Country_details!$A$9:$A$154,0))</f>
        <v>39.83725056122185</v>
      </c>
      <c r="J355" s="164">
        <f t="shared" si="11"/>
        <v>2098.75</v>
      </c>
      <c r="K355" s="164"/>
      <c r="L355" s="164"/>
      <c r="M355" s="164"/>
      <c r="N355" s="164"/>
      <c r="O355" s="166"/>
      <c r="P355" s="166"/>
      <c r="Q355" s="166"/>
      <c r="R355" s="166"/>
      <c r="S355" s="166"/>
      <c r="T355" s="166"/>
      <c r="U355" s="166"/>
      <c r="V355" s="166"/>
      <c r="W355" s="166"/>
      <c r="X355" s="166"/>
      <c r="Y355" s="166"/>
      <c r="Z355" s="166"/>
      <c r="AA355" s="166"/>
      <c r="AB355" s="166"/>
      <c r="AC355" s="166"/>
      <c r="AD355" s="166"/>
      <c r="AE355" s="166"/>
      <c r="AF355" s="166"/>
      <c r="AG355" s="166"/>
      <c r="AH355" s="166"/>
      <c r="AI355" s="166"/>
    </row>
    <row r="356" spans="1:35" x14ac:dyDescent="0.2">
      <c r="A356" s="167" t="s">
        <v>73</v>
      </c>
      <c r="B356" s="162">
        <v>12</v>
      </c>
      <c r="C356" s="162">
        <f t="shared" si="10"/>
        <v>2281.25</v>
      </c>
      <c r="D356" s="162" t="s">
        <v>162</v>
      </c>
      <c r="E356" s="168">
        <v>705885469838.42273</v>
      </c>
      <c r="F356" s="168">
        <v>705885469.83842278</v>
      </c>
      <c r="G356" s="168">
        <v>705885.46983842284</v>
      </c>
      <c r="H356" s="168">
        <v>705.88546983842286</v>
      </c>
      <c r="I356" s="164">
        <f>H356*$O$9/0.1*INDEX(Country_details!$N$9:N506,MATCH(Solar_data!A356,Country_details!$A$9:$A$154,0))</f>
        <v>1694.1251276122148</v>
      </c>
      <c r="J356" s="164">
        <f t="shared" si="11"/>
        <v>2281.25</v>
      </c>
      <c r="K356" s="164"/>
      <c r="L356" s="164"/>
      <c r="M356" s="164"/>
      <c r="N356" s="164"/>
      <c r="O356" s="166"/>
      <c r="P356" s="166"/>
      <c r="Q356" s="166"/>
      <c r="R356" s="166"/>
      <c r="S356" s="166"/>
      <c r="T356" s="166"/>
      <c r="U356" s="166"/>
      <c r="V356" s="166"/>
      <c r="W356" s="166"/>
      <c r="X356" s="166"/>
      <c r="Y356" s="166"/>
      <c r="Z356" s="166"/>
      <c r="AA356" s="166"/>
      <c r="AB356" s="166"/>
      <c r="AC356" s="166"/>
      <c r="AD356" s="166"/>
      <c r="AE356" s="166"/>
      <c r="AF356" s="166"/>
      <c r="AG356" s="166"/>
      <c r="AH356" s="166"/>
      <c r="AI356" s="166"/>
    </row>
    <row r="357" spans="1:35" x14ac:dyDescent="0.2">
      <c r="A357" s="167" t="s">
        <v>73</v>
      </c>
      <c r="B357" s="162">
        <v>13</v>
      </c>
      <c r="C357" s="162">
        <f t="shared" si="10"/>
        <v>2463.75</v>
      </c>
      <c r="D357" s="162" t="s">
        <v>163</v>
      </c>
      <c r="E357" s="168">
        <v>59329414609.413803</v>
      </c>
      <c r="F357" s="168">
        <v>59329414.609413803</v>
      </c>
      <c r="G357" s="168">
        <v>59329.414609413805</v>
      </c>
      <c r="H357" s="168">
        <v>59.329414609413803</v>
      </c>
      <c r="I357" s="164">
        <f>H357*$O$9/0.1*INDEX(Country_details!$N$9:N507,MATCH(Solar_data!A357,Country_details!$A$9:$A$154,0))</f>
        <v>142.39059506259312</v>
      </c>
      <c r="J357" s="164">
        <f t="shared" si="11"/>
        <v>2463.75</v>
      </c>
      <c r="K357" s="164"/>
      <c r="L357" s="164"/>
      <c r="M357" s="164"/>
      <c r="N357" s="164"/>
      <c r="O357" s="166"/>
      <c r="P357" s="166"/>
      <c r="Q357" s="166"/>
      <c r="R357" s="166"/>
      <c r="S357" s="166"/>
      <c r="T357" s="166"/>
      <c r="U357" s="166"/>
      <c r="V357" s="166"/>
      <c r="W357" s="166"/>
      <c r="X357" s="166"/>
      <c r="Y357" s="166"/>
      <c r="Z357" s="166"/>
      <c r="AA357" s="166"/>
      <c r="AB357" s="166"/>
      <c r="AC357" s="166"/>
      <c r="AD357" s="166"/>
      <c r="AE357" s="166"/>
      <c r="AF357" s="166"/>
      <c r="AG357" s="166"/>
      <c r="AH357" s="166"/>
      <c r="AI357" s="166"/>
    </row>
    <row r="358" spans="1:35" x14ac:dyDescent="0.2">
      <c r="A358" s="167" t="s">
        <v>74</v>
      </c>
      <c r="B358" s="162">
        <v>4</v>
      </c>
      <c r="C358" s="162">
        <f t="shared" si="10"/>
        <v>821.25</v>
      </c>
      <c r="D358" s="162" t="s">
        <v>171</v>
      </c>
      <c r="E358" s="168">
        <v>8286909.6240999997</v>
      </c>
      <c r="F358" s="168">
        <v>8286.9096241000007</v>
      </c>
      <c r="G358" s="168">
        <v>8.2869096241000015</v>
      </c>
      <c r="H358" s="168">
        <v>8.2869096241000011E-3</v>
      </c>
      <c r="I358" s="164">
        <f>H358*$O$9/0.1*INDEX(Country_details!$N$9:N508,MATCH(Solar_data!A358,Country_details!$A$9:$A$154,0))</f>
        <v>2.2374655985070002E-2</v>
      </c>
      <c r="J358" s="164">
        <f t="shared" si="11"/>
        <v>821.25</v>
      </c>
      <c r="K358" s="164"/>
      <c r="L358" s="164"/>
      <c r="M358" s="164"/>
      <c r="N358" s="164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6"/>
      <c r="Z358" s="166"/>
      <c r="AA358" s="166"/>
      <c r="AB358" s="166"/>
      <c r="AC358" s="166"/>
      <c r="AD358" s="166"/>
      <c r="AE358" s="166"/>
      <c r="AF358" s="166"/>
      <c r="AG358" s="166"/>
      <c r="AH358" s="166"/>
      <c r="AI358" s="166"/>
    </row>
    <row r="359" spans="1:35" x14ac:dyDescent="0.2">
      <c r="A359" s="167" t="s">
        <v>74</v>
      </c>
      <c r="B359" s="162">
        <v>5</v>
      </c>
      <c r="C359" s="162">
        <f t="shared" si="10"/>
        <v>1003.75</v>
      </c>
      <c r="D359" s="162" t="s">
        <v>172</v>
      </c>
      <c r="E359" s="168">
        <v>59478704211.910599</v>
      </c>
      <c r="F359" s="168">
        <v>59478704.211910598</v>
      </c>
      <c r="G359" s="168">
        <v>59478.704211910597</v>
      </c>
      <c r="H359" s="168">
        <v>59.478704211910596</v>
      </c>
      <c r="I359" s="164">
        <f>H359*$O$9/0.1*INDEX(Country_details!$N$9:N509,MATCH(Solar_data!A359,Country_details!$A$9:$A$154,0))</f>
        <v>160.59250137215858</v>
      </c>
      <c r="J359" s="164">
        <f t="shared" si="11"/>
        <v>1003.75</v>
      </c>
      <c r="K359" s="164"/>
      <c r="L359" s="164"/>
      <c r="M359" s="164"/>
      <c r="N359" s="164"/>
      <c r="O359" s="166"/>
      <c r="P359" s="166"/>
      <c r="Q359" s="166"/>
      <c r="R359" s="166"/>
      <c r="S359" s="166"/>
      <c r="T359" s="166"/>
      <c r="U359" s="166"/>
      <c r="V359" s="166"/>
      <c r="W359" s="166"/>
      <c r="X359" s="166"/>
      <c r="Y359" s="166"/>
      <c r="Z359" s="166"/>
      <c r="AA359" s="166"/>
      <c r="AB359" s="166"/>
      <c r="AC359" s="166"/>
      <c r="AD359" s="166"/>
      <c r="AE359" s="166"/>
      <c r="AF359" s="166"/>
      <c r="AG359" s="166"/>
      <c r="AH359" s="166"/>
      <c r="AI359" s="166"/>
    </row>
    <row r="360" spans="1:35" x14ac:dyDescent="0.2">
      <c r="A360" s="167" t="s">
        <v>74</v>
      </c>
      <c r="B360" s="162">
        <v>6</v>
      </c>
      <c r="C360" s="162">
        <f t="shared" si="10"/>
        <v>1186.25</v>
      </c>
      <c r="D360" s="162" t="s">
        <v>173</v>
      </c>
      <c r="E360" s="168">
        <v>51406433431.704399</v>
      </c>
      <c r="F360" s="168">
        <v>51406433.431704402</v>
      </c>
      <c r="G360" s="168">
        <v>51406.433431704405</v>
      </c>
      <c r="H360" s="168">
        <v>51.406433431704407</v>
      </c>
      <c r="I360" s="164">
        <f>H360*$O$9/0.1*INDEX(Country_details!$N$9:N510,MATCH(Solar_data!A360,Country_details!$A$9:$A$154,0))</f>
        <v>138.7973702656019</v>
      </c>
      <c r="J360" s="164">
        <f t="shared" si="11"/>
        <v>1186.25</v>
      </c>
      <c r="K360" s="164"/>
      <c r="L360" s="164"/>
      <c r="M360" s="164"/>
      <c r="N360" s="164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6"/>
      <c r="Z360" s="166"/>
      <c r="AA360" s="166"/>
      <c r="AB360" s="166"/>
      <c r="AC360" s="166"/>
      <c r="AD360" s="166"/>
      <c r="AE360" s="166"/>
      <c r="AF360" s="166"/>
      <c r="AG360" s="166"/>
      <c r="AH360" s="166"/>
      <c r="AI360" s="166"/>
    </row>
    <row r="361" spans="1:35" x14ac:dyDescent="0.2">
      <c r="A361" s="167" t="s">
        <v>223</v>
      </c>
      <c r="B361" s="162">
        <v>5</v>
      </c>
      <c r="C361" s="162">
        <f t="shared" si="10"/>
        <v>1003.75</v>
      </c>
      <c r="D361" s="162" t="s">
        <v>172</v>
      </c>
      <c r="E361" s="168">
        <v>471543167.04659998</v>
      </c>
      <c r="F361" s="168">
        <v>471543.16704660002</v>
      </c>
      <c r="G361" s="168">
        <v>471.54316704660005</v>
      </c>
      <c r="H361" s="168">
        <v>0.47154316704660004</v>
      </c>
      <c r="I361" s="164" t="e">
        <f>H361*$O$9/0.1*INDEX(Country_details!$N$9:N511,MATCH(Solar_data!A361,Country_details!$A$9:$A$154,0))</f>
        <v>#N/A</v>
      </c>
      <c r="J361" s="164">
        <f t="shared" si="11"/>
        <v>1003.75</v>
      </c>
      <c r="K361" s="164"/>
      <c r="L361" s="164"/>
      <c r="M361" s="164"/>
      <c r="N361" s="164"/>
      <c r="O361" s="166"/>
      <c r="P361" s="166"/>
      <c r="Q361" s="166"/>
      <c r="R361" s="166"/>
      <c r="S361" s="166"/>
      <c r="T361" s="166"/>
      <c r="U361" s="166"/>
      <c r="V361" s="166"/>
      <c r="W361" s="166"/>
      <c r="X361" s="166"/>
      <c r="Y361" s="166"/>
      <c r="Z361" s="166"/>
      <c r="AA361" s="166"/>
      <c r="AB361" s="166"/>
      <c r="AC361" s="166"/>
      <c r="AD361" s="166"/>
      <c r="AE361" s="166"/>
      <c r="AF361" s="166"/>
      <c r="AG361" s="166"/>
      <c r="AH361" s="166"/>
      <c r="AI361" s="166"/>
    </row>
    <row r="362" spans="1:35" x14ac:dyDescent="0.2">
      <c r="A362" s="167" t="s">
        <v>75</v>
      </c>
      <c r="B362" s="162">
        <v>10</v>
      </c>
      <c r="C362" s="162">
        <f t="shared" si="10"/>
        <v>1916.25</v>
      </c>
      <c r="D362" s="162" t="s">
        <v>159</v>
      </c>
      <c r="E362" s="168">
        <v>11454420677.181101</v>
      </c>
      <c r="F362" s="168">
        <v>11454420.6771811</v>
      </c>
      <c r="G362" s="168">
        <v>11454.4206771811</v>
      </c>
      <c r="H362" s="168">
        <v>11.454420677181101</v>
      </c>
      <c r="I362" s="164">
        <f>H362*$O$9/0.1*INDEX(Country_details!$N$9:N512,MATCH(Solar_data!A362,Country_details!$A$9:$A$154,0))</f>
        <v>27.49060962523464</v>
      </c>
      <c r="J362" s="164">
        <f t="shared" si="11"/>
        <v>1916.25</v>
      </c>
      <c r="K362" s="164"/>
      <c r="L362" s="164"/>
      <c r="M362" s="164"/>
      <c r="N362" s="164"/>
      <c r="O362" s="166"/>
      <c r="P362" s="166"/>
      <c r="Q362" s="166"/>
      <c r="R362" s="166"/>
      <c r="S362" s="166"/>
      <c r="T362" s="166"/>
      <c r="U362" s="166"/>
      <c r="V362" s="166"/>
      <c r="W362" s="166"/>
      <c r="X362" s="166"/>
      <c r="Y362" s="166"/>
      <c r="Z362" s="166"/>
      <c r="AA362" s="166"/>
      <c r="AB362" s="166"/>
      <c r="AC362" s="166"/>
      <c r="AD362" s="166"/>
      <c r="AE362" s="166"/>
      <c r="AF362" s="166"/>
      <c r="AG362" s="166"/>
      <c r="AH362" s="166"/>
      <c r="AI362" s="166"/>
    </row>
    <row r="363" spans="1:35" x14ac:dyDescent="0.2">
      <c r="A363" s="167" t="s">
        <v>75</v>
      </c>
      <c r="B363" s="162">
        <v>11</v>
      </c>
      <c r="C363" s="162">
        <f t="shared" si="10"/>
        <v>2098.75</v>
      </c>
      <c r="D363" s="162" t="s">
        <v>161</v>
      </c>
      <c r="E363" s="168">
        <v>16053467719.756001</v>
      </c>
      <c r="F363" s="168">
        <v>16053467.719756002</v>
      </c>
      <c r="G363" s="168">
        <v>16053.467719756001</v>
      </c>
      <c r="H363" s="168">
        <v>16.053467719756</v>
      </c>
      <c r="I363" s="164">
        <f>H363*$O$9/0.1*INDEX(Country_details!$N$9:N513,MATCH(Solar_data!A363,Country_details!$A$9:$A$154,0))</f>
        <v>38.528322527414396</v>
      </c>
      <c r="J363" s="164">
        <f t="shared" si="11"/>
        <v>2098.75</v>
      </c>
      <c r="K363" s="164"/>
      <c r="L363" s="164"/>
      <c r="M363" s="164"/>
      <c r="N363" s="164"/>
      <c r="O363" s="166"/>
      <c r="P363" s="166"/>
      <c r="Q363" s="166"/>
      <c r="R363" s="166"/>
      <c r="S363" s="166"/>
      <c r="T363" s="166"/>
      <c r="U363" s="166"/>
      <c r="V363" s="166"/>
      <c r="W363" s="166"/>
      <c r="X363" s="166"/>
      <c r="Y363" s="166"/>
      <c r="Z363" s="166"/>
      <c r="AA363" s="166"/>
      <c r="AB363" s="166"/>
      <c r="AC363" s="166"/>
      <c r="AD363" s="166"/>
      <c r="AE363" s="166"/>
      <c r="AF363" s="166"/>
      <c r="AG363" s="166"/>
      <c r="AH363" s="166"/>
      <c r="AI363" s="166"/>
    </row>
    <row r="364" spans="1:35" x14ac:dyDescent="0.2">
      <c r="A364" s="167" t="s">
        <v>75</v>
      </c>
      <c r="B364" s="162">
        <v>12</v>
      </c>
      <c r="C364" s="162">
        <f t="shared" si="10"/>
        <v>2281.25</v>
      </c>
      <c r="D364" s="162" t="s">
        <v>162</v>
      </c>
      <c r="E364" s="168">
        <v>43472979181.966003</v>
      </c>
      <c r="F364" s="168">
        <v>43472979.181966007</v>
      </c>
      <c r="G364" s="168">
        <v>43472.979181966009</v>
      </c>
      <c r="H364" s="168">
        <v>43.472979181966011</v>
      </c>
      <c r="I364" s="164">
        <f>H364*$O$9/0.1*INDEX(Country_details!$N$9:N514,MATCH(Solar_data!A364,Country_details!$A$9:$A$154,0))</f>
        <v>104.33515003671842</v>
      </c>
      <c r="J364" s="164">
        <f t="shared" si="11"/>
        <v>2281.25</v>
      </c>
      <c r="K364" s="164"/>
      <c r="L364" s="164"/>
      <c r="M364" s="164"/>
      <c r="N364" s="164"/>
      <c r="O364" s="166"/>
      <c r="P364" s="166"/>
      <c r="Q364" s="166"/>
      <c r="R364" s="166"/>
      <c r="S364" s="166"/>
      <c r="T364" s="166"/>
      <c r="U364" s="166"/>
      <c r="V364" s="166"/>
      <c r="W364" s="166"/>
      <c r="X364" s="166"/>
      <c r="Y364" s="166"/>
      <c r="Z364" s="166"/>
      <c r="AA364" s="166"/>
      <c r="AB364" s="166"/>
      <c r="AC364" s="166"/>
      <c r="AD364" s="166"/>
      <c r="AE364" s="166"/>
      <c r="AF364" s="166"/>
      <c r="AG364" s="166"/>
      <c r="AH364" s="166"/>
      <c r="AI364" s="166"/>
    </row>
    <row r="365" spans="1:35" x14ac:dyDescent="0.2">
      <c r="A365" s="167" t="s">
        <v>75</v>
      </c>
      <c r="B365" s="162">
        <v>13</v>
      </c>
      <c r="C365" s="162">
        <f t="shared" si="10"/>
        <v>2463.75</v>
      </c>
      <c r="D365" s="162" t="s">
        <v>163</v>
      </c>
      <c r="E365" s="168">
        <v>3574030376.4663</v>
      </c>
      <c r="F365" s="168">
        <v>3574030.3764662999</v>
      </c>
      <c r="G365" s="168">
        <v>3574.0303764662999</v>
      </c>
      <c r="H365" s="168">
        <v>3.5740303764663</v>
      </c>
      <c r="I365" s="164">
        <f>H365*$O$9/0.1*INDEX(Country_details!$N$9:N515,MATCH(Solar_data!A365,Country_details!$A$9:$A$154,0))</f>
        <v>8.5776729035191188</v>
      </c>
      <c r="J365" s="164">
        <f t="shared" si="11"/>
        <v>2463.75</v>
      </c>
      <c r="K365" s="164"/>
      <c r="L365" s="164"/>
      <c r="M365" s="164"/>
      <c r="N365" s="164"/>
      <c r="O365" s="166"/>
      <c r="P365" s="166"/>
      <c r="Q365" s="166"/>
      <c r="R365" s="166"/>
      <c r="S365" s="166"/>
      <c r="T365" s="166"/>
      <c r="U365" s="166"/>
      <c r="V365" s="166"/>
      <c r="W365" s="166"/>
      <c r="X365" s="166"/>
      <c r="Y365" s="166"/>
      <c r="Z365" s="166"/>
      <c r="AA365" s="166"/>
      <c r="AB365" s="166"/>
      <c r="AC365" s="166"/>
      <c r="AD365" s="166"/>
      <c r="AE365" s="166"/>
      <c r="AF365" s="166"/>
      <c r="AG365" s="166"/>
      <c r="AH365" s="166"/>
      <c r="AI365" s="166"/>
    </row>
    <row r="366" spans="1:35" x14ac:dyDescent="0.2">
      <c r="A366" s="167" t="s">
        <v>76</v>
      </c>
      <c r="B366" s="162">
        <v>7</v>
      </c>
      <c r="C366" s="162">
        <f t="shared" si="10"/>
        <v>1368.75</v>
      </c>
      <c r="D366" s="162" t="s">
        <v>174</v>
      </c>
      <c r="E366" s="168">
        <v>89939020964.997192</v>
      </c>
      <c r="F366" s="168">
        <v>89939020.964997187</v>
      </c>
      <c r="G366" s="168">
        <v>89939.020964997195</v>
      </c>
      <c r="H366" s="168">
        <v>89.939020964997198</v>
      </c>
      <c r="I366" s="164">
        <f>H366*$O$9/0.1*INDEX(Country_details!$N$9:N516,MATCH(Solar_data!A366,Country_details!$A$9:$A$154,0))</f>
        <v>242.83535660549242</v>
      </c>
      <c r="J366" s="164">
        <f t="shared" si="11"/>
        <v>1368.75</v>
      </c>
      <c r="K366" s="164"/>
      <c r="L366" s="164"/>
      <c r="M366" s="164"/>
      <c r="N366" s="164"/>
      <c r="O366" s="166"/>
      <c r="P366" s="166"/>
      <c r="Q366" s="166"/>
      <c r="R366" s="166"/>
      <c r="S366" s="166"/>
      <c r="T366" s="166"/>
      <c r="U366" s="166"/>
      <c r="V366" s="166"/>
      <c r="W366" s="166"/>
      <c r="X366" s="166"/>
      <c r="Y366" s="166"/>
      <c r="Z366" s="166"/>
      <c r="AA366" s="166"/>
      <c r="AB366" s="166"/>
      <c r="AC366" s="166"/>
      <c r="AD366" s="166"/>
      <c r="AE366" s="166"/>
      <c r="AF366" s="166"/>
      <c r="AG366" s="166"/>
      <c r="AH366" s="166"/>
      <c r="AI366" s="166"/>
    </row>
    <row r="367" spans="1:35" x14ac:dyDescent="0.2">
      <c r="A367" s="167" t="s">
        <v>76</v>
      </c>
      <c r="B367" s="162">
        <v>8</v>
      </c>
      <c r="C367" s="162">
        <f t="shared" si="10"/>
        <v>1551.25</v>
      </c>
      <c r="D367" s="162" t="s">
        <v>164</v>
      </c>
      <c r="E367" s="168">
        <v>226922883256.6225</v>
      </c>
      <c r="F367" s="168">
        <v>226922883.25662249</v>
      </c>
      <c r="G367" s="168">
        <v>226922.8832566225</v>
      </c>
      <c r="H367" s="168">
        <v>226.9228832566225</v>
      </c>
      <c r="I367" s="164">
        <f>H367*$O$9/0.1*INDEX(Country_details!$N$9:N517,MATCH(Solar_data!A367,Country_details!$A$9:$A$154,0))</f>
        <v>612.69178479288064</v>
      </c>
      <c r="J367" s="164">
        <f t="shared" si="11"/>
        <v>1551.25</v>
      </c>
      <c r="K367" s="164"/>
      <c r="L367" s="164"/>
      <c r="M367" s="164"/>
      <c r="N367" s="164"/>
      <c r="O367" s="166"/>
      <c r="P367" s="166"/>
      <c r="Q367" s="166"/>
      <c r="R367" s="166"/>
      <c r="S367" s="166"/>
      <c r="T367" s="166"/>
      <c r="U367" s="166"/>
      <c r="V367" s="166"/>
      <c r="W367" s="166"/>
      <c r="X367" s="166"/>
      <c r="Y367" s="166"/>
      <c r="Z367" s="166"/>
      <c r="AA367" s="166"/>
      <c r="AB367" s="166"/>
      <c r="AC367" s="166"/>
      <c r="AD367" s="166"/>
      <c r="AE367" s="166"/>
      <c r="AF367" s="166"/>
      <c r="AG367" s="166"/>
      <c r="AH367" s="166"/>
      <c r="AI367" s="166"/>
    </row>
    <row r="368" spans="1:35" x14ac:dyDescent="0.2">
      <c r="A368" s="167" t="s">
        <v>76</v>
      </c>
      <c r="B368" s="162">
        <v>9</v>
      </c>
      <c r="C368" s="162">
        <f t="shared" si="10"/>
        <v>1733.75</v>
      </c>
      <c r="D368" s="162" t="s">
        <v>157</v>
      </c>
      <c r="E368" s="168">
        <v>272321185526.3269</v>
      </c>
      <c r="F368" s="168">
        <v>272321185.52632689</v>
      </c>
      <c r="G368" s="168">
        <v>272321.18552632688</v>
      </c>
      <c r="H368" s="168">
        <v>272.32118552632687</v>
      </c>
      <c r="I368" s="164">
        <f>H368*$O$9/0.1*INDEX(Country_details!$N$9:N518,MATCH(Solar_data!A368,Country_details!$A$9:$A$154,0))</f>
        <v>735.26720092108246</v>
      </c>
      <c r="J368" s="164">
        <f t="shared" si="11"/>
        <v>1733.75</v>
      </c>
      <c r="K368" s="164"/>
      <c r="L368" s="164"/>
      <c r="M368" s="164"/>
      <c r="N368" s="164"/>
      <c r="O368" s="166"/>
      <c r="P368" s="166"/>
      <c r="Q368" s="166"/>
      <c r="R368" s="166"/>
      <c r="S368" s="166"/>
      <c r="T368" s="166"/>
      <c r="U368" s="166"/>
      <c r="V368" s="166"/>
      <c r="W368" s="166"/>
      <c r="X368" s="166"/>
      <c r="Y368" s="166"/>
      <c r="Z368" s="166"/>
      <c r="AA368" s="166"/>
      <c r="AB368" s="166"/>
      <c r="AC368" s="166"/>
      <c r="AD368" s="166"/>
      <c r="AE368" s="166"/>
      <c r="AF368" s="166"/>
      <c r="AG368" s="166"/>
      <c r="AH368" s="166"/>
      <c r="AI368" s="166"/>
    </row>
    <row r="369" spans="1:35" x14ac:dyDescent="0.2">
      <c r="A369" s="167" t="s">
        <v>76</v>
      </c>
      <c r="B369" s="162">
        <v>10</v>
      </c>
      <c r="C369" s="162">
        <f t="shared" si="10"/>
        <v>1916.25</v>
      </c>
      <c r="D369" s="162" t="s">
        <v>159</v>
      </c>
      <c r="E369" s="168">
        <v>153827210848.2355</v>
      </c>
      <c r="F369" s="168">
        <v>153827210.84823552</v>
      </c>
      <c r="G369" s="168">
        <v>153827.21084823553</v>
      </c>
      <c r="H369" s="168">
        <v>153.82721084823552</v>
      </c>
      <c r="I369" s="164">
        <f>H369*$O$9/0.1*INDEX(Country_details!$N$9:N519,MATCH(Solar_data!A369,Country_details!$A$9:$A$154,0))</f>
        <v>415.33346929023583</v>
      </c>
      <c r="J369" s="164">
        <f t="shared" si="11"/>
        <v>1916.25</v>
      </c>
      <c r="K369" s="164"/>
      <c r="L369" s="164"/>
      <c r="M369" s="164"/>
      <c r="N369" s="164"/>
      <c r="O369" s="166"/>
      <c r="P369" s="166"/>
      <c r="Q369" s="166"/>
      <c r="R369" s="166"/>
      <c r="S369" s="166"/>
      <c r="T369" s="166"/>
      <c r="U369" s="166"/>
      <c r="V369" s="166"/>
      <c r="W369" s="166"/>
      <c r="X369" s="166"/>
      <c r="Y369" s="166"/>
      <c r="Z369" s="166"/>
      <c r="AA369" s="166"/>
      <c r="AB369" s="166"/>
      <c r="AC369" s="166"/>
      <c r="AD369" s="166"/>
      <c r="AE369" s="166"/>
      <c r="AF369" s="166"/>
      <c r="AG369" s="166"/>
      <c r="AH369" s="166"/>
      <c r="AI369" s="166"/>
    </row>
    <row r="370" spans="1:35" x14ac:dyDescent="0.2">
      <c r="A370" s="167" t="s">
        <v>76</v>
      </c>
      <c r="B370" s="162">
        <v>11</v>
      </c>
      <c r="C370" s="162">
        <f t="shared" si="10"/>
        <v>2098.75</v>
      </c>
      <c r="D370" s="162" t="s">
        <v>161</v>
      </c>
      <c r="E370" s="168">
        <v>9170032215.0767002</v>
      </c>
      <c r="F370" s="168">
        <v>9170032.2150766999</v>
      </c>
      <c r="G370" s="168">
        <v>9170.0322150767006</v>
      </c>
      <c r="H370" s="168">
        <v>9.1700322150767004</v>
      </c>
      <c r="I370" s="164">
        <f>H370*$O$9/0.1*INDEX(Country_details!$N$9:N520,MATCH(Solar_data!A370,Country_details!$A$9:$A$154,0))</f>
        <v>24.759086980707089</v>
      </c>
      <c r="J370" s="164">
        <f t="shared" si="11"/>
        <v>2098.75</v>
      </c>
      <c r="K370" s="164"/>
      <c r="L370" s="164"/>
      <c r="M370" s="164"/>
      <c r="N370" s="164"/>
      <c r="O370" s="166"/>
      <c r="P370" s="166"/>
      <c r="Q370" s="166"/>
      <c r="R370" s="166"/>
      <c r="S370" s="166"/>
      <c r="T370" s="166"/>
      <c r="U370" s="166"/>
      <c r="V370" s="166"/>
      <c r="W370" s="166"/>
      <c r="X370" s="166"/>
      <c r="Y370" s="166"/>
      <c r="Z370" s="166"/>
      <c r="AA370" s="166"/>
      <c r="AB370" s="166"/>
      <c r="AC370" s="166"/>
      <c r="AD370" s="166"/>
      <c r="AE370" s="166"/>
      <c r="AF370" s="166"/>
      <c r="AG370" s="166"/>
      <c r="AH370" s="166"/>
      <c r="AI370" s="166"/>
    </row>
    <row r="371" spans="1:35" x14ac:dyDescent="0.2">
      <c r="A371" s="167" t="s">
        <v>77</v>
      </c>
      <c r="B371" s="162">
        <v>10</v>
      </c>
      <c r="C371" s="162">
        <f t="shared" si="10"/>
        <v>1916.25</v>
      </c>
      <c r="D371" s="162" t="s">
        <v>159</v>
      </c>
      <c r="E371" s="168">
        <v>4976377933.7790003</v>
      </c>
      <c r="F371" s="168">
        <v>4976377.9337790003</v>
      </c>
      <c r="G371" s="168">
        <v>4976.3779337790002</v>
      </c>
      <c r="H371" s="168">
        <v>4.9763779337790002</v>
      </c>
      <c r="I371" s="164">
        <f>H371*$O$9/0.1*INDEX(Country_details!$N$9:N521,MATCH(Solar_data!A371,Country_details!$A$9:$A$154,0))</f>
        <v>13.436220421203299</v>
      </c>
      <c r="J371" s="164">
        <f t="shared" si="11"/>
        <v>1916.25</v>
      </c>
      <c r="K371" s="164"/>
      <c r="L371" s="164"/>
      <c r="M371" s="164"/>
      <c r="N371" s="164"/>
      <c r="O371" s="166"/>
      <c r="P371" s="166"/>
      <c r="Q371" s="166"/>
      <c r="R371" s="166"/>
      <c r="S371" s="166"/>
      <c r="T371" s="166"/>
      <c r="U371" s="166"/>
      <c r="V371" s="166"/>
      <c r="W371" s="166"/>
      <c r="X371" s="166"/>
      <c r="Y371" s="166"/>
      <c r="Z371" s="166"/>
      <c r="AA371" s="166"/>
      <c r="AB371" s="166"/>
      <c r="AC371" s="166"/>
      <c r="AD371" s="166"/>
      <c r="AE371" s="166"/>
      <c r="AF371" s="166"/>
      <c r="AG371" s="166"/>
      <c r="AH371" s="166"/>
      <c r="AI371" s="166"/>
    </row>
    <row r="372" spans="1:35" x14ac:dyDescent="0.2">
      <c r="A372" s="167" t="s">
        <v>77</v>
      </c>
      <c r="B372" s="162">
        <v>11</v>
      </c>
      <c r="C372" s="162">
        <f t="shared" si="10"/>
        <v>2098.75</v>
      </c>
      <c r="D372" s="162" t="s">
        <v>161</v>
      </c>
      <c r="E372" s="168">
        <v>28980485669.828999</v>
      </c>
      <c r="F372" s="168">
        <v>28980485.669829</v>
      </c>
      <c r="G372" s="168">
        <v>28980.485669828999</v>
      </c>
      <c r="H372" s="168">
        <v>28.980485669829001</v>
      </c>
      <c r="I372" s="164">
        <f>H372*$O$9/0.1*INDEX(Country_details!$N$9:N522,MATCH(Solar_data!A372,Country_details!$A$9:$A$154,0))</f>
        <v>78.247311308538301</v>
      </c>
      <c r="J372" s="164">
        <f t="shared" si="11"/>
        <v>2098.75</v>
      </c>
      <c r="K372" s="164"/>
      <c r="L372" s="164"/>
      <c r="M372" s="164"/>
      <c r="N372" s="164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6"/>
      <c r="Z372" s="166"/>
      <c r="AA372" s="166"/>
      <c r="AB372" s="166"/>
      <c r="AC372" s="166"/>
      <c r="AD372" s="166"/>
      <c r="AE372" s="166"/>
      <c r="AF372" s="166"/>
      <c r="AG372" s="166"/>
      <c r="AH372" s="166"/>
      <c r="AI372" s="166"/>
    </row>
    <row r="373" spans="1:35" x14ac:dyDescent="0.2">
      <c r="A373" s="167" t="s">
        <v>224</v>
      </c>
      <c r="B373" s="162">
        <v>4</v>
      </c>
      <c r="C373" s="162">
        <f t="shared" si="10"/>
        <v>821.25</v>
      </c>
      <c r="D373" s="162" t="s">
        <v>171</v>
      </c>
      <c r="E373" s="168">
        <v>515853182.29470003</v>
      </c>
      <c r="F373" s="168">
        <v>515853.18229470006</v>
      </c>
      <c r="G373" s="168">
        <v>515.8531822947001</v>
      </c>
      <c r="H373" s="168">
        <v>0.51585318229470012</v>
      </c>
      <c r="I373" s="164" t="e">
        <f>H373*$O$9/0.1*INDEX(Country_details!$N$9:N523,MATCH(Solar_data!A373,Country_details!$A$9:$A$154,0))</f>
        <v>#N/A</v>
      </c>
      <c r="J373" s="164">
        <f t="shared" si="11"/>
        <v>821.25</v>
      </c>
      <c r="K373" s="164"/>
      <c r="L373" s="164"/>
      <c r="M373" s="164"/>
      <c r="N373" s="164"/>
      <c r="O373" s="166"/>
      <c r="P373" s="166"/>
      <c r="Q373" s="166"/>
      <c r="R373" s="166"/>
      <c r="S373" s="166"/>
      <c r="T373" s="166"/>
      <c r="U373" s="166"/>
      <c r="V373" s="166"/>
      <c r="W373" s="166"/>
      <c r="X373" s="166"/>
      <c r="Y373" s="166"/>
      <c r="Z373" s="166"/>
      <c r="AA373" s="166"/>
      <c r="AB373" s="166"/>
      <c r="AC373" s="166"/>
      <c r="AD373" s="166"/>
      <c r="AE373" s="166"/>
      <c r="AF373" s="166"/>
      <c r="AG373" s="166"/>
      <c r="AH373" s="166"/>
      <c r="AI373" s="166"/>
    </row>
    <row r="374" spans="1:35" x14ac:dyDescent="0.2">
      <c r="A374" s="167" t="s">
        <v>224</v>
      </c>
      <c r="B374" s="162">
        <v>5</v>
      </c>
      <c r="C374" s="162">
        <f t="shared" si="10"/>
        <v>1003.75</v>
      </c>
      <c r="D374" s="162" t="s">
        <v>172</v>
      </c>
      <c r="E374" s="168">
        <v>74729618.711099997</v>
      </c>
      <c r="F374" s="168">
        <v>74729.618711100004</v>
      </c>
      <c r="G374" s="168">
        <v>74.729618711100002</v>
      </c>
      <c r="H374" s="168">
        <v>7.472961871110001E-2</v>
      </c>
      <c r="I374" s="164" t="e">
        <f>H374*$O$9/0.1*INDEX(Country_details!$N$9:N524,MATCH(Solar_data!A374,Country_details!$A$9:$A$154,0))</f>
        <v>#N/A</v>
      </c>
      <c r="J374" s="164">
        <f t="shared" si="11"/>
        <v>1003.75</v>
      </c>
      <c r="K374" s="164"/>
      <c r="L374" s="164"/>
      <c r="M374" s="164"/>
      <c r="N374" s="164"/>
      <c r="O374" s="166"/>
      <c r="P374" s="166"/>
      <c r="Q374" s="166"/>
      <c r="R374" s="166"/>
      <c r="S374" s="166"/>
      <c r="T374" s="166"/>
      <c r="U374" s="166"/>
      <c r="V374" s="166"/>
      <c r="W374" s="166"/>
      <c r="X374" s="166"/>
      <c r="Y374" s="166"/>
      <c r="Z374" s="166"/>
      <c r="AA374" s="166"/>
      <c r="AB374" s="166"/>
      <c r="AC374" s="166"/>
      <c r="AD374" s="166"/>
      <c r="AE374" s="166"/>
      <c r="AF374" s="166"/>
      <c r="AG374" s="166"/>
      <c r="AH374" s="166"/>
      <c r="AI374" s="166"/>
    </row>
    <row r="375" spans="1:35" x14ac:dyDescent="0.2">
      <c r="A375" s="167" t="s">
        <v>78</v>
      </c>
      <c r="B375" s="162">
        <v>7</v>
      </c>
      <c r="C375" s="162">
        <f t="shared" si="10"/>
        <v>1368.75</v>
      </c>
      <c r="D375" s="162" t="s">
        <v>174</v>
      </c>
      <c r="E375" s="168">
        <v>402273261118.44098</v>
      </c>
      <c r="F375" s="168">
        <v>402273261.11844099</v>
      </c>
      <c r="G375" s="168">
        <v>402273.26111844101</v>
      </c>
      <c r="H375" s="168">
        <v>402.27326111844104</v>
      </c>
      <c r="I375" s="164">
        <f>H375*$O$9/0.1*INDEX(Country_details!$N$9:N525,MATCH(Solar_data!A375,Country_details!$A$9:$A$154,0))</f>
        <v>1086.1378050197907</v>
      </c>
      <c r="J375" s="164">
        <f t="shared" si="11"/>
        <v>1368.75</v>
      </c>
      <c r="K375" s="164"/>
      <c r="L375" s="164"/>
      <c r="M375" s="164"/>
      <c r="N375" s="164"/>
      <c r="O375" s="166"/>
      <c r="P375" s="166"/>
      <c r="Q375" s="166"/>
      <c r="R375" s="166"/>
      <c r="S375" s="166"/>
      <c r="T375" s="166"/>
      <c r="U375" s="166"/>
      <c r="V375" s="166"/>
      <c r="W375" s="166"/>
      <c r="X375" s="166"/>
      <c r="Y375" s="166"/>
      <c r="Z375" s="166"/>
      <c r="AA375" s="166"/>
      <c r="AB375" s="166"/>
      <c r="AC375" s="166"/>
      <c r="AD375" s="166"/>
      <c r="AE375" s="166"/>
      <c r="AF375" s="166"/>
      <c r="AG375" s="166"/>
      <c r="AH375" s="166"/>
      <c r="AI375" s="166"/>
    </row>
    <row r="376" spans="1:35" x14ac:dyDescent="0.2">
      <c r="A376" s="167" t="s">
        <v>78</v>
      </c>
      <c r="B376" s="162">
        <v>8</v>
      </c>
      <c r="C376" s="162">
        <f t="shared" si="10"/>
        <v>1551.25</v>
      </c>
      <c r="D376" s="162" t="s">
        <v>164</v>
      </c>
      <c r="E376" s="168">
        <v>371920178865.11401</v>
      </c>
      <c r="F376" s="168">
        <v>371920178.86511403</v>
      </c>
      <c r="G376" s="168">
        <v>371920.17886511405</v>
      </c>
      <c r="H376" s="168">
        <v>371.92017886511405</v>
      </c>
      <c r="I376" s="164">
        <f>H376*$O$9/0.1*INDEX(Country_details!$N$9:N526,MATCH(Solar_data!A376,Country_details!$A$9:$A$154,0))</f>
        <v>1004.1844829358079</v>
      </c>
      <c r="J376" s="164">
        <f t="shared" si="11"/>
        <v>1551.25</v>
      </c>
      <c r="K376" s="164"/>
      <c r="L376" s="164"/>
      <c r="M376" s="164"/>
      <c r="N376" s="164"/>
      <c r="O376" s="166"/>
      <c r="P376" s="166"/>
      <c r="Q376" s="166"/>
      <c r="R376" s="166"/>
      <c r="S376" s="166"/>
      <c r="T376" s="166"/>
      <c r="U376" s="166"/>
      <c r="V376" s="166"/>
      <c r="W376" s="166"/>
      <c r="X376" s="166"/>
      <c r="Y376" s="166"/>
      <c r="Z376" s="166"/>
      <c r="AA376" s="166"/>
      <c r="AB376" s="166"/>
      <c r="AC376" s="166"/>
      <c r="AD376" s="166"/>
      <c r="AE376" s="166"/>
      <c r="AF376" s="166"/>
      <c r="AG376" s="166"/>
      <c r="AH376" s="166"/>
      <c r="AI376" s="166"/>
    </row>
    <row r="377" spans="1:35" x14ac:dyDescent="0.2">
      <c r="A377" s="167" t="s">
        <v>78</v>
      </c>
      <c r="B377" s="162">
        <v>9</v>
      </c>
      <c r="C377" s="162">
        <f t="shared" si="10"/>
        <v>1733.75</v>
      </c>
      <c r="D377" s="162" t="s">
        <v>157</v>
      </c>
      <c r="E377" s="168">
        <v>34959193529.653999</v>
      </c>
      <c r="F377" s="168">
        <v>34959193.529654004</v>
      </c>
      <c r="G377" s="168">
        <v>34959.193529654003</v>
      </c>
      <c r="H377" s="168">
        <v>34.959193529654002</v>
      </c>
      <c r="I377" s="164">
        <f>H377*$O$9/0.1*INDEX(Country_details!$N$9:N527,MATCH(Solar_data!A377,Country_details!$A$9:$A$154,0))</f>
        <v>94.3898225300658</v>
      </c>
      <c r="J377" s="164">
        <f t="shared" si="11"/>
        <v>1733.75</v>
      </c>
      <c r="K377" s="164"/>
      <c r="L377" s="164"/>
      <c r="M377" s="164"/>
      <c r="N377" s="164"/>
      <c r="O377" s="166"/>
      <c r="P377" s="166"/>
      <c r="Q377" s="166"/>
      <c r="R377" s="166"/>
      <c r="S377" s="166"/>
      <c r="T377" s="166"/>
      <c r="U377" s="166"/>
      <c r="V377" s="166"/>
      <c r="W377" s="166"/>
      <c r="X377" s="166"/>
      <c r="Y377" s="166"/>
      <c r="Z377" s="166"/>
      <c r="AA377" s="166"/>
      <c r="AB377" s="166"/>
      <c r="AC377" s="166"/>
      <c r="AD377" s="166"/>
      <c r="AE377" s="166"/>
      <c r="AF377" s="166"/>
      <c r="AG377" s="166"/>
      <c r="AH377" s="166"/>
      <c r="AI377" s="166"/>
    </row>
    <row r="378" spans="1:35" x14ac:dyDescent="0.2">
      <c r="A378" s="167" t="s">
        <v>225</v>
      </c>
      <c r="B378" s="162">
        <v>13</v>
      </c>
      <c r="C378" s="162">
        <f t="shared" si="10"/>
        <v>2463.75</v>
      </c>
      <c r="D378" s="162" t="s">
        <v>163</v>
      </c>
      <c r="E378" s="168">
        <v>13250556.5243</v>
      </c>
      <c r="F378" s="168">
        <v>13250.5565243</v>
      </c>
      <c r="G378" s="168">
        <v>13.2505565243</v>
      </c>
      <c r="H378" s="168">
        <v>1.3250556524300001E-2</v>
      </c>
      <c r="I378" s="164" t="e">
        <f>H378*$O$9/0.1*INDEX(Country_details!$N$9:N528,MATCH(Solar_data!A378,Country_details!$A$9:$A$154,0))</f>
        <v>#N/A</v>
      </c>
      <c r="J378" s="164">
        <f t="shared" si="11"/>
        <v>2463.75</v>
      </c>
      <c r="K378" s="164"/>
      <c r="L378" s="164"/>
      <c r="M378" s="164"/>
      <c r="N378" s="164"/>
      <c r="O378" s="166"/>
      <c r="P378" s="166"/>
      <c r="Q378" s="166"/>
      <c r="R378" s="166"/>
      <c r="S378" s="166"/>
      <c r="T378" s="166"/>
      <c r="U378" s="166"/>
      <c r="V378" s="166"/>
      <c r="W378" s="166"/>
      <c r="X378" s="166"/>
      <c r="Y378" s="166"/>
      <c r="Z378" s="166"/>
      <c r="AA378" s="166"/>
      <c r="AB378" s="166"/>
      <c r="AC378" s="166"/>
      <c r="AD378" s="166"/>
      <c r="AE378" s="166"/>
      <c r="AF378" s="166"/>
      <c r="AG378" s="166"/>
      <c r="AH378" s="166"/>
      <c r="AI378" s="166"/>
    </row>
    <row r="379" spans="1:35" x14ac:dyDescent="0.2">
      <c r="A379" s="167" t="s">
        <v>226</v>
      </c>
      <c r="B379" s="162">
        <v>7</v>
      </c>
      <c r="C379" s="162">
        <f t="shared" si="10"/>
        <v>1368.75</v>
      </c>
      <c r="D379" s="162" t="s">
        <v>174</v>
      </c>
      <c r="E379" s="168">
        <v>217963729.6679</v>
      </c>
      <c r="F379" s="168">
        <v>217963.72966790001</v>
      </c>
      <c r="G379" s="168">
        <v>217.96372966790003</v>
      </c>
      <c r="H379" s="168">
        <v>0.21796372966790004</v>
      </c>
      <c r="I379" s="164" t="e">
        <f>H379*$O$9/0.1*INDEX(Country_details!$N$9:N529,MATCH(Solar_data!A379,Country_details!$A$9:$A$154,0))</f>
        <v>#N/A</v>
      </c>
      <c r="J379" s="164">
        <f t="shared" si="11"/>
        <v>1368.75</v>
      </c>
      <c r="K379" s="164"/>
      <c r="L379" s="164"/>
      <c r="M379" s="164"/>
      <c r="N379" s="164"/>
      <c r="O379" s="166"/>
      <c r="P379" s="166"/>
      <c r="Q379" s="166"/>
      <c r="R379" s="166"/>
      <c r="S379" s="166"/>
      <c r="T379" s="166"/>
      <c r="U379" s="166"/>
      <c r="V379" s="166"/>
      <c r="W379" s="166"/>
      <c r="X379" s="166"/>
      <c r="Y379" s="166"/>
      <c r="Z379" s="166"/>
      <c r="AA379" s="166"/>
      <c r="AB379" s="166"/>
      <c r="AC379" s="166"/>
      <c r="AD379" s="166"/>
      <c r="AE379" s="166"/>
      <c r="AF379" s="166"/>
      <c r="AG379" s="166"/>
      <c r="AH379" s="166"/>
      <c r="AI379" s="166"/>
    </row>
    <row r="380" spans="1:35" x14ac:dyDescent="0.2">
      <c r="A380" s="167" t="s">
        <v>227</v>
      </c>
      <c r="B380" s="162">
        <v>12</v>
      </c>
      <c r="C380" s="162">
        <f t="shared" si="10"/>
        <v>2281.25</v>
      </c>
      <c r="D380" s="162" t="s">
        <v>162</v>
      </c>
      <c r="E380" s="168">
        <v>1723559.0682000001</v>
      </c>
      <c r="F380" s="168">
        <v>1723.5590682000002</v>
      </c>
      <c r="G380" s="168">
        <v>1.7235590682000002</v>
      </c>
      <c r="H380" s="168">
        <v>1.7235590682000003E-3</v>
      </c>
      <c r="I380" s="164" t="e">
        <f>H380*$O$9/0.1*INDEX(Country_details!$N$9:N530,MATCH(Solar_data!A380,Country_details!$A$9:$A$154,0))</f>
        <v>#N/A</v>
      </c>
      <c r="J380" s="164">
        <f t="shared" si="11"/>
        <v>2281.25</v>
      </c>
      <c r="K380" s="164"/>
      <c r="L380" s="164"/>
      <c r="M380" s="164"/>
      <c r="N380" s="164"/>
      <c r="O380" s="166"/>
      <c r="P380" s="166"/>
      <c r="Q380" s="166"/>
      <c r="R380" s="166"/>
      <c r="S380" s="166"/>
      <c r="T380" s="166"/>
      <c r="U380" s="166"/>
      <c r="V380" s="166"/>
      <c r="W380" s="166"/>
      <c r="X380" s="166"/>
      <c r="Y380" s="166"/>
      <c r="Z380" s="166"/>
      <c r="AA380" s="166"/>
      <c r="AB380" s="166"/>
      <c r="AC380" s="166"/>
      <c r="AD380" s="166"/>
      <c r="AE380" s="166"/>
      <c r="AF380" s="166"/>
      <c r="AG380" s="166"/>
      <c r="AH380" s="166"/>
      <c r="AI380" s="166"/>
    </row>
    <row r="381" spans="1:35" x14ac:dyDescent="0.2">
      <c r="A381" s="167" t="s">
        <v>79</v>
      </c>
      <c r="B381" s="162">
        <v>10</v>
      </c>
      <c r="C381" s="162">
        <f t="shared" si="10"/>
        <v>1916.25</v>
      </c>
      <c r="D381" s="162" t="s">
        <v>159</v>
      </c>
      <c r="E381" s="168">
        <v>26308519426.411999</v>
      </c>
      <c r="F381" s="168">
        <v>26308519.426411998</v>
      </c>
      <c r="G381" s="168">
        <v>26308.519426411996</v>
      </c>
      <c r="H381" s="168">
        <v>26.308519426411998</v>
      </c>
      <c r="I381" s="164">
        <f>H381*$O$9/0.1*INDEX(Country_details!$N$9:N531,MATCH(Solar_data!A381,Country_details!$A$9:$A$154,0))</f>
        <v>63.14044662338879</v>
      </c>
      <c r="J381" s="164">
        <f t="shared" si="11"/>
        <v>1916.25</v>
      </c>
      <c r="K381" s="164"/>
      <c r="L381" s="164"/>
      <c r="M381" s="164"/>
      <c r="N381" s="164"/>
      <c r="O381" s="166"/>
      <c r="P381" s="166"/>
      <c r="Q381" s="166"/>
      <c r="R381" s="166"/>
      <c r="S381" s="166"/>
      <c r="T381" s="166"/>
      <c r="U381" s="166"/>
      <c r="V381" s="166"/>
      <c r="W381" s="166"/>
      <c r="X381" s="166"/>
      <c r="Y381" s="166"/>
      <c r="Z381" s="166"/>
      <c r="AA381" s="166"/>
      <c r="AB381" s="166"/>
      <c r="AC381" s="166"/>
      <c r="AD381" s="166"/>
      <c r="AE381" s="166"/>
      <c r="AF381" s="166"/>
      <c r="AG381" s="166"/>
      <c r="AH381" s="166"/>
      <c r="AI381" s="166"/>
    </row>
    <row r="382" spans="1:35" x14ac:dyDescent="0.2">
      <c r="A382" s="167" t="s">
        <v>79</v>
      </c>
      <c r="B382" s="162">
        <v>12</v>
      </c>
      <c r="C382" s="162">
        <f t="shared" si="10"/>
        <v>2281.25</v>
      </c>
      <c r="D382" s="162" t="s">
        <v>162</v>
      </c>
      <c r="E382" s="168">
        <v>128336698981.26401</v>
      </c>
      <c r="F382" s="168">
        <v>128336698.98126401</v>
      </c>
      <c r="G382" s="168">
        <v>128336.69898126401</v>
      </c>
      <c r="H382" s="168">
        <v>128.33669898126402</v>
      </c>
      <c r="I382" s="164">
        <f>H382*$O$9/0.1*INDEX(Country_details!$N$9:N532,MATCH(Solar_data!A382,Country_details!$A$9:$A$154,0))</f>
        <v>308.00807755503365</v>
      </c>
      <c r="J382" s="164">
        <f t="shared" si="11"/>
        <v>2281.25</v>
      </c>
      <c r="K382" s="164"/>
      <c r="L382" s="164"/>
      <c r="M382" s="164"/>
      <c r="N382" s="164"/>
      <c r="O382" s="166"/>
      <c r="P382" s="166"/>
      <c r="Q382" s="166"/>
      <c r="R382" s="166"/>
      <c r="S382" s="166"/>
      <c r="T382" s="166"/>
      <c r="U382" s="166"/>
      <c r="V382" s="166"/>
      <c r="W382" s="166"/>
      <c r="X382" s="166"/>
      <c r="Y382" s="166"/>
      <c r="Z382" s="166"/>
      <c r="AA382" s="166"/>
      <c r="AB382" s="166"/>
      <c r="AC382" s="166"/>
      <c r="AD382" s="166"/>
      <c r="AE382" s="166"/>
      <c r="AF382" s="166"/>
      <c r="AG382" s="166"/>
      <c r="AH382" s="166"/>
      <c r="AI382" s="166"/>
    </row>
    <row r="383" spans="1:35" x14ac:dyDescent="0.2">
      <c r="A383" s="167" t="s">
        <v>79</v>
      </c>
      <c r="B383" s="162">
        <v>13</v>
      </c>
      <c r="C383" s="162">
        <f t="shared" si="10"/>
        <v>2463.75</v>
      </c>
      <c r="D383" s="162" t="s">
        <v>163</v>
      </c>
      <c r="E383" s="168">
        <v>150580165809.0437</v>
      </c>
      <c r="F383" s="168">
        <v>150580165.80904371</v>
      </c>
      <c r="G383" s="168">
        <v>150580.16580904371</v>
      </c>
      <c r="H383" s="168">
        <v>150.58016580904371</v>
      </c>
      <c r="I383" s="164">
        <f>H383*$O$9/0.1*INDEX(Country_details!$N$9:N533,MATCH(Solar_data!A383,Country_details!$A$9:$A$154,0))</f>
        <v>361.39239794170487</v>
      </c>
      <c r="J383" s="164">
        <f t="shared" si="11"/>
        <v>2463.75</v>
      </c>
      <c r="K383" s="164"/>
      <c r="L383" s="164"/>
      <c r="M383" s="164"/>
      <c r="N383" s="164"/>
      <c r="O383" s="166"/>
      <c r="P383" s="166"/>
      <c r="Q383" s="166"/>
      <c r="R383" s="166"/>
      <c r="S383" s="166"/>
      <c r="T383" s="166"/>
      <c r="U383" s="166"/>
      <c r="V383" s="166"/>
      <c r="W383" s="166"/>
      <c r="X383" s="166"/>
      <c r="Y383" s="166"/>
      <c r="Z383" s="166"/>
      <c r="AA383" s="166"/>
      <c r="AB383" s="166"/>
      <c r="AC383" s="166"/>
      <c r="AD383" s="166"/>
      <c r="AE383" s="166"/>
      <c r="AF383" s="166"/>
      <c r="AG383" s="166"/>
      <c r="AH383" s="166"/>
      <c r="AI383" s="166"/>
    </row>
    <row r="384" spans="1:35" x14ac:dyDescent="0.2">
      <c r="A384" s="167" t="s">
        <v>228</v>
      </c>
      <c r="B384" s="162">
        <v>11</v>
      </c>
      <c r="C384" s="162">
        <f t="shared" si="10"/>
        <v>2098.75</v>
      </c>
      <c r="D384" s="162" t="s">
        <v>161</v>
      </c>
      <c r="E384" s="168">
        <v>14265074.5898</v>
      </c>
      <c r="F384" s="168">
        <v>14265.0745898</v>
      </c>
      <c r="G384" s="168">
        <v>14.265074589800001</v>
      </c>
      <c r="H384" s="168">
        <v>1.4265074589800001E-2</v>
      </c>
      <c r="I384" s="164" t="e">
        <f>H384*$O$9/0.1*INDEX(Country_details!$N$9:N534,MATCH(Solar_data!A384,Country_details!$A$9:$A$154,0))</f>
        <v>#N/A</v>
      </c>
      <c r="J384" s="164">
        <f t="shared" si="11"/>
        <v>2098.75</v>
      </c>
      <c r="K384" s="164"/>
      <c r="L384" s="164"/>
      <c r="M384" s="164"/>
      <c r="N384" s="164"/>
      <c r="O384" s="166"/>
      <c r="P384" s="166"/>
      <c r="Q384" s="166"/>
      <c r="R384" s="166"/>
      <c r="S384" s="166"/>
      <c r="T384" s="166"/>
      <c r="U384" s="166"/>
      <c r="V384" s="166"/>
      <c r="W384" s="166"/>
      <c r="X384" s="166"/>
      <c r="Y384" s="166"/>
      <c r="Z384" s="166"/>
      <c r="AA384" s="166"/>
      <c r="AB384" s="166"/>
      <c r="AC384" s="166"/>
      <c r="AD384" s="166"/>
      <c r="AE384" s="166"/>
      <c r="AF384" s="166"/>
      <c r="AG384" s="166"/>
      <c r="AH384" s="166"/>
      <c r="AI384" s="166"/>
    </row>
    <row r="385" spans="1:35" x14ac:dyDescent="0.2">
      <c r="A385" s="167" t="s">
        <v>80</v>
      </c>
      <c r="B385" s="162">
        <v>7</v>
      </c>
      <c r="C385" s="162">
        <f t="shared" si="10"/>
        <v>1368.75</v>
      </c>
      <c r="D385" s="162" t="s">
        <v>174</v>
      </c>
      <c r="E385" s="168">
        <v>989583248637.87097</v>
      </c>
      <c r="F385" s="168">
        <v>989583248.63787103</v>
      </c>
      <c r="G385" s="168">
        <v>989583.248637871</v>
      </c>
      <c r="H385" s="168">
        <v>989.58324863787107</v>
      </c>
      <c r="I385" s="164">
        <f>H385*$O$9/0.1*INDEX(Country_details!$N$9:N535,MATCH(Solar_data!A385,Country_details!$A$9:$A$154,0))</f>
        <v>2671.8747713222519</v>
      </c>
      <c r="J385" s="164">
        <f t="shared" si="11"/>
        <v>1368.75</v>
      </c>
      <c r="K385" s="164"/>
      <c r="L385" s="164"/>
      <c r="M385" s="164"/>
      <c r="N385" s="164"/>
      <c r="O385" s="166"/>
      <c r="P385" s="166"/>
      <c r="Q385" s="166"/>
      <c r="R385" s="166"/>
      <c r="S385" s="166"/>
      <c r="T385" s="166"/>
      <c r="U385" s="166"/>
      <c r="V385" s="166"/>
      <c r="W385" s="166"/>
      <c r="X385" s="166"/>
      <c r="Y385" s="166"/>
      <c r="Z385" s="166"/>
      <c r="AA385" s="166"/>
      <c r="AB385" s="166"/>
      <c r="AC385" s="166"/>
      <c r="AD385" s="166"/>
      <c r="AE385" s="166"/>
      <c r="AF385" s="166"/>
      <c r="AG385" s="166"/>
      <c r="AH385" s="166"/>
      <c r="AI385" s="166"/>
    </row>
    <row r="386" spans="1:35" x14ac:dyDescent="0.2">
      <c r="A386" s="167" t="s">
        <v>80</v>
      </c>
      <c r="B386" s="162">
        <v>8</v>
      </c>
      <c r="C386" s="162">
        <f t="shared" si="10"/>
        <v>1551.25</v>
      </c>
      <c r="D386" s="162" t="s">
        <v>164</v>
      </c>
      <c r="E386" s="168">
        <v>3723834218144.5439</v>
      </c>
      <c r="F386" s="168">
        <v>3723834218.1445441</v>
      </c>
      <c r="G386" s="168">
        <v>3723834.2181445444</v>
      </c>
      <c r="H386" s="168">
        <v>3723.8342181445446</v>
      </c>
      <c r="I386" s="164">
        <f>H386*$O$9/0.1*INDEX(Country_details!$N$9:N536,MATCH(Solar_data!A386,Country_details!$A$9:$A$154,0))</f>
        <v>10054.352388990272</v>
      </c>
      <c r="J386" s="164">
        <f t="shared" si="11"/>
        <v>1551.25</v>
      </c>
      <c r="K386" s="164"/>
      <c r="L386" s="164"/>
      <c r="M386" s="164"/>
      <c r="N386" s="164"/>
      <c r="O386" s="166"/>
      <c r="P386" s="166"/>
      <c r="Q386" s="166"/>
      <c r="R386" s="166"/>
      <c r="S386" s="166"/>
      <c r="T386" s="166"/>
      <c r="U386" s="166"/>
      <c r="V386" s="166"/>
      <c r="W386" s="166"/>
      <c r="X386" s="166"/>
      <c r="Y386" s="166"/>
      <c r="Z386" s="166"/>
      <c r="AA386" s="166"/>
      <c r="AB386" s="166"/>
      <c r="AC386" s="166"/>
      <c r="AD386" s="166"/>
      <c r="AE386" s="166"/>
      <c r="AF386" s="166"/>
      <c r="AG386" s="166"/>
      <c r="AH386" s="166"/>
      <c r="AI386" s="166"/>
    </row>
    <row r="387" spans="1:35" x14ac:dyDescent="0.2">
      <c r="A387" s="167" t="s">
        <v>80</v>
      </c>
      <c r="B387" s="162">
        <v>9</v>
      </c>
      <c r="C387" s="162">
        <f t="shared" si="10"/>
        <v>1733.75</v>
      </c>
      <c r="D387" s="162" t="s">
        <v>157</v>
      </c>
      <c r="E387" s="168">
        <v>1875144794020.2883</v>
      </c>
      <c r="F387" s="168">
        <v>1875144794.0202885</v>
      </c>
      <c r="G387" s="168">
        <v>1875144.7940202884</v>
      </c>
      <c r="H387" s="168">
        <v>1875.1447940202884</v>
      </c>
      <c r="I387" s="164">
        <f>H387*$O$9/0.1*INDEX(Country_details!$N$9:N537,MATCH(Solar_data!A387,Country_details!$A$9:$A$154,0))</f>
        <v>5062.890943854778</v>
      </c>
      <c r="J387" s="164">
        <f t="shared" si="11"/>
        <v>1733.75</v>
      </c>
      <c r="K387" s="164"/>
      <c r="L387" s="164"/>
      <c r="M387" s="164"/>
      <c r="N387" s="164"/>
      <c r="O387" s="166"/>
      <c r="P387" s="166"/>
      <c r="Q387" s="166"/>
      <c r="R387" s="166"/>
      <c r="S387" s="166"/>
      <c r="T387" s="166"/>
      <c r="U387" s="166"/>
      <c r="V387" s="166"/>
      <c r="W387" s="166"/>
      <c r="X387" s="166"/>
      <c r="Y387" s="166"/>
      <c r="Z387" s="166"/>
      <c r="AA387" s="166"/>
      <c r="AB387" s="166"/>
      <c r="AC387" s="166"/>
      <c r="AD387" s="166"/>
      <c r="AE387" s="166"/>
      <c r="AF387" s="166"/>
      <c r="AG387" s="166"/>
      <c r="AH387" s="166"/>
      <c r="AI387" s="166"/>
    </row>
    <row r="388" spans="1:35" x14ac:dyDescent="0.2">
      <c r="A388" s="167" t="s">
        <v>80</v>
      </c>
      <c r="B388" s="162">
        <v>10</v>
      </c>
      <c r="C388" s="162">
        <f t="shared" si="10"/>
        <v>1916.25</v>
      </c>
      <c r="D388" s="162" t="s">
        <v>159</v>
      </c>
      <c r="E388" s="168">
        <v>95181548367.167496</v>
      </c>
      <c r="F388" s="168">
        <v>95181548.367167503</v>
      </c>
      <c r="G388" s="168">
        <v>95181.548367167503</v>
      </c>
      <c r="H388" s="168">
        <v>95.181548367167508</v>
      </c>
      <c r="I388" s="164">
        <f>H388*$O$9/0.1*INDEX(Country_details!$N$9:N538,MATCH(Solar_data!A388,Country_details!$A$9:$A$154,0))</f>
        <v>256.99018059135227</v>
      </c>
      <c r="J388" s="164">
        <f t="shared" si="11"/>
        <v>1916.25</v>
      </c>
      <c r="K388" s="164"/>
      <c r="L388" s="164"/>
      <c r="M388" s="164"/>
      <c r="N388" s="164"/>
      <c r="O388" s="166"/>
      <c r="P388" s="166"/>
      <c r="Q388" s="166"/>
      <c r="R388" s="166"/>
      <c r="S388" s="166"/>
      <c r="T388" s="166"/>
      <c r="U388" s="166"/>
      <c r="V388" s="166"/>
      <c r="W388" s="166"/>
      <c r="X388" s="166"/>
      <c r="Y388" s="166"/>
      <c r="Z388" s="166"/>
      <c r="AA388" s="166"/>
      <c r="AB388" s="166"/>
      <c r="AC388" s="166"/>
      <c r="AD388" s="166"/>
      <c r="AE388" s="166"/>
      <c r="AF388" s="166"/>
      <c r="AG388" s="166"/>
      <c r="AH388" s="166"/>
      <c r="AI388" s="166"/>
    </row>
    <row r="389" spans="1:35" x14ac:dyDescent="0.2">
      <c r="A389" s="167" t="s">
        <v>80</v>
      </c>
      <c r="B389" s="162">
        <v>11</v>
      </c>
      <c r="C389" s="162">
        <f t="shared" ref="C389:C452" si="12">(0.5*B389+0.25)*365</f>
        <v>2098.75</v>
      </c>
      <c r="D389" s="162" t="s">
        <v>161</v>
      </c>
      <c r="E389" s="168">
        <v>597518292.33529997</v>
      </c>
      <c r="F389" s="168">
        <v>597518.29233530001</v>
      </c>
      <c r="G389" s="168">
        <v>597.51829233529998</v>
      </c>
      <c r="H389" s="168">
        <v>0.59751829233529996</v>
      </c>
      <c r="I389" s="164">
        <f>H389*$O$9/0.1*INDEX(Country_details!$N$9:N539,MATCH(Solar_data!A389,Country_details!$A$9:$A$154,0))</f>
        <v>1.61329938930531</v>
      </c>
      <c r="J389" s="164">
        <f t="shared" si="11"/>
        <v>2098.75</v>
      </c>
      <c r="K389" s="164"/>
      <c r="L389" s="164"/>
      <c r="M389" s="164"/>
      <c r="N389" s="164"/>
      <c r="O389" s="166"/>
      <c r="P389" s="166"/>
      <c r="Q389" s="166"/>
      <c r="R389" s="166"/>
      <c r="S389" s="166"/>
      <c r="T389" s="166"/>
      <c r="U389" s="166"/>
      <c r="V389" s="166"/>
      <c r="W389" s="166"/>
      <c r="X389" s="166"/>
      <c r="Y389" s="166"/>
      <c r="Z389" s="166"/>
      <c r="AA389" s="166"/>
      <c r="AB389" s="166"/>
      <c r="AC389" s="166"/>
      <c r="AD389" s="166"/>
      <c r="AE389" s="166"/>
      <c r="AF389" s="166"/>
      <c r="AG389" s="166"/>
      <c r="AH389" s="166"/>
      <c r="AI389" s="166"/>
    </row>
    <row r="390" spans="1:35" x14ac:dyDescent="0.2">
      <c r="A390" s="167" t="s">
        <v>81</v>
      </c>
      <c r="B390" s="162">
        <v>8</v>
      </c>
      <c r="C390" s="162">
        <f t="shared" si="12"/>
        <v>1551.25</v>
      </c>
      <c r="D390" s="162" t="s">
        <v>164</v>
      </c>
      <c r="E390" s="168">
        <v>2877997284.8200002</v>
      </c>
      <c r="F390" s="168">
        <v>2877997.2848200002</v>
      </c>
      <c r="G390" s="168">
        <v>2877.9972848200005</v>
      </c>
      <c r="H390" s="168">
        <v>2.8779972848200006</v>
      </c>
      <c r="I390" s="164">
        <f>H390*$O$9/0.1*INDEX(Country_details!$N$9:N540,MATCH(Solar_data!A390,Country_details!$A$9:$A$154,0))</f>
        <v>6.9071934835680011</v>
      </c>
      <c r="J390" s="164">
        <f t="shared" si="11"/>
        <v>1551.25</v>
      </c>
      <c r="K390" s="164"/>
      <c r="L390" s="164"/>
      <c r="M390" s="164"/>
      <c r="N390" s="164"/>
      <c r="O390" s="166"/>
      <c r="P390" s="166"/>
      <c r="Q390" s="166"/>
      <c r="R390" s="166"/>
      <c r="S390" s="166"/>
      <c r="T390" s="166"/>
      <c r="U390" s="166"/>
      <c r="V390" s="166"/>
      <c r="W390" s="166"/>
      <c r="X390" s="166"/>
      <c r="Y390" s="166"/>
      <c r="Z390" s="166"/>
      <c r="AA390" s="166"/>
      <c r="AB390" s="166"/>
      <c r="AC390" s="166"/>
      <c r="AD390" s="166"/>
      <c r="AE390" s="166"/>
      <c r="AF390" s="166"/>
      <c r="AG390" s="166"/>
      <c r="AH390" s="166"/>
      <c r="AI390" s="166"/>
    </row>
    <row r="391" spans="1:35" x14ac:dyDescent="0.2">
      <c r="A391" s="167" t="s">
        <v>81</v>
      </c>
      <c r="B391" s="162">
        <v>9</v>
      </c>
      <c r="C391" s="162">
        <f t="shared" si="12"/>
        <v>1733.75</v>
      </c>
      <c r="D391" s="162" t="s">
        <v>157</v>
      </c>
      <c r="E391" s="168">
        <v>50320210651.805603</v>
      </c>
      <c r="F391" s="168">
        <v>50320210.651805602</v>
      </c>
      <c r="G391" s="168">
        <v>50320.210651805603</v>
      </c>
      <c r="H391" s="168">
        <v>50.320210651805603</v>
      </c>
      <c r="I391" s="164">
        <f>H391*$O$9/0.1*INDEX(Country_details!$N$9:N541,MATCH(Solar_data!A391,Country_details!$A$9:$A$154,0))</f>
        <v>120.76850556433345</v>
      </c>
      <c r="J391" s="164">
        <f t="shared" si="11"/>
        <v>1733.75</v>
      </c>
      <c r="K391" s="164"/>
      <c r="L391" s="164"/>
      <c r="M391" s="164"/>
      <c r="N391" s="164"/>
      <c r="O391" s="166"/>
      <c r="P391" s="166"/>
      <c r="Q391" s="166"/>
      <c r="R391" s="166"/>
      <c r="S391" s="166"/>
      <c r="T391" s="166"/>
      <c r="U391" s="166"/>
      <c r="V391" s="166"/>
      <c r="W391" s="166"/>
      <c r="X391" s="166"/>
      <c r="Y391" s="166"/>
      <c r="Z391" s="166"/>
      <c r="AA391" s="166"/>
      <c r="AB391" s="166"/>
      <c r="AC391" s="166"/>
      <c r="AD391" s="166"/>
      <c r="AE391" s="166"/>
      <c r="AF391" s="166"/>
      <c r="AG391" s="166"/>
      <c r="AH391" s="166"/>
      <c r="AI391" s="166"/>
    </row>
    <row r="392" spans="1:35" x14ac:dyDescent="0.2">
      <c r="A392" s="167" t="s">
        <v>81</v>
      </c>
      <c r="B392" s="162">
        <v>10</v>
      </c>
      <c r="C392" s="162">
        <f t="shared" si="12"/>
        <v>1916.25</v>
      </c>
      <c r="D392" s="162" t="s">
        <v>159</v>
      </c>
      <c r="E392" s="168">
        <v>343951138118.26318</v>
      </c>
      <c r="F392" s="168">
        <v>343951138.11826319</v>
      </c>
      <c r="G392" s="168">
        <v>343951.13811826322</v>
      </c>
      <c r="H392" s="168">
        <v>343.9511381182632</v>
      </c>
      <c r="I392" s="164">
        <f>H392*$O$9/0.1*INDEX(Country_details!$N$9:N542,MATCH(Solar_data!A392,Country_details!$A$9:$A$154,0))</f>
        <v>825.48273148383169</v>
      </c>
      <c r="J392" s="164">
        <f t="shared" si="11"/>
        <v>1916.25</v>
      </c>
      <c r="K392" s="164"/>
      <c r="L392" s="164"/>
      <c r="M392" s="164"/>
      <c r="N392" s="164"/>
      <c r="O392" s="166"/>
      <c r="P392" s="166"/>
      <c r="Q392" s="166"/>
      <c r="R392" s="166"/>
      <c r="S392" s="166"/>
      <c r="T392" s="166"/>
      <c r="U392" s="166"/>
      <c r="V392" s="166"/>
      <c r="W392" s="166"/>
      <c r="X392" s="166"/>
      <c r="Y392" s="166"/>
      <c r="Z392" s="166"/>
      <c r="AA392" s="166"/>
      <c r="AB392" s="166"/>
      <c r="AC392" s="166"/>
      <c r="AD392" s="166"/>
      <c r="AE392" s="166"/>
      <c r="AF392" s="166"/>
      <c r="AG392" s="166"/>
      <c r="AH392" s="166"/>
      <c r="AI392" s="166"/>
    </row>
    <row r="393" spans="1:35" x14ac:dyDescent="0.2">
      <c r="A393" s="167" t="s">
        <v>81</v>
      </c>
      <c r="B393" s="162">
        <v>11</v>
      </c>
      <c r="C393" s="162">
        <f t="shared" si="12"/>
        <v>2098.75</v>
      </c>
      <c r="D393" s="162" t="s">
        <v>161</v>
      </c>
      <c r="E393" s="168">
        <v>771922689691.08044</v>
      </c>
      <c r="F393" s="168">
        <v>771922689.69108045</v>
      </c>
      <c r="G393" s="168">
        <v>771922.68969108048</v>
      </c>
      <c r="H393" s="168">
        <v>771.92268969108045</v>
      </c>
      <c r="I393" s="164">
        <f>H393*$O$9/0.1*INDEX(Country_details!$N$9:N543,MATCH(Solar_data!A393,Country_details!$A$9:$A$154,0))</f>
        <v>1852.6144552585929</v>
      </c>
      <c r="J393" s="164">
        <f t="shared" ref="J393:J456" si="13">(0.5*B393+0.25)*365</f>
        <v>2098.75</v>
      </c>
      <c r="K393" s="164"/>
      <c r="L393" s="164"/>
      <c r="M393" s="164"/>
      <c r="N393" s="164"/>
      <c r="O393" s="166"/>
      <c r="P393" s="166"/>
      <c r="Q393" s="166"/>
      <c r="R393" s="166"/>
      <c r="S393" s="166"/>
      <c r="T393" s="166"/>
      <c r="U393" s="166"/>
      <c r="V393" s="166"/>
      <c r="W393" s="166"/>
      <c r="X393" s="166"/>
      <c r="Y393" s="166"/>
      <c r="Z393" s="166"/>
      <c r="AA393" s="166"/>
      <c r="AB393" s="166"/>
      <c r="AC393" s="166"/>
      <c r="AD393" s="166"/>
      <c r="AE393" s="166"/>
      <c r="AF393" s="166"/>
      <c r="AG393" s="166"/>
      <c r="AH393" s="166"/>
      <c r="AI393" s="166"/>
    </row>
    <row r="394" spans="1:35" x14ac:dyDescent="0.2">
      <c r="A394" s="167" t="s">
        <v>81</v>
      </c>
      <c r="B394" s="162">
        <v>12</v>
      </c>
      <c r="C394" s="162">
        <f t="shared" si="12"/>
        <v>2281.25</v>
      </c>
      <c r="D394" s="162" t="s">
        <v>162</v>
      </c>
      <c r="E394" s="168">
        <v>482993556633.93561</v>
      </c>
      <c r="F394" s="168">
        <v>482993556.63393563</v>
      </c>
      <c r="G394" s="168">
        <v>482993.55663393566</v>
      </c>
      <c r="H394" s="168">
        <v>482.99355663393567</v>
      </c>
      <c r="I394" s="164">
        <f>H394*$O$9/0.1*INDEX(Country_details!$N$9:N544,MATCH(Solar_data!A394,Country_details!$A$9:$A$154,0))</f>
        <v>1159.1845359214456</v>
      </c>
      <c r="J394" s="164">
        <f t="shared" si="13"/>
        <v>2281.25</v>
      </c>
      <c r="K394" s="164"/>
      <c r="L394" s="164"/>
      <c r="M394" s="164"/>
      <c r="N394" s="164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6"/>
      <c r="Z394" s="166"/>
      <c r="AA394" s="166"/>
      <c r="AB394" s="166"/>
      <c r="AC394" s="166"/>
      <c r="AD394" s="166"/>
      <c r="AE394" s="166"/>
      <c r="AF394" s="166"/>
      <c r="AG394" s="166"/>
      <c r="AH394" s="166"/>
      <c r="AI394" s="166"/>
    </row>
    <row r="395" spans="1:35" x14ac:dyDescent="0.2">
      <c r="A395" s="167" t="s">
        <v>81</v>
      </c>
      <c r="B395" s="162">
        <v>13</v>
      </c>
      <c r="C395" s="162">
        <f t="shared" si="12"/>
        <v>2463.75</v>
      </c>
      <c r="D395" s="162" t="s">
        <v>163</v>
      </c>
      <c r="E395" s="168">
        <v>205724450236.30981</v>
      </c>
      <c r="F395" s="168">
        <v>205724450.23630983</v>
      </c>
      <c r="G395" s="168">
        <v>205724.45023630984</v>
      </c>
      <c r="H395" s="168">
        <v>205.72445023630985</v>
      </c>
      <c r="I395" s="164">
        <f>H395*$O$9/0.1*INDEX(Country_details!$N$9:N545,MATCH(Solar_data!A395,Country_details!$A$9:$A$154,0))</f>
        <v>493.73868056714355</v>
      </c>
      <c r="J395" s="164">
        <f t="shared" si="13"/>
        <v>2463.75</v>
      </c>
      <c r="K395" s="164"/>
      <c r="L395" s="164"/>
      <c r="M395" s="164"/>
      <c r="N395" s="164"/>
      <c r="O395" s="166"/>
      <c r="P395" s="166"/>
      <c r="Q395" s="166"/>
      <c r="R395" s="166"/>
      <c r="S395" s="166"/>
      <c r="T395" s="166"/>
      <c r="U395" s="166"/>
      <c r="V395" s="166"/>
      <c r="W395" s="166"/>
      <c r="X395" s="166"/>
      <c r="Y395" s="166"/>
      <c r="Z395" s="166"/>
      <c r="AA395" s="166"/>
      <c r="AB395" s="166"/>
      <c r="AC395" s="166"/>
      <c r="AD395" s="166"/>
      <c r="AE395" s="166"/>
      <c r="AF395" s="166"/>
      <c r="AG395" s="166"/>
      <c r="AH395" s="166"/>
      <c r="AI395" s="166"/>
    </row>
    <row r="396" spans="1:35" x14ac:dyDescent="0.2">
      <c r="A396" s="167" t="s">
        <v>229</v>
      </c>
      <c r="B396" s="162">
        <v>13</v>
      </c>
      <c r="C396" s="162">
        <f t="shared" si="12"/>
        <v>2463.75</v>
      </c>
      <c r="D396" s="162" t="s">
        <v>163</v>
      </c>
      <c r="E396" s="168">
        <v>956020998.18599999</v>
      </c>
      <c r="F396" s="168">
        <v>956020.99818600004</v>
      </c>
      <c r="G396" s="168">
        <v>956.02099818600004</v>
      </c>
      <c r="H396" s="168">
        <v>0.95602099818600006</v>
      </c>
      <c r="I396" s="164" t="e">
        <f>H396*$O$9/0.1*INDEX(Country_details!$N$9:N546,MATCH(Solar_data!A396,Country_details!$A$9:$A$154,0))</f>
        <v>#N/A</v>
      </c>
      <c r="J396" s="164">
        <f t="shared" si="13"/>
        <v>2463.75</v>
      </c>
      <c r="K396" s="164"/>
      <c r="L396" s="164"/>
      <c r="M396" s="164"/>
      <c r="N396" s="164"/>
      <c r="O396" s="166"/>
      <c r="P396" s="166"/>
      <c r="Q396" s="166"/>
      <c r="R396" s="166"/>
      <c r="S396" s="166"/>
      <c r="T396" s="166"/>
      <c r="U396" s="166"/>
      <c r="V396" s="166"/>
      <c r="W396" s="166"/>
      <c r="X396" s="166"/>
      <c r="Y396" s="166"/>
      <c r="Z396" s="166"/>
      <c r="AA396" s="166"/>
      <c r="AB396" s="166"/>
      <c r="AC396" s="166"/>
      <c r="AD396" s="166"/>
      <c r="AE396" s="166"/>
      <c r="AF396" s="166"/>
      <c r="AG396" s="166"/>
      <c r="AH396" s="166"/>
      <c r="AI396" s="166"/>
    </row>
    <row r="397" spans="1:35" x14ac:dyDescent="0.2">
      <c r="A397" s="167" t="s">
        <v>82</v>
      </c>
      <c r="B397" s="162">
        <v>11</v>
      </c>
      <c r="C397" s="162">
        <f t="shared" si="12"/>
        <v>2098.75</v>
      </c>
      <c r="D397" s="162" t="s">
        <v>161</v>
      </c>
      <c r="E397" s="168">
        <v>7967571325.4189997</v>
      </c>
      <c r="F397" s="168">
        <v>7967571.3254189994</v>
      </c>
      <c r="G397" s="168">
        <v>7967.5713254189995</v>
      </c>
      <c r="H397" s="168">
        <v>7.9675713254189997</v>
      </c>
      <c r="I397" s="164">
        <f>H397*$O$9/0.1*INDEX(Country_details!$N$9:N547,MATCH(Solar_data!A397,Country_details!$A$9:$A$154,0))</f>
        <v>20.317306879818446</v>
      </c>
      <c r="J397" s="164">
        <f t="shared" si="13"/>
        <v>2098.75</v>
      </c>
      <c r="K397" s="164"/>
      <c r="L397" s="164"/>
      <c r="M397" s="164"/>
      <c r="N397" s="164"/>
      <c r="O397" s="166"/>
      <c r="P397" s="166"/>
      <c r="Q397" s="166"/>
      <c r="R397" s="166"/>
      <c r="S397" s="166"/>
      <c r="T397" s="166"/>
      <c r="U397" s="166"/>
      <c r="V397" s="166"/>
      <c r="W397" s="166"/>
      <c r="X397" s="166"/>
      <c r="Y397" s="166"/>
      <c r="Z397" s="166"/>
      <c r="AA397" s="166"/>
      <c r="AB397" s="166"/>
      <c r="AC397" s="166"/>
      <c r="AD397" s="166"/>
      <c r="AE397" s="166"/>
      <c r="AF397" s="166"/>
      <c r="AG397" s="166"/>
      <c r="AH397" s="166"/>
      <c r="AI397" s="166"/>
    </row>
    <row r="398" spans="1:35" x14ac:dyDescent="0.2">
      <c r="A398" s="167" t="s">
        <v>82</v>
      </c>
      <c r="B398" s="162">
        <v>12</v>
      </c>
      <c r="C398" s="162">
        <f t="shared" si="12"/>
        <v>2281.25</v>
      </c>
      <c r="D398" s="162" t="s">
        <v>162</v>
      </c>
      <c r="E398" s="168">
        <v>48333681941.5383</v>
      </c>
      <c r="F398" s="168">
        <v>48333681.941538304</v>
      </c>
      <c r="G398" s="168">
        <v>48333.681941538307</v>
      </c>
      <c r="H398" s="168">
        <v>48.333681941538309</v>
      </c>
      <c r="I398" s="164">
        <f>H398*$O$9/0.1*INDEX(Country_details!$N$9:N548,MATCH(Solar_data!A398,Country_details!$A$9:$A$154,0))</f>
        <v>123.25088895092267</v>
      </c>
      <c r="J398" s="164">
        <f t="shared" si="13"/>
        <v>2281.25</v>
      </c>
      <c r="K398" s="164"/>
      <c r="L398" s="164"/>
      <c r="M398" s="164"/>
      <c r="N398" s="164"/>
      <c r="O398" s="166"/>
      <c r="P398" s="166"/>
      <c r="Q398" s="166"/>
      <c r="R398" s="166"/>
      <c r="S398" s="166"/>
      <c r="T398" s="166"/>
      <c r="U398" s="166"/>
      <c r="V398" s="166"/>
      <c r="W398" s="166"/>
      <c r="X398" s="166"/>
      <c r="Y398" s="166"/>
      <c r="Z398" s="166"/>
      <c r="AA398" s="166"/>
      <c r="AB398" s="166"/>
      <c r="AC398" s="166"/>
      <c r="AD398" s="166"/>
      <c r="AE398" s="166"/>
      <c r="AF398" s="166"/>
      <c r="AG398" s="166"/>
      <c r="AH398" s="166"/>
      <c r="AI398" s="166"/>
    </row>
    <row r="399" spans="1:35" x14ac:dyDescent="0.2">
      <c r="A399" s="167" t="s">
        <v>230</v>
      </c>
      <c r="B399" s="162">
        <v>8</v>
      </c>
      <c r="C399" s="162">
        <f t="shared" si="12"/>
        <v>1551.25</v>
      </c>
      <c r="D399" s="162" t="s">
        <v>164</v>
      </c>
      <c r="E399" s="168">
        <v>54562592854.800003</v>
      </c>
      <c r="F399" s="168">
        <v>54562592.854800001</v>
      </c>
      <c r="G399" s="168">
        <v>54562.592854800001</v>
      </c>
      <c r="H399" s="168">
        <v>54.562592854800002</v>
      </c>
      <c r="I399" s="164">
        <f>H399*$O$9/0.1*INDEX(Country_details!$N$9:N549,MATCH(Solar_data!A399,Country_details!$A$9:$A$154,0))</f>
        <v>147.31900070795999</v>
      </c>
      <c r="J399" s="164">
        <f t="shared" si="13"/>
        <v>1551.25</v>
      </c>
      <c r="K399" s="164"/>
      <c r="L399" s="164"/>
      <c r="M399" s="164"/>
      <c r="N399" s="164"/>
      <c r="O399" s="166"/>
      <c r="P399" s="166"/>
      <c r="Q399" s="166"/>
      <c r="R399" s="166"/>
      <c r="S399" s="166"/>
      <c r="T399" s="166"/>
      <c r="U399" s="166"/>
      <c r="V399" s="166"/>
      <c r="W399" s="166"/>
      <c r="X399" s="166"/>
      <c r="Y399" s="166"/>
      <c r="Z399" s="166"/>
      <c r="AA399" s="166"/>
      <c r="AB399" s="166"/>
      <c r="AC399" s="166"/>
      <c r="AD399" s="166"/>
      <c r="AE399" s="166"/>
      <c r="AF399" s="166"/>
      <c r="AG399" s="166"/>
      <c r="AH399" s="166"/>
      <c r="AI399" s="166"/>
    </row>
    <row r="400" spans="1:35" x14ac:dyDescent="0.2">
      <c r="A400" s="167" t="s">
        <v>230</v>
      </c>
      <c r="B400" s="162">
        <v>9</v>
      </c>
      <c r="C400" s="162">
        <f t="shared" si="12"/>
        <v>1733.75</v>
      </c>
      <c r="D400" s="162" t="s">
        <v>157</v>
      </c>
      <c r="E400" s="168">
        <v>268427305310.83069</v>
      </c>
      <c r="F400" s="168">
        <v>268427305.31083068</v>
      </c>
      <c r="G400" s="168">
        <v>268427.30531083071</v>
      </c>
      <c r="H400" s="168">
        <v>268.42730531083072</v>
      </c>
      <c r="I400" s="164">
        <f>H400*$O$9/0.1*INDEX(Country_details!$N$9:N550,MATCH(Solar_data!A400,Country_details!$A$9:$A$154,0))</f>
        <v>724.75372433924292</v>
      </c>
      <c r="J400" s="164">
        <f t="shared" si="13"/>
        <v>1733.75</v>
      </c>
      <c r="K400" s="164"/>
      <c r="L400" s="164"/>
      <c r="M400" s="164"/>
      <c r="N400" s="164"/>
      <c r="O400" s="166"/>
      <c r="P400" s="166"/>
      <c r="Q400" s="166"/>
      <c r="R400" s="166"/>
      <c r="S400" s="166"/>
      <c r="T400" s="166"/>
      <c r="U400" s="166"/>
      <c r="V400" s="166"/>
      <c r="W400" s="166"/>
      <c r="X400" s="166"/>
      <c r="Y400" s="166"/>
      <c r="Z400" s="166"/>
      <c r="AA400" s="166"/>
      <c r="AB400" s="166"/>
      <c r="AC400" s="166"/>
      <c r="AD400" s="166"/>
      <c r="AE400" s="166"/>
      <c r="AF400" s="166"/>
      <c r="AG400" s="166"/>
      <c r="AH400" s="166"/>
      <c r="AI400" s="166"/>
    </row>
    <row r="401" spans="1:35" x14ac:dyDescent="0.2">
      <c r="A401" s="167" t="s">
        <v>230</v>
      </c>
      <c r="B401" s="162">
        <v>10</v>
      </c>
      <c r="C401" s="162">
        <f t="shared" si="12"/>
        <v>1916.25</v>
      </c>
      <c r="D401" s="162" t="s">
        <v>159</v>
      </c>
      <c r="E401" s="168">
        <v>210920741700.36981</v>
      </c>
      <c r="F401" s="168">
        <v>210920741.70036981</v>
      </c>
      <c r="G401" s="168">
        <v>210920.74170036981</v>
      </c>
      <c r="H401" s="168">
        <v>210.9207417003698</v>
      </c>
      <c r="I401" s="164">
        <f>H401*$O$9/0.1*INDEX(Country_details!$N$9:N551,MATCH(Solar_data!A401,Country_details!$A$9:$A$154,0))</f>
        <v>569.48600259099851</v>
      </c>
      <c r="J401" s="164">
        <f t="shared" si="13"/>
        <v>1916.25</v>
      </c>
      <c r="K401" s="164"/>
      <c r="L401" s="164"/>
      <c r="M401" s="164"/>
      <c r="N401" s="164"/>
      <c r="O401" s="166"/>
      <c r="P401" s="166"/>
      <c r="Q401" s="166"/>
      <c r="R401" s="166"/>
      <c r="S401" s="166"/>
      <c r="T401" s="166"/>
      <c r="U401" s="166"/>
      <c r="V401" s="166"/>
      <c r="W401" s="166"/>
      <c r="X401" s="166"/>
      <c r="Y401" s="166"/>
      <c r="Z401" s="166"/>
      <c r="AA401" s="166"/>
      <c r="AB401" s="166"/>
      <c r="AC401" s="166"/>
      <c r="AD401" s="166"/>
      <c r="AE401" s="166"/>
      <c r="AF401" s="166"/>
      <c r="AG401" s="166"/>
      <c r="AH401" s="166"/>
      <c r="AI401" s="166"/>
    </row>
    <row r="402" spans="1:35" x14ac:dyDescent="0.2">
      <c r="A402" s="167" t="s">
        <v>230</v>
      </c>
      <c r="B402" s="162">
        <v>11</v>
      </c>
      <c r="C402" s="162">
        <f t="shared" si="12"/>
        <v>2098.75</v>
      </c>
      <c r="D402" s="162" t="s">
        <v>161</v>
      </c>
      <c r="E402" s="168">
        <v>3374780849.8119001</v>
      </c>
      <c r="F402" s="168">
        <v>3374780.8498119004</v>
      </c>
      <c r="G402" s="168">
        <v>3374.7808498119007</v>
      </c>
      <c r="H402" s="168">
        <v>3.3747808498119007</v>
      </c>
      <c r="I402" s="164">
        <f>H402*$O$9/0.1*INDEX(Country_details!$N$9:N552,MATCH(Solar_data!A402,Country_details!$A$9:$A$154,0))</f>
        <v>9.1119082944921317</v>
      </c>
      <c r="J402" s="164">
        <f t="shared" si="13"/>
        <v>2098.75</v>
      </c>
      <c r="K402" s="164"/>
      <c r="L402" s="164"/>
      <c r="M402" s="164"/>
      <c r="N402" s="164"/>
      <c r="O402" s="166"/>
      <c r="P402" s="166"/>
      <c r="Q402" s="166"/>
      <c r="R402" s="166"/>
      <c r="S402" s="166"/>
      <c r="T402" s="166"/>
      <c r="U402" s="166"/>
      <c r="V402" s="166"/>
      <c r="W402" s="166"/>
      <c r="X402" s="166"/>
      <c r="Y402" s="166"/>
      <c r="Z402" s="166"/>
      <c r="AA402" s="166"/>
      <c r="AB402" s="166"/>
      <c r="AC402" s="166"/>
      <c r="AD402" s="166"/>
      <c r="AE402" s="166"/>
      <c r="AF402" s="166"/>
      <c r="AG402" s="166"/>
      <c r="AH402" s="166"/>
      <c r="AI402" s="166"/>
    </row>
    <row r="403" spans="1:35" x14ac:dyDescent="0.2">
      <c r="A403" s="167" t="s">
        <v>231</v>
      </c>
      <c r="B403" s="162">
        <v>8</v>
      </c>
      <c r="C403" s="162">
        <f t="shared" si="12"/>
        <v>1551.25</v>
      </c>
      <c r="D403" s="162" t="s">
        <v>164</v>
      </c>
      <c r="E403" s="168">
        <v>308632875.49330002</v>
      </c>
      <c r="F403" s="168">
        <v>308632.87549330003</v>
      </c>
      <c r="G403" s="168">
        <v>308.63287549330005</v>
      </c>
      <c r="H403" s="168">
        <v>0.30863287549330004</v>
      </c>
      <c r="I403" s="164">
        <f>H403*$O$9/0.1*INDEX(Country_details!$N$9:N553,MATCH(Solar_data!A403,Country_details!$A$9:$A$154,0))</f>
        <v>0.83330876383190999</v>
      </c>
      <c r="J403" s="164">
        <f t="shared" si="13"/>
        <v>1551.25</v>
      </c>
      <c r="K403" s="164"/>
      <c r="L403" s="164"/>
      <c r="M403" s="164"/>
      <c r="N403" s="164"/>
      <c r="O403" s="166"/>
      <c r="P403" s="166"/>
      <c r="Q403" s="166"/>
      <c r="R403" s="166"/>
      <c r="S403" s="166"/>
      <c r="T403" s="166"/>
      <c r="U403" s="166"/>
      <c r="V403" s="166"/>
      <c r="W403" s="166"/>
      <c r="X403" s="166"/>
      <c r="Y403" s="166"/>
      <c r="Z403" s="166"/>
      <c r="AA403" s="166"/>
      <c r="AB403" s="166"/>
      <c r="AC403" s="166"/>
      <c r="AD403" s="166"/>
      <c r="AE403" s="166"/>
      <c r="AF403" s="166"/>
      <c r="AG403" s="166"/>
      <c r="AH403" s="166"/>
      <c r="AI403" s="166"/>
    </row>
    <row r="404" spans="1:35" x14ac:dyDescent="0.2">
      <c r="A404" s="167" t="s">
        <v>231</v>
      </c>
      <c r="B404" s="162">
        <v>9</v>
      </c>
      <c r="C404" s="162">
        <f t="shared" si="12"/>
        <v>1733.75</v>
      </c>
      <c r="D404" s="162" t="s">
        <v>157</v>
      </c>
      <c r="E404" s="168">
        <v>109048765849.61749</v>
      </c>
      <c r="F404" s="168">
        <v>109048765.8496175</v>
      </c>
      <c r="G404" s="168">
        <v>109048.7658496175</v>
      </c>
      <c r="H404" s="168">
        <v>109.0487658496175</v>
      </c>
      <c r="I404" s="164">
        <f>H404*$O$9/0.1*INDEX(Country_details!$N$9:N554,MATCH(Solar_data!A404,Country_details!$A$9:$A$154,0))</f>
        <v>294.43166779396722</v>
      </c>
      <c r="J404" s="164">
        <f t="shared" si="13"/>
        <v>1733.75</v>
      </c>
      <c r="K404" s="164"/>
      <c r="L404" s="164"/>
      <c r="M404" s="164"/>
      <c r="N404" s="164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6"/>
      <c r="Z404" s="166"/>
      <c r="AA404" s="166"/>
      <c r="AB404" s="166"/>
      <c r="AC404" s="166"/>
      <c r="AD404" s="166"/>
      <c r="AE404" s="166"/>
      <c r="AF404" s="166"/>
      <c r="AG404" s="166"/>
      <c r="AH404" s="166"/>
      <c r="AI404" s="166"/>
    </row>
    <row r="405" spans="1:35" x14ac:dyDescent="0.2">
      <c r="A405" s="167" t="s">
        <v>231</v>
      </c>
      <c r="B405" s="162">
        <v>10</v>
      </c>
      <c r="C405" s="162">
        <f t="shared" si="12"/>
        <v>1916.25</v>
      </c>
      <c r="D405" s="162" t="s">
        <v>159</v>
      </c>
      <c r="E405" s="168">
        <v>386788069133.43909</v>
      </c>
      <c r="F405" s="168">
        <v>386788069.13343912</v>
      </c>
      <c r="G405" s="168">
        <v>386788.06913343916</v>
      </c>
      <c r="H405" s="168">
        <v>386.78806913343919</v>
      </c>
      <c r="I405" s="164">
        <f>H405*$O$9/0.1*INDEX(Country_details!$N$9:N555,MATCH(Solar_data!A405,Country_details!$A$9:$A$154,0))</f>
        <v>1044.3277866602859</v>
      </c>
      <c r="J405" s="164">
        <f t="shared" si="13"/>
        <v>1916.25</v>
      </c>
      <c r="K405" s="164"/>
      <c r="L405" s="164"/>
      <c r="M405" s="164"/>
      <c r="N405" s="164"/>
      <c r="O405" s="166"/>
      <c r="P405" s="166"/>
      <c r="Q405" s="166"/>
      <c r="R405" s="166"/>
      <c r="S405" s="166"/>
      <c r="T405" s="166"/>
      <c r="U405" s="166"/>
      <c r="V405" s="166"/>
      <c r="W405" s="166"/>
      <c r="X405" s="166"/>
      <c r="Y405" s="166"/>
      <c r="Z405" s="166"/>
      <c r="AA405" s="166"/>
      <c r="AB405" s="166"/>
      <c r="AC405" s="166"/>
      <c r="AD405" s="166"/>
      <c r="AE405" s="166"/>
      <c r="AF405" s="166"/>
      <c r="AG405" s="166"/>
      <c r="AH405" s="166"/>
      <c r="AI405" s="166"/>
    </row>
    <row r="406" spans="1:35" x14ac:dyDescent="0.2">
      <c r="A406" s="167" t="s">
        <v>231</v>
      </c>
      <c r="B406" s="162">
        <v>11</v>
      </c>
      <c r="C406" s="162">
        <f t="shared" si="12"/>
        <v>2098.75</v>
      </c>
      <c r="D406" s="162" t="s">
        <v>161</v>
      </c>
      <c r="E406" s="168">
        <v>172938522222.63351</v>
      </c>
      <c r="F406" s="168">
        <v>172938522.22263351</v>
      </c>
      <c r="G406" s="168">
        <v>172938.5222226335</v>
      </c>
      <c r="H406" s="168">
        <v>172.93852222263351</v>
      </c>
      <c r="I406" s="164">
        <f>H406*$O$9/0.1*INDEX(Country_details!$N$9:N556,MATCH(Solar_data!A406,Country_details!$A$9:$A$154,0))</f>
        <v>466.93401000111044</v>
      </c>
      <c r="J406" s="164">
        <f t="shared" si="13"/>
        <v>2098.75</v>
      </c>
      <c r="K406" s="164"/>
      <c r="L406" s="164"/>
      <c r="M406" s="164"/>
      <c r="N406" s="164"/>
      <c r="O406" s="166"/>
      <c r="P406" s="166"/>
      <c r="Q406" s="166"/>
      <c r="R406" s="166"/>
      <c r="S406" s="166"/>
      <c r="T406" s="166"/>
      <c r="U406" s="166"/>
      <c r="V406" s="166"/>
      <c r="W406" s="166"/>
      <c r="X406" s="166"/>
      <c r="Y406" s="166"/>
      <c r="Z406" s="166"/>
      <c r="AA406" s="166"/>
      <c r="AB406" s="166"/>
      <c r="AC406" s="166"/>
      <c r="AD406" s="166"/>
      <c r="AE406" s="166"/>
      <c r="AF406" s="166"/>
      <c r="AG406" s="166"/>
      <c r="AH406" s="166"/>
      <c r="AI406" s="166"/>
    </row>
    <row r="407" spans="1:35" x14ac:dyDescent="0.2">
      <c r="A407" s="167" t="s">
        <v>232</v>
      </c>
      <c r="B407" s="162">
        <v>6</v>
      </c>
      <c r="C407" s="162">
        <f t="shared" si="12"/>
        <v>1186.25</v>
      </c>
      <c r="D407" s="162" t="s">
        <v>173</v>
      </c>
      <c r="E407" s="168">
        <v>115235200468.4279</v>
      </c>
      <c r="F407" s="168">
        <v>115235200.46842791</v>
      </c>
      <c r="G407" s="168">
        <v>115235.20046842791</v>
      </c>
      <c r="H407" s="168">
        <v>115.23520046842791</v>
      </c>
      <c r="I407" s="164" t="e">
        <f>H407*$O$9/0.1*INDEX(Country_details!$N$9:N557,MATCH(Solar_data!A407,Country_details!$A$9:$A$154,0))</f>
        <v>#N/A</v>
      </c>
      <c r="J407" s="164">
        <f t="shared" si="13"/>
        <v>1186.25</v>
      </c>
      <c r="K407" s="164"/>
      <c r="L407" s="164"/>
      <c r="M407" s="164"/>
      <c r="N407" s="164"/>
      <c r="O407" s="166"/>
      <c r="P407" s="166"/>
      <c r="Q407" s="166"/>
      <c r="R407" s="166"/>
      <c r="S407" s="166"/>
      <c r="T407" s="166"/>
      <c r="U407" s="166"/>
      <c r="V407" s="166"/>
      <c r="W407" s="166"/>
      <c r="X407" s="166"/>
      <c r="Y407" s="166"/>
      <c r="Z407" s="166"/>
      <c r="AA407" s="166"/>
      <c r="AB407" s="166"/>
      <c r="AC407" s="166"/>
      <c r="AD407" s="166"/>
      <c r="AE407" s="166"/>
      <c r="AF407" s="166"/>
      <c r="AG407" s="166"/>
      <c r="AH407" s="166"/>
      <c r="AI407" s="166"/>
    </row>
    <row r="408" spans="1:35" x14ac:dyDescent="0.2">
      <c r="A408" s="167" t="s">
        <v>83</v>
      </c>
      <c r="B408" s="162">
        <v>9</v>
      </c>
      <c r="C408" s="162">
        <f t="shared" si="12"/>
        <v>1733.75</v>
      </c>
      <c r="D408" s="162" t="s">
        <v>157</v>
      </c>
      <c r="E408" s="168">
        <v>191775341.04899999</v>
      </c>
      <c r="F408" s="168">
        <v>191775.34104900001</v>
      </c>
      <c r="G408" s="168">
        <v>191.77534104900002</v>
      </c>
      <c r="H408" s="168">
        <v>0.19177534104900001</v>
      </c>
      <c r="I408" s="164">
        <f>H408*$O$9/0.1*INDEX(Country_details!$N$9:N558,MATCH(Solar_data!A408,Country_details!$A$9:$A$154,0))</f>
        <v>0.51779342083229996</v>
      </c>
      <c r="J408" s="164">
        <f t="shared" si="13"/>
        <v>1733.75</v>
      </c>
      <c r="K408" s="164"/>
      <c r="L408" s="164"/>
      <c r="M408" s="164"/>
      <c r="N408" s="164"/>
      <c r="O408" s="166"/>
      <c r="P408" s="166"/>
      <c r="Q408" s="166"/>
      <c r="R408" s="166"/>
      <c r="S408" s="166"/>
      <c r="T408" s="166"/>
      <c r="U408" s="166"/>
      <c r="V408" s="166"/>
      <c r="W408" s="166"/>
      <c r="X408" s="166"/>
      <c r="Y408" s="166"/>
      <c r="Z408" s="166"/>
      <c r="AA408" s="166"/>
      <c r="AB408" s="166"/>
      <c r="AC408" s="166"/>
      <c r="AD408" s="166"/>
      <c r="AE408" s="166"/>
      <c r="AF408" s="166"/>
      <c r="AG408" s="166"/>
      <c r="AH408" s="166"/>
      <c r="AI408" s="166"/>
    </row>
    <row r="409" spans="1:35" x14ac:dyDescent="0.2">
      <c r="A409" s="167" t="s">
        <v>83</v>
      </c>
      <c r="B409" s="162">
        <v>10</v>
      </c>
      <c r="C409" s="162">
        <f t="shared" si="12"/>
        <v>1916.25</v>
      </c>
      <c r="D409" s="162" t="s">
        <v>159</v>
      </c>
      <c r="E409" s="168">
        <v>28196592173.725498</v>
      </c>
      <c r="F409" s="168">
        <v>28196592.173725497</v>
      </c>
      <c r="G409" s="168">
        <v>28196.592173725498</v>
      </c>
      <c r="H409" s="168">
        <v>28.196592173725499</v>
      </c>
      <c r="I409" s="164">
        <f>H409*$O$9/0.1*INDEX(Country_details!$N$9:N559,MATCH(Solar_data!A409,Country_details!$A$9:$A$154,0))</f>
        <v>76.130798869058836</v>
      </c>
      <c r="J409" s="164">
        <f t="shared" si="13"/>
        <v>1916.25</v>
      </c>
      <c r="K409" s="164"/>
      <c r="L409" s="164"/>
      <c r="M409" s="164"/>
      <c r="N409" s="164"/>
      <c r="O409" s="166"/>
      <c r="P409" s="166"/>
      <c r="Q409" s="166"/>
      <c r="R409" s="166"/>
      <c r="S409" s="166"/>
      <c r="T409" s="166"/>
      <c r="U409" s="166"/>
      <c r="V409" s="166"/>
      <c r="W409" s="166"/>
      <c r="X409" s="166"/>
      <c r="Y409" s="166"/>
      <c r="Z409" s="166"/>
      <c r="AA409" s="166"/>
      <c r="AB409" s="166"/>
      <c r="AC409" s="166"/>
      <c r="AD409" s="166"/>
      <c r="AE409" s="166"/>
      <c r="AF409" s="166"/>
      <c r="AG409" s="166"/>
      <c r="AH409" s="166"/>
      <c r="AI409" s="166"/>
    </row>
    <row r="410" spans="1:35" x14ac:dyDescent="0.2">
      <c r="A410" s="167" t="s">
        <v>83</v>
      </c>
      <c r="B410" s="162">
        <v>11</v>
      </c>
      <c r="C410" s="162">
        <f t="shared" si="12"/>
        <v>2098.75</v>
      </c>
      <c r="D410" s="162" t="s">
        <v>161</v>
      </c>
      <c r="E410" s="168">
        <v>3220374789.9530001</v>
      </c>
      <c r="F410" s="168">
        <v>3220374.7899529999</v>
      </c>
      <c r="G410" s="168">
        <v>3220.3747899529999</v>
      </c>
      <c r="H410" s="168">
        <v>3.220374789953</v>
      </c>
      <c r="I410" s="164">
        <f>H410*$O$9/0.1*INDEX(Country_details!$N$9:N560,MATCH(Solar_data!A410,Country_details!$A$9:$A$154,0))</f>
        <v>8.6950119328731006</v>
      </c>
      <c r="J410" s="164">
        <f t="shared" si="13"/>
        <v>2098.75</v>
      </c>
      <c r="K410" s="164"/>
      <c r="L410" s="164"/>
      <c r="M410" s="164"/>
      <c r="N410" s="164"/>
      <c r="O410" s="166"/>
      <c r="P410" s="166"/>
      <c r="Q410" s="166"/>
      <c r="R410" s="166"/>
      <c r="S410" s="166"/>
      <c r="T410" s="166"/>
      <c r="U410" s="166"/>
      <c r="V410" s="166"/>
      <c r="W410" s="166"/>
      <c r="X410" s="166"/>
      <c r="Y410" s="166"/>
      <c r="Z410" s="166"/>
      <c r="AA410" s="166"/>
      <c r="AB410" s="166"/>
      <c r="AC410" s="166"/>
      <c r="AD410" s="166"/>
      <c r="AE410" s="166"/>
      <c r="AF410" s="166"/>
      <c r="AG410" s="166"/>
      <c r="AH410" s="166"/>
      <c r="AI410" s="166"/>
    </row>
    <row r="411" spans="1:35" x14ac:dyDescent="0.2">
      <c r="A411" s="167" t="s">
        <v>233</v>
      </c>
      <c r="B411" s="162">
        <v>11</v>
      </c>
      <c r="C411" s="162">
        <f t="shared" si="12"/>
        <v>2098.75</v>
      </c>
      <c r="D411" s="162" t="s">
        <v>161</v>
      </c>
      <c r="E411" s="168">
        <v>9743536317.5200005</v>
      </c>
      <c r="F411" s="168">
        <v>9743536.31752</v>
      </c>
      <c r="G411" s="168">
        <v>9743.53631752</v>
      </c>
      <c r="H411" s="168">
        <v>9.7435363175200003</v>
      </c>
      <c r="I411" s="164" t="e">
        <f>H411*$O$9/0.1*INDEX(Country_details!$N$9:N561,MATCH(Solar_data!A411,Country_details!$A$9:$A$154,0))</f>
        <v>#N/A</v>
      </c>
      <c r="J411" s="164">
        <f t="shared" si="13"/>
        <v>2098.75</v>
      </c>
      <c r="K411" s="164"/>
      <c r="L411" s="164"/>
      <c r="M411" s="164"/>
      <c r="N411" s="164"/>
      <c r="O411" s="166"/>
      <c r="P411" s="166"/>
      <c r="Q411" s="166"/>
      <c r="R411" s="166"/>
      <c r="S411" s="166"/>
      <c r="T411" s="166"/>
      <c r="U411" s="166"/>
      <c r="V411" s="166"/>
      <c r="W411" s="166"/>
      <c r="X411" s="166"/>
      <c r="Y411" s="166"/>
      <c r="Z411" s="166"/>
      <c r="AA411" s="166"/>
      <c r="AB411" s="166"/>
      <c r="AC411" s="166"/>
      <c r="AD411" s="166"/>
      <c r="AE411" s="166"/>
      <c r="AF411" s="166"/>
      <c r="AG411" s="166"/>
      <c r="AH411" s="166"/>
      <c r="AI411" s="166"/>
    </row>
    <row r="412" spans="1:35" x14ac:dyDescent="0.2">
      <c r="A412" s="167" t="s">
        <v>233</v>
      </c>
      <c r="B412" s="162">
        <v>12</v>
      </c>
      <c r="C412" s="162">
        <f t="shared" si="12"/>
        <v>2281.25</v>
      </c>
      <c r="D412" s="162" t="s">
        <v>162</v>
      </c>
      <c r="E412" s="168">
        <v>94854397059.941696</v>
      </c>
      <c r="F412" s="168">
        <v>94854397.059941694</v>
      </c>
      <c r="G412" s="168">
        <v>94854.397059941693</v>
      </c>
      <c r="H412" s="168">
        <v>94.854397059941689</v>
      </c>
      <c r="I412" s="164" t="e">
        <f>H412*$O$9/0.1*INDEX(Country_details!$N$9:N562,MATCH(Solar_data!A412,Country_details!$A$9:$A$154,0))</f>
        <v>#N/A</v>
      </c>
      <c r="J412" s="164">
        <f t="shared" si="13"/>
        <v>2281.25</v>
      </c>
      <c r="K412" s="164"/>
      <c r="L412" s="164"/>
      <c r="M412" s="164"/>
      <c r="N412" s="164"/>
      <c r="O412" s="166"/>
      <c r="P412" s="166"/>
      <c r="Q412" s="166"/>
      <c r="R412" s="166"/>
      <c r="S412" s="166"/>
      <c r="T412" s="166"/>
      <c r="U412" s="166"/>
      <c r="V412" s="166"/>
      <c r="W412" s="166"/>
      <c r="X412" s="166"/>
      <c r="Y412" s="166"/>
      <c r="Z412" s="166"/>
      <c r="AA412" s="166"/>
      <c r="AB412" s="166"/>
      <c r="AC412" s="166"/>
      <c r="AD412" s="166"/>
      <c r="AE412" s="166"/>
      <c r="AF412" s="166"/>
      <c r="AG412" s="166"/>
      <c r="AH412" s="166"/>
      <c r="AI412" s="166"/>
    </row>
    <row r="413" spans="1:35" x14ac:dyDescent="0.2">
      <c r="A413" s="167" t="s">
        <v>84</v>
      </c>
      <c r="B413" s="162">
        <v>8</v>
      </c>
      <c r="C413" s="162">
        <f t="shared" si="12"/>
        <v>1551.25</v>
      </c>
      <c r="D413" s="162" t="s">
        <v>164</v>
      </c>
      <c r="E413" s="168">
        <v>8534740759.9747</v>
      </c>
      <c r="F413" s="168">
        <v>8534740.7599746995</v>
      </c>
      <c r="G413" s="168">
        <v>8534.7407599747003</v>
      </c>
      <c r="H413" s="168">
        <v>8.5347407599747012</v>
      </c>
      <c r="I413" s="164">
        <f>H413*$O$9/0.1*INDEX(Country_details!$N$9:N563,MATCH(Solar_data!A413,Country_details!$A$9:$A$154,0))</f>
        <v>23.043800051931694</v>
      </c>
      <c r="J413" s="164">
        <f t="shared" si="13"/>
        <v>1551.25</v>
      </c>
      <c r="K413" s="164"/>
      <c r="L413" s="164"/>
      <c r="M413" s="164"/>
      <c r="N413" s="164"/>
      <c r="O413" s="166"/>
      <c r="P413" s="166"/>
      <c r="Q413" s="166"/>
      <c r="R413" s="166"/>
      <c r="S413" s="166"/>
      <c r="T413" s="166"/>
      <c r="U413" s="166"/>
      <c r="V413" s="166"/>
      <c r="W413" s="166"/>
      <c r="X413" s="166"/>
      <c r="Y413" s="166"/>
      <c r="Z413" s="166"/>
      <c r="AA413" s="166"/>
      <c r="AB413" s="166"/>
      <c r="AC413" s="166"/>
      <c r="AD413" s="166"/>
      <c r="AE413" s="166"/>
      <c r="AF413" s="166"/>
      <c r="AG413" s="166"/>
      <c r="AH413" s="166"/>
      <c r="AI413" s="166"/>
    </row>
    <row r="414" spans="1:35" x14ac:dyDescent="0.2">
      <c r="A414" s="167" t="s">
        <v>84</v>
      </c>
      <c r="B414" s="162">
        <v>9</v>
      </c>
      <c r="C414" s="162">
        <f t="shared" si="12"/>
        <v>1733.75</v>
      </c>
      <c r="D414" s="162" t="s">
        <v>157</v>
      </c>
      <c r="E414" s="168">
        <v>225180312925.70129</v>
      </c>
      <c r="F414" s="168">
        <v>225180312.92570129</v>
      </c>
      <c r="G414" s="168">
        <v>225180.31292570129</v>
      </c>
      <c r="H414" s="168">
        <v>225.18031292570129</v>
      </c>
      <c r="I414" s="164">
        <f>H414*$O$9/0.1*INDEX(Country_details!$N$9:N564,MATCH(Solar_data!A414,Country_details!$A$9:$A$154,0))</f>
        <v>607.98684489939353</v>
      </c>
      <c r="J414" s="164">
        <f t="shared" si="13"/>
        <v>1733.75</v>
      </c>
      <c r="K414" s="164"/>
      <c r="L414" s="164"/>
      <c r="M414" s="164"/>
      <c r="N414" s="164"/>
      <c r="O414" s="166"/>
      <c r="P414" s="166"/>
      <c r="Q414" s="166"/>
      <c r="R414" s="166"/>
      <c r="S414" s="166"/>
      <c r="T414" s="166"/>
      <c r="U414" s="166"/>
      <c r="V414" s="166"/>
      <c r="W414" s="166"/>
      <c r="X414" s="166"/>
      <c r="Y414" s="166"/>
      <c r="Z414" s="166"/>
      <c r="AA414" s="166"/>
      <c r="AB414" s="166"/>
      <c r="AC414" s="166"/>
      <c r="AD414" s="166"/>
      <c r="AE414" s="166"/>
      <c r="AF414" s="166"/>
      <c r="AG414" s="166"/>
      <c r="AH414" s="166"/>
      <c r="AI414" s="166"/>
    </row>
    <row r="415" spans="1:35" x14ac:dyDescent="0.2">
      <c r="A415" s="167" t="s">
        <v>84</v>
      </c>
      <c r="B415" s="162">
        <v>10</v>
      </c>
      <c r="C415" s="162">
        <f t="shared" si="12"/>
        <v>1916.25</v>
      </c>
      <c r="D415" s="162" t="s">
        <v>159</v>
      </c>
      <c r="E415" s="168">
        <v>12732040921.972</v>
      </c>
      <c r="F415" s="168">
        <v>12732040.921972001</v>
      </c>
      <c r="G415" s="168">
        <v>12732.040921972</v>
      </c>
      <c r="H415" s="168">
        <v>12.732040921972001</v>
      </c>
      <c r="I415" s="164">
        <f>H415*$O$9/0.1*INDEX(Country_details!$N$9:N565,MATCH(Solar_data!A415,Country_details!$A$9:$A$154,0))</f>
        <v>34.376510489324403</v>
      </c>
      <c r="J415" s="164">
        <f t="shared" si="13"/>
        <v>1916.25</v>
      </c>
      <c r="K415" s="164"/>
      <c r="L415" s="164"/>
      <c r="M415" s="164"/>
      <c r="N415" s="164"/>
      <c r="O415" s="166"/>
      <c r="P415" s="166"/>
      <c r="Q415" s="166"/>
      <c r="R415" s="166"/>
      <c r="S415" s="166"/>
      <c r="T415" s="166"/>
      <c r="U415" s="166"/>
      <c r="V415" s="166"/>
      <c r="W415" s="166"/>
      <c r="X415" s="166"/>
      <c r="Y415" s="166"/>
      <c r="Z415" s="166"/>
      <c r="AA415" s="166"/>
      <c r="AB415" s="166"/>
      <c r="AC415" s="166"/>
      <c r="AD415" s="166"/>
      <c r="AE415" s="166"/>
      <c r="AF415" s="166"/>
      <c r="AG415" s="166"/>
      <c r="AH415" s="166"/>
      <c r="AI415" s="166"/>
    </row>
    <row r="416" spans="1:35" x14ac:dyDescent="0.2">
      <c r="A416" s="167" t="s">
        <v>85</v>
      </c>
      <c r="B416" s="162">
        <v>10</v>
      </c>
      <c r="C416" s="162">
        <f t="shared" si="12"/>
        <v>1916.25</v>
      </c>
      <c r="D416" s="162" t="s">
        <v>159</v>
      </c>
      <c r="E416" s="168">
        <v>43267705348.830498</v>
      </c>
      <c r="F416" s="168">
        <v>43267705.348830499</v>
      </c>
      <c r="G416" s="168">
        <v>43267.705348830503</v>
      </c>
      <c r="H416" s="168">
        <v>43.267705348830503</v>
      </c>
      <c r="I416" s="164">
        <f>H416*$O$9/0.1*INDEX(Country_details!$N$9:N566,MATCH(Solar_data!A416,Country_details!$A$9:$A$154,0))</f>
        <v>97.35233703486864</v>
      </c>
      <c r="J416" s="164">
        <f t="shared" si="13"/>
        <v>1916.25</v>
      </c>
      <c r="K416" s="164"/>
      <c r="L416" s="164"/>
      <c r="M416" s="164"/>
      <c r="N416" s="164"/>
      <c r="O416" s="166"/>
      <c r="P416" s="166"/>
      <c r="Q416" s="166"/>
      <c r="R416" s="166"/>
      <c r="S416" s="166"/>
      <c r="T416" s="166"/>
      <c r="U416" s="166"/>
      <c r="V416" s="166"/>
      <c r="W416" s="166"/>
      <c r="X416" s="166"/>
      <c r="Y416" s="166"/>
      <c r="Z416" s="166"/>
      <c r="AA416" s="166"/>
      <c r="AB416" s="166"/>
      <c r="AC416" s="166"/>
      <c r="AD416" s="166"/>
      <c r="AE416" s="166"/>
      <c r="AF416" s="166"/>
      <c r="AG416" s="166"/>
      <c r="AH416" s="166"/>
      <c r="AI416" s="166"/>
    </row>
    <row r="417" spans="1:35" x14ac:dyDescent="0.2">
      <c r="A417" s="167" t="s">
        <v>85</v>
      </c>
      <c r="B417" s="162">
        <v>11</v>
      </c>
      <c r="C417" s="162">
        <f t="shared" si="12"/>
        <v>2098.75</v>
      </c>
      <c r="D417" s="162" t="s">
        <v>161</v>
      </c>
      <c r="E417" s="168">
        <v>157073350305.83661</v>
      </c>
      <c r="F417" s="168">
        <v>157073350.30583662</v>
      </c>
      <c r="G417" s="168">
        <v>157073.35030583662</v>
      </c>
      <c r="H417" s="168">
        <v>157.07335030583661</v>
      </c>
      <c r="I417" s="164">
        <f>H417*$O$9/0.1*INDEX(Country_details!$N$9:N567,MATCH(Solar_data!A417,Country_details!$A$9:$A$154,0))</f>
        <v>353.41503818813237</v>
      </c>
      <c r="J417" s="164">
        <f t="shared" si="13"/>
        <v>2098.75</v>
      </c>
      <c r="K417" s="164"/>
      <c r="L417" s="164"/>
      <c r="M417" s="164"/>
      <c r="N417" s="164"/>
      <c r="O417" s="166"/>
      <c r="P417" s="166"/>
      <c r="Q417" s="166"/>
      <c r="R417" s="166"/>
      <c r="S417" s="166"/>
      <c r="T417" s="166"/>
      <c r="U417" s="166"/>
      <c r="V417" s="166"/>
      <c r="W417" s="166"/>
      <c r="X417" s="166"/>
      <c r="Y417" s="166"/>
      <c r="Z417" s="166"/>
      <c r="AA417" s="166"/>
      <c r="AB417" s="166"/>
      <c r="AC417" s="166"/>
      <c r="AD417" s="166"/>
      <c r="AE417" s="166"/>
      <c r="AF417" s="166"/>
      <c r="AG417" s="166"/>
      <c r="AH417" s="166"/>
      <c r="AI417" s="166"/>
    </row>
    <row r="418" spans="1:35" x14ac:dyDescent="0.2">
      <c r="A418" s="167" t="s">
        <v>85</v>
      </c>
      <c r="B418" s="162">
        <v>12</v>
      </c>
      <c r="C418" s="162">
        <f t="shared" si="12"/>
        <v>2281.25</v>
      </c>
      <c r="D418" s="162" t="s">
        <v>162</v>
      </c>
      <c r="E418" s="168">
        <v>609239332384.43823</v>
      </c>
      <c r="F418" s="168">
        <v>609239332.38443828</v>
      </c>
      <c r="G418" s="168">
        <v>609239.33238443825</v>
      </c>
      <c r="H418" s="168">
        <v>609.23933238443828</v>
      </c>
      <c r="I418" s="164">
        <f>H418*$O$9/0.1*INDEX(Country_details!$N$9:N568,MATCH(Solar_data!A418,Country_details!$A$9:$A$154,0))</f>
        <v>1370.7884978649859</v>
      </c>
      <c r="J418" s="164">
        <f t="shared" si="13"/>
        <v>2281.25</v>
      </c>
      <c r="K418" s="164"/>
      <c r="L418" s="164"/>
      <c r="M418" s="164"/>
      <c r="N418" s="164"/>
      <c r="O418" s="166"/>
      <c r="P418" s="166"/>
      <c r="Q418" s="166"/>
      <c r="R418" s="166"/>
      <c r="S418" s="166"/>
      <c r="T418" s="166"/>
      <c r="U418" s="166"/>
      <c r="V418" s="166"/>
      <c r="W418" s="166"/>
      <c r="X418" s="166"/>
      <c r="Y418" s="166"/>
      <c r="Z418" s="166"/>
      <c r="AA418" s="166"/>
      <c r="AB418" s="166"/>
      <c r="AC418" s="166"/>
      <c r="AD418" s="166"/>
      <c r="AE418" s="166"/>
      <c r="AF418" s="166"/>
      <c r="AG418" s="166"/>
      <c r="AH418" s="166"/>
      <c r="AI418" s="166"/>
    </row>
    <row r="419" spans="1:35" x14ac:dyDescent="0.2">
      <c r="A419" s="167" t="s">
        <v>85</v>
      </c>
      <c r="B419" s="162">
        <v>13</v>
      </c>
      <c r="C419" s="162">
        <f t="shared" si="12"/>
        <v>2463.75</v>
      </c>
      <c r="D419" s="162" t="s">
        <v>163</v>
      </c>
      <c r="E419" s="168">
        <v>4305945130675.439</v>
      </c>
      <c r="F419" s="168">
        <v>4305945130.6754389</v>
      </c>
      <c r="G419" s="168">
        <v>4305945.1306754388</v>
      </c>
      <c r="H419" s="168">
        <v>4305.945130675439</v>
      </c>
      <c r="I419" s="164">
        <f>H419*$O$9/0.1*INDEX(Country_details!$N$9:N569,MATCH(Solar_data!A419,Country_details!$A$9:$A$154,0))</f>
        <v>9688.3765440197349</v>
      </c>
      <c r="J419" s="164">
        <f t="shared" si="13"/>
        <v>2463.75</v>
      </c>
      <c r="K419" s="164"/>
      <c r="L419" s="164"/>
      <c r="M419" s="164"/>
      <c r="N419" s="164"/>
      <c r="O419" s="166"/>
      <c r="P419" s="166"/>
      <c r="Q419" s="166"/>
      <c r="R419" s="166"/>
      <c r="S419" s="166"/>
      <c r="T419" s="166"/>
      <c r="U419" s="166"/>
      <c r="V419" s="166"/>
      <c r="W419" s="166"/>
      <c r="X419" s="166"/>
      <c r="Y419" s="166"/>
      <c r="Z419" s="166"/>
      <c r="AA419" s="166"/>
      <c r="AB419" s="166"/>
      <c r="AC419" s="166"/>
      <c r="AD419" s="166"/>
      <c r="AE419" s="166"/>
      <c r="AF419" s="166"/>
      <c r="AG419" s="166"/>
      <c r="AH419" s="166"/>
      <c r="AI419" s="166"/>
    </row>
    <row r="420" spans="1:35" x14ac:dyDescent="0.2">
      <c r="A420" s="167" t="s">
        <v>85</v>
      </c>
      <c r="B420" s="162">
        <v>14</v>
      </c>
      <c r="C420" s="162">
        <f t="shared" si="12"/>
        <v>2646.25</v>
      </c>
      <c r="D420" s="162" t="s">
        <v>165</v>
      </c>
      <c r="E420" s="168">
        <v>861330178597.74963</v>
      </c>
      <c r="F420" s="168">
        <v>861330178.59774971</v>
      </c>
      <c r="G420" s="168">
        <v>861330.17859774968</v>
      </c>
      <c r="H420" s="168">
        <v>861.33017859774975</v>
      </c>
      <c r="I420" s="164">
        <f>H420*$O$9/0.1*INDEX(Country_details!$N$9:N570,MATCH(Solar_data!A420,Country_details!$A$9:$A$154,0))</f>
        <v>1937.9929018449366</v>
      </c>
      <c r="J420" s="164">
        <f t="shared" si="13"/>
        <v>2646.25</v>
      </c>
      <c r="K420" s="164"/>
      <c r="L420" s="164"/>
      <c r="M420" s="164"/>
      <c r="N420" s="164"/>
      <c r="O420" s="166"/>
      <c r="P420" s="166"/>
      <c r="Q420" s="166"/>
      <c r="R420" s="166"/>
      <c r="S420" s="166"/>
      <c r="T420" s="166"/>
      <c r="U420" s="166"/>
      <c r="V420" s="166"/>
      <c r="W420" s="166"/>
      <c r="X420" s="166"/>
      <c r="Y420" s="166"/>
      <c r="Z420" s="166"/>
      <c r="AA420" s="166"/>
      <c r="AB420" s="166"/>
      <c r="AC420" s="166"/>
      <c r="AD420" s="166"/>
      <c r="AE420" s="166"/>
      <c r="AF420" s="166"/>
      <c r="AG420" s="166"/>
      <c r="AH420" s="166"/>
      <c r="AI420" s="166"/>
    </row>
    <row r="421" spans="1:35" x14ac:dyDescent="0.2">
      <c r="A421" s="167" t="s">
        <v>234</v>
      </c>
      <c r="B421" s="162">
        <v>7</v>
      </c>
      <c r="C421" s="162">
        <f t="shared" si="12"/>
        <v>1368.75</v>
      </c>
      <c r="D421" s="162" t="s">
        <v>174</v>
      </c>
      <c r="E421" s="168">
        <v>71256677.993799999</v>
      </c>
      <c r="F421" s="168">
        <v>71256.677993799996</v>
      </c>
      <c r="G421" s="168">
        <v>71.256677993799997</v>
      </c>
      <c r="H421" s="168">
        <v>7.1256677993800005E-2</v>
      </c>
      <c r="I421" s="164" t="e">
        <f>H421*$O$9/0.1*INDEX(Country_details!$N$9:N571,MATCH(Solar_data!A421,Country_details!$A$9:$A$154,0))</f>
        <v>#N/A</v>
      </c>
      <c r="J421" s="164">
        <f t="shared" si="13"/>
        <v>1368.75</v>
      </c>
      <c r="K421" s="164"/>
      <c r="L421" s="164"/>
      <c r="M421" s="164"/>
      <c r="N421" s="164"/>
      <c r="O421" s="166"/>
      <c r="P421" s="166"/>
      <c r="Q421" s="166"/>
      <c r="R421" s="166"/>
      <c r="S421" s="166"/>
      <c r="T421" s="166"/>
      <c r="U421" s="166"/>
      <c r="V421" s="166"/>
      <c r="W421" s="166"/>
      <c r="X421" s="166"/>
      <c r="Y421" s="166"/>
      <c r="Z421" s="166"/>
      <c r="AA421" s="166"/>
      <c r="AB421" s="166"/>
      <c r="AC421" s="166"/>
      <c r="AD421" s="166"/>
      <c r="AE421" s="166"/>
      <c r="AF421" s="166"/>
      <c r="AG421" s="166"/>
      <c r="AH421" s="166"/>
      <c r="AI421" s="166"/>
    </row>
    <row r="422" spans="1:35" x14ac:dyDescent="0.2">
      <c r="A422" s="167" t="s">
        <v>234</v>
      </c>
      <c r="B422" s="162">
        <v>8</v>
      </c>
      <c r="C422" s="162">
        <f t="shared" si="12"/>
        <v>1551.25</v>
      </c>
      <c r="D422" s="162" t="s">
        <v>164</v>
      </c>
      <c r="E422" s="168">
        <v>174318637.33790001</v>
      </c>
      <c r="F422" s="168">
        <v>174318.63733790003</v>
      </c>
      <c r="G422" s="168">
        <v>174.31863733790004</v>
      </c>
      <c r="H422" s="168">
        <v>0.17431863733790004</v>
      </c>
      <c r="I422" s="164" t="e">
        <f>H422*$O$9/0.1*INDEX(Country_details!$N$9:N572,MATCH(Solar_data!A422,Country_details!$A$9:$A$154,0))</f>
        <v>#N/A</v>
      </c>
      <c r="J422" s="164">
        <f t="shared" si="13"/>
        <v>1551.25</v>
      </c>
      <c r="K422" s="164"/>
      <c r="L422" s="164"/>
      <c r="M422" s="164"/>
      <c r="N422" s="164"/>
      <c r="O422" s="166"/>
      <c r="P422" s="166"/>
      <c r="Q422" s="166"/>
      <c r="R422" s="166"/>
      <c r="S422" s="166"/>
      <c r="T422" s="166"/>
      <c r="U422" s="166"/>
      <c r="V422" s="166"/>
      <c r="W422" s="166"/>
      <c r="X422" s="166"/>
      <c r="Y422" s="166"/>
      <c r="Z422" s="166"/>
      <c r="AA422" s="166"/>
      <c r="AB422" s="166"/>
      <c r="AC422" s="166"/>
      <c r="AD422" s="166"/>
      <c r="AE422" s="166"/>
      <c r="AF422" s="166"/>
      <c r="AG422" s="166"/>
      <c r="AH422" s="166"/>
      <c r="AI422" s="166"/>
    </row>
    <row r="423" spans="1:35" x14ac:dyDescent="0.2">
      <c r="A423" s="167" t="s">
        <v>235</v>
      </c>
      <c r="B423" s="162">
        <v>6</v>
      </c>
      <c r="C423" s="162">
        <f t="shared" si="12"/>
        <v>1186.25</v>
      </c>
      <c r="D423" s="162" t="s">
        <v>173</v>
      </c>
      <c r="E423" s="168">
        <v>113249947077.24091</v>
      </c>
      <c r="F423" s="168">
        <v>113249947.07724091</v>
      </c>
      <c r="G423" s="168">
        <v>113249.94707724091</v>
      </c>
      <c r="H423" s="168">
        <v>113.24994707724092</v>
      </c>
      <c r="I423" s="164" t="e">
        <f>H423*$O$9/0.1*INDEX(Country_details!$N$9:N573,MATCH(Solar_data!A423,Country_details!$A$9:$A$154,0))</f>
        <v>#N/A</v>
      </c>
      <c r="J423" s="164">
        <f t="shared" si="13"/>
        <v>1186.25</v>
      </c>
      <c r="K423" s="164"/>
      <c r="L423" s="164"/>
      <c r="M423" s="164"/>
      <c r="N423" s="164"/>
      <c r="O423" s="166"/>
      <c r="P423" s="166"/>
      <c r="Q423" s="166"/>
      <c r="R423" s="166"/>
      <c r="S423" s="166"/>
      <c r="T423" s="166"/>
      <c r="U423" s="166"/>
      <c r="V423" s="166"/>
      <c r="W423" s="166"/>
      <c r="X423" s="166"/>
      <c r="Y423" s="166"/>
      <c r="Z423" s="166"/>
      <c r="AA423" s="166"/>
      <c r="AB423" s="166"/>
      <c r="AC423" s="166"/>
      <c r="AD423" s="166"/>
      <c r="AE423" s="166"/>
      <c r="AF423" s="166"/>
      <c r="AG423" s="166"/>
      <c r="AH423" s="166"/>
      <c r="AI423" s="166"/>
    </row>
    <row r="424" spans="1:35" x14ac:dyDescent="0.2">
      <c r="A424" s="167" t="s">
        <v>236</v>
      </c>
      <c r="B424" s="162">
        <v>6</v>
      </c>
      <c r="C424" s="162">
        <f t="shared" si="12"/>
        <v>1186.25</v>
      </c>
      <c r="D424" s="162" t="s">
        <v>173</v>
      </c>
      <c r="E424" s="168">
        <v>4484425974.9336996</v>
      </c>
      <c r="F424" s="168">
        <v>4484425.9749336997</v>
      </c>
      <c r="G424" s="168">
        <v>4484.4259749336998</v>
      </c>
      <c r="H424" s="168">
        <v>4.4844259749336999</v>
      </c>
      <c r="I424" s="164" t="e">
        <f>H424*$O$9/0.1*INDEX(Country_details!$N$9:N574,MATCH(Solar_data!A424,Country_details!$A$9:$A$154,0))</f>
        <v>#N/A</v>
      </c>
      <c r="J424" s="164">
        <f t="shared" si="13"/>
        <v>1186.25</v>
      </c>
      <c r="K424" s="164"/>
      <c r="L424" s="164"/>
      <c r="M424" s="164"/>
      <c r="N424" s="164"/>
      <c r="O424" s="166"/>
      <c r="P424" s="166"/>
      <c r="Q424" s="166"/>
      <c r="R424" s="166"/>
      <c r="S424" s="166"/>
      <c r="T424" s="166"/>
      <c r="U424" s="166"/>
      <c r="V424" s="166"/>
      <c r="W424" s="166"/>
      <c r="X424" s="166"/>
      <c r="Y424" s="166"/>
      <c r="Z424" s="166"/>
      <c r="AA424" s="166"/>
      <c r="AB424" s="166"/>
      <c r="AC424" s="166"/>
      <c r="AD424" s="166"/>
      <c r="AE424" s="166"/>
      <c r="AF424" s="166"/>
      <c r="AG424" s="166"/>
      <c r="AH424" s="166"/>
      <c r="AI424" s="166"/>
    </row>
    <row r="425" spans="1:35" x14ac:dyDescent="0.2">
      <c r="A425" s="167" t="s">
        <v>237</v>
      </c>
      <c r="B425" s="162">
        <v>8</v>
      </c>
      <c r="C425" s="162">
        <f t="shared" si="12"/>
        <v>1551.25</v>
      </c>
      <c r="D425" s="162" t="s">
        <v>164</v>
      </c>
      <c r="E425" s="168">
        <v>31609136993.542099</v>
      </c>
      <c r="F425" s="168">
        <v>31609136.993542101</v>
      </c>
      <c r="G425" s="168">
        <v>31609.136993542103</v>
      </c>
      <c r="H425" s="168">
        <v>31.609136993542105</v>
      </c>
      <c r="I425" s="164">
        <f>H425*$O$9/0.1*INDEX(Country_details!$N$9:N575,MATCH(Solar_data!A425,Country_details!$A$9:$A$154,0))</f>
        <v>85.344669882563664</v>
      </c>
      <c r="J425" s="164">
        <f t="shared" si="13"/>
        <v>1551.25</v>
      </c>
      <c r="K425" s="164"/>
      <c r="L425" s="164"/>
      <c r="M425" s="164"/>
      <c r="N425" s="164"/>
      <c r="O425" s="166"/>
      <c r="P425" s="166"/>
      <c r="Q425" s="166"/>
      <c r="R425" s="166"/>
      <c r="S425" s="166"/>
      <c r="T425" s="166"/>
      <c r="U425" s="166"/>
      <c r="V425" s="166"/>
      <c r="W425" s="166"/>
      <c r="X425" s="166"/>
      <c r="Y425" s="166"/>
      <c r="Z425" s="166"/>
      <c r="AA425" s="166"/>
      <c r="AB425" s="166"/>
      <c r="AC425" s="166"/>
      <c r="AD425" s="166"/>
      <c r="AE425" s="166"/>
      <c r="AF425" s="166"/>
      <c r="AG425" s="166"/>
      <c r="AH425" s="166"/>
      <c r="AI425" s="166"/>
    </row>
    <row r="426" spans="1:35" x14ac:dyDescent="0.2">
      <c r="A426" s="167" t="s">
        <v>237</v>
      </c>
      <c r="B426" s="162">
        <v>9</v>
      </c>
      <c r="C426" s="162">
        <f t="shared" si="12"/>
        <v>1733.75</v>
      </c>
      <c r="D426" s="162" t="s">
        <v>157</v>
      </c>
      <c r="E426" s="168">
        <v>30085399607.012199</v>
      </c>
      <c r="F426" s="168">
        <v>30085399.607012201</v>
      </c>
      <c r="G426" s="168">
        <v>30085.399607012201</v>
      </c>
      <c r="H426" s="168">
        <v>30.085399607012203</v>
      </c>
      <c r="I426" s="164">
        <f>H426*$O$9/0.1*INDEX(Country_details!$N$9:N576,MATCH(Solar_data!A426,Country_details!$A$9:$A$154,0))</f>
        <v>81.230578938932936</v>
      </c>
      <c r="J426" s="164">
        <f t="shared" si="13"/>
        <v>1733.75</v>
      </c>
      <c r="K426" s="164"/>
      <c r="L426" s="164"/>
      <c r="M426" s="164"/>
      <c r="N426" s="164"/>
      <c r="O426" s="166"/>
      <c r="P426" s="166"/>
      <c r="Q426" s="166"/>
      <c r="R426" s="166"/>
      <c r="S426" s="166"/>
      <c r="T426" s="166"/>
      <c r="U426" s="166"/>
      <c r="V426" s="166"/>
      <c r="W426" s="166"/>
      <c r="X426" s="166"/>
      <c r="Y426" s="166"/>
      <c r="Z426" s="166"/>
      <c r="AA426" s="166"/>
      <c r="AB426" s="166"/>
      <c r="AC426" s="166"/>
      <c r="AD426" s="166"/>
      <c r="AE426" s="166"/>
      <c r="AF426" s="166"/>
      <c r="AG426" s="166"/>
      <c r="AH426" s="166"/>
      <c r="AI426" s="166"/>
    </row>
    <row r="427" spans="1:35" x14ac:dyDescent="0.2">
      <c r="A427" s="167" t="s">
        <v>86</v>
      </c>
      <c r="B427" s="162">
        <v>9</v>
      </c>
      <c r="C427" s="162">
        <f t="shared" si="12"/>
        <v>1733.75</v>
      </c>
      <c r="D427" s="162" t="s">
        <v>157</v>
      </c>
      <c r="E427" s="168">
        <v>132998519437.5575</v>
      </c>
      <c r="F427" s="168">
        <v>132998519.4375575</v>
      </c>
      <c r="G427" s="168">
        <v>132998.51943755749</v>
      </c>
      <c r="H427" s="168">
        <v>132.99851943755749</v>
      </c>
      <c r="I427" s="164">
        <f>H427*$O$9/0.1*INDEX(Country_details!$N$9:N577,MATCH(Solar_data!A427,Country_details!$A$9:$A$154,0))</f>
        <v>319.19644665013794</v>
      </c>
      <c r="J427" s="164">
        <f t="shared" si="13"/>
        <v>1733.75</v>
      </c>
      <c r="K427" s="164"/>
      <c r="L427" s="164"/>
      <c r="M427" s="164"/>
      <c r="N427" s="164"/>
      <c r="O427" s="166"/>
      <c r="P427" s="166"/>
      <c r="Q427" s="166"/>
      <c r="R427" s="166"/>
      <c r="S427" s="166"/>
      <c r="T427" s="166"/>
      <c r="U427" s="166"/>
      <c r="V427" s="166"/>
      <c r="W427" s="166"/>
      <c r="X427" s="166"/>
      <c r="Y427" s="166"/>
      <c r="Z427" s="166"/>
      <c r="AA427" s="166"/>
      <c r="AB427" s="166"/>
      <c r="AC427" s="166"/>
      <c r="AD427" s="166"/>
      <c r="AE427" s="166"/>
      <c r="AF427" s="166"/>
      <c r="AG427" s="166"/>
      <c r="AH427" s="166"/>
      <c r="AI427" s="166"/>
    </row>
    <row r="428" spans="1:35" x14ac:dyDescent="0.2">
      <c r="A428" s="167" t="s">
        <v>86</v>
      </c>
      <c r="B428" s="162">
        <v>10</v>
      </c>
      <c r="C428" s="162">
        <f t="shared" si="12"/>
        <v>1916.25</v>
      </c>
      <c r="D428" s="162" t="s">
        <v>159</v>
      </c>
      <c r="E428" s="168">
        <v>339711571300.67908</v>
      </c>
      <c r="F428" s="168">
        <v>339711571.30067909</v>
      </c>
      <c r="G428" s="168">
        <v>339711.57130067912</v>
      </c>
      <c r="H428" s="168">
        <v>339.71157130067911</v>
      </c>
      <c r="I428" s="164">
        <f>H428*$O$9/0.1*INDEX(Country_details!$N$9:N578,MATCH(Solar_data!A428,Country_details!$A$9:$A$154,0))</f>
        <v>815.3077711216298</v>
      </c>
      <c r="J428" s="164">
        <f t="shared" si="13"/>
        <v>1916.25</v>
      </c>
      <c r="K428" s="164"/>
      <c r="L428" s="164"/>
      <c r="M428" s="164"/>
      <c r="N428" s="164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6"/>
      <c r="Z428" s="166"/>
      <c r="AA428" s="166"/>
      <c r="AB428" s="166"/>
      <c r="AC428" s="166"/>
      <c r="AD428" s="166"/>
      <c r="AE428" s="166"/>
      <c r="AF428" s="166"/>
      <c r="AG428" s="166"/>
      <c r="AH428" s="166"/>
      <c r="AI428" s="166"/>
    </row>
    <row r="429" spans="1:35" x14ac:dyDescent="0.2">
      <c r="A429" s="167" t="s">
        <v>86</v>
      </c>
      <c r="B429" s="162">
        <v>11</v>
      </c>
      <c r="C429" s="162">
        <f t="shared" si="12"/>
        <v>2098.75</v>
      </c>
      <c r="D429" s="162" t="s">
        <v>161</v>
      </c>
      <c r="E429" s="168">
        <v>255320488423.4671</v>
      </c>
      <c r="F429" s="168">
        <v>255320488.4234671</v>
      </c>
      <c r="G429" s="168">
        <v>255320.48842346712</v>
      </c>
      <c r="H429" s="168">
        <v>255.32048842346711</v>
      </c>
      <c r="I429" s="164">
        <f>H429*$O$9/0.1*INDEX(Country_details!$N$9:N579,MATCH(Solar_data!A429,Country_details!$A$9:$A$154,0))</f>
        <v>612.76917221632107</v>
      </c>
      <c r="J429" s="164">
        <f t="shared" si="13"/>
        <v>2098.75</v>
      </c>
      <c r="K429" s="164"/>
      <c r="L429" s="164"/>
      <c r="M429" s="164"/>
      <c r="N429" s="164"/>
      <c r="O429" s="166"/>
      <c r="P429" s="166"/>
      <c r="Q429" s="166"/>
      <c r="R429" s="166"/>
      <c r="S429" s="166"/>
      <c r="T429" s="166"/>
      <c r="U429" s="166"/>
      <c r="V429" s="166"/>
      <c r="W429" s="166"/>
      <c r="X429" s="166"/>
      <c r="Y429" s="166"/>
      <c r="Z429" s="166"/>
      <c r="AA429" s="166"/>
      <c r="AB429" s="166"/>
      <c r="AC429" s="166"/>
      <c r="AD429" s="166"/>
      <c r="AE429" s="166"/>
      <c r="AF429" s="166"/>
      <c r="AG429" s="166"/>
      <c r="AH429" s="166"/>
      <c r="AI429" s="166"/>
    </row>
    <row r="430" spans="1:35" x14ac:dyDescent="0.2">
      <c r="A430" s="167" t="s">
        <v>86</v>
      </c>
      <c r="B430" s="162">
        <v>12</v>
      </c>
      <c r="C430" s="162">
        <f t="shared" si="12"/>
        <v>2281.25</v>
      </c>
      <c r="D430" s="162" t="s">
        <v>162</v>
      </c>
      <c r="E430" s="168">
        <v>1042031036362.4122</v>
      </c>
      <c r="F430" s="168">
        <v>1042031036.3624122</v>
      </c>
      <c r="G430" s="168">
        <v>1042031.0363624123</v>
      </c>
      <c r="H430" s="168">
        <v>1042.0310363624124</v>
      </c>
      <c r="I430" s="164">
        <f>H430*$O$9/0.1*INDEX(Country_details!$N$9:N580,MATCH(Solar_data!A430,Country_details!$A$9:$A$154,0))</f>
        <v>2500.8744872697894</v>
      </c>
      <c r="J430" s="164">
        <f t="shared" si="13"/>
        <v>2281.25</v>
      </c>
      <c r="K430" s="164"/>
      <c r="L430" s="164"/>
      <c r="M430" s="164"/>
      <c r="N430" s="164"/>
      <c r="O430" s="166"/>
      <c r="P430" s="166"/>
      <c r="Q430" s="166"/>
      <c r="R430" s="166"/>
      <c r="S430" s="166"/>
      <c r="T430" s="166"/>
      <c r="U430" s="166"/>
      <c r="V430" s="166"/>
      <c r="W430" s="166"/>
      <c r="X430" s="166"/>
      <c r="Y430" s="166"/>
      <c r="Z430" s="166"/>
      <c r="AA430" s="166"/>
      <c r="AB430" s="166"/>
      <c r="AC430" s="166"/>
      <c r="AD430" s="166"/>
      <c r="AE430" s="166"/>
      <c r="AF430" s="166"/>
      <c r="AG430" s="166"/>
      <c r="AH430" s="166"/>
      <c r="AI430" s="166"/>
    </row>
    <row r="431" spans="1:35" x14ac:dyDescent="0.2">
      <c r="A431" s="167" t="s">
        <v>86</v>
      </c>
      <c r="B431" s="162">
        <v>13</v>
      </c>
      <c r="C431" s="162">
        <f t="shared" si="12"/>
        <v>2463.75</v>
      </c>
      <c r="D431" s="162" t="s">
        <v>163</v>
      </c>
      <c r="E431" s="168">
        <v>134569854304.98</v>
      </c>
      <c r="F431" s="168">
        <v>134569854.30498001</v>
      </c>
      <c r="G431" s="168">
        <v>134569.85430498002</v>
      </c>
      <c r="H431" s="168">
        <v>134.56985430498003</v>
      </c>
      <c r="I431" s="164">
        <f>H431*$O$9/0.1*INDEX(Country_details!$N$9:N581,MATCH(Solar_data!A431,Country_details!$A$9:$A$154,0))</f>
        <v>322.96765033195203</v>
      </c>
      <c r="J431" s="164">
        <f t="shared" si="13"/>
        <v>2463.75</v>
      </c>
      <c r="K431" s="164"/>
      <c r="L431" s="164"/>
      <c r="M431" s="164"/>
      <c r="N431" s="164"/>
      <c r="O431" s="166"/>
      <c r="P431" s="166"/>
      <c r="Q431" s="166"/>
      <c r="R431" s="166"/>
      <c r="S431" s="166"/>
      <c r="T431" s="166"/>
      <c r="U431" s="166"/>
      <c r="V431" s="166"/>
      <c r="W431" s="166"/>
      <c r="X431" s="166"/>
      <c r="Y431" s="166"/>
      <c r="Z431" s="166"/>
      <c r="AA431" s="166"/>
      <c r="AB431" s="166"/>
      <c r="AC431" s="166"/>
      <c r="AD431" s="166"/>
      <c r="AE431" s="166"/>
      <c r="AF431" s="166"/>
      <c r="AG431" s="166"/>
      <c r="AH431" s="166"/>
      <c r="AI431" s="166"/>
    </row>
    <row r="432" spans="1:35" x14ac:dyDescent="0.2">
      <c r="A432" s="167" t="s">
        <v>87</v>
      </c>
      <c r="B432" s="162">
        <v>10</v>
      </c>
      <c r="C432" s="162">
        <f t="shared" si="12"/>
        <v>1916.25</v>
      </c>
      <c r="D432" s="162" t="s">
        <v>159</v>
      </c>
      <c r="E432" s="168">
        <v>118789292805.4278</v>
      </c>
      <c r="F432" s="168">
        <v>118789292.8054278</v>
      </c>
      <c r="G432" s="168">
        <v>118789.2928054278</v>
      </c>
      <c r="H432" s="168">
        <v>118.78929280542781</v>
      </c>
      <c r="I432" s="164">
        <f>H432*$O$9/0.1*INDEX(Country_details!$N$9:N582,MATCH(Solar_data!A432,Country_details!$A$9:$A$154,0))</f>
        <v>320.73109057465501</v>
      </c>
      <c r="J432" s="164">
        <f t="shared" si="13"/>
        <v>1916.25</v>
      </c>
      <c r="K432" s="164"/>
      <c r="L432" s="164"/>
      <c r="M432" s="164"/>
      <c r="N432" s="164"/>
      <c r="O432" s="166"/>
      <c r="P432" s="166"/>
      <c r="Q432" s="166"/>
      <c r="R432" s="166"/>
      <c r="S432" s="166"/>
      <c r="T432" s="166"/>
      <c r="U432" s="166"/>
      <c r="V432" s="166"/>
      <c r="W432" s="166"/>
      <c r="X432" s="166"/>
      <c r="Y432" s="166"/>
      <c r="Z432" s="166"/>
      <c r="AA432" s="166"/>
      <c r="AB432" s="166"/>
      <c r="AC432" s="166"/>
      <c r="AD432" s="166"/>
      <c r="AE432" s="166"/>
      <c r="AF432" s="166"/>
      <c r="AG432" s="166"/>
      <c r="AH432" s="166"/>
      <c r="AI432" s="166"/>
    </row>
    <row r="433" spans="1:35" x14ac:dyDescent="0.2">
      <c r="A433" s="167" t="s">
        <v>87</v>
      </c>
      <c r="B433" s="162">
        <v>11</v>
      </c>
      <c r="C433" s="162">
        <f t="shared" si="12"/>
        <v>2098.75</v>
      </c>
      <c r="D433" s="162" t="s">
        <v>161</v>
      </c>
      <c r="E433" s="168">
        <v>237495544306.06229</v>
      </c>
      <c r="F433" s="168">
        <v>237495544.30606228</v>
      </c>
      <c r="G433" s="168">
        <v>237495.54430606228</v>
      </c>
      <c r="H433" s="168">
        <v>237.49554430606227</v>
      </c>
      <c r="I433" s="164">
        <f>H433*$O$9/0.1*INDEX(Country_details!$N$9:N583,MATCH(Solar_data!A433,Country_details!$A$9:$A$154,0))</f>
        <v>641.23796962636811</v>
      </c>
      <c r="J433" s="164">
        <f t="shared" si="13"/>
        <v>2098.75</v>
      </c>
      <c r="K433" s="164"/>
      <c r="L433" s="164"/>
      <c r="M433" s="164"/>
      <c r="N433" s="164"/>
      <c r="O433" s="166"/>
      <c r="P433" s="166"/>
      <c r="Q433" s="166"/>
      <c r="R433" s="166"/>
      <c r="S433" s="166"/>
      <c r="T433" s="166"/>
      <c r="U433" s="166"/>
      <c r="V433" s="166"/>
      <c r="W433" s="166"/>
      <c r="X433" s="166"/>
      <c r="Y433" s="166"/>
      <c r="Z433" s="166"/>
      <c r="AA433" s="166"/>
      <c r="AB433" s="166"/>
      <c r="AC433" s="166"/>
      <c r="AD433" s="166"/>
      <c r="AE433" s="166"/>
      <c r="AF433" s="166"/>
      <c r="AG433" s="166"/>
      <c r="AH433" s="166"/>
      <c r="AI433" s="166"/>
    </row>
    <row r="434" spans="1:35" x14ac:dyDescent="0.2">
      <c r="A434" s="167" t="s">
        <v>88</v>
      </c>
      <c r="B434" s="162">
        <v>8</v>
      </c>
      <c r="C434" s="162">
        <f t="shared" si="12"/>
        <v>1551.25</v>
      </c>
      <c r="D434" s="162" t="s">
        <v>164</v>
      </c>
      <c r="E434" s="168">
        <v>3073423642.1500001</v>
      </c>
      <c r="F434" s="168">
        <v>3073423.6421500002</v>
      </c>
      <c r="G434" s="168">
        <v>3073.4236421500004</v>
      </c>
      <c r="H434" s="168">
        <v>3.0734236421500003</v>
      </c>
      <c r="I434" s="164">
        <f>H434*$O$9/0.1*INDEX(Country_details!$N$9:N584,MATCH(Solar_data!A434,Country_details!$A$9:$A$154,0))</f>
        <v>8.2982438338050013</v>
      </c>
      <c r="J434" s="164">
        <f t="shared" si="13"/>
        <v>1551.25</v>
      </c>
      <c r="K434" s="164"/>
      <c r="L434" s="164"/>
      <c r="M434" s="164"/>
      <c r="N434" s="164"/>
      <c r="O434" s="166"/>
      <c r="P434" s="166"/>
      <c r="Q434" s="166"/>
      <c r="R434" s="166"/>
      <c r="S434" s="166"/>
      <c r="T434" s="166"/>
      <c r="U434" s="166"/>
      <c r="V434" s="166"/>
      <c r="W434" s="166"/>
      <c r="X434" s="166"/>
      <c r="Y434" s="166"/>
      <c r="Z434" s="166"/>
      <c r="AA434" s="166"/>
      <c r="AB434" s="166"/>
      <c r="AC434" s="166"/>
      <c r="AD434" s="166"/>
      <c r="AE434" s="166"/>
      <c r="AF434" s="166"/>
      <c r="AG434" s="166"/>
      <c r="AH434" s="166"/>
      <c r="AI434" s="166"/>
    </row>
    <row r="435" spans="1:35" x14ac:dyDescent="0.2">
      <c r="A435" s="167" t="s">
        <v>88</v>
      </c>
      <c r="B435" s="162">
        <v>9</v>
      </c>
      <c r="C435" s="162">
        <f t="shared" si="12"/>
        <v>1733.75</v>
      </c>
      <c r="D435" s="162" t="s">
        <v>157</v>
      </c>
      <c r="E435" s="168">
        <v>593004681726.08801</v>
      </c>
      <c r="F435" s="168">
        <v>593004681.72608805</v>
      </c>
      <c r="G435" s="168">
        <v>593004.68172608805</v>
      </c>
      <c r="H435" s="168">
        <v>593.00468172608805</v>
      </c>
      <c r="I435" s="164">
        <f>H435*$O$9/0.1*INDEX(Country_details!$N$9:N585,MATCH(Solar_data!A435,Country_details!$A$9:$A$154,0))</f>
        <v>1601.1126406604376</v>
      </c>
      <c r="J435" s="164">
        <f t="shared" si="13"/>
        <v>1733.75</v>
      </c>
      <c r="K435" s="164"/>
      <c r="L435" s="164"/>
      <c r="M435" s="164"/>
      <c r="N435" s="164"/>
      <c r="O435" s="166"/>
      <c r="P435" s="166"/>
      <c r="Q435" s="166"/>
      <c r="R435" s="166"/>
      <c r="S435" s="166"/>
      <c r="T435" s="166"/>
      <c r="U435" s="166"/>
      <c r="V435" s="166"/>
      <c r="W435" s="166"/>
      <c r="X435" s="166"/>
      <c r="Y435" s="166"/>
      <c r="Z435" s="166"/>
      <c r="AA435" s="166"/>
      <c r="AB435" s="166"/>
      <c r="AC435" s="166"/>
      <c r="AD435" s="166"/>
      <c r="AE435" s="166"/>
      <c r="AF435" s="166"/>
      <c r="AG435" s="166"/>
      <c r="AH435" s="166"/>
      <c r="AI435" s="166"/>
    </row>
    <row r="436" spans="1:35" x14ac:dyDescent="0.2">
      <c r="A436" s="167" t="s">
        <v>88</v>
      </c>
      <c r="B436" s="162">
        <v>10</v>
      </c>
      <c r="C436" s="162">
        <f t="shared" si="12"/>
        <v>1916.25</v>
      </c>
      <c r="D436" s="162" t="s">
        <v>159</v>
      </c>
      <c r="E436" s="168">
        <v>265008765497.4104</v>
      </c>
      <c r="F436" s="168">
        <v>265008765.49741042</v>
      </c>
      <c r="G436" s="168">
        <v>265008.76549741044</v>
      </c>
      <c r="H436" s="168">
        <v>265.00876549741042</v>
      </c>
      <c r="I436" s="164">
        <f>H436*$O$9/0.1*INDEX(Country_details!$N$9:N586,MATCH(Solar_data!A436,Country_details!$A$9:$A$154,0))</f>
        <v>715.52366684300807</v>
      </c>
      <c r="J436" s="164">
        <f t="shared" si="13"/>
        <v>1916.25</v>
      </c>
      <c r="K436" s="164"/>
      <c r="L436" s="164"/>
      <c r="M436" s="164"/>
      <c r="N436" s="164"/>
      <c r="O436" s="166"/>
      <c r="P436" s="166"/>
      <c r="Q436" s="166"/>
      <c r="R436" s="166"/>
      <c r="S436" s="166"/>
      <c r="T436" s="166"/>
      <c r="U436" s="166"/>
      <c r="V436" s="166"/>
      <c r="W436" s="166"/>
      <c r="X436" s="166"/>
      <c r="Y436" s="166"/>
      <c r="Z436" s="166"/>
      <c r="AA436" s="166"/>
      <c r="AB436" s="166"/>
      <c r="AC436" s="166"/>
      <c r="AD436" s="166"/>
      <c r="AE436" s="166"/>
      <c r="AF436" s="166"/>
      <c r="AG436" s="166"/>
      <c r="AH436" s="166"/>
      <c r="AI436" s="166"/>
    </row>
    <row r="437" spans="1:35" x14ac:dyDescent="0.2">
      <c r="A437" s="167" t="s">
        <v>88</v>
      </c>
      <c r="B437" s="162">
        <v>11</v>
      </c>
      <c r="C437" s="162">
        <f t="shared" si="12"/>
        <v>2098.75</v>
      </c>
      <c r="D437" s="162" t="s">
        <v>161</v>
      </c>
      <c r="E437" s="168">
        <v>13861999088.587299</v>
      </c>
      <c r="F437" s="168">
        <v>13861999.088587299</v>
      </c>
      <c r="G437" s="168">
        <v>13861.999088587299</v>
      </c>
      <c r="H437" s="168">
        <v>13.8619990885873</v>
      </c>
      <c r="I437" s="164">
        <f>H437*$O$9/0.1*INDEX(Country_details!$N$9:N587,MATCH(Solar_data!A437,Country_details!$A$9:$A$154,0))</f>
        <v>37.427397539185705</v>
      </c>
      <c r="J437" s="164">
        <f t="shared" si="13"/>
        <v>2098.75</v>
      </c>
      <c r="K437" s="164"/>
      <c r="L437" s="164"/>
      <c r="M437" s="164"/>
      <c r="N437" s="164"/>
      <c r="O437" s="166"/>
      <c r="P437" s="166"/>
      <c r="Q437" s="166"/>
      <c r="R437" s="166"/>
      <c r="S437" s="166"/>
      <c r="T437" s="166"/>
      <c r="U437" s="166"/>
      <c r="V437" s="166"/>
      <c r="W437" s="166"/>
      <c r="X437" s="166"/>
      <c r="Y437" s="166"/>
      <c r="Z437" s="166"/>
      <c r="AA437" s="166"/>
      <c r="AB437" s="166"/>
      <c r="AC437" s="166"/>
      <c r="AD437" s="166"/>
      <c r="AE437" s="166"/>
      <c r="AF437" s="166"/>
      <c r="AG437" s="166"/>
      <c r="AH437" s="166"/>
      <c r="AI437" s="166"/>
    </row>
    <row r="438" spans="1:35" x14ac:dyDescent="0.2">
      <c r="A438" s="167" t="s">
        <v>238</v>
      </c>
      <c r="B438" s="162">
        <v>11</v>
      </c>
      <c r="C438" s="162">
        <f t="shared" si="12"/>
        <v>2098.75</v>
      </c>
      <c r="D438" s="162" t="s">
        <v>161</v>
      </c>
      <c r="E438" s="168">
        <v>793732.34219999996</v>
      </c>
      <c r="F438" s="168">
        <v>793.73234219999995</v>
      </c>
      <c r="G438" s="168">
        <v>0.7937323422</v>
      </c>
      <c r="H438" s="168">
        <v>7.9373234220000001E-4</v>
      </c>
      <c r="I438" s="164" t="e">
        <f>H438*$O$9/0.1*INDEX(Country_details!$N$9:N588,MATCH(Solar_data!A438,Country_details!$A$9:$A$154,0))</f>
        <v>#N/A</v>
      </c>
      <c r="J438" s="164">
        <f t="shared" si="13"/>
        <v>2098.75</v>
      </c>
      <c r="K438" s="164"/>
      <c r="L438" s="164"/>
      <c r="M438" s="164"/>
      <c r="N438" s="164"/>
      <c r="O438" s="166"/>
      <c r="P438" s="166"/>
      <c r="Q438" s="166"/>
      <c r="R438" s="166"/>
      <c r="S438" s="166"/>
      <c r="T438" s="166"/>
      <c r="U438" s="166"/>
      <c r="V438" s="166"/>
      <c r="W438" s="166"/>
      <c r="X438" s="166"/>
      <c r="Y438" s="166"/>
      <c r="Z438" s="166"/>
      <c r="AA438" s="166"/>
      <c r="AB438" s="166"/>
      <c r="AC438" s="166"/>
      <c r="AD438" s="166"/>
      <c r="AE438" s="166"/>
      <c r="AF438" s="166"/>
      <c r="AG438" s="166"/>
      <c r="AH438" s="166"/>
      <c r="AI438" s="166"/>
    </row>
    <row r="439" spans="1:35" x14ac:dyDescent="0.2">
      <c r="A439" s="167" t="s">
        <v>89</v>
      </c>
      <c r="B439" s="162">
        <v>10</v>
      </c>
      <c r="C439" s="162">
        <f t="shared" si="12"/>
        <v>1916.25</v>
      </c>
      <c r="D439" s="162" t="s">
        <v>159</v>
      </c>
      <c r="E439" s="168">
        <v>2874159975.1199999</v>
      </c>
      <c r="F439" s="168">
        <v>2874159.9751200001</v>
      </c>
      <c r="G439" s="168">
        <v>2874.1599751200001</v>
      </c>
      <c r="H439" s="168">
        <v>2.87415997512</v>
      </c>
      <c r="I439" s="164">
        <f>H439*$O$9/0.1*INDEX(Country_details!$N$9:N589,MATCH(Solar_data!A439,Country_details!$A$9:$A$154,0))</f>
        <v>6.8979839402879994</v>
      </c>
      <c r="J439" s="164">
        <f t="shared" si="13"/>
        <v>1916.25</v>
      </c>
      <c r="K439" s="164"/>
      <c r="L439" s="164"/>
      <c r="M439" s="164"/>
      <c r="N439" s="164"/>
      <c r="O439" s="166"/>
      <c r="P439" s="166"/>
      <c r="Q439" s="166"/>
      <c r="R439" s="166"/>
      <c r="S439" s="166"/>
      <c r="T439" s="166"/>
      <c r="U439" s="166"/>
      <c r="V439" s="166"/>
      <c r="W439" s="166"/>
      <c r="X439" s="166"/>
      <c r="Y439" s="166"/>
      <c r="Z439" s="166"/>
      <c r="AA439" s="166"/>
      <c r="AB439" s="166"/>
      <c r="AC439" s="166"/>
      <c r="AD439" s="166"/>
      <c r="AE439" s="166"/>
      <c r="AF439" s="166"/>
      <c r="AG439" s="166"/>
      <c r="AH439" s="166"/>
      <c r="AI439" s="166"/>
    </row>
    <row r="440" spans="1:35" x14ac:dyDescent="0.2">
      <c r="A440" s="167" t="s">
        <v>89</v>
      </c>
      <c r="B440" s="162">
        <v>11</v>
      </c>
      <c r="C440" s="162">
        <f t="shared" si="12"/>
        <v>2098.75</v>
      </c>
      <c r="D440" s="162" t="s">
        <v>161</v>
      </c>
      <c r="E440" s="168">
        <v>758599762675.20471</v>
      </c>
      <c r="F440" s="168">
        <v>758599762.67520475</v>
      </c>
      <c r="G440" s="168">
        <v>758599.76267520478</v>
      </c>
      <c r="H440" s="168">
        <v>758.59976267520483</v>
      </c>
      <c r="I440" s="164">
        <f>H440*$O$9/0.1*INDEX(Country_details!$N$9:N590,MATCH(Solar_data!A440,Country_details!$A$9:$A$154,0))</f>
        <v>1820.6394304204914</v>
      </c>
      <c r="J440" s="164">
        <f t="shared" si="13"/>
        <v>2098.75</v>
      </c>
      <c r="K440" s="164"/>
      <c r="L440" s="164"/>
      <c r="M440" s="164"/>
      <c r="N440" s="164"/>
      <c r="O440" s="166"/>
      <c r="P440" s="166"/>
      <c r="Q440" s="166"/>
      <c r="R440" s="166"/>
      <c r="S440" s="166"/>
      <c r="T440" s="166"/>
      <c r="U440" s="166"/>
      <c r="V440" s="166"/>
      <c r="W440" s="166"/>
      <c r="X440" s="166"/>
      <c r="Y440" s="166"/>
      <c r="Z440" s="166"/>
      <c r="AA440" s="166"/>
      <c r="AB440" s="166"/>
      <c r="AC440" s="166"/>
      <c r="AD440" s="166"/>
      <c r="AE440" s="166"/>
      <c r="AF440" s="166"/>
      <c r="AG440" s="166"/>
      <c r="AH440" s="166"/>
      <c r="AI440" s="166"/>
    </row>
    <row r="441" spans="1:35" x14ac:dyDescent="0.2">
      <c r="A441" s="167" t="s">
        <v>89</v>
      </c>
      <c r="B441" s="162">
        <v>12</v>
      </c>
      <c r="C441" s="162">
        <f t="shared" si="12"/>
        <v>2281.25</v>
      </c>
      <c r="D441" s="162" t="s">
        <v>162</v>
      </c>
      <c r="E441" s="168">
        <v>2257619480883.3184</v>
      </c>
      <c r="F441" s="168">
        <v>2257619480.8833184</v>
      </c>
      <c r="G441" s="168">
        <v>2257619.4808833185</v>
      </c>
      <c r="H441" s="168">
        <v>2257.6194808833184</v>
      </c>
      <c r="I441" s="164">
        <f>H441*$O$9/0.1*INDEX(Country_details!$N$9:N591,MATCH(Solar_data!A441,Country_details!$A$9:$A$154,0))</f>
        <v>5418.2867541199639</v>
      </c>
      <c r="J441" s="164">
        <f t="shared" si="13"/>
        <v>2281.25</v>
      </c>
      <c r="K441" s="164"/>
      <c r="L441" s="164"/>
      <c r="M441" s="164"/>
      <c r="N441" s="164"/>
      <c r="O441" s="166"/>
      <c r="P441" s="166"/>
      <c r="Q441" s="166"/>
      <c r="R441" s="166"/>
      <c r="S441" s="166"/>
      <c r="T441" s="166"/>
      <c r="U441" s="166"/>
      <c r="V441" s="166"/>
      <c r="W441" s="166"/>
      <c r="X441" s="166"/>
      <c r="Y441" s="166"/>
      <c r="Z441" s="166"/>
      <c r="AA441" s="166"/>
      <c r="AB441" s="166"/>
      <c r="AC441" s="166"/>
      <c r="AD441" s="166"/>
      <c r="AE441" s="166"/>
      <c r="AF441" s="166"/>
      <c r="AG441" s="166"/>
      <c r="AH441" s="166"/>
      <c r="AI441" s="166"/>
    </row>
    <row r="442" spans="1:35" x14ac:dyDescent="0.2">
      <c r="A442" s="167" t="s">
        <v>89</v>
      </c>
      <c r="B442" s="162">
        <v>13</v>
      </c>
      <c r="C442" s="162">
        <f t="shared" si="12"/>
        <v>2463.75</v>
      </c>
      <c r="D442" s="162" t="s">
        <v>163</v>
      </c>
      <c r="E442" s="168">
        <v>1293093932044.4341</v>
      </c>
      <c r="F442" s="168">
        <v>1293093932.0444341</v>
      </c>
      <c r="G442" s="168">
        <v>1293093.9320444341</v>
      </c>
      <c r="H442" s="168">
        <v>1293.0939320444343</v>
      </c>
      <c r="I442" s="164">
        <f>H442*$O$9/0.1*INDEX(Country_details!$N$9:N592,MATCH(Solar_data!A442,Country_details!$A$9:$A$154,0))</f>
        <v>3103.4254369066421</v>
      </c>
      <c r="J442" s="164">
        <f t="shared" si="13"/>
        <v>2463.75</v>
      </c>
      <c r="K442" s="164"/>
      <c r="L442" s="164"/>
      <c r="M442" s="164"/>
      <c r="N442" s="164"/>
      <c r="O442" s="166"/>
      <c r="P442" s="166"/>
      <c r="Q442" s="166"/>
      <c r="R442" s="166"/>
      <c r="S442" s="166"/>
      <c r="T442" s="166"/>
      <c r="U442" s="166"/>
      <c r="V442" s="166"/>
      <c r="W442" s="166"/>
      <c r="X442" s="166"/>
      <c r="Y442" s="166"/>
      <c r="Z442" s="166"/>
      <c r="AA442" s="166"/>
      <c r="AB442" s="166"/>
      <c r="AC442" s="166"/>
      <c r="AD442" s="166"/>
      <c r="AE442" s="166"/>
      <c r="AF442" s="166"/>
      <c r="AG442" s="166"/>
      <c r="AH442" s="166"/>
      <c r="AI442" s="166"/>
    </row>
    <row r="443" spans="1:35" x14ac:dyDescent="0.2">
      <c r="A443" s="167" t="s">
        <v>90</v>
      </c>
      <c r="B443" s="162">
        <v>10</v>
      </c>
      <c r="C443" s="162">
        <f t="shared" si="12"/>
        <v>1916.25</v>
      </c>
      <c r="D443" s="162" t="s">
        <v>159</v>
      </c>
      <c r="E443" s="168">
        <v>628844778.9066</v>
      </c>
      <c r="F443" s="168">
        <v>628844.77890659997</v>
      </c>
      <c r="G443" s="168">
        <v>628.84477890660003</v>
      </c>
      <c r="H443" s="168">
        <v>0.62884477890660007</v>
      </c>
      <c r="I443" s="164">
        <f>H443*$O$9/0.1*INDEX(Country_details!$N$9:N593,MATCH(Solar_data!A443,Country_details!$A$9:$A$154,0))</f>
        <v>1.6978809030478199</v>
      </c>
      <c r="J443" s="164">
        <f t="shared" si="13"/>
        <v>1916.25</v>
      </c>
      <c r="K443" s="164"/>
      <c r="L443" s="164"/>
      <c r="M443" s="164"/>
      <c r="N443" s="164"/>
      <c r="O443" s="166"/>
      <c r="P443" s="166"/>
      <c r="Q443" s="166"/>
      <c r="R443" s="166"/>
      <c r="S443" s="166"/>
      <c r="T443" s="166"/>
      <c r="U443" s="166"/>
      <c r="V443" s="166"/>
      <c r="W443" s="166"/>
      <c r="X443" s="166"/>
      <c r="Y443" s="166"/>
      <c r="Z443" s="166"/>
      <c r="AA443" s="166"/>
      <c r="AB443" s="166"/>
      <c r="AC443" s="166"/>
      <c r="AD443" s="166"/>
      <c r="AE443" s="166"/>
      <c r="AF443" s="166"/>
      <c r="AG443" s="166"/>
      <c r="AH443" s="166"/>
      <c r="AI443" s="166"/>
    </row>
    <row r="444" spans="1:35" x14ac:dyDescent="0.2">
      <c r="A444" s="167" t="s">
        <v>239</v>
      </c>
      <c r="B444" s="162">
        <v>11</v>
      </c>
      <c r="C444" s="162">
        <f t="shared" si="12"/>
        <v>2098.75</v>
      </c>
      <c r="D444" s="162" t="s">
        <v>161</v>
      </c>
      <c r="E444" s="168">
        <v>36982470.721299998</v>
      </c>
      <c r="F444" s="168">
        <v>36982.4707213</v>
      </c>
      <c r="G444" s="168">
        <v>36.982470721300004</v>
      </c>
      <c r="H444" s="168">
        <v>3.6982470721300002E-2</v>
      </c>
      <c r="I444" s="164" t="e">
        <f>H444*$O$9/0.1*INDEX(Country_details!$N$9:N594,MATCH(Solar_data!A444,Country_details!$A$9:$A$154,0))</f>
        <v>#N/A</v>
      </c>
      <c r="J444" s="164">
        <f t="shared" si="13"/>
        <v>2098.75</v>
      </c>
      <c r="K444" s="164"/>
      <c r="L444" s="164"/>
      <c r="M444" s="164"/>
      <c r="N444" s="164"/>
      <c r="O444" s="166"/>
      <c r="P444" s="166"/>
      <c r="Q444" s="166"/>
      <c r="R444" s="166"/>
      <c r="S444" s="166"/>
      <c r="T444" s="166"/>
      <c r="U444" s="166"/>
      <c r="V444" s="166"/>
      <c r="W444" s="166"/>
      <c r="X444" s="166"/>
      <c r="Y444" s="166"/>
      <c r="Z444" s="166"/>
      <c r="AA444" s="166"/>
      <c r="AB444" s="166"/>
      <c r="AC444" s="166"/>
      <c r="AD444" s="166"/>
      <c r="AE444" s="166"/>
      <c r="AF444" s="166"/>
      <c r="AG444" s="166"/>
      <c r="AH444" s="166"/>
      <c r="AI444" s="166"/>
    </row>
    <row r="445" spans="1:35" x14ac:dyDescent="0.2">
      <c r="A445" s="167" t="s">
        <v>240</v>
      </c>
      <c r="B445" s="162">
        <v>9</v>
      </c>
      <c r="C445" s="162">
        <f t="shared" si="12"/>
        <v>1733.75</v>
      </c>
      <c r="D445" s="162" t="s">
        <v>157</v>
      </c>
      <c r="E445" s="168">
        <v>908922727.69910002</v>
      </c>
      <c r="F445" s="168">
        <v>908922.72769910004</v>
      </c>
      <c r="G445" s="168">
        <v>908.92272769910005</v>
      </c>
      <c r="H445" s="168">
        <v>0.9089227276991001</v>
      </c>
      <c r="I445" s="164" t="e">
        <f>H445*$O$9/0.1*INDEX(Country_details!$N$9:N595,MATCH(Solar_data!A445,Country_details!$A$9:$A$154,0))</f>
        <v>#N/A</v>
      </c>
      <c r="J445" s="164">
        <f t="shared" si="13"/>
        <v>1733.75</v>
      </c>
      <c r="K445" s="164"/>
      <c r="L445" s="164"/>
      <c r="M445" s="164"/>
      <c r="N445" s="164"/>
      <c r="O445" s="166"/>
      <c r="P445" s="166"/>
      <c r="Q445" s="166"/>
      <c r="R445" s="166"/>
      <c r="S445" s="166"/>
      <c r="T445" s="166"/>
      <c r="U445" s="166"/>
      <c r="V445" s="166"/>
      <c r="W445" s="166"/>
      <c r="X445" s="166"/>
      <c r="Y445" s="166"/>
      <c r="Z445" s="166"/>
      <c r="AA445" s="166"/>
      <c r="AB445" s="166"/>
      <c r="AC445" s="166"/>
      <c r="AD445" s="166"/>
      <c r="AE445" s="166"/>
      <c r="AF445" s="166"/>
      <c r="AG445" s="166"/>
      <c r="AH445" s="166"/>
      <c r="AI445" s="166"/>
    </row>
    <row r="446" spans="1:35" x14ac:dyDescent="0.2">
      <c r="A446" s="167" t="s">
        <v>240</v>
      </c>
      <c r="B446" s="162">
        <v>10</v>
      </c>
      <c r="C446" s="162">
        <f t="shared" si="12"/>
        <v>1916.25</v>
      </c>
      <c r="D446" s="162" t="s">
        <v>159</v>
      </c>
      <c r="E446" s="168">
        <v>1252896933.98</v>
      </c>
      <c r="F446" s="168">
        <v>1252896.93398</v>
      </c>
      <c r="G446" s="168">
        <v>1252.8969339800001</v>
      </c>
      <c r="H446" s="168">
        <v>1.25289693398</v>
      </c>
      <c r="I446" s="164" t="e">
        <f>H446*$O$9/0.1*INDEX(Country_details!$N$9:N596,MATCH(Solar_data!A446,Country_details!$A$9:$A$154,0))</f>
        <v>#N/A</v>
      </c>
      <c r="J446" s="164">
        <f t="shared" si="13"/>
        <v>1916.25</v>
      </c>
      <c r="K446" s="164"/>
      <c r="L446" s="164"/>
      <c r="M446" s="164"/>
      <c r="N446" s="164"/>
      <c r="O446" s="166"/>
      <c r="P446" s="166"/>
      <c r="Q446" s="166"/>
      <c r="R446" s="166"/>
      <c r="S446" s="166"/>
      <c r="T446" s="166"/>
      <c r="U446" s="166"/>
      <c r="V446" s="166"/>
      <c r="W446" s="166"/>
      <c r="X446" s="166"/>
      <c r="Y446" s="166"/>
      <c r="Z446" s="166"/>
      <c r="AA446" s="166"/>
      <c r="AB446" s="166"/>
      <c r="AC446" s="166"/>
      <c r="AD446" s="166"/>
      <c r="AE446" s="166"/>
      <c r="AF446" s="166"/>
      <c r="AG446" s="166"/>
      <c r="AH446" s="166"/>
      <c r="AI446" s="166"/>
    </row>
    <row r="447" spans="1:35" x14ac:dyDescent="0.2">
      <c r="A447" s="167" t="s">
        <v>91</v>
      </c>
      <c r="B447" s="162">
        <v>10</v>
      </c>
      <c r="C447" s="162">
        <f t="shared" si="12"/>
        <v>1916.25</v>
      </c>
      <c r="D447" s="162" t="s">
        <v>159</v>
      </c>
      <c r="E447" s="168">
        <v>181131.8</v>
      </c>
      <c r="F447" s="168">
        <v>181.1318</v>
      </c>
      <c r="G447" s="168">
        <v>0.18113180000000001</v>
      </c>
      <c r="H447" s="168">
        <v>1.8113180000000001E-4</v>
      </c>
      <c r="I447" s="164">
        <f>H447*$O$9/0.1*INDEX(Country_details!$N$9:N597,MATCH(Solar_data!A447,Country_details!$A$9:$A$154,0))</f>
        <v>4.3471631999999994E-4</v>
      </c>
      <c r="J447" s="164">
        <f t="shared" si="13"/>
        <v>1916.25</v>
      </c>
      <c r="K447" s="164"/>
      <c r="L447" s="164"/>
      <c r="M447" s="164"/>
      <c r="N447" s="164"/>
      <c r="O447" s="166"/>
      <c r="P447" s="166"/>
      <c r="Q447" s="166"/>
      <c r="R447" s="166"/>
      <c r="S447" s="166"/>
      <c r="T447" s="166"/>
      <c r="U447" s="166"/>
      <c r="V447" s="166"/>
      <c r="W447" s="166"/>
      <c r="X447" s="166"/>
      <c r="Y447" s="166"/>
      <c r="Z447" s="166"/>
      <c r="AA447" s="166"/>
      <c r="AB447" s="166"/>
      <c r="AC447" s="166"/>
      <c r="AD447" s="166"/>
      <c r="AE447" s="166"/>
      <c r="AF447" s="166"/>
      <c r="AG447" s="166"/>
      <c r="AH447" s="166"/>
      <c r="AI447" s="166"/>
    </row>
    <row r="448" spans="1:35" x14ac:dyDescent="0.2">
      <c r="A448" s="167" t="s">
        <v>91</v>
      </c>
      <c r="B448" s="162">
        <v>11</v>
      </c>
      <c r="C448" s="162">
        <f t="shared" si="12"/>
        <v>2098.75</v>
      </c>
      <c r="D448" s="162" t="s">
        <v>161</v>
      </c>
      <c r="E448" s="168">
        <v>83371527981.743195</v>
      </c>
      <c r="F448" s="168">
        <v>83371527.981743202</v>
      </c>
      <c r="G448" s="168">
        <v>83371.527981743202</v>
      </c>
      <c r="H448" s="168">
        <v>83.371527981743199</v>
      </c>
      <c r="I448" s="164">
        <f>H448*$O$9/0.1*INDEX(Country_details!$N$9:N598,MATCH(Solar_data!A448,Country_details!$A$9:$A$154,0))</f>
        <v>200.09166715618366</v>
      </c>
      <c r="J448" s="164">
        <f t="shared" si="13"/>
        <v>2098.75</v>
      </c>
      <c r="K448" s="164"/>
      <c r="L448" s="164"/>
      <c r="M448" s="164"/>
      <c r="N448" s="164"/>
      <c r="O448" s="166"/>
      <c r="P448" s="166"/>
      <c r="Q448" s="166"/>
      <c r="R448" s="166"/>
      <c r="S448" s="166"/>
      <c r="T448" s="166"/>
      <c r="U448" s="166"/>
      <c r="V448" s="166"/>
      <c r="W448" s="166"/>
      <c r="X448" s="166"/>
      <c r="Y448" s="166"/>
      <c r="Z448" s="166"/>
      <c r="AA448" s="166"/>
      <c r="AB448" s="166"/>
      <c r="AC448" s="166"/>
      <c r="AD448" s="166"/>
      <c r="AE448" s="166"/>
      <c r="AF448" s="166"/>
      <c r="AG448" s="166"/>
      <c r="AH448" s="166"/>
      <c r="AI448" s="166"/>
    </row>
    <row r="449" spans="1:35" x14ac:dyDescent="0.2">
      <c r="A449" s="167" t="s">
        <v>91</v>
      </c>
      <c r="B449" s="162">
        <v>12</v>
      </c>
      <c r="C449" s="162">
        <f t="shared" si="12"/>
        <v>2281.25</v>
      </c>
      <c r="D449" s="162" t="s">
        <v>162</v>
      </c>
      <c r="E449" s="168">
        <v>2527243663468.7617</v>
      </c>
      <c r="F449" s="168">
        <v>2527243663.4687619</v>
      </c>
      <c r="G449" s="168">
        <v>2527243.6634687618</v>
      </c>
      <c r="H449" s="168">
        <v>2527.243663468762</v>
      </c>
      <c r="I449" s="164">
        <f>H449*$O$9/0.1*INDEX(Country_details!$N$9:N599,MATCH(Solar_data!A449,Country_details!$A$9:$A$154,0))</f>
        <v>6065.3847923250287</v>
      </c>
      <c r="J449" s="164">
        <f t="shared" si="13"/>
        <v>2281.25</v>
      </c>
      <c r="K449" s="164"/>
      <c r="L449" s="164"/>
      <c r="M449" s="164"/>
      <c r="N449" s="164"/>
      <c r="O449" s="166"/>
      <c r="P449" s="166"/>
      <c r="Q449" s="166"/>
      <c r="R449" s="166"/>
      <c r="S449" s="166"/>
      <c r="T449" s="166"/>
      <c r="U449" s="166"/>
      <c r="V449" s="166"/>
      <c r="W449" s="166"/>
      <c r="X449" s="166"/>
      <c r="Y449" s="166"/>
      <c r="Z449" s="166"/>
      <c r="AA449" s="166"/>
      <c r="AB449" s="166"/>
      <c r="AC449" s="166"/>
      <c r="AD449" s="166"/>
      <c r="AE449" s="166"/>
      <c r="AF449" s="166"/>
      <c r="AG449" s="166"/>
      <c r="AH449" s="166"/>
      <c r="AI449" s="166"/>
    </row>
    <row r="450" spans="1:35" x14ac:dyDescent="0.2">
      <c r="A450" s="167" t="s">
        <v>91</v>
      </c>
      <c r="B450" s="162">
        <v>13</v>
      </c>
      <c r="C450" s="162">
        <f t="shared" si="12"/>
        <v>2463.75</v>
      </c>
      <c r="D450" s="162" t="s">
        <v>163</v>
      </c>
      <c r="E450" s="168">
        <v>988309876515.65649</v>
      </c>
      <c r="F450" s="168">
        <v>988309876.51565647</v>
      </c>
      <c r="G450" s="168">
        <v>988309.87651565648</v>
      </c>
      <c r="H450" s="168">
        <v>988.30987651565647</v>
      </c>
      <c r="I450" s="164">
        <f>H450*$O$9/0.1*INDEX(Country_details!$N$9:N600,MATCH(Solar_data!A450,Country_details!$A$9:$A$154,0))</f>
        <v>2371.9437036375753</v>
      </c>
      <c r="J450" s="164">
        <f t="shared" si="13"/>
        <v>2463.75</v>
      </c>
      <c r="K450" s="164"/>
      <c r="L450" s="164"/>
      <c r="M450" s="164"/>
      <c r="N450" s="164"/>
      <c r="O450" s="166"/>
      <c r="P450" s="166"/>
      <c r="Q450" s="166"/>
      <c r="R450" s="166"/>
      <c r="S450" s="166"/>
      <c r="T450" s="166"/>
      <c r="U450" s="166"/>
      <c r="V450" s="166"/>
      <c r="W450" s="166"/>
      <c r="X450" s="166"/>
      <c r="Y450" s="166"/>
      <c r="Z450" s="166"/>
      <c r="AA450" s="166"/>
      <c r="AB450" s="166"/>
      <c r="AC450" s="166"/>
      <c r="AD450" s="166"/>
      <c r="AE450" s="166"/>
      <c r="AF450" s="166"/>
      <c r="AG450" s="166"/>
      <c r="AH450" s="166"/>
      <c r="AI450" s="166"/>
    </row>
    <row r="451" spans="1:35" x14ac:dyDescent="0.2">
      <c r="A451" s="167" t="s">
        <v>96</v>
      </c>
      <c r="B451" s="162">
        <v>9</v>
      </c>
      <c r="C451" s="162">
        <f t="shared" si="12"/>
        <v>1733.75</v>
      </c>
      <c r="D451" s="162" t="s">
        <v>157</v>
      </c>
      <c r="E451" s="168">
        <v>524224215.78399998</v>
      </c>
      <c r="F451" s="168">
        <v>524224.215784</v>
      </c>
      <c r="G451" s="168">
        <v>524.22421578399997</v>
      </c>
      <c r="H451" s="168">
        <v>0.52422421578400002</v>
      </c>
      <c r="I451" s="164">
        <f>H451*$O$9/0.1*INDEX(Country_details!$N$9:N601,MATCH(Solar_data!A451,Country_details!$A$9:$A$154,0))</f>
        <v>1.4154053826167998</v>
      </c>
      <c r="J451" s="164">
        <f t="shared" si="13"/>
        <v>1733.75</v>
      </c>
      <c r="K451" s="164"/>
      <c r="L451" s="164"/>
      <c r="M451" s="164"/>
      <c r="N451" s="164"/>
      <c r="O451" s="166"/>
      <c r="P451" s="166"/>
      <c r="Q451" s="166"/>
      <c r="R451" s="166"/>
      <c r="S451" s="166"/>
      <c r="T451" s="166"/>
      <c r="U451" s="166"/>
      <c r="V451" s="166"/>
      <c r="W451" s="166"/>
      <c r="X451" s="166"/>
      <c r="Y451" s="166"/>
      <c r="Z451" s="166"/>
      <c r="AA451" s="166"/>
      <c r="AB451" s="166"/>
      <c r="AC451" s="166"/>
      <c r="AD451" s="166"/>
      <c r="AE451" s="166"/>
      <c r="AF451" s="166"/>
      <c r="AG451" s="166"/>
      <c r="AH451" s="166"/>
      <c r="AI451" s="166"/>
    </row>
    <row r="452" spans="1:35" x14ac:dyDescent="0.2">
      <c r="A452" s="167" t="s">
        <v>96</v>
      </c>
      <c r="B452" s="162">
        <v>10</v>
      </c>
      <c r="C452" s="162">
        <f t="shared" si="12"/>
        <v>1916.25</v>
      </c>
      <c r="D452" s="162" t="s">
        <v>159</v>
      </c>
      <c r="E452" s="168">
        <v>2300345709.0500002</v>
      </c>
      <c r="F452" s="168">
        <v>2300345.7090500002</v>
      </c>
      <c r="G452" s="168">
        <v>2300.3457090500001</v>
      </c>
      <c r="H452" s="168">
        <v>2.3003457090500001</v>
      </c>
      <c r="I452" s="164">
        <f>H452*$O$9/0.1*INDEX(Country_details!$N$9:N602,MATCH(Solar_data!A452,Country_details!$A$9:$A$154,0))</f>
        <v>6.2109334144350008</v>
      </c>
      <c r="J452" s="164">
        <f t="shared" si="13"/>
        <v>1916.25</v>
      </c>
      <c r="K452" s="164"/>
      <c r="L452" s="164"/>
      <c r="M452" s="164"/>
      <c r="N452" s="164"/>
      <c r="O452" s="166"/>
      <c r="P452" s="166"/>
      <c r="Q452" s="166"/>
      <c r="R452" s="166"/>
      <c r="S452" s="166"/>
      <c r="T452" s="166"/>
      <c r="U452" s="166"/>
      <c r="V452" s="166"/>
      <c r="W452" s="166"/>
      <c r="X452" s="166"/>
      <c r="Y452" s="166"/>
      <c r="Z452" s="166"/>
      <c r="AA452" s="166"/>
      <c r="AB452" s="166"/>
      <c r="AC452" s="166"/>
      <c r="AD452" s="166"/>
      <c r="AE452" s="166"/>
      <c r="AF452" s="166"/>
      <c r="AG452" s="166"/>
      <c r="AH452" s="166"/>
      <c r="AI452" s="166"/>
    </row>
    <row r="453" spans="1:35" x14ac:dyDescent="0.2">
      <c r="A453" s="167" t="s">
        <v>96</v>
      </c>
      <c r="B453" s="162">
        <v>11</v>
      </c>
      <c r="C453" s="162">
        <f t="shared" ref="C453:C516" si="14">(0.5*B453+0.25)*365</f>
        <v>2098.75</v>
      </c>
      <c r="D453" s="162" t="s">
        <v>161</v>
      </c>
      <c r="E453" s="168">
        <v>1175933619.5120001</v>
      </c>
      <c r="F453" s="168">
        <v>1175933.6195120001</v>
      </c>
      <c r="G453" s="168">
        <v>1175.9336195120002</v>
      </c>
      <c r="H453" s="168">
        <v>1.1759336195120003</v>
      </c>
      <c r="I453" s="164">
        <f>H453*$O$9/0.1*INDEX(Country_details!$N$9:N603,MATCH(Solar_data!A453,Country_details!$A$9:$A$154,0))</f>
        <v>3.1750207726824002</v>
      </c>
      <c r="J453" s="164">
        <f t="shared" si="13"/>
        <v>2098.75</v>
      </c>
      <c r="K453" s="164"/>
      <c r="L453" s="164"/>
      <c r="M453" s="164"/>
      <c r="N453" s="164"/>
      <c r="O453" s="166"/>
      <c r="P453" s="166"/>
      <c r="Q453" s="166"/>
      <c r="R453" s="166"/>
      <c r="S453" s="166"/>
      <c r="T453" s="166"/>
      <c r="U453" s="166"/>
      <c r="V453" s="166"/>
      <c r="W453" s="166"/>
      <c r="X453" s="166"/>
      <c r="Y453" s="166"/>
      <c r="Z453" s="166"/>
      <c r="AA453" s="166"/>
      <c r="AB453" s="166"/>
      <c r="AC453" s="166"/>
      <c r="AD453" s="166"/>
      <c r="AE453" s="166"/>
      <c r="AF453" s="166"/>
      <c r="AG453" s="166"/>
      <c r="AH453" s="166"/>
      <c r="AI453" s="166"/>
    </row>
    <row r="454" spans="1:35" x14ac:dyDescent="0.2">
      <c r="A454" s="167" t="s">
        <v>241</v>
      </c>
      <c r="B454" s="162">
        <v>10</v>
      </c>
      <c r="C454" s="162">
        <f t="shared" si="14"/>
        <v>1916.25</v>
      </c>
      <c r="D454" s="162" t="s">
        <v>159</v>
      </c>
      <c r="E454" s="168">
        <v>301528234.62900001</v>
      </c>
      <c r="F454" s="168">
        <v>301528.23462900001</v>
      </c>
      <c r="G454" s="168">
        <v>301.528234629</v>
      </c>
      <c r="H454" s="168">
        <v>0.30152823462900002</v>
      </c>
      <c r="I454" s="164" t="e">
        <f>H454*$O$9/0.1*INDEX(Country_details!$N$9:N604,MATCH(Solar_data!A454,Country_details!$A$9:$A$154,0))</f>
        <v>#N/A</v>
      </c>
      <c r="J454" s="164">
        <f t="shared" si="13"/>
        <v>1916.25</v>
      </c>
      <c r="K454" s="164"/>
      <c r="L454" s="164"/>
      <c r="M454" s="164"/>
      <c r="N454" s="164"/>
      <c r="O454" s="166"/>
      <c r="P454" s="166"/>
      <c r="Q454" s="166"/>
      <c r="R454" s="166"/>
      <c r="S454" s="166"/>
      <c r="T454" s="166"/>
      <c r="U454" s="166"/>
      <c r="V454" s="166"/>
      <c r="W454" s="166"/>
      <c r="X454" s="166"/>
      <c r="Y454" s="166"/>
      <c r="Z454" s="166"/>
      <c r="AA454" s="166"/>
      <c r="AB454" s="166"/>
      <c r="AC454" s="166"/>
      <c r="AD454" s="166"/>
      <c r="AE454" s="166"/>
      <c r="AF454" s="166"/>
      <c r="AG454" s="166"/>
      <c r="AH454" s="166"/>
      <c r="AI454" s="166"/>
    </row>
    <row r="455" spans="1:35" x14ac:dyDescent="0.2">
      <c r="A455" s="167" t="s">
        <v>241</v>
      </c>
      <c r="B455" s="162">
        <v>11</v>
      </c>
      <c r="C455" s="162">
        <f t="shared" si="14"/>
        <v>2098.75</v>
      </c>
      <c r="D455" s="162" t="s">
        <v>161</v>
      </c>
      <c r="E455" s="168">
        <v>488347398.79000002</v>
      </c>
      <c r="F455" s="168">
        <v>488347.39879000001</v>
      </c>
      <c r="G455" s="168">
        <v>488.34739879</v>
      </c>
      <c r="H455" s="168">
        <v>0.48834739879</v>
      </c>
      <c r="I455" s="164" t="e">
        <f>H455*$O$9/0.1*INDEX(Country_details!$N$9:N605,MATCH(Solar_data!A455,Country_details!$A$9:$A$154,0))</f>
        <v>#N/A</v>
      </c>
      <c r="J455" s="164">
        <f t="shared" si="13"/>
        <v>2098.75</v>
      </c>
      <c r="K455" s="164"/>
      <c r="L455" s="164"/>
      <c r="M455" s="164"/>
      <c r="N455" s="164"/>
      <c r="O455" s="166"/>
      <c r="P455" s="166"/>
      <c r="Q455" s="166"/>
      <c r="R455" s="166"/>
      <c r="S455" s="166"/>
      <c r="T455" s="166"/>
      <c r="U455" s="166"/>
      <c r="V455" s="166"/>
      <c r="W455" s="166"/>
      <c r="X455" s="166"/>
      <c r="Y455" s="166"/>
      <c r="Z455" s="166"/>
      <c r="AA455" s="166"/>
      <c r="AB455" s="166"/>
      <c r="AC455" s="166"/>
      <c r="AD455" s="166"/>
      <c r="AE455" s="166"/>
      <c r="AF455" s="166"/>
      <c r="AG455" s="166"/>
      <c r="AH455" s="166"/>
      <c r="AI455" s="166"/>
    </row>
    <row r="456" spans="1:35" x14ac:dyDescent="0.2">
      <c r="A456" s="167" t="s">
        <v>97</v>
      </c>
      <c r="B456" s="162">
        <v>9</v>
      </c>
      <c r="C456" s="162">
        <f t="shared" si="14"/>
        <v>1733.75</v>
      </c>
      <c r="D456" s="162" t="s">
        <v>157</v>
      </c>
      <c r="E456" s="168">
        <v>22990492617.411701</v>
      </c>
      <c r="F456" s="168">
        <v>22990492.617411703</v>
      </c>
      <c r="G456" s="168">
        <v>22990.492617411703</v>
      </c>
      <c r="H456" s="168">
        <v>22.990492617411704</v>
      </c>
      <c r="I456" s="164">
        <f>H456*$O$9/0.1*INDEX(Country_details!$N$9:N606,MATCH(Solar_data!A456,Country_details!$A$9:$A$154,0))</f>
        <v>55.177182281788077</v>
      </c>
      <c r="J456" s="164">
        <f t="shared" si="13"/>
        <v>1733.75</v>
      </c>
      <c r="K456" s="164"/>
      <c r="L456" s="164"/>
      <c r="M456" s="164"/>
      <c r="N456" s="164"/>
      <c r="O456" s="166"/>
      <c r="P456" s="166"/>
      <c r="Q456" s="166"/>
      <c r="R456" s="166"/>
      <c r="S456" s="166"/>
      <c r="T456" s="166"/>
      <c r="U456" s="166"/>
      <c r="V456" s="166"/>
      <c r="W456" s="166"/>
      <c r="X456" s="166"/>
      <c r="Y456" s="166"/>
      <c r="Z456" s="166"/>
      <c r="AA456" s="166"/>
      <c r="AB456" s="166"/>
      <c r="AC456" s="166"/>
      <c r="AD456" s="166"/>
      <c r="AE456" s="166"/>
      <c r="AF456" s="166"/>
      <c r="AG456" s="166"/>
      <c r="AH456" s="166"/>
      <c r="AI456" s="166"/>
    </row>
    <row r="457" spans="1:35" x14ac:dyDescent="0.2">
      <c r="A457" s="167" t="s">
        <v>97</v>
      </c>
      <c r="B457" s="162">
        <v>10</v>
      </c>
      <c r="C457" s="162">
        <f t="shared" si="14"/>
        <v>1916.25</v>
      </c>
      <c r="D457" s="162" t="s">
        <v>159</v>
      </c>
      <c r="E457" s="168">
        <v>796366332859.34399</v>
      </c>
      <c r="F457" s="168">
        <v>796366332.85934401</v>
      </c>
      <c r="G457" s="168">
        <v>796366.33285934397</v>
      </c>
      <c r="H457" s="168">
        <v>796.36633285934397</v>
      </c>
      <c r="I457" s="164">
        <f>H457*$O$9/0.1*INDEX(Country_details!$N$9:N607,MATCH(Solar_data!A457,Country_details!$A$9:$A$154,0))</f>
        <v>1911.2791988624253</v>
      </c>
      <c r="J457" s="164">
        <f t="shared" ref="J457:J520" si="15">(0.5*B457+0.25)*365</f>
        <v>1916.25</v>
      </c>
      <c r="K457" s="164"/>
      <c r="L457" s="164"/>
      <c r="M457" s="164"/>
      <c r="N457" s="164"/>
      <c r="O457" s="166"/>
      <c r="P457" s="166"/>
      <c r="Q457" s="166"/>
      <c r="R457" s="166"/>
      <c r="S457" s="166"/>
      <c r="T457" s="166"/>
      <c r="U457" s="166"/>
      <c r="V457" s="166"/>
      <c r="W457" s="166"/>
      <c r="X457" s="166"/>
      <c r="Y457" s="166"/>
      <c r="Z457" s="166"/>
      <c r="AA457" s="166"/>
      <c r="AB457" s="166"/>
      <c r="AC457" s="166"/>
      <c r="AD457" s="166"/>
      <c r="AE457" s="166"/>
      <c r="AF457" s="166"/>
      <c r="AG457" s="166"/>
      <c r="AH457" s="166"/>
      <c r="AI457" s="166"/>
    </row>
    <row r="458" spans="1:35" x14ac:dyDescent="0.2">
      <c r="A458" s="167" t="s">
        <v>97</v>
      </c>
      <c r="B458" s="162">
        <v>11</v>
      </c>
      <c r="C458" s="162">
        <f t="shared" si="14"/>
        <v>2098.75</v>
      </c>
      <c r="D458" s="162" t="s">
        <v>161</v>
      </c>
      <c r="E458" s="168">
        <v>1811546683874.9258</v>
      </c>
      <c r="F458" s="168">
        <v>1811546683.8749259</v>
      </c>
      <c r="G458" s="168">
        <v>1811546.6838749258</v>
      </c>
      <c r="H458" s="168">
        <v>1811.546683874926</v>
      </c>
      <c r="I458" s="164">
        <f>H458*$O$9/0.1*INDEX(Country_details!$N$9:N608,MATCH(Solar_data!A458,Country_details!$A$9:$A$154,0))</f>
        <v>4347.712041299822</v>
      </c>
      <c r="J458" s="164">
        <f t="shared" si="15"/>
        <v>2098.75</v>
      </c>
      <c r="K458" s="164"/>
      <c r="L458" s="164"/>
      <c r="M458" s="164"/>
      <c r="N458" s="164"/>
      <c r="O458" s="166"/>
      <c r="P458" s="166"/>
      <c r="Q458" s="166"/>
      <c r="R458" s="166"/>
      <c r="S458" s="166"/>
      <c r="T458" s="166"/>
      <c r="U458" s="166"/>
      <c r="V458" s="166"/>
      <c r="W458" s="166"/>
      <c r="X458" s="166"/>
      <c r="Y458" s="166"/>
      <c r="Z458" s="166"/>
      <c r="AA458" s="166"/>
      <c r="AB458" s="166"/>
      <c r="AC458" s="166"/>
      <c r="AD458" s="166"/>
      <c r="AE458" s="166"/>
      <c r="AF458" s="166"/>
      <c r="AG458" s="166"/>
      <c r="AH458" s="166"/>
      <c r="AI458" s="166"/>
    </row>
    <row r="459" spans="1:35" x14ac:dyDescent="0.2">
      <c r="A459" s="167" t="s">
        <v>97</v>
      </c>
      <c r="B459" s="162">
        <v>12</v>
      </c>
      <c r="C459" s="162">
        <f t="shared" si="14"/>
        <v>2281.25</v>
      </c>
      <c r="D459" s="162" t="s">
        <v>162</v>
      </c>
      <c r="E459" s="168">
        <v>2359373313060.2646</v>
      </c>
      <c r="F459" s="168">
        <v>2359373313.0602646</v>
      </c>
      <c r="G459" s="168">
        <v>2359373.3130602646</v>
      </c>
      <c r="H459" s="168">
        <v>2359.3733130602645</v>
      </c>
      <c r="I459" s="164">
        <f>H459*$O$9/0.1*INDEX(Country_details!$N$9:N609,MATCH(Solar_data!A459,Country_details!$A$9:$A$154,0))</f>
        <v>5662.4959513446347</v>
      </c>
      <c r="J459" s="164">
        <f t="shared" si="15"/>
        <v>2281.25</v>
      </c>
      <c r="K459" s="164"/>
      <c r="L459" s="164"/>
      <c r="M459" s="164"/>
      <c r="N459" s="164"/>
      <c r="O459" s="166"/>
      <c r="P459" s="166"/>
      <c r="Q459" s="166"/>
      <c r="R459" s="166"/>
      <c r="S459" s="166"/>
      <c r="T459" s="166"/>
      <c r="U459" s="166"/>
      <c r="V459" s="166"/>
      <c r="W459" s="166"/>
      <c r="X459" s="166"/>
      <c r="Y459" s="166"/>
      <c r="Z459" s="166"/>
      <c r="AA459" s="166"/>
      <c r="AB459" s="166"/>
      <c r="AC459" s="166"/>
      <c r="AD459" s="166"/>
      <c r="AE459" s="166"/>
      <c r="AF459" s="166"/>
      <c r="AG459" s="166"/>
      <c r="AH459" s="166"/>
      <c r="AI459" s="166"/>
    </row>
    <row r="460" spans="1:35" x14ac:dyDescent="0.2">
      <c r="A460" s="167" t="s">
        <v>97</v>
      </c>
      <c r="B460" s="162">
        <v>13</v>
      </c>
      <c r="C460" s="162">
        <f t="shared" si="14"/>
        <v>2463.75</v>
      </c>
      <c r="D460" s="162" t="s">
        <v>163</v>
      </c>
      <c r="E460" s="168">
        <v>1478879135428.1243</v>
      </c>
      <c r="F460" s="168">
        <v>1478879135.4281242</v>
      </c>
      <c r="G460" s="168">
        <v>1478879.1354281241</v>
      </c>
      <c r="H460" s="168">
        <v>1478.8791354281241</v>
      </c>
      <c r="I460" s="164">
        <f>H460*$O$9/0.1*INDEX(Country_details!$N$9:N610,MATCH(Solar_data!A460,Country_details!$A$9:$A$154,0))</f>
        <v>3549.3099250274972</v>
      </c>
      <c r="J460" s="164">
        <f t="shared" si="15"/>
        <v>2463.75</v>
      </c>
      <c r="K460" s="164"/>
      <c r="L460" s="164"/>
      <c r="M460" s="164"/>
      <c r="N460" s="164"/>
      <c r="O460" s="166"/>
      <c r="P460" s="166"/>
      <c r="Q460" s="166"/>
      <c r="R460" s="166"/>
      <c r="S460" s="166"/>
      <c r="T460" s="166"/>
      <c r="U460" s="166"/>
      <c r="V460" s="166"/>
      <c r="W460" s="166"/>
      <c r="X460" s="166"/>
      <c r="Y460" s="166"/>
      <c r="Z460" s="166"/>
      <c r="AA460" s="166"/>
      <c r="AB460" s="166"/>
      <c r="AC460" s="166"/>
      <c r="AD460" s="166"/>
      <c r="AE460" s="166"/>
      <c r="AF460" s="166"/>
      <c r="AG460" s="166"/>
      <c r="AH460" s="166"/>
      <c r="AI460" s="166"/>
    </row>
    <row r="461" spans="1:35" x14ac:dyDescent="0.2">
      <c r="A461" s="167" t="s">
        <v>242</v>
      </c>
      <c r="B461" s="162">
        <v>10</v>
      </c>
      <c r="C461" s="162">
        <f t="shared" si="14"/>
        <v>1916.25</v>
      </c>
      <c r="D461" s="162" t="s">
        <v>159</v>
      </c>
      <c r="E461" s="168">
        <v>462954496.48799998</v>
      </c>
      <c r="F461" s="168">
        <v>462954.49648799998</v>
      </c>
      <c r="G461" s="168">
        <v>462.95449648799996</v>
      </c>
      <c r="H461" s="168">
        <v>0.46295449648799997</v>
      </c>
      <c r="I461" s="164" t="e">
        <f>H461*$O$9/0.1*INDEX(Country_details!$N$9:N611,MATCH(Solar_data!A461,Country_details!$A$9:$A$154,0))</f>
        <v>#N/A</v>
      </c>
      <c r="J461" s="164">
        <f t="shared" si="15"/>
        <v>1916.25</v>
      </c>
      <c r="K461" s="164"/>
      <c r="L461" s="164"/>
      <c r="M461" s="164"/>
      <c r="N461" s="164"/>
      <c r="O461" s="166"/>
      <c r="P461" s="166"/>
      <c r="Q461" s="166"/>
      <c r="R461" s="166"/>
      <c r="S461" s="166"/>
      <c r="T461" s="166"/>
      <c r="U461" s="166"/>
      <c r="V461" s="166"/>
      <c r="W461" s="166"/>
      <c r="X461" s="166"/>
      <c r="Y461" s="166"/>
      <c r="Z461" s="166"/>
      <c r="AA461" s="166"/>
      <c r="AB461" s="166"/>
      <c r="AC461" s="166"/>
      <c r="AD461" s="166"/>
      <c r="AE461" s="166"/>
      <c r="AF461" s="166"/>
      <c r="AG461" s="166"/>
      <c r="AH461" s="166"/>
      <c r="AI461" s="166"/>
    </row>
    <row r="462" spans="1:35" x14ac:dyDescent="0.2">
      <c r="A462" s="167" t="s">
        <v>243</v>
      </c>
      <c r="B462" s="162">
        <v>10</v>
      </c>
      <c r="C462" s="162">
        <f t="shared" si="14"/>
        <v>1916.25</v>
      </c>
      <c r="D462" s="162" t="s">
        <v>159</v>
      </c>
      <c r="E462" s="168">
        <v>11458322.898800001</v>
      </c>
      <c r="F462" s="168">
        <v>11458.322898800001</v>
      </c>
      <c r="G462" s="168">
        <v>11.458322898800001</v>
      </c>
      <c r="H462" s="168">
        <v>1.1458322898800001E-2</v>
      </c>
      <c r="I462" s="164" t="e">
        <f>H462*$O$9/0.1*INDEX(Country_details!$N$9:N612,MATCH(Solar_data!A462,Country_details!$A$9:$A$154,0))</f>
        <v>#N/A</v>
      </c>
      <c r="J462" s="164">
        <f t="shared" si="15"/>
        <v>1916.25</v>
      </c>
      <c r="K462" s="164"/>
      <c r="L462" s="164"/>
      <c r="M462" s="164"/>
      <c r="N462" s="164"/>
      <c r="O462" s="166"/>
      <c r="P462" s="166"/>
      <c r="Q462" s="166"/>
      <c r="R462" s="166"/>
      <c r="S462" s="166"/>
      <c r="T462" s="166"/>
      <c r="U462" s="166"/>
      <c r="V462" s="166"/>
      <c r="W462" s="166"/>
      <c r="X462" s="166"/>
      <c r="Y462" s="166"/>
      <c r="Z462" s="166"/>
      <c r="AA462" s="166"/>
      <c r="AB462" s="166"/>
      <c r="AC462" s="166"/>
      <c r="AD462" s="166"/>
      <c r="AE462" s="166"/>
      <c r="AF462" s="166"/>
      <c r="AG462" s="166"/>
      <c r="AH462" s="166"/>
      <c r="AI462" s="166"/>
    </row>
    <row r="463" spans="1:35" x14ac:dyDescent="0.2">
      <c r="A463" s="167" t="s">
        <v>98</v>
      </c>
      <c r="B463" s="162">
        <v>7</v>
      </c>
      <c r="C463" s="162">
        <f t="shared" si="14"/>
        <v>1368.75</v>
      </c>
      <c r="D463" s="162" t="s">
        <v>174</v>
      </c>
      <c r="E463" s="168">
        <v>30606316533.696899</v>
      </c>
      <c r="F463" s="168">
        <v>30606316.533696901</v>
      </c>
      <c r="G463" s="168">
        <v>30606.316533696903</v>
      </c>
      <c r="H463" s="168">
        <v>30.606316533696905</v>
      </c>
      <c r="I463" s="164">
        <f>H463*$O$9/0.1*INDEX(Country_details!$N$9:N613,MATCH(Solar_data!A463,Country_details!$A$9:$A$154,0))</f>
        <v>82.637054640981646</v>
      </c>
      <c r="J463" s="164">
        <f t="shared" si="15"/>
        <v>1368.75</v>
      </c>
      <c r="K463" s="164"/>
      <c r="L463" s="164"/>
      <c r="M463" s="164"/>
      <c r="N463" s="164"/>
      <c r="O463" s="166"/>
      <c r="P463" s="166"/>
      <c r="Q463" s="166"/>
      <c r="R463" s="166"/>
      <c r="S463" s="166"/>
      <c r="T463" s="166"/>
      <c r="U463" s="166"/>
      <c r="V463" s="166"/>
      <c r="W463" s="166"/>
      <c r="X463" s="166"/>
      <c r="Y463" s="166"/>
      <c r="Z463" s="166"/>
      <c r="AA463" s="166"/>
      <c r="AB463" s="166"/>
      <c r="AC463" s="166"/>
      <c r="AD463" s="166"/>
      <c r="AE463" s="166"/>
      <c r="AF463" s="166"/>
      <c r="AG463" s="166"/>
      <c r="AH463" s="166"/>
      <c r="AI463" s="166"/>
    </row>
    <row r="464" spans="1:35" x14ac:dyDescent="0.2">
      <c r="A464" s="167" t="s">
        <v>98</v>
      </c>
      <c r="B464" s="162">
        <v>8</v>
      </c>
      <c r="C464" s="162">
        <f t="shared" si="14"/>
        <v>1551.25</v>
      </c>
      <c r="D464" s="162" t="s">
        <v>164</v>
      </c>
      <c r="E464" s="168">
        <v>43743853619.449898</v>
      </c>
      <c r="F464" s="168">
        <v>43743853.619449899</v>
      </c>
      <c r="G464" s="168">
        <v>43743.853619449903</v>
      </c>
      <c r="H464" s="168">
        <v>43.743853619449901</v>
      </c>
      <c r="I464" s="164">
        <f>H464*$O$9/0.1*INDEX(Country_details!$N$9:N614,MATCH(Solar_data!A464,Country_details!$A$9:$A$154,0))</f>
        <v>118.10840477251473</v>
      </c>
      <c r="J464" s="164">
        <f t="shared" si="15"/>
        <v>1551.25</v>
      </c>
      <c r="K464" s="164"/>
      <c r="L464" s="164"/>
      <c r="M464" s="164"/>
      <c r="N464" s="164"/>
      <c r="O464" s="166"/>
      <c r="P464" s="166"/>
      <c r="Q464" s="166"/>
      <c r="R464" s="166"/>
      <c r="S464" s="166"/>
      <c r="T464" s="166"/>
      <c r="U464" s="166"/>
      <c r="V464" s="166"/>
      <c r="W464" s="166"/>
      <c r="X464" s="166"/>
      <c r="Y464" s="166"/>
      <c r="Z464" s="166"/>
      <c r="AA464" s="166"/>
      <c r="AB464" s="166"/>
      <c r="AC464" s="166"/>
      <c r="AD464" s="166"/>
      <c r="AE464" s="166"/>
      <c r="AF464" s="166"/>
      <c r="AG464" s="166"/>
      <c r="AH464" s="166"/>
      <c r="AI464" s="166"/>
    </row>
    <row r="465" spans="1:35" x14ac:dyDescent="0.2">
      <c r="A465" s="167" t="s">
        <v>244</v>
      </c>
      <c r="B465" s="162">
        <v>9</v>
      </c>
      <c r="C465" s="162">
        <f t="shared" si="14"/>
        <v>1733.75</v>
      </c>
      <c r="D465" s="162" t="s">
        <v>157</v>
      </c>
      <c r="E465" s="168">
        <v>13958415.5217</v>
      </c>
      <c r="F465" s="168">
        <v>13958.415521700001</v>
      </c>
      <c r="G465" s="168">
        <v>13.958415521700001</v>
      </c>
      <c r="H465" s="168">
        <v>1.3958415521700001E-2</v>
      </c>
      <c r="I465" s="164" t="e">
        <f>H465*$O$9/0.1*INDEX(Country_details!$N$9:N615,MATCH(Solar_data!A465,Country_details!$A$9:$A$154,0))</f>
        <v>#N/A</v>
      </c>
      <c r="J465" s="164">
        <f t="shared" si="15"/>
        <v>1733.75</v>
      </c>
      <c r="K465" s="164"/>
      <c r="L465" s="164"/>
      <c r="M465" s="164"/>
      <c r="N465" s="164"/>
      <c r="O465" s="166"/>
      <c r="P465" s="166"/>
      <c r="Q465" s="166"/>
      <c r="R465" s="166"/>
      <c r="S465" s="166"/>
      <c r="T465" s="166"/>
      <c r="U465" s="166"/>
      <c r="V465" s="166"/>
      <c r="W465" s="166"/>
      <c r="X465" s="166"/>
      <c r="Y465" s="166"/>
      <c r="Z465" s="166"/>
      <c r="AA465" s="166"/>
      <c r="AB465" s="166"/>
      <c r="AC465" s="166"/>
      <c r="AD465" s="166"/>
      <c r="AE465" s="166"/>
      <c r="AF465" s="166"/>
      <c r="AG465" s="166"/>
      <c r="AH465" s="166"/>
      <c r="AI465" s="166"/>
    </row>
    <row r="466" spans="1:35" x14ac:dyDescent="0.2">
      <c r="A466" s="167" t="s">
        <v>99</v>
      </c>
      <c r="B466" s="162">
        <v>8</v>
      </c>
      <c r="C466" s="162">
        <f t="shared" si="14"/>
        <v>1551.25</v>
      </c>
      <c r="D466" s="162" t="s">
        <v>164</v>
      </c>
      <c r="E466" s="168">
        <v>19909439300.829601</v>
      </c>
      <c r="F466" s="168">
        <v>19909439.300829601</v>
      </c>
      <c r="G466" s="168">
        <v>19909.439300829599</v>
      </c>
      <c r="H466" s="168">
        <v>19.9094393008296</v>
      </c>
      <c r="I466" s="164">
        <f>H466*$O$9/0.1*INDEX(Country_details!$N$9:N616,MATCH(Solar_data!A466,Country_details!$A$9:$A$154,0))</f>
        <v>50.769070217115477</v>
      </c>
      <c r="J466" s="164">
        <f t="shared" si="15"/>
        <v>1551.25</v>
      </c>
      <c r="K466" s="164"/>
      <c r="L466" s="164"/>
      <c r="M466" s="164"/>
      <c r="N466" s="164"/>
      <c r="O466" s="166"/>
      <c r="P466" s="166"/>
      <c r="Q466" s="166"/>
      <c r="R466" s="166"/>
      <c r="S466" s="166"/>
      <c r="T466" s="166"/>
      <c r="U466" s="166"/>
      <c r="V466" s="166"/>
      <c r="W466" s="166"/>
      <c r="X466" s="166"/>
      <c r="Y466" s="166"/>
      <c r="Z466" s="166"/>
      <c r="AA466" s="166"/>
      <c r="AB466" s="166"/>
      <c r="AC466" s="166"/>
      <c r="AD466" s="166"/>
      <c r="AE466" s="166"/>
      <c r="AF466" s="166"/>
      <c r="AG466" s="166"/>
      <c r="AH466" s="166"/>
      <c r="AI466" s="166"/>
    </row>
    <row r="467" spans="1:35" x14ac:dyDescent="0.2">
      <c r="A467" s="167" t="s">
        <v>99</v>
      </c>
      <c r="B467" s="162">
        <v>9</v>
      </c>
      <c r="C467" s="162">
        <f t="shared" si="14"/>
        <v>1733.75</v>
      </c>
      <c r="D467" s="162" t="s">
        <v>157</v>
      </c>
      <c r="E467" s="168">
        <v>389856244913.237</v>
      </c>
      <c r="F467" s="168">
        <v>389856244.91323704</v>
      </c>
      <c r="G467" s="168">
        <v>389856.24491323705</v>
      </c>
      <c r="H467" s="168">
        <v>389.85624491323705</v>
      </c>
      <c r="I467" s="164">
        <f>H467*$O$9/0.1*INDEX(Country_details!$N$9:N617,MATCH(Solar_data!A467,Country_details!$A$9:$A$154,0))</f>
        <v>994.1334245287544</v>
      </c>
      <c r="J467" s="164">
        <f t="shared" si="15"/>
        <v>1733.75</v>
      </c>
      <c r="K467" s="164"/>
      <c r="L467" s="164"/>
      <c r="M467" s="164"/>
      <c r="N467" s="164"/>
      <c r="O467" s="166"/>
      <c r="P467" s="166"/>
      <c r="Q467" s="166"/>
      <c r="R467" s="166"/>
      <c r="S467" s="166"/>
      <c r="T467" s="166"/>
      <c r="U467" s="166"/>
      <c r="V467" s="166"/>
      <c r="W467" s="166"/>
      <c r="X467" s="166"/>
      <c r="Y467" s="166"/>
      <c r="Z467" s="166"/>
      <c r="AA467" s="166"/>
      <c r="AB467" s="166"/>
      <c r="AC467" s="166"/>
      <c r="AD467" s="166"/>
      <c r="AE467" s="166"/>
      <c r="AF467" s="166"/>
      <c r="AG467" s="166"/>
      <c r="AH467" s="166"/>
      <c r="AI467" s="166"/>
    </row>
    <row r="468" spans="1:35" x14ac:dyDescent="0.2">
      <c r="A468" s="167" t="s">
        <v>99</v>
      </c>
      <c r="B468" s="162">
        <v>10</v>
      </c>
      <c r="C468" s="162">
        <f t="shared" si="14"/>
        <v>1916.25</v>
      </c>
      <c r="D468" s="162" t="s">
        <v>159</v>
      </c>
      <c r="E468" s="168">
        <v>1436560741356.7593</v>
      </c>
      <c r="F468" s="168">
        <v>1436560741.3567593</v>
      </c>
      <c r="G468" s="168">
        <v>1436560.7413567593</v>
      </c>
      <c r="H468" s="168">
        <v>1436.5607413567593</v>
      </c>
      <c r="I468" s="164">
        <f>H468*$O$9/0.1*INDEX(Country_details!$N$9:N618,MATCH(Solar_data!A468,Country_details!$A$9:$A$154,0))</f>
        <v>3663.229890459736</v>
      </c>
      <c r="J468" s="164">
        <f t="shared" si="15"/>
        <v>1916.25</v>
      </c>
      <c r="K468" s="164"/>
      <c r="L468" s="164"/>
      <c r="M468" s="164"/>
      <c r="N468" s="164"/>
      <c r="O468" s="166"/>
      <c r="P468" s="166"/>
      <c r="Q468" s="166"/>
      <c r="R468" s="166"/>
      <c r="S468" s="166"/>
      <c r="T468" s="166"/>
      <c r="U468" s="166"/>
      <c r="V468" s="166"/>
      <c r="W468" s="166"/>
      <c r="X468" s="166"/>
      <c r="Y468" s="166"/>
      <c r="Z468" s="166"/>
      <c r="AA468" s="166"/>
      <c r="AB468" s="166"/>
      <c r="AC468" s="166"/>
      <c r="AD468" s="166"/>
      <c r="AE468" s="166"/>
      <c r="AF468" s="166"/>
      <c r="AG468" s="166"/>
      <c r="AH468" s="166"/>
      <c r="AI468" s="166"/>
    </row>
    <row r="469" spans="1:35" x14ac:dyDescent="0.2">
      <c r="A469" s="167" t="s">
        <v>99</v>
      </c>
      <c r="B469" s="162">
        <v>11</v>
      </c>
      <c r="C469" s="162">
        <f t="shared" si="14"/>
        <v>2098.75</v>
      </c>
      <c r="D469" s="162" t="s">
        <v>161</v>
      </c>
      <c r="E469" s="168">
        <v>1676102312895.4307</v>
      </c>
      <c r="F469" s="168">
        <v>1676102312.8954308</v>
      </c>
      <c r="G469" s="168">
        <v>1676102.312895431</v>
      </c>
      <c r="H469" s="168">
        <v>1676.1023128954309</v>
      </c>
      <c r="I469" s="164">
        <f>H469*$O$9/0.1*INDEX(Country_details!$N$9:N619,MATCH(Solar_data!A469,Country_details!$A$9:$A$154,0))</f>
        <v>4274.0608978833488</v>
      </c>
      <c r="J469" s="164">
        <f t="shared" si="15"/>
        <v>2098.75</v>
      </c>
      <c r="K469" s="164"/>
      <c r="L469" s="164"/>
      <c r="M469" s="164"/>
      <c r="N469" s="164"/>
      <c r="O469" s="166"/>
      <c r="P469" s="166"/>
      <c r="Q469" s="166"/>
      <c r="R469" s="166"/>
      <c r="S469" s="166"/>
      <c r="T469" s="166"/>
      <c r="U469" s="166"/>
      <c r="V469" s="166"/>
      <c r="W469" s="166"/>
      <c r="X469" s="166"/>
      <c r="Y469" s="166"/>
      <c r="Z469" s="166"/>
      <c r="AA469" s="166"/>
      <c r="AB469" s="166"/>
      <c r="AC469" s="166"/>
      <c r="AD469" s="166"/>
      <c r="AE469" s="166"/>
      <c r="AF469" s="166"/>
      <c r="AG469" s="166"/>
      <c r="AH469" s="166"/>
      <c r="AI469" s="166"/>
    </row>
    <row r="470" spans="1:35" x14ac:dyDescent="0.2">
      <c r="A470" s="167" t="s">
        <v>99</v>
      </c>
      <c r="B470" s="162">
        <v>12</v>
      </c>
      <c r="C470" s="162">
        <f t="shared" si="14"/>
        <v>2281.25</v>
      </c>
      <c r="D470" s="162" t="s">
        <v>162</v>
      </c>
      <c r="E470" s="168">
        <v>1251763116165.1404</v>
      </c>
      <c r="F470" s="168">
        <v>1251763116.1651404</v>
      </c>
      <c r="G470" s="168">
        <v>1251763.1161651404</v>
      </c>
      <c r="H470" s="168">
        <v>1251.7631161651404</v>
      </c>
      <c r="I470" s="164">
        <f>H470*$O$9/0.1*INDEX(Country_details!$N$9:N620,MATCH(Solar_data!A470,Country_details!$A$9:$A$154,0))</f>
        <v>3191.9959462211077</v>
      </c>
      <c r="J470" s="164">
        <f t="shared" si="15"/>
        <v>2281.25</v>
      </c>
      <c r="K470" s="164"/>
      <c r="L470" s="164"/>
      <c r="M470" s="164"/>
      <c r="N470" s="164"/>
      <c r="O470" s="166"/>
      <c r="P470" s="166"/>
      <c r="Q470" s="166"/>
      <c r="R470" s="166"/>
      <c r="S470" s="166"/>
      <c r="T470" s="166"/>
      <c r="U470" s="166"/>
      <c r="V470" s="166"/>
      <c r="W470" s="166"/>
      <c r="X470" s="166"/>
      <c r="Y470" s="166"/>
      <c r="Z470" s="166"/>
      <c r="AA470" s="166"/>
      <c r="AB470" s="166"/>
      <c r="AC470" s="166"/>
      <c r="AD470" s="166"/>
      <c r="AE470" s="166"/>
      <c r="AF470" s="166"/>
      <c r="AG470" s="166"/>
      <c r="AH470" s="166"/>
      <c r="AI470" s="166"/>
    </row>
    <row r="471" spans="1:35" x14ac:dyDescent="0.2">
      <c r="A471" s="167" t="s">
        <v>245</v>
      </c>
      <c r="B471" s="162">
        <v>8</v>
      </c>
      <c r="C471" s="162">
        <f t="shared" si="14"/>
        <v>1551.25</v>
      </c>
      <c r="D471" s="162" t="s">
        <v>164</v>
      </c>
      <c r="E471" s="168">
        <v>6516333033.5243998</v>
      </c>
      <c r="F471" s="168">
        <v>6516333.0335243996</v>
      </c>
      <c r="G471" s="168">
        <v>6516.3330335244</v>
      </c>
      <c r="H471" s="168">
        <v>6.5163330335244005</v>
      </c>
      <c r="I471" s="164" t="e">
        <f>H471*$O$9/0.1*INDEX(Country_details!$N$9:N621,MATCH(Solar_data!A471,Country_details!$A$9:$A$154,0))</f>
        <v>#N/A</v>
      </c>
      <c r="J471" s="164">
        <f t="shared" si="15"/>
        <v>1551.25</v>
      </c>
      <c r="K471" s="164"/>
      <c r="L471" s="164"/>
      <c r="M471" s="164"/>
      <c r="N471" s="164"/>
      <c r="O471" s="166"/>
      <c r="P471" s="166"/>
      <c r="Q471" s="166"/>
      <c r="R471" s="166"/>
      <c r="S471" s="166"/>
      <c r="T471" s="166"/>
      <c r="U471" s="166"/>
      <c r="V471" s="166"/>
      <c r="W471" s="166"/>
      <c r="X471" s="166"/>
      <c r="Y471" s="166"/>
      <c r="Z471" s="166"/>
      <c r="AA471" s="166"/>
      <c r="AB471" s="166"/>
      <c r="AC471" s="166"/>
      <c r="AD471" s="166"/>
      <c r="AE471" s="166"/>
      <c r="AF471" s="166"/>
      <c r="AG471" s="166"/>
      <c r="AH471" s="166"/>
      <c r="AI471" s="166"/>
    </row>
    <row r="472" spans="1:35" x14ac:dyDescent="0.2">
      <c r="A472" s="167" t="s">
        <v>245</v>
      </c>
      <c r="B472" s="162">
        <v>9</v>
      </c>
      <c r="C472" s="162">
        <f t="shared" si="14"/>
        <v>1733.75</v>
      </c>
      <c r="D472" s="162" t="s">
        <v>157</v>
      </c>
      <c r="E472" s="168">
        <v>28556703003.994099</v>
      </c>
      <c r="F472" s="168">
        <v>28556703.0039941</v>
      </c>
      <c r="G472" s="168">
        <v>28556.703003994102</v>
      </c>
      <c r="H472" s="168">
        <v>28.556703003994102</v>
      </c>
      <c r="I472" s="164" t="e">
        <f>H472*$O$9/0.1*INDEX(Country_details!$N$9:N622,MATCH(Solar_data!A472,Country_details!$A$9:$A$154,0))</f>
        <v>#N/A</v>
      </c>
      <c r="J472" s="164">
        <f t="shared" si="15"/>
        <v>1733.75</v>
      </c>
      <c r="K472" s="164"/>
      <c r="L472" s="164"/>
      <c r="M472" s="164"/>
      <c r="N472" s="164"/>
      <c r="O472" s="166"/>
      <c r="P472" s="166"/>
      <c r="Q472" s="166"/>
      <c r="R472" s="166"/>
      <c r="S472" s="166"/>
      <c r="T472" s="166"/>
      <c r="U472" s="166"/>
      <c r="V472" s="166"/>
      <c r="W472" s="166"/>
      <c r="X472" s="166"/>
      <c r="Y472" s="166"/>
      <c r="Z472" s="166"/>
      <c r="AA472" s="166"/>
      <c r="AB472" s="166"/>
      <c r="AC472" s="166"/>
      <c r="AD472" s="166"/>
      <c r="AE472" s="166"/>
      <c r="AF472" s="166"/>
      <c r="AG472" s="166"/>
      <c r="AH472" s="166"/>
      <c r="AI472" s="166"/>
    </row>
    <row r="473" spans="1:35" x14ac:dyDescent="0.2">
      <c r="A473" s="167" t="s">
        <v>245</v>
      </c>
      <c r="B473" s="162">
        <v>10</v>
      </c>
      <c r="C473" s="162">
        <f t="shared" si="14"/>
        <v>1916.25</v>
      </c>
      <c r="D473" s="162" t="s">
        <v>159</v>
      </c>
      <c r="E473" s="168">
        <v>40047995.288099997</v>
      </c>
      <c r="F473" s="168">
        <v>40047.995288099999</v>
      </c>
      <c r="G473" s="168">
        <v>40.047995288099997</v>
      </c>
      <c r="H473" s="168">
        <v>4.0047995288099998E-2</v>
      </c>
      <c r="I473" s="164" t="e">
        <f>H473*$O$9/0.1*INDEX(Country_details!$N$9:N623,MATCH(Solar_data!A473,Country_details!$A$9:$A$154,0))</f>
        <v>#N/A</v>
      </c>
      <c r="J473" s="164">
        <f t="shared" si="15"/>
        <v>1916.25</v>
      </c>
      <c r="K473" s="164"/>
      <c r="L473" s="164"/>
      <c r="M473" s="164"/>
      <c r="N473" s="164"/>
      <c r="O473" s="166"/>
      <c r="P473" s="166"/>
      <c r="Q473" s="166"/>
      <c r="R473" s="166"/>
      <c r="S473" s="166"/>
      <c r="T473" s="166"/>
      <c r="U473" s="166"/>
      <c r="V473" s="166"/>
      <c r="W473" s="166"/>
      <c r="X473" s="166"/>
      <c r="Y473" s="166"/>
      <c r="Z473" s="166"/>
      <c r="AA473" s="166"/>
      <c r="AB473" s="166"/>
      <c r="AC473" s="166"/>
      <c r="AD473" s="166"/>
      <c r="AE473" s="166"/>
      <c r="AF473" s="166"/>
      <c r="AG473" s="166"/>
      <c r="AH473" s="166"/>
      <c r="AI473" s="166"/>
    </row>
    <row r="474" spans="1:35" x14ac:dyDescent="0.2">
      <c r="A474" s="167" t="s">
        <v>246</v>
      </c>
      <c r="B474" s="162">
        <v>10</v>
      </c>
      <c r="C474" s="162">
        <f t="shared" si="14"/>
        <v>1916.25</v>
      </c>
      <c r="D474" s="162" t="s">
        <v>159</v>
      </c>
      <c r="E474" s="168">
        <v>219511191.69299999</v>
      </c>
      <c r="F474" s="168">
        <v>219511.191693</v>
      </c>
      <c r="G474" s="168">
        <v>219.511191693</v>
      </c>
      <c r="H474" s="168">
        <v>0.21951119169300001</v>
      </c>
      <c r="I474" s="164" t="e">
        <f>H474*$O$9/0.1*INDEX(Country_details!$N$9:N624,MATCH(Solar_data!A474,Country_details!$A$9:$A$154,0))</f>
        <v>#N/A</v>
      </c>
      <c r="J474" s="164">
        <f t="shared" si="15"/>
        <v>1916.25</v>
      </c>
      <c r="K474" s="164"/>
      <c r="L474" s="164"/>
      <c r="M474" s="164"/>
      <c r="N474" s="164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6"/>
      <c r="Z474" s="166"/>
      <c r="AA474" s="166"/>
      <c r="AB474" s="166"/>
      <c r="AC474" s="166"/>
      <c r="AD474" s="166"/>
      <c r="AE474" s="166"/>
      <c r="AF474" s="166"/>
      <c r="AG474" s="166"/>
      <c r="AH474" s="166"/>
      <c r="AI474" s="166"/>
    </row>
    <row r="475" spans="1:35" x14ac:dyDescent="0.2">
      <c r="A475" s="167" t="s">
        <v>100</v>
      </c>
      <c r="B475" s="162">
        <v>10</v>
      </c>
      <c r="C475" s="162">
        <f t="shared" si="14"/>
        <v>1916.25</v>
      </c>
      <c r="D475" s="162" t="s">
        <v>159</v>
      </c>
      <c r="E475" s="168">
        <v>364496591260.83502</v>
      </c>
      <c r="F475" s="168">
        <v>364496591.26083505</v>
      </c>
      <c r="G475" s="168">
        <v>364496.59126083506</v>
      </c>
      <c r="H475" s="168">
        <v>364.49659126083509</v>
      </c>
      <c r="I475" s="164">
        <f>H475*$O$9/0.1*INDEX(Country_details!$N$9:N625,MATCH(Solar_data!A475,Country_details!$A$9:$A$154,0))</f>
        <v>874.79181902600419</v>
      </c>
      <c r="J475" s="164">
        <f t="shared" si="15"/>
        <v>1916.25</v>
      </c>
      <c r="K475" s="164"/>
      <c r="L475" s="164"/>
      <c r="M475" s="164"/>
      <c r="N475" s="164"/>
      <c r="O475" s="166"/>
      <c r="P475" s="166"/>
      <c r="Q475" s="166"/>
      <c r="R475" s="166"/>
      <c r="S475" s="166"/>
      <c r="T475" s="166"/>
      <c r="U475" s="166"/>
      <c r="V475" s="166"/>
      <c r="W475" s="166"/>
      <c r="X475" s="166"/>
      <c r="Y475" s="166"/>
      <c r="Z475" s="166"/>
      <c r="AA475" s="166"/>
      <c r="AB475" s="166"/>
      <c r="AC475" s="166"/>
      <c r="AD475" s="166"/>
      <c r="AE475" s="166"/>
      <c r="AF475" s="166"/>
      <c r="AG475" s="166"/>
      <c r="AH475" s="166"/>
      <c r="AI475" s="166"/>
    </row>
    <row r="476" spans="1:35" x14ac:dyDescent="0.2">
      <c r="A476" s="167" t="s">
        <v>100</v>
      </c>
      <c r="B476" s="162">
        <v>11</v>
      </c>
      <c r="C476" s="162">
        <f t="shared" si="14"/>
        <v>2098.75</v>
      </c>
      <c r="D476" s="162" t="s">
        <v>161</v>
      </c>
      <c r="E476" s="168">
        <v>308697880543.12421</v>
      </c>
      <c r="F476" s="168">
        <v>308697880.5431242</v>
      </c>
      <c r="G476" s="168">
        <v>308697.88054312422</v>
      </c>
      <c r="H476" s="168">
        <v>308.69788054312426</v>
      </c>
      <c r="I476" s="164">
        <f>H476*$O$9/0.1*INDEX(Country_details!$N$9:N626,MATCH(Solar_data!A476,Country_details!$A$9:$A$154,0))</f>
        <v>740.87491330349815</v>
      </c>
      <c r="J476" s="164">
        <f t="shared" si="15"/>
        <v>2098.75</v>
      </c>
      <c r="K476" s="164"/>
      <c r="L476" s="164"/>
      <c r="M476" s="164"/>
      <c r="N476" s="164"/>
      <c r="O476" s="166"/>
      <c r="P476" s="166"/>
      <c r="Q476" s="166"/>
      <c r="R476" s="166"/>
      <c r="S476" s="166"/>
      <c r="T476" s="166"/>
      <c r="U476" s="166"/>
      <c r="V476" s="166"/>
      <c r="W476" s="166"/>
      <c r="X476" s="166"/>
      <c r="Y476" s="166"/>
      <c r="Z476" s="166"/>
      <c r="AA476" s="166"/>
      <c r="AB476" s="166"/>
      <c r="AC476" s="166"/>
      <c r="AD476" s="166"/>
      <c r="AE476" s="166"/>
      <c r="AF476" s="166"/>
      <c r="AG476" s="166"/>
      <c r="AH476" s="166"/>
      <c r="AI476" s="166"/>
    </row>
    <row r="477" spans="1:35" x14ac:dyDescent="0.2">
      <c r="A477" s="167" t="s">
        <v>100</v>
      </c>
      <c r="B477" s="162">
        <v>12</v>
      </c>
      <c r="C477" s="162">
        <f t="shared" si="14"/>
        <v>2281.25</v>
      </c>
      <c r="D477" s="162" t="s">
        <v>162</v>
      </c>
      <c r="E477" s="168">
        <v>340692800584.20258</v>
      </c>
      <c r="F477" s="168">
        <v>340692800.58420259</v>
      </c>
      <c r="G477" s="168">
        <v>340692.80058420257</v>
      </c>
      <c r="H477" s="168">
        <v>340.69280058420259</v>
      </c>
      <c r="I477" s="164">
        <f>H477*$O$9/0.1*INDEX(Country_details!$N$9:N627,MATCH(Solar_data!A477,Country_details!$A$9:$A$154,0))</f>
        <v>817.66272140208616</v>
      </c>
      <c r="J477" s="164">
        <f t="shared" si="15"/>
        <v>2281.25</v>
      </c>
      <c r="K477" s="164"/>
      <c r="L477" s="164"/>
      <c r="M477" s="164"/>
      <c r="N477" s="164"/>
      <c r="O477" s="166"/>
      <c r="P477" s="166"/>
      <c r="Q477" s="166"/>
      <c r="R477" s="166"/>
      <c r="S477" s="166"/>
      <c r="T477" s="166"/>
      <c r="U477" s="166"/>
      <c r="V477" s="166"/>
      <c r="W477" s="166"/>
      <c r="X477" s="166"/>
      <c r="Y477" s="166"/>
      <c r="Z477" s="166"/>
      <c r="AA477" s="166"/>
      <c r="AB477" s="166"/>
      <c r="AC477" s="166"/>
      <c r="AD477" s="166"/>
      <c r="AE477" s="166"/>
      <c r="AF477" s="166"/>
      <c r="AG477" s="166"/>
      <c r="AH477" s="166"/>
      <c r="AI477" s="166"/>
    </row>
    <row r="478" spans="1:35" x14ac:dyDescent="0.2">
      <c r="A478" s="167" t="s">
        <v>100</v>
      </c>
      <c r="B478" s="162">
        <v>13</v>
      </c>
      <c r="C478" s="162">
        <f t="shared" si="14"/>
        <v>2463.75</v>
      </c>
      <c r="D478" s="162" t="s">
        <v>163</v>
      </c>
      <c r="E478" s="168">
        <v>301233942356.72742</v>
      </c>
      <c r="F478" s="168">
        <v>301233942.35672742</v>
      </c>
      <c r="G478" s="168">
        <v>301233.94235672744</v>
      </c>
      <c r="H478" s="168">
        <v>301.23394235672743</v>
      </c>
      <c r="I478" s="164">
        <f>H478*$O$9/0.1*INDEX(Country_details!$N$9:N628,MATCH(Solar_data!A478,Country_details!$A$9:$A$154,0))</f>
        <v>722.96146165614584</v>
      </c>
      <c r="J478" s="164">
        <f t="shared" si="15"/>
        <v>2463.75</v>
      </c>
      <c r="K478" s="164"/>
      <c r="L478" s="164"/>
      <c r="M478" s="164"/>
      <c r="N478" s="164"/>
      <c r="O478" s="166"/>
      <c r="P478" s="166"/>
      <c r="Q478" s="166"/>
      <c r="R478" s="166"/>
      <c r="S478" s="166"/>
      <c r="T478" s="166"/>
      <c r="U478" s="166"/>
      <c r="V478" s="166"/>
      <c r="W478" s="166"/>
      <c r="X478" s="166"/>
      <c r="Y478" s="166"/>
      <c r="Z478" s="166"/>
      <c r="AA478" s="166"/>
      <c r="AB478" s="166"/>
      <c r="AC478" s="166"/>
      <c r="AD478" s="166"/>
      <c r="AE478" s="166"/>
      <c r="AF478" s="166"/>
      <c r="AG478" s="166"/>
      <c r="AH478" s="166"/>
      <c r="AI478" s="166"/>
    </row>
    <row r="479" spans="1:35" x14ac:dyDescent="0.2">
      <c r="A479" s="167" t="s">
        <v>101</v>
      </c>
      <c r="B479" s="162">
        <v>10</v>
      </c>
      <c r="C479" s="162">
        <f t="shared" si="14"/>
        <v>1916.25</v>
      </c>
      <c r="D479" s="162" t="s">
        <v>159</v>
      </c>
      <c r="E479" s="168">
        <v>204714855706.21301</v>
      </c>
      <c r="F479" s="168">
        <v>204714855.70621303</v>
      </c>
      <c r="G479" s="168">
        <v>204714.85570621304</v>
      </c>
      <c r="H479" s="168">
        <v>204.71485570621306</v>
      </c>
      <c r="I479" s="164">
        <f>H479*$O$9/0.1*INDEX(Country_details!$N$9:N629,MATCH(Solar_data!A479,Country_details!$A$9:$A$154,0))</f>
        <v>522.02288205084324</v>
      </c>
      <c r="J479" s="164">
        <f t="shared" si="15"/>
        <v>1916.25</v>
      </c>
      <c r="K479" s="164"/>
      <c r="L479" s="164"/>
      <c r="M479" s="164"/>
      <c r="N479" s="164"/>
      <c r="O479" s="166"/>
      <c r="P479" s="166"/>
      <c r="Q479" s="166"/>
      <c r="R479" s="166"/>
      <c r="S479" s="166"/>
      <c r="T479" s="166"/>
      <c r="U479" s="166"/>
      <c r="V479" s="166"/>
      <c r="W479" s="166"/>
      <c r="X479" s="166"/>
      <c r="Y479" s="166"/>
      <c r="Z479" s="166"/>
      <c r="AA479" s="166"/>
      <c r="AB479" s="166"/>
      <c r="AC479" s="166"/>
      <c r="AD479" s="166"/>
      <c r="AE479" s="166"/>
      <c r="AF479" s="166"/>
      <c r="AG479" s="166"/>
      <c r="AH479" s="166"/>
      <c r="AI479" s="166"/>
    </row>
    <row r="480" spans="1:35" x14ac:dyDescent="0.2">
      <c r="A480" s="167" t="s">
        <v>101</v>
      </c>
      <c r="B480" s="162">
        <v>11</v>
      </c>
      <c r="C480" s="162">
        <f t="shared" si="14"/>
        <v>2098.75</v>
      </c>
      <c r="D480" s="162" t="s">
        <v>161</v>
      </c>
      <c r="E480" s="168">
        <v>2014807266655.9417</v>
      </c>
      <c r="F480" s="168">
        <v>2014807266.6559417</v>
      </c>
      <c r="G480" s="168">
        <v>2014807.2666559417</v>
      </c>
      <c r="H480" s="168">
        <v>2014.8072666559417</v>
      </c>
      <c r="I480" s="164">
        <f>H480*$O$9/0.1*INDEX(Country_details!$N$9:N630,MATCH(Solar_data!A480,Country_details!$A$9:$A$154,0))</f>
        <v>5137.7585299726506</v>
      </c>
      <c r="J480" s="164">
        <f t="shared" si="15"/>
        <v>2098.75</v>
      </c>
      <c r="K480" s="164"/>
      <c r="L480" s="164"/>
      <c r="M480" s="164"/>
      <c r="N480" s="164"/>
      <c r="O480" s="166"/>
      <c r="P480" s="166"/>
      <c r="Q480" s="166"/>
      <c r="R480" s="166"/>
      <c r="S480" s="166"/>
      <c r="T480" s="166"/>
      <c r="U480" s="166"/>
      <c r="V480" s="166"/>
      <c r="W480" s="166"/>
      <c r="X480" s="166"/>
      <c r="Y480" s="166"/>
      <c r="Z480" s="166"/>
      <c r="AA480" s="166"/>
      <c r="AB480" s="166"/>
      <c r="AC480" s="166"/>
      <c r="AD480" s="166"/>
      <c r="AE480" s="166"/>
      <c r="AF480" s="166"/>
      <c r="AG480" s="166"/>
      <c r="AH480" s="166"/>
      <c r="AI480" s="166"/>
    </row>
    <row r="481" spans="1:35" x14ac:dyDescent="0.2">
      <c r="A481" s="167" t="s">
        <v>101</v>
      </c>
      <c r="B481" s="162">
        <v>12</v>
      </c>
      <c r="C481" s="162">
        <f t="shared" si="14"/>
        <v>2281.25</v>
      </c>
      <c r="D481" s="162" t="s">
        <v>162</v>
      </c>
      <c r="E481" s="168">
        <v>258048492362.06299</v>
      </c>
      <c r="F481" s="168">
        <v>258048492.36206299</v>
      </c>
      <c r="G481" s="168">
        <v>258048.492362063</v>
      </c>
      <c r="H481" s="168">
        <v>258.04849236206303</v>
      </c>
      <c r="I481" s="164">
        <f>H481*$O$9/0.1*INDEX(Country_details!$N$9:N631,MATCH(Solar_data!A481,Country_details!$A$9:$A$154,0))</f>
        <v>658.02365552326069</v>
      </c>
      <c r="J481" s="164">
        <f t="shared" si="15"/>
        <v>2281.25</v>
      </c>
      <c r="K481" s="164"/>
      <c r="L481" s="164"/>
      <c r="M481" s="164"/>
      <c r="N481" s="164"/>
      <c r="O481" s="166"/>
      <c r="P481" s="166"/>
      <c r="Q481" s="166"/>
      <c r="R481" s="166"/>
      <c r="S481" s="166"/>
      <c r="T481" s="166"/>
      <c r="U481" s="166"/>
      <c r="V481" s="166"/>
      <c r="W481" s="166"/>
      <c r="X481" s="166"/>
      <c r="Y481" s="166"/>
      <c r="Z481" s="166"/>
      <c r="AA481" s="166"/>
      <c r="AB481" s="166"/>
      <c r="AC481" s="166"/>
      <c r="AD481" s="166"/>
      <c r="AE481" s="166"/>
      <c r="AF481" s="166"/>
      <c r="AG481" s="166"/>
      <c r="AH481" s="166"/>
      <c r="AI481" s="166"/>
    </row>
    <row r="482" spans="1:35" x14ac:dyDescent="0.2">
      <c r="A482" s="167" t="s">
        <v>102</v>
      </c>
      <c r="B482" s="162">
        <v>8</v>
      </c>
      <c r="C482" s="162">
        <f t="shared" si="14"/>
        <v>1551.25</v>
      </c>
      <c r="D482" s="162" t="s">
        <v>164</v>
      </c>
      <c r="E482" s="168">
        <v>16211423026.3144</v>
      </c>
      <c r="F482" s="168">
        <v>16211423.0263144</v>
      </c>
      <c r="G482" s="168">
        <v>16211.4230263144</v>
      </c>
      <c r="H482" s="168">
        <v>16.211423026314399</v>
      </c>
      <c r="I482" s="164">
        <f>H482*$O$9/0.1*INDEX(Country_details!$N$9:N632,MATCH(Solar_data!A482,Country_details!$A$9:$A$154,0))</f>
        <v>43.770842171048876</v>
      </c>
      <c r="J482" s="164">
        <f t="shared" si="15"/>
        <v>1551.25</v>
      </c>
      <c r="K482" s="164"/>
      <c r="L482" s="164"/>
      <c r="M482" s="164"/>
      <c r="N482" s="164"/>
      <c r="O482" s="166"/>
      <c r="P482" s="166"/>
      <c r="Q482" s="166"/>
      <c r="R482" s="166"/>
      <c r="S482" s="166"/>
      <c r="T482" s="166"/>
      <c r="U482" s="166"/>
      <c r="V482" s="166"/>
      <c r="W482" s="166"/>
      <c r="X482" s="166"/>
      <c r="Y482" s="166"/>
      <c r="Z482" s="166"/>
      <c r="AA482" s="166"/>
      <c r="AB482" s="166"/>
      <c r="AC482" s="166"/>
      <c r="AD482" s="166"/>
      <c r="AE482" s="166"/>
      <c r="AF482" s="166"/>
      <c r="AG482" s="166"/>
      <c r="AH482" s="166"/>
      <c r="AI482" s="166"/>
    </row>
    <row r="483" spans="1:35" x14ac:dyDescent="0.2">
      <c r="A483" s="167" t="s">
        <v>102</v>
      </c>
      <c r="B483" s="162">
        <v>9</v>
      </c>
      <c r="C483" s="162">
        <f t="shared" si="14"/>
        <v>1733.75</v>
      </c>
      <c r="D483" s="162" t="s">
        <v>157</v>
      </c>
      <c r="E483" s="168">
        <v>143160317217.60941</v>
      </c>
      <c r="F483" s="168">
        <v>143160317.21760941</v>
      </c>
      <c r="G483" s="168">
        <v>143160.31721760941</v>
      </c>
      <c r="H483" s="168">
        <v>143.16031721760942</v>
      </c>
      <c r="I483" s="164">
        <f>H483*$O$9/0.1*INDEX(Country_details!$N$9:N633,MATCH(Solar_data!A483,Country_details!$A$9:$A$154,0))</f>
        <v>386.53285648754536</v>
      </c>
      <c r="J483" s="164">
        <f t="shared" si="15"/>
        <v>1733.75</v>
      </c>
      <c r="K483" s="164"/>
      <c r="L483" s="164"/>
      <c r="M483" s="164"/>
      <c r="N483" s="164"/>
      <c r="O483" s="166"/>
      <c r="P483" s="166"/>
      <c r="Q483" s="166"/>
      <c r="R483" s="166"/>
      <c r="S483" s="166"/>
      <c r="T483" s="166"/>
      <c r="U483" s="166"/>
      <c r="V483" s="166"/>
      <c r="W483" s="166"/>
      <c r="X483" s="166"/>
      <c r="Y483" s="166"/>
      <c r="Z483" s="166"/>
      <c r="AA483" s="166"/>
      <c r="AB483" s="166"/>
      <c r="AC483" s="166"/>
      <c r="AD483" s="166"/>
      <c r="AE483" s="166"/>
      <c r="AF483" s="166"/>
      <c r="AG483" s="166"/>
      <c r="AH483" s="166"/>
      <c r="AI483" s="166"/>
    </row>
    <row r="484" spans="1:35" x14ac:dyDescent="0.2">
      <c r="A484" s="167" t="s">
        <v>102</v>
      </c>
      <c r="B484" s="162">
        <v>10</v>
      </c>
      <c r="C484" s="162">
        <f t="shared" si="14"/>
        <v>1916.25</v>
      </c>
      <c r="D484" s="162" t="s">
        <v>159</v>
      </c>
      <c r="E484" s="168">
        <v>943227855771.41479</v>
      </c>
      <c r="F484" s="168">
        <v>943227855.77141476</v>
      </c>
      <c r="G484" s="168">
        <v>943227.85577141482</v>
      </c>
      <c r="H484" s="168">
        <v>943.22785577141485</v>
      </c>
      <c r="I484" s="164">
        <f>H484*$O$9/0.1*INDEX(Country_details!$N$9:N634,MATCH(Solar_data!A484,Country_details!$A$9:$A$154,0))</f>
        <v>2546.71521058282</v>
      </c>
      <c r="J484" s="164">
        <f t="shared" si="15"/>
        <v>1916.25</v>
      </c>
      <c r="K484" s="164"/>
      <c r="L484" s="164"/>
      <c r="M484" s="164"/>
      <c r="N484" s="164"/>
      <c r="O484" s="166"/>
      <c r="P484" s="166"/>
      <c r="Q484" s="166"/>
      <c r="R484" s="166"/>
      <c r="S484" s="166"/>
      <c r="T484" s="166"/>
      <c r="U484" s="166"/>
      <c r="V484" s="166"/>
      <c r="W484" s="166"/>
      <c r="X484" s="166"/>
      <c r="Y484" s="166"/>
      <c r="Z484" s="166"/>
      <c r="AA484" s="166"/>
      <c r="AB484" s="166"/>
      <c r="AC484" s="166"/>
      <c r="AD484" s="166"/>
      <c r="AE484" s="166"/>
      <c r="AF484" s="166"/>
      <c r="AG484" s="166"/>
      <c r="AH484" s="166"/>
      <c r="AI484" s="166"/>
    </row>
    <row r="485" spans="1:35" x14ac:dyDescent="0.2">
      <c r="A485" s="167" t="s">
        <v>102</v>
      </c>
      <c r="B485" s="162">
        <v>11</v>
      </c>
      <c r="C485" s="162">
        <f t="shared" si="14"/>
        <v>2098.75</v>
      </c>
      <c r="D485" s="162" t="s">
        <v>161</v>
      </c>
      <c r="E485" s="168">
        <v>837806893109.34729</v>
      </c>
      <c r="F485" s="168">
        <v>837806893.10934734</v>
      </c>
      <c r="G485" s="168">
        <v>837806.89310934732</v>
      </c>
      <c r="H485" s="168">
        <v>837.80689310934736</v>
      </c>
      <c r="I485" s="164">
        <f>H485*$O$9/0.1*INDEX(Country_details!$N$9:N635,MATCH(Solar_data!A485,Country_details!$A$9:$A$154,0))</f>
        <v>2262.0786113952377</v>
      </c>
      <c r="J485" s="164">
        <f t="shared" si="15"/>
        <v>2098.75</v>
      </c>
      <c r="K485" s="164"/>
      <c r="L485" s="164"/>
      <c r="M485" s="164"/>
      <c r="N485" s="164"/>
      <c r="O485" s="166"/>
      <c r="P485" s="166"/>
      <c r="Q485" s="166"/>
      <c r="R485" s="166"/>
      <c r="S485" s="166"/>
      <c r="T485" s="166"/>
      <c r="U485" s="166"/>
      <c r="V485" s="166"/>
      <c r="W485" s="166"/>
      <c r="X485" s="166"/>
      <c r="Y485" s="166"/>
      <c r="Z485" s="166"/>
      <c r="AA485" s="166"/>
      <c r="AB485" s="166"/>
      <c r="AC485" s="166"/>
      <c r="AD485" s="166"/>
      <c r="AE485" s="166"/>
      <c r="AF485" s="166"/>
      <c r="AG485" s="166"/>
      <c r="AH485" s="166"/>
      <c r="AI485" s="166"/>
    </row>
    <row r="486" spans="1:35" x14ac:dyDescent="0.2">
      <c r="A486" s="167" t="s">
        <v>103</v>
      </c>
      <c r="B486" s="162">
        <v>10</v>
      </c>
      <c r="C486" s="162">
        <f t="shared" si="14"/>
        <v>1916.25</v>
      </c>
      <c r="D486" s="162" t="s">
        <v>159</v>
      </c>
      <c r="E486" s="168">
        <v>12440804234.3874</v>
      </c>
      <c r="F486" s="168">
        <v>12440804.2343874</v>
      </c>
      <c r="G486" s="168">
        <v>12440.8042343874</v>
      </c>
      <c r="H486" s="168">
        <v>12.4408042343874</v>
      </c>
      <c r="I486" s="164">
        <f>H486*$O$9/0.1*INDEX(Country_details!$N$9:N636,MATCH(Solar_data!A486,Country_details!$A$9:$A$154,0))</f>
        <v>27.991809527371643</v>
      </c>
      <c r="J486" s="164">
        <f t="shared" si="15"/>
        <v>1916.25</v>
      </c>
      <c r="K486" s="164"/>
      <c r="L486" s="164"/>
      <c r="M486" s="164"/>
      <c r="N486" s="164"/>
      <c r="O486" s="166"/>
      <c r="P486" s="166"/>
      <c r="Q486" s="166"/>
      <c r="R486" s="166"/>
      <c r="S486" s="166"/>
      <c r="T486" s="166"/>
      <c r="U486" s="166"/>
      <c r="V486" s="166"/>
      <c r="W486" s="166"/>
      <c r="X486" s="166"/>
      <c r="Y486" s="166"/>
      <c r="Z486" s="166"/>
      <c r="AA486" s="166"/>
      <c r="AB486" s="166"/>
      <c r="AC486" s="166"/>
      <c r="AD486" s="166"/>
      <c r="AE486" s="166"/>
      <c r="AF486" s="166"/>
      <c r="AG486" s="166"/>
      <c r="AH486" s="166"/>
      <c r="AI486" s="166"/>
    </row>
    <row r="487" spans="1:35" x14ac:dyDescent="0.2">
      <c r="A487" s="167" t="s">
        <v>103</v>
      </c>
      <c r="B487" s="162">
        <v>11</v>
      </c>
      <c r="C487" s="162">
        <f t="shared" si="14"/>
        <v>2098.75</v>
      </c>
      <c r="D487" s="162" t="s">
        <v>161</v>
      </c>
      <c r="E487" s="168">
        <v>43297147561.760201</v>
      </c>
      <c r="F487" s="168">
        <v>43297147.561760202</v>
      </c>
      <c r="G487" s="168">
        <v>43297.147561760205</v>
      </c>
      <c r="H487" s="168">
        <v>43.297147561760205</v>
      </c>
      <c r="I487" s="164">
        <f>H487*$O$9/0.1*INDEX(Country_details!$N$9:N637,MATCH(Solar_data!A487,Country_details!$A$9:$A$154,0))</f>
        <v>97.418582013960446</v>
      </c>
      <c r="J487" s="164">
        <f t="shared" si="15"/>
        <v>2098.75</v>
      </c>
      <c r="K487" s="164"/>
      <c r="L487" s="164"/>
      <c r="M487" s="164"/>
      <c r="N487" s="164"/>
      <c r="O487" s="166"/>
      <c r="P487" s="166"/>
      <c r="Q487" s="166"/>
      <c r="R487" s="166"/>
      <c r="S487" s="166"/>
      <c r="T487" s="166"/>
      <c r="U487" s="166"/>
      <c r="V487" s="166"/>
      <c r="W487" s="166"/>
      <c r="X487" s="166"/>
      <c r="Y487" s="166"/>
      <c r="Z487" s="166"/>
      <c r="AA487" s="166"/>
      <c r="AB487" s="166"/>
      <c r="AC487" s="166"/>
      <c r="AD487" s="166"/>
      <c r="AE487" s="166"/>
      <c r="AF487" s="166"/>
      <c r="AG487" s="166"/>
      <c r="AH487" s="166"/>
      <c r="AI487" s="166"/>
    </row>
    <row r="488" spans="1:35" x14ac:dyDescent="0.2">
      <c r="A488" s="167" t="s">
        <v>103</v>
      </c>
      <c r="B488" s="162">
        <v>12</v>
      </c>
      <c r="C488" s="162">
        <f t="shared" si="14"/>
        <v>2281.25</v>
      </c>
      <c r="D488" s="162" t="s">
        <v>162</v>
      </c>
      <c r="E488" s="168">
        <v>485042934998.53278</v>
      </c>
      <c r="F488" s="168">
        <v>485042934.99853277</v>
      </c>
      <c r="G488" s="168">
        <v>485042.93499853276</v>
      </c>
      <c r="H488" s="168">
        <v>485.04293499853276</v>
      </c>
      <c r="I488" s="164">
        <f>H488*$O$9/0.1*INDEX(Country_details!$N$9:N638,MATCH(Solar_data!A488,Country_details!$A$9:$A$154,0))</f>
        <v>1091.3466037466985</v>
      </c>
      <c r="J488" s="164">
        <f t="shared" si="15"/>
        <v>2281.25</v>
      </c>
      <c r="K488" s="164"/>
      <c r="L488" s="164"/>
      <c r="M488" s="164"/>
      <c r="N488" s="164"/>
      <c r="O488" s="166"/>
      <c r="P488" s="166"/>
      <c r="Q488" s="166"/>
      <c r="R488" s="166"/>
      <c r="S488" s="166"/>
      <c r="T488" s="166"/>
      <c r="U488" s="166"/>
      <c r="V488" s="166"/>
      <c r="W488" s="166"/>
      <c r="X488" s="166"/>
      <c r="Y488" s="166"/>
      <c r="Z488" s="166"/>
      <c r="AA488" s="166"/>
      <c r="AB488" s="166"/>
      <c r="AC488" s="166"/>
      <c r="AD488" s="166"/>
      <c r="AE488" s="166"/>
      <c r="AF488" s="166"/>
      <c r="AG488" s="166"/>
      <c r="AH488" s="166"/>
      <c r="AI488" s="166"/>
    </row>
    <row r="489" spans="1:35" x14ac:dyDescent="0.2">
      <c r="A489" s="167" t="s">
        <v>103</v>
      </c>
      <c r="B489" s="162">
        <v>13</v>
      </c>
      <c r="C489" s="162">
        <f t="shared" si="14"/>
        <v>2463.75</v>
      </c>
      <c r="D489" s="162" t="s">
        <v>163</v>
      </c>
      <c r="E489" s="168">
        <v>2383734312725.8525</v>
      </c>
      <c r="F489" s="168">
        <v>2383734312.7258525</v>
      </c>
      <c r="G489" s="168">
        <v>2383734.3127258527</v>
      </c>
      <c r="H489" s="168">
        <v>2383.7343127258528</v>
      </c>
      <c r="I489" s="164">
        <f>H489*$O$9/0.1*INDEX(Country_details!$N$9:N639,MATCH(Solar_data!A489,Country_details!$A$9:$A$154,0))</f>
        <v>5363.4022036331689</v>
      </c>
      <c r="J489" s="164">
        <f t="shared" si="15"/>
        <v>2463.75</v>
      </c>
      <c r="K489" s="164"/>
      <c r="L489" s="164"/>
      <c r="M489" s="164"/>
      <c r="N489" s="164"/>
      <c r="O489" s="166"/>
      <c r="P489" s="166"/>
      <c r="Q489" s="166"/>
      <c r="R489" s="166"/>
      <c r="S489" s="166"/>
      <c r="T489" s="166"/>
      <c r="U489" s="166"/>
      <c r="V489" s="166"/>
      <c r="W489" s="166"/>
      <c r="X489" s="166"/>
      <c r="Y489" s="166"/>
      <c r="Z489" s="166"/>
      <c r="AA489" s="166"/>
      <c r="AB489" s="166"/>
      <c r="AC489" s="166"/>
      <c r="AD489" s="166"/>
      <c r="AE489" s="166"/>
      <c r="AF489" s="166"/>
      <c r="AG489" s="166"/>
      <c r="AH489" s="166"/>
      <c r="AI489" s="166"/>
    </row>
    <row r="490" spans="1:35" x14ac:dyDescent="0.2">
      <c r="A490" s="167" t="s">
        <v>103</v>
      </c>
      <c r="B490" s="162">
        <v>14</v>
      </c>
      <c r="C490" s="162">
        <f t="shared" si="14"/>
        <v>2646.25</v>
      </c>
      <c r="D490" s="162" t="s">
        <v>165</v>
      </c>
      <c r="E490" s="168">
        <v>108976956876.78</v>
      </c>
      <c r="F490" s="168">
        <v>108976956.87678</v>
      </c>
      <c r="G490" s="168">
        <v>108976.95687678001</v>
      </c>
      <c r="H490" s="168">
        <v>108.97695687678001</v>
      </c>
      <c r="I490" s="164">
        <f>H490*$O$9/0.1*INDEX(Country_details!$N$9:N640,MATCH(Solar_data!A490,Country_details!$A$9:$A$154,0))</f>
        <v>245.198152972755</v>
      </c>
      <c r="J490" s="164">
        <f t="shared" si="15"/>
        <v>2646.25</v>
      </c>
      <c r="K490" s="164"/>
      <c r="L490" s="164"/>
      <c r="M490" s="164"/>
      <c r="N490" s="164"/>
      <c r="O490" s="166"/>
      <c r="P490" s="166"/>
      <c r="Q490" s="166"/>
      <c r="R490" s="166"/>
      <c r="S490" s="166"/>
      <c r="T490" s="166"/>
      <c r="U490" s="166"/>
      <c r="V490" s="166"/>
      <c r="W490" s="166"/>
      <c r="X490" s="166"/>
      <c r="Y490" s="166"/>
      <c r="Z490" s="166"/>
      <c r="AA490" s="166"/>
      <c r="AB490" s="166"/>
      <c r="AC490" s="166"/>
      <c r="AD490" s="166"/>
      <c r="AE490" s="166"/>
      <c r="AF490" s="166"/>
      <c r="AG490" s="166"/>
      <c r="AH490" s="166"/>
      <c r="AI490" s="166"/>
    </row>
    <row r="491" spans="1:35" x14ac:dyDescent="0.2">
      <c r="A491" s="167" t="s">
        <v>247</v>
      </c>
      <c r="B491" s="162">
        <v>12</v>
      </c>
      <c r="C491" s="162">
        <f t="shared" si="14"/>
        <v>2281.25</v>
      </c>
      <c r="D491" s="162" t="s">
        <v>162</v>
      </c>
      <c r="E491" s="168">
        <v>62453184.505000003</v>
      </c>
      <c r="F491" s="168">
        <v>62453.184505000005</v>
      </c>
      <c r="G491" s="168">
        <v>62.453184505000003</v>
      </c>
      <c r="H491" s="168">
        <v>6.2453184505000002E-2</v>
      </c>
      <c r="I491" s="164" t="e">
        <f>H491*$O$9/0.1*INDEX(Country_details!$N$9:N641,MATCH(Solar_data!A491,Country_details!$A$9:$A$154,0))</f>
        <v>#N/A</v>
      </c>
      <c r="J491" s="164">
        <f t="shared" si="15"/>
        <v>2281.25</v>
      </c>
      <c r="K491" s="164"/>
      <c r="L491" s="164"/>
      <c r="M491" s="164"/>
      <c r="N491" s="164"/>
      <c r="O491" s="166"/>
      <c r="P491" s="166"/>
      <c r="Q491" s="166"/>
      <c r="R491" s="166"/>
      <c r="S491" s="166"/>
      <c r="T491" s="166"/>
      <c r="U491" s="166"/>
      <c r="V491" s="166"/>
      <c r="W491" s="166"/>
      <c r="X491" s="166"/>
      <c r="Y491" s="166"/>
      <c r="Z491" s="166"/>
      <c r="AA491" s="166"/>
      <c r="AB491" s="166"/>
      <c r="AC491" s="166"/>
      <c r="AD491" s="166"/>
      <c r="AE491" s="166"/>
      <c r="AF491" s="166"/>
      <c r="AG491" s="166"/>
      <c r="AH491" s="166"/>
      <c r="AI491" s="166"/>
    </row>
    <row r="492" spans="1:35" x14ac:dyDescent="0.2">
      <c r="A492" s="167" t="s">
        <v>104</v>
      </c>
      <c r="B492" s="162">
        <v>10</v>
      </c>
      <c r="C492" s="162">
        <f t="shared" si="14"/>
        <v>1916.25</v>
      </c>
      <c r="D492" s="162" t="s">
        <v>159</v>
      </c>
      <c r="E492" s="168">
        <v>130393425942.2625</v>
      </c>
      <c r="F492" s="168">
        <v>130393425.9422625</v>
      </c>
      <c r="G492" s="168">
        <v>130393.4259422625</v>
      </c>
      <c r="H492" s="168">
        <v>130.3934259422625</v>
      </c>
      <c r="I492" s="164">
        <f>H492*$O$9/0.1*INDEX(Country_details!$N$9:N642,MATCH(Solar_data!A492,Country_details!$A$9:$A$154,0))</f>
        <v>312.94422226142996</v>
      </c>
      <c r="J492" s="164">
        <f t="shared" si="15"/>
        <v>1916.25</v>
      </c>
      <c r="K492" s="164"/>
      <c r="L492" s="164"/>
      <c r="M492" s="164"/>
      <c r="N492" s="164"/>
      <c r="O492" s="166"/>
      <c r="P492" s="166"/>
      <c r="Q492" s="166"/>
      <c r="R492" s="166"/>
      <c r="S492" s="166"/>
      <c r="T492" s="166"/>
      <c r="U492" s="166"/>
      <c r="V492" s="166"/>
      <c r="W492" s="166"/>
      <c r="X492" s="166"/>
      <c r="Y492" s="166"/>
      <c r="Z492" s="166"/>
      <c r="AA492" s="166"/>
      <c r="AB492" s="166"/>
      <c r="AC492" s="166"/>
      <c r="AD492" s="166"/>
      <c r="AE492" s="166"/>
      <c r="AF492" s="166"/>
      <c r="AG492" s="166"/>
      <c r="AH492" s="166"/>
      <c r="AI492" s="166"/>
    </row>
    <row r="493" spans="1:35" x14ac:dyDescent="0.2">
      <c r="A493" s="167" t="s">
        <v>104</v>
      </c>
      <c r="B493" s="162">
        <v>11</v>
      </c>
      <c r="C493" s="162">
        <f t="shared" si="14"/>
        <v>2098.75</v>
      </c>
      <c r="D493" s="162" t="s">
        <v>161</v>
      </c>
      <c r="E493" s="168">
        <v>184574417130.1907</v>
      </c>
      <c r="F493" s="168">
        <v>184574417.1301907</v>
      </c>
      <c r="G493" s="168">
        <v>184574.4171301907</v>
      </c>
      <c r="H493" s="168">
        <v>184.57441713019071</v>
      </c>
      <c r="I493" s="164">
        <f>H493*$O$9/0.1*INDEX(Country_details!$N$9:N643,MATCH(Solar_data!A493,Country_details!$A$9:$A$154,0))</f>
        <v>442.97860111245768</v>
      </c>
      <c r="J493" s="164">
        <f t="shared" si="15"/>
        <v>2098.75</v>
      </c>
      <c r="K493" s="164"/>
      <c r="L493" s="164"/>
      <c r="M493" s="164"/>
      <c r="N493" s="164"/>
      <c r="O493" s="166"/>
      <c r="P493" s="166"/>
      <c r="Q493" s="166"/>
      <c r="R493" s="166"/>
      <c r="S493" s="166"/>
      <c r="T493" s="166"/>
      <c r="U493" s="166"/>
      <c r="V493" s="166"/>
      <c r="W493" s="166"/>
      <c r="X493" s="166"/>
      <c r="Y493" s="166"/>
      <c r="Z493" s="166"/>
      <c r="AA493" s="166"/>
      <c r="AB493" s="166"/>
      <c r="AC493" s="166"/>
      <c r="AD493" s="166"/>
      <c r="AE493" s="166"/>
      <c r="AF493" s="166"/>
      <c r="AG493" s="166"/>
      <c r="AH493" s="166"/>
      <c r="AI493" s="166"/>
    </row>
    <row r="494" spans="1:35" x14ac:dyDescent="0.2">
      <c r="A494" s="167" t="s">
        <v>104</v>
      </c>
      <c r="B494" s="162">
        <v>12</v>
      </c>
      <c r="C494" s="162">
        <f t="shared" si="14"/>
        <v>2281.25</v>
      </c>
      <c r="D494" s="162" t="s">
        <v>162</v>
      </c>
      <c r="E494" s="168">
        <v>131978274832.6403</v>
      </c>
      <c r="F494" s="168">
        <v>131978274.83264031</v>
      </c>
      <c r="G494" s="168">
        <v>131978.27483264031</v>
      </c>
      <c r="H494" s="168">
        <v>131.97827483264032</v>
      </c>
      <c r="I494" s="164">
        <f>H494*$O$9/0.1*INDEX(Country_details!$N$9:N644,MATCH(Solar_data!A494,Country_details!$A$9:$A$154,0))</f>
        <v>316.74785959833679</v>
      </c>
      <c r="J494" s="164">
        <f t="shared" si="15"/>
        <v>2281.25</v>
      </c>
      <c r="K494" s="164"/>
      <c r="L494" s="164"/>
      <c r="M494" s="164"/>
      <c r="N494" s="164"/>
      <c r="O494" s="166"/>
      <c r="P494" s="166"/>
      <c r="Q494" s="166"/>
      <c r="R494" s="166"/>
      <c r="S494" s="166"/>
      <c r="T494" s="166"/>
      <c r="U494" s="166"/>
      <c r="V494" s="166"/>
      <c r="W494" s="166"/>
      <c r="X494" s="166"/>
      <c r="Y494" s="166"/>
      <c r="Z494" s="166"/>
      <c r="AA494" s="166"/>
      <c r="AB494" s="166"/>
      <c r="AC494" s="166"/>
      <c r="AD494" s="166"/>
      <c r="AE494" s="166"/>
      <c r="AF494" s="166"/>
      <c r="AG494" s="166"/>
      <c r="AH494" s="166"/>
      <c r="AI494" s="166"/>
    </row>
    <row r="495" spans="1:35" x14ac:dyDescent="0.2">
      <c r="A495" s="167" t="s">
        <v>104</v>
      </c>
      <c r="B495" s="162">
        <v>13</v>
      </c>
      <c r="C495" s="162">
        <f t="shared" si="14"/>
        <v>2463.75</v>
      </c>
      <c r="D495" s="162" t="s">
        <v>163</v>
      </c>
      <c r="E495" s="168">
        <v>19697049421.8531</v>
      </c>
      <c r="F495" s="168">
        <v>19697049.421853099</v>
      </c>
      <c r="G495" s="168">
        <v>19697.049421853098</v>
      </c>
      <c r="H495" s="168">
        <v>19.697049421853098</v>
      </c>
      <c r="I495" s="164">
        <f>H495*$O$9/0.1*INDEX(Country_details!$N$9:N645,MATCH(Solar_data!A495,Country_details!$A$9:$A$154,0))</f>
        <v>47.272918612447434</v>
      </c>
      <c r="J495" s="164">
        <f t="shared" si="15"/>
        <v>2463.75</v>
      </c>
      <c r="K495" s="164"/>
      <c r="L495" s="164"/>
      <c r="M495" s="164"/>
      <c r="N495" s="164"/>
      <c r="O495" s="166"/>
      <c r="P495" s="166"/>
      <c r="Q495" s="166"/>
      <c r="R495" s="166"/>
      <c r="S495" s="166"/>
      <c r="T495" s="166"/>
      <c r="U495" s="166"/>
      <c r="V495" s="166"/>
      <c r="W495" s="166"/>
      <c r="X495" s="166"/>
      <c r="Y495" s="166"/>
      <c r="Z495" s="166"/>
      <c r="AA495" s="166"/>
      <c r="AB495" s="166"/>
      <c r="AC495" s="166"/>
      <c r="AD495" s="166"/>
      <c r="AE495" s="166"/>
      <c r="AF495" s="166"/>
      <c r="AG495" s="166"/>
      <c r="AH495" s="166"/>
      <c r="AI495" s="166"/>
    </row>
    <row r="496" spans="1:35" x14ac:dyDescent="0.2">
      <c r="A496" s="167" t="s">
        <v>105</v>
      </c>
      <c r="B496" s="162">
        <v>5</v>
      </c>
      <c r="C496" s="162">
        <f t="shared" si="14"/>
        <v>1003.75</v>
      </c>
      <c r="D496" s="162" t="s">
        <v>172</v>
      </c>
      <c r="E496" s="168">
        <v>14996516122.303801</v>
      </c>
      <c r="F496" s="168">
        <v>14996516.122303801</v>
      </c>
      <c r="G496" s="168">
        <v>14996.516122303801</v>
      </c>
      <c r="H496" s="168">
        <v>14.996516122303802</v>
      </c>
      <c r="I496" s="164">
        <f>H496*$O$9/0.1*INDEX(Country_details!$N$9:N646,MATCH(Solar_data!A496,Country_details!$A$9:$A$154,0))</f>
        <v>40.490593530220266</v>
      </c>
      <c r="J496" s="164">
        <f t="shared" si="15"/>
        <v>1003.75</v>
      </c>
      <c r="K496" s="164"/>
      <c r="L496" s="164"/>
      <c r="M496" s="164"/>
      <c r="N496" s="164"/>
      <c r="O496" s="166"/>
      <c r="P496" s="166"/>
      <c r="Q496" s="166"/>
      <c r="R496" s="166"/>
      <c r="S496" s="166"/>
      <c r="T496" s="166"/>
      <c r="U496" s="166"/>
      <c r="V496" s="166"/>
      <c r="W496" s="166"/>
      <c r="X496" s="166"/>
      <c r="Y496" s="166"/>
      <c r="Z496" s="166"/>
      <c r="AA496" s="166"/>
      <c r="AB496" s="166"/>
      <c r="AC496" s="166"/>
      <c r="AD496" s="166"/>
      <c r="AE496" s="166"/>
      <c r="AF496" s="166"/>
      <c r="AG496" s="166"/>
      <c r="AH496" s="166"/>
      <c r="AI496" s="166"/>
    </row>
    <row r="497" spans="1:35" x14ac:dyDescent="0.2">
      <c r="A497" s="167" t="s">
        <v>105</v>
      </c>
      <c r="B497" s="162">
        <v>6</v>
      </c>
      <c r="C497" s="162">
        <f t="shared" si="14"/>
        <v>1186.25</v>
      </c>
      <c r="D497" s="162" t="s">
        <v>173</v>
      </c>
      <c r="E497" s="168">
        <v>42663170593.395897</v>
      </c>
      <c r="F497" s="168">
        <v>42663170.593395896</v>
      </c>
      <c r="G497" s="168">
        <v>42663.170593395895</v>
      </c>
      <c r="H497" s="168">
        <v>42.663170593395897</v>
      </c>
      <c r="I497" s="164">
        <f>H497*$O$9/0.1*INDEX(Country_details!$N$9:N647,MATCH(Solar_data!A497,Country_details!$A$9:$A$154,0))</f>
        <v>115.19056060216892</v>
      </c>
      <c r="J497" s="164">
        <f t="shared" si="15"/>
        <v>1186.25</v>
      </c>
      <c r="K497" s="164"/>
      <c r="L497" s="164"/>
      <c r="M497" s="164"/>
      <c r="N497" s="164"/>
      <c r="O497" s="166"/>
      <c r="P497" s="166"/>
      <c r="Q497" s="166"/>
      <c r="R497" s="166"/>
      <c r="S497" s="166"/>
      <c r="T497" s="166"/>
      <c r="U497" s="166"/>
      <c r="V497" s="166"/>
      <c r="W497" s="166"/>
      <c r="X497" s="166"/>
      <c r="Y497" s="166"/>
      <c r="Z497" s="166"/>
      <c r="AA497" s="166"/>
      <c r="AB497" s="166"/>
      <c r="AC497" s="166"/>
      <c r="AD497" s="166"/>
      <c r="AE497" s="166"/>
      <c r="AF497" s="166"/>
      <c r="AG497" s="166"/>
      <c r="AH497" s="166"/>
      <c r="AI497" s="166"/>
    </row>
    <row r="498" spans="1:35" x14ac:dyDescent="0.2">
      <c r="A498" s="167" t="s">
        <v>248</v>
      </c>
      <c r="B498" s="162">
        <v>10</v>
      </c>
      <c r="C498" s="162">
        <f t="shared" si="14"/>
        <v>1916.25</v>
      </c>
      <c r="D498" s="162" t="s">
        <v>159</v>
      </c>
      <c r="E498" s="168">
        <v>1282311220.5673001</v>
      </c>
      <c r="F498" s="168">
        <v>1282311.2205673002</v>
      </c>
      <c r="G498" s="168">
        <v>1282.3112205673003</v>
      </c>
      <c r="H498" s="168">
        <v>1.2823112205673004</v>
      </c>
      <c r="I498" s="164" t="e">
        <f>H498*$O$9/0.1*INDEX(Country_details!$N$9:N648,MATCH(Solar_data!A498,Country_details!$A$9:$A$154,0))</f>
        <v>#N/A</v>
      </c>
      <c r="J498" s="164">
        <f t="shared" si="15"/>
        <v>1916.25</v>
      </c>
      <c r="K498" s="164"/>
      <c r="L498" s="164"/>
      <c r="M498" s="164"/>
      <c r="N498" s="164"/>
      <c r="O498" s="166"/>
      <c r="P498" s="166"/>
      <c r="Q498" s="166"/>
      <c r="R498" s="166"/>
      <c r="S498" s="166"/>
      <c r="T498" s="166"/>
      <c r="U498" s="166"/>
      <c r="V498" s="166"/>
      <c r="W498" s="166"/>
      <c r="X498" s="166"/>
      <c r="Y498" s="166"/>
      <c r="Z498" s="166"/>
      <c r="AA498" s="166"/>
      <c r="AB498" s="166"/>
      <c r="AC498" s="166"/>
      <c r="AD498" s="166"/>
      <c r="AE498" s="166"/>
      <c r="AF498" s="166"/>
      <c r="AG498" s="166"/>
      <c r="AH498" s="166"/>
      <c r="AI498" s="166"/>
    </row>
    <row r="499" spans="1:35" x14ac:dyDescent="0.2">
      <c r="A499" s="167" t="s">
        <v>249</v>
      </c>
      <c r="B499" s="162">
        <v>11</v>
      </c>
      <c r="C499" s="162">
        <f t="shared" si="14"/>
        <v>2098.75</v>
      </c>
      <c r="D499" s="162" t="s">
        <v>161</v>
      </c>
      <c r="E499" s="168">
        <v>54310378850.035004</v>
      </c>
      <c r="F499" s="168">
        <v>54310378.850035004</v>
      </c>
      <c r="G499" s="168">
        <v>54310.378850035006</v>
      </c>
      <c r="H499" s="168">
        <v>54.310378850035008</v>
      </c>
      <c r="I499" s="164" t="e">
        <f>H499*$O$9/0.1*INDEX(Country_details!$N$9:N649,MATCH(Solar_data!A499,Country_details!$A$9:$A$154,0))</f>
        <v>#N/A</v>
      </c>
      <c r="J499" s="164">
        <f t="shared" si="15"/>
        <v>2098.75</v>
      </c>
      <c r="K499" s="164"/>
      <c r="L499" s="164"/>
      <c r="M499" s="164"/>
      <c r="N499" s="164"/>
      <c r="O499" s="166"/>
      <c r="P499" s="166"/>
      <c r="Q499" s="166"/>
      <c r="R499" s="166"/>
      <c r="S499" s="166"/>
      <c r="T499" s="166"/>
      <c r="U499" s="166"/>
      <c r="V499" s="166"/>
      <c r="W499" s="166"/>
      <c r="X499" s="166"/>
      <c r="Y499" s="166"/>
      <c r="Z499" s="166"/>
      <c r="AA499" s="166"/>
      <c r="AB499" s="166"/>
      <c r="AC499" s="166"/>
      <c r="AD499" s="166"/>
      <c r="AE499" s="166"/>
      <c r="AF499" s="166"/>
      <c r="AG499" s="166"/>
      <c r="AH499" s="166"/>
      <c r="AI499" s="166"/>
    </row>
    <row r="500" spans="1:35" x14ac:dyDescent="0.2">
      <c r="A500" s="167" t="s">
        <v>249</v>
      </c>
      <c r="B500" s="162">
        <v>12</v>
      </c>
      <c r="C500" s="162">
        <f t="shared" si="14"/>
        <v>2281.25</v>
      </c>
      <c r="D500" s="162" t="s">
        <v>162</v>
      </c>
      <c r="E500" s="168">
        <v>2269902069.3676</v>
      </c>
      <c r="F500" s="168">
        <v>2269902.0693676001</v>
      </c>
      <c r="G500" s="168">
        <v>2269.9020693676002</v>
      </c>
      <c r="H500" s="168">
        <v>2.2699020693676002</v>
      </c>
      <c r="I500" s="164" t="e">
        <f>H500*$O$9/0.1*INDEX(Country_details!$N$9:N650,MATCH(Solar_data!A500,Country_details!$A$9:$A$154,0))</f>
        <v>#N/A</v>
      </c>
      <c r="J500" s="164">
        <f t="shared" si="15"/>
        <v>2281.25</v>
      </c>
      <c r="K500" s="164"/>
      <c r="L500" s="164"/>
      <c r="M500" s="164"/>
      <c r="N500" s="164"/>
      <c r="O500" s="166"/>
      <c r="P500" s="166"/>
      <c r="Q500" s="166"/>
      <c r="R500" s="166"/>
      <c r="S500" s="166"/>
      <c r="T500" s="166"/>
      <c r="U500" s="166"/>
      <c r="V500" s="166"/>
      <c r="W500" s="166"/>
      <c r="X500" s="166"/>
      <c r="Y500" s="166"/>
      <c r="Z500" s="166"/>
      <c r="AA500" s="166"/>
      <c r="AB500" s="166"/>
      <c r="AC500" s="166"/>
      <c r="AD500" s="166"/>
      <c r="AE500" s="166"/>
      <c r="AF500" s="166"/>
      <c r="AG500" s="166"/>
      <c r="AH500" s="166"/>
      <c r="AI500" s="166"/>
    </row>
    <row r="501" spans="1:35" x14ac:dyDescent="0.2">
      <c r="A501" s="167" t="s">
        <v>106</v>
      </c>
      <c r="B501" s="162">
        <v>6</v>
      </c>
      <c r="C501" s="162">
        <f t="shared" si="14"/>
        <v>1186.25</v>
      </c>
      <c r="D501" s="162" t="s">
        <v>173</v>
      </c>
      <c r="E501" s="168">
        <v>38266627121.462997</v>
      </c>
      <c r="F501" s="168">
        <v>38266627.121463001</v>
      </c>
      <c r="G501" s="168">
        <v>38266.627121463003</v>
      </c>
      <c r="H501" s="168">
        <v>38.266627121463003</v>
      </c>
      <c r="I501" s="164">
        <f>H501*$O$9/0.1*INDEX(Country_details!$N$9:N651,MATCH(Solar_data!A501,Country_details!$A$9:$A$154,0))</f>
        <v>103.3198932279501</v>
      </c>
      <c r="J501" s="164">
        <f t="shared" si="15"/>
        <v>1186.25</v>
      </c>
      <c r="K501" s="164"/>
      <c r="L501" s="164"/>
      <c r="M501" s="164"/>
      <c r="N501" s="164"/>
      <c r="O501" s="166"/>
      <c r="P501" s="166"/>
      <c r="Q501" s="166"/>
      <c r="R501" s="166"/>
      <c r="S501" s="166"/>
      <c r="T501" s="166"/>
      <c r="U501" s="166"/>
      <c r="V501" s="166"/>
      <c r="W501" s="166"/>
      <c r="X501" s="166"/>
      <c r="Y501" s="166"/>
      <c r="Z501" s="166"/>
      <c r="AA501" s="166"/>
      <c r="AB501" s="166"/>
      <c r="AC501" s="166"/>
      <c r="AD501" s="166"/>
      <c r="AE501" s="166"/>
      <c r="AF501" s="166"/>
      <c r="AG501" s="166"/>
      <c r="AH501" s="166"/>
      <c r="AI501" s="166"/>
    </row>
    <row r="502" spans="1:35" x14ac:dyDescent="0.2">
      <c r="A502" s="167" t="s">
        <v>106</v>
      </c>
      <c r="B502" s="162">
        <v>7</v>
      </c>
      <c r="C502" s="162">
        <f t="shared" si="14"/>
        <v>1368.75</v>
      </c>
      <c r="D502" s="162" t="s">
        <v>174</v>
      </c>
      <c r="E502" s="168">
        <v>201511229186.87799</v>
      </c>
      <c r="F502" s="168">
        <v>201511229.186878</v>
      </c>
      <c r="G502" s="168">
        <v>201511.22918687799</v>
      </c>
      <c r="H502" s="168">
        <v>201.51122918687798</v>
      </c>
      <c r="I502" s="164">
        <f>H502*$O$9/0.1*INDEX(Country_details!$N$9:N652,MATCH(Solar_data!A502,Country_details!$A$9:$A$154,0))</f>
        <v>544.08031880457054</v>
      </c>
      <c r="J502" s="164">
        <f t="shared" si="15"/>
        <v>1368.75</v>
      </c>
      <c r="K502" s="164"/>
      <c r="L502" s="164"/>
      <c r="M502" s="164"/>
      <c r="N502" s="164"/>
      <c r="O502" s="166"/>
      <c r="P502" s="166"/>
      <c r="Q502" s="166"/>
      <c r="R502" s="166"/>
      <c r="S502" s="166"/>
      <c r="T502" s="166"/>
      <c r="U502" s="166"/>
      <c r="V502" s="166"/>
      <c r="W502" s="166"/>
      <c r="X502" s="166"/>
      <c r="Y502" s="166"/>
      <c r="Z502" s="166"/>
      <c r="AA502" s="166"/>
      <c r="AB502" s="166"/>
      <c r="AC502" s="166"/>
      <c r="AD502" s="166"/>
      <c r="AE502" s="166"/>
      <c r="AF502" s="166"/>
      <c r="AG502" s="166"/>
      <c r="AH502" s="166"/>
      <c r="AI502" s="166"/>
    </row>
    <row r="503" spans="1:35" x14ac:dyDescent="0.2">
      <c r="A503" s="167" t="s">
        <v>106</v>
      </c>
      <c r="B503" s="162">
        <v>8</v>
      </c>
      <c r="C503" s="162">
        <f t="shared" si="14"/>
        <v>1551.25</v>
      </c>
      <c r="D503" s="162" t="s">
        <v>164</v>
      </c>
      <c r="E503" s="168">
        <v>260144746892.117</v>
      </c>
      <c r="F503" s="168">
        <v>260144746.89211702</v>
      </c>
      <c r="G503" s="168">
        <v>260144.74689211702</v>
      </c>
      <c r="H503" s="168">
        <v>260.14474689211704</v>
      </c>
      <c r="I503" s="164">
        <f>H503*$O$9/0.1*INDEX(Country_details!$N$9:N653,MATCH(Solar_data!A503,Country_details!$A$9:$A$154,0))</f>
        <v>702.39081660871602</v>
      </c>
      <c r="J503" s="164">
        <f t="shared" si="15"/>
        <v>1551.25</v>
      </c>
      <c r="K503" s="164"/>
      <c r="L503" s="164"/>
      <c r="M503" s="164"/>
      <c r="N503" s="164"/>
      <c r="O503" s="166"/>
      <c r="P503" s="166"/>
      <c r="Q503" s="166"/>
      <c r="R503" s="166"/>
      <c r="S503" s="166"/>
      <c r="T503" s="166"/>
      <c r="U503" s="166"/>
      <c r="V503" s="166"/>
      <c r="W503" s="166"/>
      <c r="X503" s="166"/>
      <c r="Y503" s="166"/>
      <c r="Z503" s="166"/>
      <c r="AA503" s="166"/>
      <c r="AB503" s="166"/>
      <c r="AC503" s="166"/>
      <c r="AD503" s="166"/>
      <c r="AE503" s="166"/>
      <c r="AF503" s="166"/>
      <c r="AG503" s="166"/>
      <c r="AH503" s="166"/>
      <c r="AI503" s="166"/>
    </row>
    <row r="504" spans="1:35" x14ac:dyDescent="0.2">
      <c r="A504" s="167" t="s">
        <v>106</v>
      </c>
      <c r="B504" s="162">
        <v>9</v>
      </c>
      <c r="C504" s="162">
        <f t="shared" si="14"/>
        <v>1733.75</v>
      </c>
      <c r="D504" s="162" t="s">
        <v>157</v>
      </c>
      <c r="E504" s="168">
        <v>84374231365.412201</v>
      </c>
      <c r="F504" s="168">
        <v>84374231.365412205</v>
      </c>
      <c r="G504" s="168">
        <v>84374.231365412212</v>
      </c>
      <c r="H504" s="168">
        <v>84.374231365412214</v>
      </c>
      <c r="I504" s="164">
        <f>H504*$O$9/0.1*INDEX(Country_details!$N$9:N654,MATCH(Solar_data!A504,Country_details!$A$9:$A$154,0))</f>
        <v>227.81042468661295</v>
      </c>
      <c r="J504" s="164">
        <f t="shared" si="15"/>
        <v>1733.75</v>
      </c>
      <c r="K504" s="164"/>
      <c r="L504" s="164"/>
      <c r="M504" s="164"/>
      <c r="N504" s="164"/>
      <c r="O504" s="166"/>
      <c r="P504" s="166"/>
      <c r="Q504" s="166"/>
      <c r="R504" s="166"/>
      <c r="S504" s="166"/>
      <c r="T504" s="166"/>
      <c r="U504" s="166"/>
      <c r="V504" s="166"/>
      <c r="W504" s="166"/>
      <c r="X504" s="166"/>
      <c r="Y504" s="166"/>
      <c r="Z504" s="166"/>
      <c r="AA504" s="166"/>
      <c r="AB504" s="166"/>
      <c r="AC504" s="166"/>
      <c r="AD504" s="166"/>
      <c r="AE504" s="166"/>
      <c r="AF504" s="166"/>
      <c r="AG504" s="166"/>
      <c r="AH504" s="166"/>
      <c r="AI504" s="166"/>
    </row>
    <row r="505" spans="1:35" x14ac:dyDescent="0.2">
      <c r="A505" s="167" t="s">
        <v>106</v>
      </c>
      <c r="B505" s="162">
        <v>10</v>
      </c>
      <c r="C505" s="162">
        <f t="shared" si="14"/>
        <v>1916.25</v>
      </c>
      <c r="D505" s="162" t="s">
        <v>159</v>
      </c>
      <c r="E505" s="168">
        <v>8400898382.3800001</v>
      </c>
      <c r="F505" s="168">
        <v>8400898.3823799994</v>
      </c>
      <c r="G505" s="168">
        <v>8400.898382379999</v>
      </c>
      <c r="H505" s="168">
        <v>8.4008983823799994</v>
      </c>
      <c r="I505" s="164">
        <f>H505*$O$9/0.1*INDEX(Country_details!$N$9:N655,MATCH(Solar_data!A505,Country_details!$A$9:$A$154,0))</f>
        <v>22.682425632425996</v>
      </c>
      <c r="J505" s="164">
        <f t="shared" si="15"/>
        <v>1916.25</v>
      </c>
      <c r="K505" s="164"/>
      <c r="L505" s="164"/>
      <c r="M505" s="164"/>
      <c r="N505" s="164"/>
      <c r="O505" s="166"/>
      <c r="P505" s="166"/>
      <c r="Q505" s="166"/>
      <c r="R505" s="166"/>
      <c r="S505" s="166"/>
      <c r="T505" s="166"/>
      <c r="U505" s="166"/>
      <c r="V505" s="166"/>
      <c r="W505" s="166"/>
      <c r="X505" s="166"/>
      <c r="Y505" s="166"/>
      <c r="Z505" s="166"/>
      <c r="AA505" s="166"/>
      <c r="AB505" s="166"/>
      <c r="AC505" s="166"/>
      <c r="AD505" s="166"/>
      <c r="AE505" s="166"/>
      <c r="AF505" s="166"/>
      <c r="AG505" s="166"/>
      <c r="AH505" s="166"/>
      <c r="AI505" s="166"/>
    </row>
    <row r="506" spans="1:35" x14ac:dyDescent="0.2">
      <c r="A506" s="167" t="s">
        <v>107</v>
      </c>
      <c r="B506" s="162">
        <v>9</v>
      </c>
      <c r="C506" s="162">
        <f t="shared" si="14"/>
        <v>1733.75</v>
      </c>
      <c r="D506" s="162" t="s">
        <v>157</v>
      </c>
      <c r="E506" s="168">
        <v>225712007946.5311</v>
      </c>
      <c r="F506" s="168">
        <v>225712007.94653112</v>
      </c>
      <c r="G506" s="168">
        <v>225712.00794653111</v>
      </c>
      <c r="H506" s="168">
        <v>225.71200794653112</v>
      </c>
      <c r="I506" s="164">
        <f>H506*$O$9/0.1*INDEX(Country_details!$N$9:N656,MATCH(Solar_data!A506,Country_details!$A$9:$A$154,0))</f>
        <v>541.70881907167461</v>
      </c>
      <c r="J506" s="164">
        <f t="shared" si="15"/>
        <v>1733.75</v>
      </c>
      <c r="K506" s="164"/>
      <c r="L506" s="164"/>
      <c r="M506" s="164"/>
      <c r="N506" s="164"/>
      <c r="O506" s="166"/>
      <c r="P506" s="166"/>
      <c r="Q506" s="166"/>
      <c r="R506" s="166"/>
      <c r="S506" s="166"/>
      <c r="T506" s="166"/>
      <c r="U506" s="166"/>
      <c r="V506" s="166"/>
      <c r="W506" s="166"/>
      <c r="X506" s="166"/>
      <c r="Y506" s="166"/>
      <c r="Z506" s="166"/>
      <c r="AA506" s="166"/>
      <c r="AB506" s="166"/>
      <c r="AC506" s="166"/>
      <c r="AD506" s="166"/>
      <c r="AE506" s="166"/>
      <c r="AF506" s="166"/>
      <c r="AG506" s="166"/>
      <c r="AH506" s="166"/>
      <c r="AI506" s="166"/>
    </row>
    <row r="507" spans="1:35" x14ac:dyDescent="0.2">
      <c r="A507" s="167" t="s">
        <v>107</v>
      </c>
      <c r="B507" s="162">
        <v>10</v>
      </c>
      <c r="C507" s="162">
        <f t="shared" si="14"/>
        <v>1916.25</v>
      </c>
      <c r="D507" s="162" t="s">
        <v>159</v>
      </c>
      <c r="E507" s="168">
        <v>69610442904.772507</v>
      </c>
      <c r="F507" s="168">
        <v>69610442.904772505</v>
      </c>
      <c r="G507" s="168">
        <v>69610.442904772513</v>
      </c>
      <c r="H507" s="168">
        <v>69.610442904772512</v>
      </c>
      <c r="I507" s="164">
        <f>H507*$O$9/0.1*INDEX(Country_details!$N$9:N657,MATCH(Solar_data!A507,Country_details!$A$9:$A$154,0))</f>
        <v>167.06506297145401</v>
      </c>
      <c r="J507" s="164">
        <f t="shared" si="15"/>
        <v>1916.25</v>
      </c>
      <c r="K507" s="164"/>
      <c r="L507" s="164"/>
      <c r="M507" s="164"/>
      <c r="N507" s="164"/>
      <c r="O507" s="166"/>
      <c r="P507" s="166"/>
      <c r="Q507" s="166"/>
      <c r="R507" s="166"/>
      <c r="S507" s="166"/>
      <c r="T507" s="166"/>
      <c r="U507" s="166"/>
      <c r="V507" s="166"/>
      <c r="W507" s="166"/>
      <c r="X507" s="166"/>
      <c r="Y507" s="166"/>
      <c r="Z507" s="166"/>
      <c r="AA507" s="166"/>
      <c r="AB507" s="166"/>
      <c r="AC507" s="166"/>
      <c r="AD507" s="166"/>
      <c r="AE507" s="166"/>
      <c r="AF507" s="166"/>
      <c r="AG507" s="166"/>
      <c r="AH507" s="166"/>
      <c r="AI507" s="166"/>
    </row>
    <row r="508" spans="1:35" x14ac:dyDescent="0.2">
      <c r="A508" s="167" t="s">
        <v>107</v>
      </c>
      <c r="B508" s="162">
        <v>11</v>
      </c>
      <c r="C508" s="162">
        <f t="shared" si="14"/>
        <v>2098.75</v>
      </c>
      <c r="D508" s="162" t="s">
        <v>161</v>
      </c>
      <c r="E508" s="168">
        <v>60488382603.084999</v>
      </c>
      <c r="F508" s="168">
        <v>60488382.603085004</v>
      </c>
      <c r="G508" s="168">
        <v>60488.382603085003</v>
      </c>
      <c r="H508" s="168">
        <v>60.488382603085007</v>
      </c>
      <c r="I508" s="164">
        <f>H508*$O$9/0.1*INDEX(Country_details!$N$9:N658,MATCH(Solar_data!A508,Country_details!$A$9:$A$154,0))</f>
        <v>145.172118247404</v>
      </c>
      <c r="J508" s="164">
        <f t="shared" si="15"/>
        <v>2098.75</v>
      </c>
      <c r="K508" s="164"/>
      <c r="L508" s="164"/>
      <c r="M508" s="164"/>
      <c r="N508" s="164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6"/>
      <c r="Z508" s="166"/>
      <c r="AA508" s="166"/>
      <c r="AB508" s="166"/>
      <c r="AC508" s="166"/>
      <c r="AD508" s="166"/>
      <c r="AE508" s="166"/>
      <c r="AF508" s="166"/>
      <c r="AG508" s="166"/>
      <c r="AH508" s="166"/>
      <c r="AI508" s="166"/>
    </row>
    <row r="509" spans="1:35" x14ac:dyDescent="0.2">
      <c r="A509" s="167" t="s">
        <v>107</v>
      </c>
      <c r="B509" s="162">
        <v>12</v>
      </c>
      <c r="C509" s="162">
        <f t="shared" si="14"/>
        <v>2281.25</v>
      </c>
      <c r="D509" s="162" t="s">
        <v>162</v>
      </c>
      <c r="E509" s="168">
        <v>3195827174.9499998</v>
      </c>
      <c r="F509" s="168">
        <v>3195827.1749499999</v>
      </c>
      <c r="G509" s="168">
        <v>3195.82717495</v>
      </c>
      <c r="H509" s="168">
        <v>3.1958271749500002</v>
      </c>
      <c r="I509" s="164">
        <f>H509*$O$9/0.1*INDEX(Country_details!$N$9:N659,MATCH(Solar_data!A509,Country_details!$A$9:$A$154,0))</f>
        <v>7.6699852198800009</v>
      </c>
      <c r="J509" s="164">
        <f t="shared" si="15"/>
        <v>2281.25</v>
      </c>
      <c r="K509" s="164"/>
      <c r="L509" s="164"/>
      <c r="M509" s="164"/>
      <c r="N509" s="164"/>
      <c r="O509" s="166"/>
      <c r="P509" s="166"/>
      <c r="Q509" s="166"/>
      <c r="R509" s="166"/>
      <c r="S509" s="166"/>
      <c r="T509" s="166"/>
      <c r="U509" s="166"/>
      <c r="V509" s="166"/>
      <c r="W509" s="166"/>
      <c r="X509" s="166"/>
      <c r="Y509" s="166"/>
      <c r="Z509" s="166"/>
      <c r="AA509" s="166"/>
      <c r="AB509" s="166"/>
      <c r="AC509" s="166"/>
      <c r="AD509" s="166"/>
      <c r="AE509" s="166"/>
      <c r="AF509" s="166"/>
      <c r="AG509" s="166"/>
      <c r="AH509" s="166"/>
      <c r="AI509" s="166"/>
    </row>
    <row r="510" spans="1:35" x14ac:dyDescent="0.2">
      <c r="A510" s="167" t="s">
        <v>107</v>
      </c>
      <c r="B510" s="162">
        <v>13</v>
      </c>
      <c r="C510" s="162">
        <f t="shared" si="14"/>
        <v>2463.75</v>
      </c>
      <c r="D510" s="162" t="s">
        <v>163</v>
      </c>
      <c r="E510" s="168">
        <v>3131965.9671</v>
      </c>
      <c r="F510" s="168">
        <v>3131.9659670999999</v>
      </c>
      <c r="G510" s="168">
        <v>3.1319659671000002</v>
      </c>
      <c r="H510" s="168">
        <v>3.1319659671000004E-3</v>
      </c>
      <c r="I510" s="164">
        <f>H510*$O$9/0.1*INDEX(Country_details!$N$9:N660,MATCH(Solar_data!A510,Country_details!$A$9:$A$154,0))</f>
        <v>7.5167183210400005E-3</v>
      </c>
      <c r="J510" s="164">
        <f t="shared" si="15"/>
        <v>2463.75</v>
      </c>
      <c r="K510" s="164"/>
      <c r="L510" s="164"/>
      <c r="M510" s="164"/>
      <c r="N510" s="164"/>
      <c r="O510" s="166"/>
      <c r="P510" s="166"/>
      <c r="Q510" s="166"/>
      <c r="R510" s="166"/>
      <c r="S510" s="166"/>
      <c r="T510" s="166"/>
      <c r="U510" s="166"/>
      <c r="V510" s="166"/>
      <c r="W510" s="166"/>
      <c r="X510" s="166"/>
      <c r="Y510" s="166"/>
      <c r="Z510" s="166"/>
      <c r="AA510" s="166"/>
      <c r="AB510" s="166"/>
      <c r="AC510" s="166"/>
      <c r="AD510" s="166"/>
      <c r="AE510" s="166"/>
      <c r="AF510" s="166"/>
      <c r="AG510" s="166"/>
      <c r="AH510" s="166"/>
      <c r="AI510" s="166"/>
    </row>
    <row r="511" spans="1:35" x14ac:dyDescent="0.2">
      <c r="A511" s="167" t="s">
        <v>108</v>
      </c>
      <c r="B511" s="162">
        <v>11</v>
      </c>
      <c r="C511" s="162">
        <f t="shared" si="14"/>
        <v>2098.75</v>
      </c>
      <c r="D511" s="162" t="s">
        <v>161</v>
      </c>
      <c r="E511" s="168">
        <v>58175745368.1689</v>
      </c>
      <c r="F511" s="168">
        <v>58175745.368168898</v>
      </c>
      <c r="G511" s="168">
        <v>58175.7453681689</v>
      </c>
      <c r="H511" s="168">
        <v>58.175745368168904</v>
      </c>
      <c r="I511" s="164">
        <f>H511*$O$9/0.1*INDEX(Country_details!$N$9:N661,MATCH(Solar_data!A511,Country_details!$A$9:$A$154,0))</f>
        <v>130.89542707838001</v>
      </c>
      <c r="J511" s="164">
        <f t="shared" si="15"/>
        <v>2098.75</v>
      </c>
      <c r="K511" s="164"/>
      <c r="L511" s="164"/>
      <c r="M511" s="164"/>
      <c r="N511" s="164"/>
      <c r="O511" s="166"/>
      <c r="P511" s="166"/>
      <c r="Q511" s="166"/>
      <c r="R511" s="166"/>
      <c r="S511" s="166"/>
      <c r="T511" s="166"/>
      <c r="U511" s="166"/>
      <c r="V511" s="166"/>
      <c r="W511" s="166"/>
      <c r="X511" s="166"/>
      <c r="Y511" s="166"/>
      <c r="Z511" s="166"/>
      <c r="AA511" s="166"/>
      <c r="AB511" s="166"/>
      <c r="AC511" s="166"/>
      <c r="AD511" s="166"/>
      <c r="AE511" s="166"/>
      <c r="AF511" s="166"/>
      <c r="AG511" s="166"/>
      <c r="AH511" s="166"/>
      <c r="AI511" s="166"/>
    </row>
    <row r="512" spans="1:35" x14ac:dyDescent="0.2">
      <c r="A512" s="167" t="s">
        <v>108</v>
      </c>
      <c r="B512" s="162">
        <v>12</v>
      </c>
      <c r="C512" s="162">
        <f t="shared" si="14"/>
        <v>2281.25</v>
      </c>
      <c r="D512" s="162" t="s">
        <v>162</v>
      </c>
      <c r="E512" s="168">
        <v>1261182782436.9375</v>
      </c>
      <c r="F512" s="168">
        <v>1261182782.4369376</v>
      </c>
      <c r="G512" s="168">
        <v>1261182.7824369376</v>
      </c>
      <c r="H512" s="168">
        <v>1261.1827824369375</v>
      </c>
      <c r="I512" s="164">
        <f>H512*$O$9/0.1*INDEX(Country_details!$N$9:N662,MATCH(Solar_data!A512,Country_details!$A$9:$A$154,0))</f>
        <v>2837.6612604831089</v>
      </c>
      <c r="J512" s="164">
        <f t="shared" si="15"/>
        <v>2281.25</v>
      </c>
      <c r="K512" s="164"/>
      <c r="L512" s="164"/>
      <c r="M512" s="164"/>
      <c r="N512" s="164"/>
      <c r="O512" s="166"/>
      <c r="P512" s="166"/>
      <c r="Q512" s="166"/>
      <c r="R512" s="166"/>
      <c r="S512" s="166"/>
      <c r="T512" s="166"/>
      <c r="U512" s="166"/>
      <c r="V512" s="166"/>
      <c r="W512" s="166"/>
      <c r="X512" s="166"/>
      <c r="Y512" s="166"/>
      <c r="Z512" s="166"/>
      <c r="AA512" s="166"/>
      <c r="AB512" s="166"/>
      <c r="AC512" s="166"/>
      <c r="AD512" s="166"/>
      <c r="AE512" s="166"/>
      <c r="AF512" s="166"/>
      <c r="AG512" s="166"/>
      <c r="AH512" s="166"/>
      <c r="AI512" s="166"/>
    </row>
    <row r="513" spans="1:35" x14ac:dyDescent="0.2">
      <c r="A513" s="167" t="s">
        <v>108</v>
      </c>
      <c r="B513" s="162">
        <v>13</v>
      </c>
      <c r="C513" s="162">
        <f t="shared" si="14"/>
        <v>2463.75</v>
      </c>
      <c r="D513" s="162" t="s">
        <v>163</v>
      </c>
      <c r="E513" s="168">
        <v>2930655916130.8862</v>
      </c>
      <c r="F513" s="168">
        <v>2930655916.1308861</v>
      </c>
      <c r="G513" s="168">
        <v>2930655.9161308859</v>
      </c>
      <c r="H513" s="168">
        <v>2930.655916130886</v>
      </c>
      <c r="I513" s="164">
        <f>H513*$O$9/0.1*INDEX(Country_details!$N$9:N663,MATCH(Solar_data!A513,Country_details!$A$9:$A$154,0))</f>
        <v>6593.9758112944928</v>
      </c>
      <c r="J513" s="164">
        <f t="shared" si="15"/>
        <v>2463.75</v>
      </c>
      <c r="K513" s="164"/>
      <c r="L513" s="164"/>
      <c r="M513" s="164"/>
      <c r="N513" s="164"/>
      <c r="O513" s="166"/>
      <c r="P513" s="166"/>
      <c r="Q513" s="166"/>
      <c r="R513" s="166"/>
      <c r="S513" s="166"/>
      <c r="T513" s="166"/>
      <c r="U513" s="166"/>
      <c r="V513" s="166"/>
      <c r="W513" s="166"/>
      <c r="X513" s="166"/>
      <c r="Y513" s="166"/>
      <c r="Z513" s="166"/>
      <c r="AA513" s="166"/>
      <c r="AB513" s="166"/>
      <c r="AC513" s="166"/>
      <c r="AD513" s="166"/>
      <c r="AE513" s="166"/>
      <c r="AF513" s="166"/>
      <c r="AG513" s="166"/>
      <c r="AH513" s="166"/>
      <c r="AI513" s="166"/>
    </row>
    <row r="514" spans="1:35" x14ac:dyDescent="0.2">
      <c r="A514" s="167" t="s">
        <v>108</v>
      </c>
      <c r="B514" s="162">
        <v>14</v>
      </c>
      <c r="C514" s="162">
        <f t="shared" si="14"/>
        <v>2646.25</v>
      </c>
      <c r="D514" s="162" t="s">
        <v>165</v>
      </c>
      <c r="E514" s="168">
        <v>4432487507.0579996</v>
      </c>
      <c r="F514" s="168">
        <v>4432487.5070579993</v>
      </c>
      <c r="G514" s="168">
        <v>4432.4875070579992</v>
      </c>
      <c r="H514" s="168">
        <v>4.4324875070579992</v>
      </c>
      <c r="I514" s="164">
        <f>H514*$O$9/0.1*INDEX(Country_details!$N$9:N664,MATCH(Solar_data!A514,Country_details!$A$9:$A$154,0))</f>
        <v>9.9730968908804964</v>
      </c>
      <c r="J514" s="164">
        <f t="shared" si="15"/>
        <v>2646.25</v>
      </c>
      <c r="K514" s="164"/>
      <c r="L514" s="164"/>
      <c r="M514" s="164"/>
      <c r="N514" s="164"/>
      <c r="O514" s="166"/>
      <c r="P514" s="166"/>
      <c r="Q514" s="166"/>
      <c r="R514" s="166"/>
      <c r="S514" s="166"/>
      <c r="T514" s="166"/>
      <c r="U514" s="166"/>
      <c r="V514" s="166"/>
      <c r="W514" s="166"/>
      <c r="X514" s="166"/>
      <c r="Y514" s="166"/>
      <c r="Z514" s="166"/>
      <c r="AA514" s="166"/>
      <c r="AB514" s="166"/>
      <c r="AC514" s="166"/>
      <c r="AD514" s="166"/>
      <c r="AE514" s="166"/>
      <c r="AF514" s="166"/>
      <c r="AG514" s="166"/>
      <c r="AH514" s="166"/>
      <c r="AI514" s="166"/>
    </row>
    <row r="515" spans="1:35" x14ac:dyDescent="0.2">
      <c r="A515" s="167" t="s">
        <v>109</v>
      </c>
      <c r="B515" s="162">
        <v>8</v>
      </c>
      <c r="C515" s="162">
        <f t="shared" si="14"/>
        <v>1551.25</v>
      </c>
      <c r="D515" s="162" t="s">
        <v>164</v>
      </c>
      <c r="E515" s="168">
        <v>76661525543.472397</v>
      </c>
      <c r="F515" s="168">
        <v>76661525.543472394</v>
      </c>
      <c r="G515" s="168">
        <v>76661.525543472395</v>
      </c>
      <c r="H515" s="168">
        <v>76.661525543472393</v>
      </c>
      <c r="I515" s="164">
        <f>H515*$O$9/0.1*INDEX(Country_details!$N$9:N665,MATCH(Solar_data!A515,Country_details!$A$9:$A$154,0))</f>
        <v>195.48689013585457</v>
      </c>
      <c r="J515" s="164">
        <f t="shared" si="15"/>
        <v>1551.25</v>
      </c>
      <c r="K515" s="164"/>
      <c r="L515" s="164"/>
      <c r="M515" s="164"/>
      <c r="N515" s="164"/>
      <c r="O515" s="166"/>
      <c r="P515" s="166"/>
      <c r="Q515" s="166"/>
      <c r="R515" s="166"/>
      <c r="S515" s="166"/>
      <c r="T515" s="166"/>
      <c r="U515" s="166"/>
      <c r="V515" s="166"/>
      <c r="W515" s="166"/>
      <c r="X515" s="166"/>
      <c r="Y515" s="166"/>
      <c r="Z515" s="166"/>
      <c r="AA515" s="166"/>
      <c r="AB515" s="166"/>
      <c r="AC515" s="166"/>
      <c r="AD515" s="166"/>
      <c r="AE515" s="166"/>
      <c r="AF515" s="166"/>
      <c r="AG515" s="166"/>
      <c r="AH515" s="166"/>
      <c r="AI515" s="166"/>
    </row>
    <row r="516" spans="1:35" x14ac:dyDescent="0.2">
      <c r="A516" s="167" t="s">
        <v>109</v>
      </c>
      <c r="B516" s="162">
        <v>9</v>
      </c>
      <c r="C516" s="162">
        <f t="shared" si="14"/>
        <v>1733.75</v>
      </c>
      <c r="D516" s="162" t="s">
        <v>157</v>
      </c>
      <c r="E516" s="168">
        <v>396867194625.55652</v>
      </c>
      <c r="F516" s="168">
        <v>396867194.62555653</v>
      </c>
      <c r="G516" s="168">
        <v>396867.19462555653</v>
      </c>
      <c r="H516" s="168">
        <v>396.86719462555652</v>
      </c>
      <c r="I516" s="164">
        <f>H516*$O$9/0.1*INDEX(Country_details!$N$9:N666,MATCH(Solar_data!A516,Country_details!$A$9:$A$154,0))</f>
        <v>1012.0113462951689</v>
      </c>
      <c r="J516" s="164">
        <f t="shared" si="15"/>
        <v>1733.75</v>
      </c>
      <c r="K516" s="164"/>
      <c r="L516" s="164"/>
      <c r="M516" s="164"/>
      <c r="N516" s="164"/>
      <c r="O516" s="166"/>
      <c r="P516" s="166"/>
      <c r="Q516" s="166"/>
      <c r="R516" s="166"/>
      <c r="S516" s="166"/>
      <c r="T516" s="166"/>
      <c r="U516" s="166"/>
      <c r="V516" s="166"/>
      <c r="W516" s="166"/>
      <c r="X516" s="166"/>
      <c r="Y516" s="166"/>
      <c r="Z516" s="166"/>
      <c r="AA516" s="166"/>
      <c r="AB516" s="166"/>
      <c r="AC516" s="166"/>
      <c r="AD516" s="166"/>
      <c r="AE516" s="166"/>
      <c r="AF516" s="166"/>
      <c r="AG516" s="166"/>
      <c r="AH516" s="166"/>
      <c r="AI516" s="166"/>
    </row>
    <row r="517" spans="1:35" x14ac:dyDescent="0.2">
      <c r="A517" s="167" t="s">
        <v>109</v>
      </c>
      <c r="B517" s="162">
        <v>10</v>
      </c>
      <c r="C517" s="162">
        <f t="shared" ref="C517:C580" si="16">(0.5*B517+0.25)*365</f>
        <v>1916.25</v>
      </c>
      <c r="D517" s="162" t="s">
        <v>159</v>
      </c>
      <c r="E517" s="168">
        <v>525632753572.8269</v>
      </c>
      <c r="F517" s="168">
        <v>525632753.57282692</v>
      </c>
      <c r="G517" s="168">
        <v>525632.75357282697</v>
      </c>
      <c r="H517" s="168">
        <v>525.63275357282703</v>
      </c>
      <c r="I517" s="164">
        <f>H517*$O$9/0.1*INDEX(Country_details!$N$9:N667,MATCH(Solar_data!A517,Country_details!$A$9:$A$154,0))</f>
        <v>1340.3635216107089</v>
      </c>
      <c r="J517" s="164">
        <f t="shared" si="15"/>
        <v>1916.25</v>
      </c>
      <c r="K517" s="164"/>
      <c r="L517" s="164"/>
      <c r="M517" s="164"/>
      <c r="N517" s="164"/>
      <c r="O517" s="166"/>
      <c r="P517" s="166"/>
      <c r="Q517" s="166"/>
      <c r="R517" s="166"/>
      <c r="S517" s="166"/>
      <c r="T517" s="166"/>
      <c r="U517" s="166"/>
      <c r="V517" s="166"/>
      <c r="W517" s="166"/>
      <c r="X517" s="166"/>
      <c r="Y517" s="166"/>
      <c r="Z517" s="166"/>
      <c r="AA517" s="166"/>
      <c r="AB517" s="166"/>
      <c r="AC517" s="166"/>
      <c r="AD517" s="166"/>
      <c r="AE517" s="166"/>
      <c r="AF517" s="166"/>
      <c r="AG517" s="166"/>
      <c r="AH517" s="166"/>
      <c r="AI517" s="166"/>
    </row>
    <row r="518" spans="1:35" x14ac:dyDescent="0.2">
      <c r="A518" s="167" t="s">
        <v>109</v>
      </c>
      <c r="B518" s="162">
        <v>11</v>
      </c>
      <c r="C518" s="162">
        <f t="shared" si="16"/>
        <v>2098.75</v>
      </c>
      <c r="D518" s="162" t="s">
        <v>161</v>
      </c>
      <c r="E518" s="168">
        <v>639857729741.82227</v>
      </c>
      <c r="F518" s="168">
        <v>639857729.74182224</v>
      </c>
      <c r="G518" s="168">
        <v>639857.72974182223</v>
      </c>
      <c r="H518" s="168">
        <v>639.85772974182225</v>
      </c>
      <c r="I518" s="164">
        <f>H518*$O$9/0.1*INDEX(Country_details!$N$9:N668,MATCH(Solar_data!A518,Country_details!$A$9:$A$154,0))</f>
        <v>1631.6372108416467</v>
      </c>
      <c r="J518" s="164">
        <f t="shared" si="15"/>
        <v>2098.75</v>
      </c>
      <c r="K518" s="164"/>
      <c r="L518" s="164"/>
      <c r="M518" s="164"/>
      <c r="N518" s="164"/>
      <c r="O518" s="166"/>
      <c r="P518" s="166"/>
      <c r="Q518" s="166"/>
      <c r="R518" s="166"/>
      <c r="S518" s="166"/>
      <c r="T518" s="166"/>
      <c r="U518" s="166"/>
      <c r="V518" s="166"/>
      <c r="W518" s="166"/>
      <c r="X518" s="166"/>
      <c r="Y518" s="166"/>
      <c r="Z518" s="166"/>
      <c r="AA518" s="166"/>
      <c r="AB518" s="166"/>
      <c r="AC518" s="166"/>
      <c r="AD518" s="166"/>
      <c r="AE518" s="166"/>
      <c r="AF518" s="166"/>
      <c r="AG518" s="166"/>
      <c r="AH518" s="166"/>
      <c r="AI518" s="166"/>
    </row>
    <row r="519" spans="1:35" x14ac:dyDescent="0.2">
      <c r="A519" s="167" t="s">
        <v>109</v>
      </c>
      <c r="B519" s="162">
        <v>12</v>
      </c>
      <c r="C519" s="162">
        <f t="shared" si="16"/>
        <v>2281.25</v>
      </c>
      <c r="D519" s="162" t="s">
        <v>162</v>
      </c>
      <c r="E519" s="168">
        <v>1144704747605.5063</v>
      </c>
      <c r="F519" s="168">
        <v>1144704747.6055064</v>
      </c>
      <c r="G519" s="168">
        <v>1144704.7476055063</v>
      </c>
      <c r="H519" s="168">
        <v>1144.7047476055063</v>
      </c>
      <c r="I519" s="164">
        <f>H519*$O$9/0.1*INDEX(Country_details!$N$9:N669,MATCH(Solar_data!A519,Country_details!$A$9:$A$154,0))</f>
        <v>2918.9971063940407</v>
      </c>
      <c r="J519" s="164">
        <f t="shared" si="15"/>
        <v>2281.25</v>
      </c>
      <c r="K519" s="164"/>
      <c r="L519" s="164"/>
      <c r="M519" s="164"/>
      <c r="N519" s="164"/>
      <c r="O519" s="166"/>
      <c r="P519" s="166"/>
      <c r="Q519" s="166"/>
      <c r="R519" s="166"/>
      <c r="S519" s="166"/>
      <c r="T519" s="166"/>
      <c r="U519" s="166"/>
      <c r="V519" s="166"/>
      <c r="W519" s="166"/>
      <c r="X519" s="166"/>
      <c r="Y519" s="166"/>
      <c r="Z519" s="166"/>
      <c r="AA519" s="166"/>
      <c r="AB519" s="166"/>
      <c r="AC519" s="166"/>
      <c r="AD519" s="166"/>
      <c r="AE519" s="166"/>
      <c r="AF519" s="166"/>
      <c r="AG519" s="166"/>
      <c r="AH519" s="166"/>
      <c r="AI519" s="166"/>
    </row>
    <row r="520" spans="1:35" x14ac:dyDescent="0.2">
      <c r="A520" s="167" t="s">
        <v>250</v>
      </c>
      <c r="B520" s="162">
        <v>11</v>
      </c>
      <c r="C520" s="162">
        <f t="shared" si="16"/>
        <v>2098.75</v>
      </c>
      <c r="D520" s="162" t="s">
        <v>161</v>
      </c>
      <c r="E520" s="168">
        <v>546035402.12469995</v>
      </c>
      <c r="F520" s="168">
        <v>546035.4021246999</v>
      </c>
      <c r="G520" s="168">
        <v>546.03540212469989</v>
      </c>
      <c r="H520" s="168">
        <v>0.54603540212469992</v>
      </c>
      <c r="I520" s="164" t="e">
        <f>H520*$O$9/0.1*INDEX(Country_details!$N$9:N670,MATCH(Solar_data!A520,Country_details!$A$9:$A$154,0))</f>
        <v>#N/A</v>
      </c>
      <c r="J520" s="164">
        <f t="shared" si="15"/>
        <v>2098.75</v>
      </c>
      <c r="K520" s="164"/>
      <c r="L520" s="164"/>
      <c r="M520" s="164"/>
      <c r="N520" s="164"/>
      <c r="O520" s="166"/>
      <c r="P520" s="166"/>
      <c r="Q520" s="166"/>
      <c r="R520" s="166"/>
      <c r="S520" s="166"/>
      <c r="T520" s="166"/>
      <c r="U520" s="166"/>
      <c r="V520" s="166"/>
      <c r="W520" s="166"/>
      <c r="X520" s="166"/>
      <c r="Y520" s="166"/>
      <c r="Z520" s="166"/>
      <c r="AA520" s="166"/>
      <c r="AB520" s="166"/>
      <c r="AC520" s="166"/>
      <c r="AD520" s="166"/>
      <c r="AE520" s="166"/>
      <c r="AF520" s="166"/>
      <c r="AG520" s="166"/>
      <c r="AH520" s="166"/>
      <c r="AI520" s="166"/>
    </row>
    <row r="521" spans="1:35" x14ac:dyDescent="0.2">
      <c r="A521" s="167" t="s">
        <v>251</v>
      </c>
      <c r="B521" s="162">
        <v>11</v>
      </c>
      <c r="C521" s="162">
        <f t="shared" si="16"/>
        <v>2098.75</v>
      </c>
      <c r="D521" s="162" t="s">
        <v>161</v>
      </c>
      <c r="E521" s="168">
        <v>118243758.22</v>
      </c>
      <c r="F521" s="168">
        <v>118243.75822</v>
      </c>
      <c r="G521" s="168">
        <v>118.24375822</v>
      </c>
      <c r="H521" s="168">
        <v>0.11824375822000001</v>
      </c>
      <c r="I521" s="164" t="e">
        <f>H521*$O$9/0.1*INDEX(Country_details!$N$9:N671,MATCH(Solar_data!A521,Country_details!$A$9:$A$154,0))</f>
        <v>#N/A</v>
      </c>
      <c r="J521" s="164">
        <f t="shared" ref="J521:J584" si="17">(0.5*B521+0.25)*365</f>
        <v>2098.75</v>
      </c>
      <c r="K521" s="164"/>
      <c r="L521" s="164"/>
      <c r="M521" s="164"/>
      <c r="N521" s="164"/>
      <c r="O521" s="166"/>
      <c r="P521" s="166"/>
      <c r="Q521" s="166"/>
      <c r="R521" s="166"/>
      <c r="S521" s="166"/>
      <c r="T521" s="166"/>
      <c r="U521" s="166"/>
      <c r="V521" s="166"/>
      <c r="W521" s="166"/>
      <c r="X521" s="166"/>
      <c r="Y521" s="166"/>
      <c r="Z521" s="166"/>
      <c r="AA521" s="166"/>
      <c r="AB521" s="166"/>
      <c r="AC521" s="166"/>
      <c r="AD521" s="166"/>
      <c r="AE521" s="166"/>
      <c r="AF521" s="166"/>
      <c r="AG521" s="166"/>
      <c r="AH521" s="166"/>
      <c r="AI521" s="166"/>
    </row>
    <row r="522" spans="1:35" x14ac:dyDescent="0.2">
      <c r="A522" s="167" t="s">
        <v>252</v>
      </c>
      <c r="B522" s="162">
        <v>7</v>
      </c>
      <c r="C522" s="162">
        <f t="shared" si="16"/>
        <v>1368.75</v>
      </c>
      <c r="D522" s="162" t="s">
        <v>174</v>
      </c>
      <c r="E522" s="168">
        <v>1127342805.74</v>
      </c>
      <c r="F522" s="168">
        <v>1127342.80574</v>
      </c>
      <c r="G522" s="168">
        <v>1127.3428057399999</v>
      </c>
      <c r="H522" s="168">
        <v>1.1273428057399999</v>
      </c>
      <c r="I522" s="164">
        <f>H522*$O$9/0.1*INDEX(Country_details!$N$9:N672,MATCH(Solar_data!A522,Country_details!$A$9:$A$154,0))</f>
        <v>3.043825575497999</v>
      </c>
      <c r="J522" s="164">
        <f t="shared" si="17"/>
        <v>1368.75</v>
      </c>
      <c r="K522" s="164"/>
      <c r="L522" s="164"/>
      <c r="M522" s="164"/>
      <c r="N522" s="164"/>
      <c r="O522" s="166"/>
      <c r="P522" s="166"/>
      <c r="Q522" s="166"/>
      <c r="R522" s="166"/>
      <c r="S522" s="166"/>
      <c r="T522" s="166"/>
      <c r="U522" s="166"/>
      <c r="V522" s="166"/>
      <c r="W522" s="166"/>
      <c r="X522" s="166"/>
      <c r="Y522" s="166"/>
      <c r="Z522" s="166"/>
      <c r="AA522" s="166"/>
      <c r="AB522" s="166"/>
      <c r="AC522" s="166"/>
      <c r="AD522" s="166"/>
      <c r="AE522" s="166"/>
      <c r="AF522" s="166"/>
      <c r="AG522" s="166"/>
      <c r="AH522" s="166"/>
      <c r="AI522" s="166"/>
    </row>
    <row r="523" spans="1:35" x14ac:dyDescent="0.2">
      <c r="A523" s="167" t="s">
        <v>252</v>
      </c>
      <c r="B523" s="162">
        <v>8</v>
      </c>
      <c r="C523" s="162">
        <f t="shared" si="16"/>
        <v>1551.25</v>
      </c>
      <c r="D523" s="162" t="s">
        <v>164</v>
      </c>
      <c r="E523" s="168">
        <v>82158003123.893799</v>
      </c>
      <c r="F523" s="168">
        <v>82158003.123893797</v>
      </c>
      <c r="G523" s="168">
        <v>82158.003123893795</v>
      </c>
      <c r="H523" s="168">
        <v>82.158003123893792</v>
      </c>
      <c r="I523" s="164">
        <f>H523*$O$9/0.1*INDEX(Country_details!$N$9:N673,MATCH(Solar_data!A523,Country_details!$A$9:$A$154,0))</f>
        <v>221.82660843451322</v>
      </c>
      <c r="J523" s="164">
        <f t="shared" si="17"/>
        <v>1551.25</v>
      </c>
      <c r="K523" s="164"/>
      <c r="L523" s="164"/>
      <c r="M523" s="164"/>
      <c r="N523" s="164"/>
      <c r="O523" s="166"/>
      <c r="P523" s="166"/>
      <c r="Q523" s="166"/>
      <c r="R523" s="166"/>
      <c r="S523" s="166"/>
      <c r="T523" s="166"/>
      <c r="U523" s="166"/>
      <c r="V523" s="166"/>
      <c r="W523" s="166"/>
      <c r="X523" s="166"/>
      <c r="Y523" s="166"/>
      <c r="Z523" s="166"/>
      <c r="AA523" s="166"/>
      <c r="AB523" s="166"/>
      <c r="AC523" s="166"/>
      <c r="AD523" s="166"/>
      <c r="AE523" s="166"/>
      <c r="AF523" s="166"/>
      <c r="AG523" s="166"/>
      <c r="AH523" s="166"/>
      <c r="AI523" s="166"/>
    </row>
    <row r="524" spans="1:35" x14ac:dyDescent="0.2">
      <c r="A524" s="167" t="s">
        <v>252</v>
      </c>
      <c r="B524" s="162">
        <v>9</v>
      </c>
      <c r="C524" s="162">
        <f t="shared" si="16"/>
        <v>1733.75</v>
      </c>
      <c r="D524" s="162" t="s">
        <v>157</v>
      </c>
      <c r="E524" s="168">
        <v>224964564168.2258</v>
      </c>
      <c r="F524" s="168">
        <v>224964564.1682258</v>
      </c>
      <c r="G524" s="168">
        <v>224964.5641682258</v>
      </c>
      <c r="H524" s="168">
        <v>224.96456416822579</v>
      </c>
      <c r="I524" s="164">
        <f>H524*$O$9/0.1*INDEX(Country_details!$N$9:N674,MATCH(Solar_data!A524,Country_details!$A$9:$A$154,0))</f>
        <v>607.40432325420954</v>
      </c>
      <c r="J524" s="164">
        <f t="shared" si="17"/>
        <v>1733.75</v>
      </c>
      <c r="K524" s="164"/>
      <c r="L524" s="164"/>
      <c r="M524" s="164"/>
      <c r="N524" s="164"/>
      <c r="O524" s="166"/>
      <c r="P524" s="166"/>
      <c r="Q524" s="166"/>
      <c r="R524" s="166"/>
      <c r="S524" s="166"/>
      <c r="T524" s="166"/>
      <c r="U524" s="166"/>
      <c r="V524" s="166"/>
      <c r="W524" s="166"/>
      <c r="X524" s="166"/>
      <c r="Y524" s="166"/>
      <c r="Z524" s="166"/>
      <c r="AA524" s="166"/>
      <c r="AB524" s="166"/>
      <c r="AC524" s="166"/>
      <c r="AD524" s="166"/>
      <c r="AE524" s="166"/>
      <c r="AF524" s="166"/>
      <c r="AG524" s="166"/>
      <c r="AH524" s="166"/>
      <c r="AI524" s="166"/>
    </row>
    <row r="525" spans="1:35" x14ac:dyDescent="0.2">
      <c r="A525" s="167" t="s">
        <v>252</v>
      </c>
      <c r="B525" s="162">
        <v>10</v>
      </c>
      <c r="C525" s="162">
        <f t="shared" si="16"/>
        <v>1916.25</v>
      </c>
      <c r="D525" s="162" t="s">
        <v>159</v>
      </c>
      <c r="E525" s="168">
        <v>725168006.32210004</v>
      </c>
      <c r="F525" s="168">
        <v>725168.00632210006</v>
      </c>
      <c r="G525" s="168">
        <v>725.16800632210004</v>
      </c>
      <c r="H525" s="168">
        <v>0.7251680063221001</v>
      </c>
      <c r="I525" s="164">
        <f>H525*$O$9/0.1*INDEX(Country_details!$N$9:N675,MATCH(Solar_data!A525,Country_details!$A$9:$A$154,0))</f>
        <v>1.9579536170696703</v>
      </c>
      <c r="J525" s="164">
        <f t="shared" si="17"/>
        <v>1916.25</v>
      </c>
      <c r="K525" s="164"/>
      <c r="L525" s="164"/>
      <c r="M525" s="164"/>
      <c r="N525" s="164"/>
      <c r="O525" s="166"/>
      <c r="P525" s="166"/>
      <c r="Q525" s="166"/>
      <c r="R525" s="166"/>
      <c r="S525" s="166"/>
      <c r="T525" s="166"/>
      <c r="U525" s="166"/>
      <c r="V525" s="166"/>
      <c r="W525" s="166"/>
      <c r="X525" s="166"/>
      <c r="Y525" s="166"/>
      <c r="Z525" s="166"/>
      <c r="AA525" s="166"/>
      <c r="AB525" s="166"/>
      <c r="AC525" s="166"/>
      <c r="AD525" s="166"/>
      <c r="AE525" s="166"/>
      <c r="AF525" s="166"/>
      <c r="AG525" s="166"/>
      <c r="AH525" s="166"/>
      <c r="AI525" s="166"/>
    </row>
    <row r="526" spans="1:35" x14ac:dyDescent="0.2">
      <c r="A526" s="167" t="s">
        <v>253</v>
      </c>
      <c r="B526" s="162">
        <v>12</v>
      </c>
      <c r="C526" s="162">
        <f t="shared" si="16"/>
        <v>2281.25</v>
      </c>
      <c r="D526" s="162" t="s">
        <v>162</v>
      </c>
      <c r="E526" s="168">
        <v>249686902.19400001</v>
      </c>
      <c r="F526" s="168">
        <v>249686.90219400002</v>
      </c>
      <c r="G526" s="168">
        <v>249.68690219400003</v>
      </c>
      <c r="H526" s="168">
        <v>0.24968690219400003</v>
      </c>
      <c r="I526" s="164" t="e">
        <f>H526*$O$9/0.1*INDEX(Country_details!$N$9:N676,MATCH(Solar_data!A526,Country_details!$A$9:$A$154,0))</f>
        <v>#N/A</v>
      </c>
      <c r="J526" s="164">
        <f t="shared" si="17"/>
        <v>2281.25</v>
      </c>
      <c r="K526" s="164"/>
      <c r="L526" s="164"/>
      <c r="M526" s="164"/>
      <c r="N526" s="164"/>
      <c r="O526" s="166"/>
      <c r="P526" s="166"/>
      <c r="Q526" s="166"/>
      <c r="R526" s="166"/>
      <c r="S526" s="166"/>
      <c r="T526" s="166"/>
      <c r="U526" s="166"/>
      <c r="V526" s="166"/>
      <c r="W526" s="166"/>
      <c r="X526" s="166"/>
      <c r="Y526" s="166"/>
      <c r="Z526" s="166"/>
      <c r="AA526" s="166"/>
      <c r="AB526" s="166"/>
      <c r="AC526" s="166"/>
      <c r="AD526" s="166"/>
      <c r="AE526" s="166"/>
      <c r="AF526" s="166"/>
      <c r="AG526" s="166"/>
      <c r="AH526" s="166"/>
      <c r="AI526" s="166"/>
    </row>
    <row r="527" spans="1:35" x14ac:dyDescent="0.2">
      <c r="A527" s="167" t="s">
        <v>110</v>
      </c>
      <c r="B527" s="162">
        <v>4</v>
      </c>
      <c r="C527" s="162">
        <f t="shared" si="16"/>
        <v>821.25</v>
      </c>
      <c r="D527" s="162" t="s">
        <v>171</v>
      </c>
      <c r="E527" s="168">
        <v>24020573403.545399</v>
      </c>
      <c r="F527" s="168">
        <v>24020573.403545398</v>
      </c>
      <c r="G527" s="168">
        <v>24020.573403545397</v>
      </c>
      <c r="H527" s="168">
        <v>24.020573403545399</v>
      </c>
      <c r="I527" s="164">
        <f>H527*$O$9/0.1*INDEX(Country_details!$N$9:N677,MATCH(Solar_data!A527,Country_details!$A$9:$A$154,0))</f>
        <v>64.855548189572559</v>
      </c>
      <c r="J527" s="164">
        <f t="shared" si="17"/>
        <v>821.25</v>
      </c>
      <c r="K527" s="164"/>
      <c r="L527" s="164"/>
      <c r="M527" s="164"/>
      <c r="N527" s="164"/>
      <c r="O527" s="166"/>
      <c r="P527" s="166"/>
      <c r="Q527" s="166"/>
      <c r="R527" s="166"/>
      <c r="S527" s="166"/>
      <c r="T527" s="166"/>
      <c r="U527" s="166"/>
      <c r="V527" s="166"/>
      <c r="W527" s="166"/>
      <c r="X527" s="166"/>
      <c r="Y527" s="166"/>
      <c r="Z527" s="166"/>
      <c r="AA527" s="166"/>
      <c r="AB527" s="166"/>
      <c r="AC527" s="166"/>
      <c r="AD527" s="166"/>
      <c r="AE527" s="166"/>
      <c r="AF527" s="166"/>
      <c r="AG527" s="166"/>
      <c r="AH527" s="166"/>
      <c r="AI527" s="166"/>
    </row>
    <row r="528" spans="1:35" x14ac:dyDescent="0.2">
      <c r="A528" s="167" t="s">
        <v>110</v>
      </c>
      <c r="B528" s="162">
        <v>5</v>
      </c>
      <c r="C528" s="162">
        <f t="shared" si="16"/>
        <v>1003.75</v>
      </c>
      <c r="D528" s="162" t="s">
        <v>172</v>
      </c>
      <c r="E528" s="168">
        <v>431824358039.74268</v>
      </c>
      <c r="F528" s="168">
        <v>431824358.03974271</v>
      </c>
      <c r="G528" s="168">
        <v>431824.35803974274</v>
      </c>
      <c r="H528" s="168">
        <v>431.82435803974278</v>
      </c>
      <c r="I528" s="164">
        <f>H528*$O$9/0.1*INDEX(Country_details!$N$9:N678,MATCH(Solar_data!A528,Country_details!$A$9:$A$154,0))</f>
        <v>1165.9257667073055</v>
      </c>
      <c r="J528" s="164">
        <f t="shared" si="17"/>
        <v>1003.75</v>
      </c>
      <c r="K528" s="164"/>
      <c r="L528" s="164"/>
      <c r="M528" s="164"/>
      <c r="N528" s="164"/>
      <c r="O528" s="166"/>
      <c r="P528" s="166"/>
      <c r="Q528" s="166"/>
      <c r="R528" s="166"/>
      <c r="S528" s="166"/>
      <c r="T528" s="166"/>
      <c r="U528" s="166"/>
      <c r="V528" s="166"/>
      <c r="W528" s="166"/>
      <c r="X528" s="166"/>
      <c r="Y528" s="166"/>
      <c r="Z528" s="166"/>
      <c r="AA528" s="166"/>
      <c r="AB528" s="166"/>
      <c r="AC528" s="166"/>
      <c r="AD528" s="166"/>
      <c r="AE528" s="166"/>
      <c r="AF528" s="166"/>
      <c r="AG528" s="166"/>
      <c r="AH528" s="166"/>
      <c r="AI528" s="166"/>
    </row>
    <row r="529" spans="1:35" x14ac:dyDescent="0.2">
      <c r="A529" s="167" t="s">
        <v>110</v>
      </c>
      <c r="B529" s="162">
        <v>6</v>
      </c>
      <c r="C529" s="162">
        <f t="shared" si="16"/>
        <v>1186.25</v>
      </c>
      <c r="D529" s="162" t="s">
        <v>173</v>
      </c>
      <c r="E529" s="168">
        <v>5186176157.2525997</v>
      </c>
      <c r="F529" s="168">
        <v>5186176.1572525995</v>
      </c>
      <c r="G529" s="168">
        <v>5186.1761572525993</v>
      </c>
      <c r="H529" s="168">
        <v>5.1861761572525991</v>
      </c>
      <c r="I529" s="164">
        <f>H529*$O$9/0.1*INDEX(Country_details!$N$9:N679,MATCH(Solar_data!A529,Country_details!$A$9:$A$154,0))</f>
        <v>14.002675624582016</v>
      </c>
      <c r="J529" s="164">
        <f t="shared" si="17"/>
        <v>1186.25</v>
      </c>
      <c r="K529" s="164"/>
      <c r="L529" s="164"/>
      <c r="M529" s="164"/>
      <c r="N529" s="164"/>
      <c r="O529" s="166"/>
      <c r="P529" s="166"/>
      <c r="Q529" s="166"/>
      <c r="R529" s="166"/>
      <c r="S529" s="166"/>
      <c r="T529" s="166"/>
      <c r="U529" s="166"/>
      <c r="V529" s="166"/>
      <c r="W529" s="166"/>
      <c r="X529" s="166"/>
      <c r="Y529" s="166"/>
      <c r="Z529" s="166"/>
      <c r="AA529" s="166"/>
      <c r="AB529" s="166"/>
      <c r="AC529" s="166"/>
      <c r="AD529" s="166"/>
      <c r="AE529" s="166"/>
      <c r="AF529" s="166"/>
      <c r="AG529" s="166"/>
      <c r="AH529" s="166"/>
      <c r="AI529" s="166"/>
    </row>
    <row r="530" spans="1:35" x14ac:dyDescent="0.2">
      <c r="A530" s="167" t="s">
        <v>111</v>
      </c>
      <c r="B530" s="162">
        <v>11</v>
      </c>
      <c r="C530" s="162">
        <f t="shared" si="16"/>
        <v>2098.75</v>
      </c>
      <c r="D530" s="162" t="s">
        <v>161</v>
      </c>
      <c r="E530" s="168">
        <v>254032043700.095</v>
      </c>
      <c r="F530" s="168">
        <v>254032043.700095</v>
      </c>
      <c r="G530" s="168">
        <v>254032.043700095</v>
      </c>
      <c r="H530" s="168">
        <v>254.03204370009502</v>
      </c>
      <c r="I530" s="164">
        <f>H530*$O$9/0.1*INDEX(Country_details!$N$9:N680,MATCH(Solar_data!A530,Country_details!$A$9:$A$154,0))</f>
        <v>609.67690488022799</v>
      </c>
      <c r="J530" s="164">
        <f t="shared" si="17"/>
        <v>2098.75</v>
      </c>
      <c r="K530" s="164"/>
      <c r="L530" s="164"/>
      <c r="M530" s="164"/>
      <c r="N530" s="164"/>
      <c r="O530" s="166"/>
      <c r="P530" s="166"/>
      <c r="Q530" s="166"/>
      <c r="R530" s="166"/>
      <c r="S530" s="166"/>
      <c r="T530" s="166"/>
      <c r="U530" s="166"/>
      <c r="V530" s="166"/>
      <c r="W530" s="166"/>
      <c r="X530" s="166"/>
      <c r="Y530" s="166"/>
      <c r="Z530" s="166"/>
      <c r="AA530" s="166"/>
      <c r="AB530" s="166"/>
      <c r="AC530" s="166"/>
      <c r="AD530" s="166"/>
      <c r="AE530" s="166"/>
      <c r="AF530" s="166"/>
      <c r="AG530" s="166"/>
      <c r="AH530" s="166"/>
      <c r="AI530" s="166"/>
    </row>
    <row r="531" spans="1:35" x14ac:dyDescent="0.2">
      <c r="A531" s="167" t="s">
        <v>111</v>
      </c>
      <c r="B531" s="162">
        <v>12</v>
      </c>
      <c r="C531" s="162">
        <f t="shared" si="16"/>
        <v>2281.25</v>
      </c>
      <c r="D531" s="162" t="s">
        <v>162</v>
      </c>
      <c r="E531" s="168">
        <v>155798296242.17139</v>
      </c>
      <c r="F531" s="168">
        <v>155798296.24217138</v>
      </c>
      <c r="G531" s="168">
        <v>155798.29624217137</v>
      </c>
      <c r="H531" s="168">
        <v>155.79829624217138</v>
      </c>
      <c r="I531" s="164">
        <f>H531*$O$9/0.1*INDEX(Country_details!$N$9:N681,MATCH(Solar_data!A531,Country_details!$A$9:$A$154,0))</f>
        <v>373.91591098121131</v>
      </c>
      <c r="J531" s="164">
        <f t="shared" si="17"/>
        <v>2281.25</v>
      </c>
      <c r="K531" s="164"/>
      <c r="L531" s="164"/>
      <c r="M531" s="164"/>
      <c r="N531" s="164"/>
      <c r="O531" s="166"/>
      <c r="P531" s="166"/>
      <c r="Q531" s="166"/>
      <c r="R531" s="166"/>
      <c r="S531" s="166"/>
      <c r="T531" s="166"/>
      <c r="U531" s="166"/>
      <c r="V531" s="166"/>
      <c r="W531" s="166"/>
      <c r="X531" s="166"/>
      <c r="Y531" s="166"/>
      <c r="Z531" s="166"/>
      <c r="AA531" s="166"/>
      <c r="AB531" s="166"/>
      <c r="AC531" s="166"/>
      <c r="AD531" s="166"/>
      <c r="AE531" s="166"/>
      <c r="AF531" s="166"/>
      <c r="AG531" s="166"/>
      <c r="AH531" s="166"/>
      <c r="AI531" s="166"/>
    </row>
    <row r="532" spans="1:35" x14ac:dyDescent="0.2">
      <c r="A532" s="167" t="s">
        <v>111</v>
      </c>
      <c r="B532" s="162">
        <v>13</v>
      </c>
      <c r="C532" s="162">
        <f t="shared" si="16"/>
        <v>2463.75</v>
      </c>
      <c r="D532" s="162" t="s">
        <v>163</v>
      </c>
      <c r="E532" s="168">
        <v>672757954165.49573</v>
      </c>
      <c r="F532" s="168">
        <v>672757954.16549575</v>
      </c>
      <c r="G532" s="168">
        <v>672757.95416549582</v>
      </c>
      <c r="H532" s="168">
        <v>672.75795416549579</v>
      </c>
      <c r="I532" s="164">
        <f>H532*$O$9/0.1*INDEX(Country_details!$N$9:N682,MATCH(Solar_data!A532,Country_details!$A$9:$A$154,0))</f>
        <v>1614.6190899971898</v>
      </c>
      <c r="J532" s="164">
        <f t="shared" si="17"/>
        <v>2463.75</v>
      </c>
      <c r="K532" s="164"/>
      <c r="L532" s="164"/>
      <c r="M532" s="164"/>
      <c r="N532" s="164"/>
      <c r="O532" s="166"/>
      <c r="P532" s="166"/>
      <c r="Q532" s="166"/>
      <c r="R532" s="166"/>
      <c r="S532" s="166"/>
      <c r="T532" s="166"/>
      <c r="U532" s="166"/>
      <c r="V532" s="166"/>
      <c r="W532" s="166"/>
      <c r="X532" s="166"/>
      <c r="Y532" s="166"/>
      <c r="Z532" s="166"/>
      <c r="AA532" s="166"/>
      <c r="AB532" s="166"/>
      <c r="AC532" s="166"/>
      <c r="AD532" s="166"/>
      <c r="AE532" s="166"/>
      <c r="AF532" s="166"/>
      <c r="AG532" s="166"/>
      <c r="AH532" s="166"/>
      <c r="AI532" s="166"/>
    </row>
    <row r="533" spans="1:35" x14ac:dyDescent="0.2">
      <c r="A533" s="167" t="s">
        <v>112</v>
      </c>
      <c r="B533" s="162">
        <v>9</v>
      </c>
      <c r="C533" s="162">
        <f t="shared" si="16"/>
        <v>1733.75</v>
      </c>
      <c r="D533" s="162" t="s">
        <v>157</v>
      </c>
      <c r="E533" s="168">
        <v>50324866.306599997</v>
      </c>
      <c r="F533" s="168">
        <v>50324.866306600001</v>
      </c>
      <c r="G533" s="168">
        <v>50.324866306600001</v>
      </c>
      <c r="H533" s="168">
        <v>5.0324866306599998E-2</v>
      </c>
      <c r="I533" s="164">
        <f>H533*$O$9/0.1*INDEX(Country_details!$N$9:N683,MATCH(Solar_data!A533,Country_details!$A$9:$A$154,0))</f>
        <v>0.12077967913583998</v>
      </c>
      <c r="J533" s="164">
        <f t="shared" si="17"/>
        <v>1733.75</v>
      </c>
      <c r="K533" s="164"/>
      <c r="L533" s="164"/>
      <c r="M533" s="164"/>
      <c r="N533" s="164"/>
      <c r="O533" s="166"/>
      <c r="P533" s="166"/>
      <c r="Q533" s="166"/>
      <c r="R533" s="166"/>
      <c r="S533" s="166"/>
      <c r="T533" s="166"/>
      <c r="U533" s="166"/>
      <c r="V533" s="166"/>
      <c r="W533" s="166"/>
      <c r="X533" s="166"/>
      <c r="Y533" s="166"/>
      <c r="Z533" s="166"/>
      <c r="AA533" s="166"/>
      <c r="AB533" s="166"/>
      <c r="AC533" s="166"/>
      <c r="AD533" s="166"/>
      <c r="AE533" s="166"/>
      <c r="AF533" s="166"/>
      <c r="AG533" s="166"/>
      <c r="AH533" s="166"/>
      <c r="AI533" s="166"/>
    </row>
    <row r="534" spans="1:35" x14ac:dyDescent="0.2">
      <c r="A534" s="167" t="s">
        <v>112</v>
      </c>
      <c r="B534" s="162">
        <v>10</v>
      </c>
      <c r="C534" s="162">
        <f t="shared" si="16"/>
        <v>1916.25</v>
      </c>
      <c r="D534" s="162" t="s">
        <v>159</v>
      </c>
      <c r="E534" s="168">
        <v>3868847811.3119998</v>
      </c>
      <c r="F534" s="168">
        <v>3868847.8113119998</v>
      </c>
      <c r="G534" s="168">
        <v>3868.847811312</v>
      </c>
      <c r="H534" s="168">
        <v>3.868847811312</v>
      </c>
      <c r="I534" s="164">
        <f>H534*$O$9/0.1*INDEX(Country_details!$N$9:N684,MATCH(Solar_data!A534,Country_details!$A$9:$A$154,0))</f>
        <v>9.2852347471487988</v>
      </c>
      <c r="J534" s="164">
        <f t="shared" si="17"/>
        <v>1916.25</v>
      </c>
      <c r="K534" s="164"/>
      <c r="L534" s="164"/>
      <c r="M534" s="164"/>
      <c r="N534" s="164"/>
      <c r="O534" s="166"/>
      <c r="P534" s="166"/>
      <c r="Q534" s="166"/>
      <c r="R534" s="166"/>
      <c r="S534" s="166"/>
      <c r="T534" s="166"/>
      <c r="U534" s="166"/>
      <c r="V534" s="166"/>
      <c r="W534" s="166"/>
      <c r="X534" s="166"/>
      <c r="Y534" s="166"/>
      <c r="Z534" s="166"/>
      <c r="AA534" s="166"/>
      <c r="AB534" s="166"/>
      <c r="AC534" s="166"/>
      <c r="AD534" s="166"/>
      <c r="AE534" s="166"/>
      <c r="AF534" s="166"/>
      <c r="AG534" s="166"/>
      <c r="AH534" s="166"/>
      <c r="AI534" s="166"/>
    </row>
    <row r="535" spans="1:35" x14ac:dyDescent="0.2">
      <c r="A535" s="167" t="s">
        <v>112</v>
      </c>
      <c r="B535" s="162">
        <v>11</v>
      </c>
      <c r="C535" s="162">
        <f t="shared" si="16"/>
        <v>2098.75</v>
      </c>
      <c r="D535" s="162" t="s">
        <v>161</v>
      </c>
      <c r="E535" s="168">
        <v>593298940619.56555</v>
      </c>
      <c r="F535" s="168">
        <v>593298940.61956561</v>
      </c>
      <c r="G535" s="168">
        <v>593298.94061956566</v>
      </c>
      <c r="H535" s="168">
        <v>593.29894061956566</v>
      </c>
      <c r="I535" s="164">
        <f>H535*$O$9/0.1*INDEX(Country_details!$N$9:N685,MATCH(Solar_data!A535,Country_details!$A$9:$A$154,0))</f>
        <v>1423.9174574869576</v>
      </c>
      <c r="J535" s="164">
        <f t="shared" si="17"/>
        <v>2098.75</v>
      </c>
      <c r="K535" s="164"/>
      <c r="L535" s="164"/>
      <c r="M535" s="164"/>
      <c r="N535" s="164"/>
      <c r="O535" s="166"/>
      <c r="P535" s="166"/>
      <c r="Q535" s="166"/>
      <c r="R535" s="166"/>
      <c r="S535" s="166"/>
      <c r="T535" s="166"/>
      <c r="U535" s="166"/>
      <c r="V535" s="166"/>
      <c r="W535" s="166"/>
      <c r="X535" s="166"/>
      <c r="Y535" s="166"/>
      <c r="Z535" s="166"/>
      <c r="AA535" s="166"/>
      <c r="AB535" s="166"/>
      <c r="AC535" s="166"/>
      <c r="AD535" s="166"/>
      <c r="AE535" s="166"/>
      <c r="AF535" s="166"/>
      <c r="AG535" s="166"/>
      <c r="AH535" s="166"/>
      <c r="AI535" s="166"/>
    </row>
    <row r="536" spans="1:35" x14ac:dyDescent="0.2">
      <c r="A536" s="167" t="s">
        <v>112</v>
      </c>
      <c r="B536" s="162">
        <v>12</v>
      </c>
      <c r="C536" s="162">
        <f t="shared" si="16"/>
        <v>2281.25</v>
      </c>
      <c r="D536" s="162" t="s">
        <v>162</v>
      </c>
      <c r="E536" s="168">
        <v>1753797280552.2627</v>
      </c>
      <c r="F536" s="168">
        <v>1753797280.5522628</v>
      </c>
      <c r="G536" s="168">
        <v>1753797.2805522629</v>
      </c>
      <c r="H536" s="168">
        <v>1753.7972805522629</v>
      </c>
      <c r="I536" s="164">
        <f>H536*$O$9/0.1*INDEX(Country_details!$N$9:N686,MATCH(Solar_data!A536,Country_details!$A$9:$A$154,0))</f>
        <v>4209.1134733254312</v>
      </c>
      <c r="J536" s="164">
        <f t="shared" si="17"/>
        <v>2281.25</v>
      </c>
      <c r="K536" s="164"/>
      <c r="L536" s="164"/>
      <c r="M536" s="164"/>
      <c r="N536" s="164"/>
      <c r="O536" s="166"/>
      <c r="P536" s="166"/>
      <c r="Q536" s="166"/>
      <c r="R536" s="166"/>
      <c r="S536" s="166"/>
      <c r="T536" s="166"/>
      <c r="U536" s="166"/>
      <c r="V536" s="166"/>
      <c r="W536" s="166"/>
      <c r="X536" s="166"/>
      <c r="Y536" s="166"/>
      <c r="Z536" s="166"/>
      <c r="AA536" s="166"/>
      <c r="AB536" s="166"/>
      <c r="AC536" s="166"/>
      <c r="AD536" s="166"/>
      <c r="AE536" s="166"/>
      <c r="AF536" s="166"/>
      <c r="AG536" s="166"/>
      <c r="AH536" s="166"/>
      <c r="AI536" s="166"/>
    </row>
    <row r="537" spans="1:35" x14ac:dyDescent="0.2">
      <c r="A537" s="167" t="s">
        <v>112</v>
      </c>
      <c r="B537" s="162">
        <v>13</v>
      </c>
      <c r="C537" s="162">
        <f t="shared" si="16"/>
        <v>2463.75</v>
      </c>
      <c r="D537" s="162" t="s">
        <v>163</v>
      </c>
      <c r="E537" s="168">
        <v>659675856384.37878</v>
      </c>
      <c r="F537" s="168">
        <v>659675856.38437879</v>
      </c>
      <c r="G537" s="168">
        <v>659675.85638437886</v>
      </c>
      <c r="H537" s="168">
        <v>659.6758563843789</v>
      </c>
      <c r="I537" s="164">
        <f>H537*$O$9/0.1*INDEX(Country_details!$N$9:N687,MATCH(Solar_data!A537,Country_details!$A$9:$A$154,0))</f>
        <v>1583.2220553225093</v>
      </c>
      <c r="J537" s="164">
        <f t="shared" si="17"/>
        <v>2463.75</v>
      </c>
      <c r="K537" s="164"/>
      <c r="L537" s="164"/>
      <c r="M537" s="164"/>
      <c r="N537" s="164"/>
      <c r="O537" s="166"/>
      <c r="P537" s="166"/>
      <c r="Q537" s="166"/>
      <c r="R537" s="166"/>
      <c r="S537" s="166"/>
      <c r="T537" s="166"/>
      <c r="U537" s="166"/>
      <c r="V537" s="166"/>
      <c r="W537" s="166"/>
      <c r="X537" s="166"/>
      <c r="Y537" s="166"/>
      <c r="Z537" s="166"/>
      <c r="AA537" s="166"/>
      <c r="AB537" s="166"/>
      <c r="AC537" s="166"/>
      <c r="AD537" s="166"/>
      <c r="AE537" s="166"/>
      <c r="AF537" s="166"/>
      <c r="AG537" s="166"/>
      <c r="AH537" s="166"/>
      <c r="AI537" s="166"/>
    </row>
    <row r="538" spans="1:35" x14ac:dyDescent="0.2">
      <c r="A538" s="167" t="s">
        <v>254</v>
      </c>
      <c r="B538" s="162">
        <v>10</v>
      </c>
      <c r="C538" s="162">
        <f t="shared" si="16"/>
        <v>1916.25</v>
      </c>
      <c r="D538" s="162" t="s">
        <v>159</v>
      </c>
      <c r="E538" s="168">
        <v>693443902.33700001</v>
      </c>
      <c r="F538" s="168">
        <v>693443.90233700001</v>
      </c>
      <c r="G538" s="168">
        <v>693.44390233700005</v>
      </c>
      <c r="H538" s="168">
        <v>0.69344390233700004</v>
      </c>
      <c r="I538" s="164" t="e">
        <f>H538*$O$9/0.1*INDEX(Country_details!$N$9:N688,MATCH(Solar_data!A538,Country_details!$A$9:$A$154,0))</f>
        <v>#N/A</v>
      </c>
      <c r="J538" s="164">
        <f t="shared" si="17"/>
        <v>1916.25</v>
      </c>
      <c r="K538" s="164"/>
      <c r="L538" s="164"/>
      <c r="M538" s="164"/>
      <c r="N538" s="164"/>
      <c r="O538" s="166"/>
      <c r="P538" s="166"/>
      <c r="Q538" s="166"/>
      <c r="R538" s="166"/>
      <c r="S538" s="166"/>
      <c r="T538" s="166"/>
      <c r="U538" s="166"/>
      <c r="V538" s="166"/>
      <c r="W538" s="166"/>
      <c r="X538" s="166"/>
      <c r="Y538" s="166"/>
      <c r="Z538" s="166"/>
      <c r="AA538" s="166"/>
      <c r="AB538" s="166"/>
      <c r="AC538" s="166"/>
      <c r="AD538" s="166"/>
      <c r="AE538" s="166"/>
      <c r="AF538" s="166"/>
      <c r="AG538" s="166"/>
      <c r="AH538" s="166"/>
      <c r="AI538" s="166"/>
    </row>
    <row r="539" spans="1:35" x14ac:dyDescent="0.2">
      <c r="A539" s="167" t="s">
        <v>113</v>
      </c>
      <c r="B539" s="162">
        <v>8</v>
      </c>
      <c r="C539" s="162">
        <f t="shared" si="16"/>
        <v>1551.25</v>
      </c>
      <c r="D539" s="162" t="s">
        <v>164</v>
      </c>
      <c r="E539" s="168">
        <v>81630802319.570007</v>
      </c>
      <c r="F539" s="168">
        <v>81630802.319570005</v>
      </c>
      <c r="G539" s="168">
        <v>81630.802319570008</v>
      </c>
      <c r="H539" s="168">
        <v>81.630802319570009</v>
      </c>
      <c r="I539" s="164">
        <f>H539*$O$9/0.1*INDEX(Country_details!$N$9:N689,MATCH(Solar_data!A539,Country_details!$A$9:$A$154,0))</f>
        <v>220.40316626283899</v>
      </c>
      <c r="J539" s="164">
        <f t="shared" si="17"/>
        <v>1551.25</v>
      </c>
      <c r="K539" s="164"/>
      <c r="L539" s="164"/>
      <c r="M539" s="164"/>
      <c r="N539" s="164"/>
      <c r="O539" s="166"/>
      <c r="P539" s="166"/>
      <c r="Q539" s="166"/>
      <c r="R539" s="166"/>
      <c r="S539" s="166"/>
      <c r="T539" s="166"/>
      <c r="U539" s="166"/>
      <c r="V539" s="166"/>
      <c r="W539" s="166"/>
      <c r="X539" s="166"/>
      <c r="Y539" s="166"/>
      <c r="Z539" s="166"/>
      <c r="AA539" s="166"/>
      <c r="AB539" s="166"/>
      <c r="AC539" s="166"/>
      <c r="AD539" s="166"/>
      <c r="AE539" s="166"/>
      <c r="AF539" s="166"/>
      <c r="AG539" s="166"/>
      <c r="AH539" s="166"/>
      <c r="AI539" s="166"/>
    </row>
    <row r="540" spans="1:35" x14ac:dyDescent="0.2">
      <c r="A540" s="167" t="s">
        <v>113</v>
      </c>
      <c r="B540" s="162">
        <v>9</v>
      </c>
      <c r="C540" s="162">
        <f t="shared" si="16"/>
        <v>1733.75</v>
      </c>
      <c r="D540" s="162" t="s">
        <v>157</v>
      </c>
      <c r="E540" s="168">
        <v>95455338180.686996</v>
      </c>
      <c r="F540" s="168">
        <v>95455338.180686995</v>
      </c>
      <c r="G540" s="168">
        <v>95455.338180687002</v>
      </c>
      <c r="H540" s="168">
        <v>95.455338180687008</v>
      </c>
      <c r="I540" s="164">
        <f>H540*$O$9/0.1*INDEX(Country_details!$N$9:N690,MATCH(Solar_data!A540,Country_details!$A$9:$A$154,0))</f>
        <v>257.72941308785494</v>
      </c>
      <c r="J540" s="164">
        <f t="shared" si="17"/>
        <v>1733.75</v>
      </c>
      <c r="K540" s="164"/>
      <c r="L540" s="164"/>
      <c r="M540" s="164"/>
      <c r="N540" s="164"/>
      <c r="O540" s="166"/>
      <c r="P540" s="166"/>
      <c r="Q540" s="166"/>
      <c r="R540" s="166"/>
      <c r="S540" s="166"/>
      <c r="T540" s="166"/>
      <c r="U540" s="166"/>
      <c r="V540" s="166"/>
      <c r="W540" s="166"/>
      <c r="X540" s="166"/>
      <c r="Y540" s="166"/>
      <c r="Z540" s="166"/>
      <c r="AA540" s="166"/>
      <c r="AB540" s="166"/>
      <c r="AC540" s="166"/>
      <c r="AD540" s="166"/>
      <c r="AE540" s="166"/>
      <c r="AF540" s="166"/>
      <c r="AG540" s="166"/>
      <c r="AH540" s="166"/>
      <c r="AI540" s="166"/>
    </row>
    <row r="541" spans="1:35" x14ac:dyDescent="0.2">
      <c r="A541" s="167" t="s">
        <v>113</v>
      </c>
      <c r="B541" s="162">
        <v>10</v>
      </c>
      <c r="C541" s="162">
        <f t="shared" si="16"/>
        <v>1916.25</v>
      </c>
      <c r="D541" s="162" t="s">
        <v>159</v>
      </c>
      <c r="E541" s="168">
        <v>8142489795.4405003</v>
      </c>
      <c r="F541" s="168">
        <v>8142489.7954405006</v>
      </c>
      <c r="G541" s="168">
        <v>8142.4897954405005</v>
      </c>
      <c r="H541" s="168">
        <v>8.1424897954405004</v>
      </c>
      <c r="I541" s="164">
        <f>H541*$O$9/0.1*INDEX(Country_details!$N$9:N691,MATCH(Solar_data!A541,Country_details!$A$9:$A$154,0))</f>
        <v>21.98472244768935</v>
      </c>
      <c r="J541" s="164">
        <f t="shared" si="17"/>
        <v>1916.25</v>
      </c>
      <c r="K541" s="164"/>
      <c r="L541" s="164"/>
      <c r="M541" s="164"/>
      <c r="N541" s="164"/>
      <c r="O541" s="166"/>
      <c r="P541" s="166"/>
      <c r="Q541" s="166"/>
      <c r="R541" s="166"/>
      <c r="S541" s="166"/>
      <c r="T541" s="166"/>
      <c r="U541" s="166"/>
      <c r="V541" s="166"/>
      <c r="W541" s="166"/>
      <c r="X541" s="166"/>
      <c r="Y541" s="166"/>
      <c r="Z541" s="166"/>
      <c r="AA541" s="166"/>
      <c r="AB541" s="166"/>
      <c r="AC541" s="166"/>
      <c r="AD541" s="166"/>
      <c r="AE541" s="166"/>
      <c r="AF541" s="166"/>
      <c r="AG541" s="166"/>
      <c r="AH541" s="166"/>
      <c r="AI541" s="166"/>
    </row>
    <row r="542" spans="1:35" x14ac:dyDescent="0.2">
      <c r="A542" s="167" t="s">
        <v>255</v>
      </c>
      <c r="B542" s="162">
        <v>8</v>
      </c>
      <c r="C542" s="162">
        <f t="shared" si="16"/>
        <v>1551.25</v>
      </c>
      <c r="D542" s="162" t="s">
        <v>164</v>
      </c>
      <c r="E542" s="168">
        <v>25258998458.779999</v>
      </c>
      <c r="F542" s="168">
        <v>25258998.458779998</v>
      </c>
      <c r="G542" s="168">
        <v>25258.998458779999</v>
      </c>
      <c r="H542" s="168">
        <v>25.258998458779999</v>
      </c>
      <c r="I542" s="164" t="e">
        <f>H542*$O$9/0.1*INDEX(Country_details!$N$9:N692,MATCH(Solar_data!A542,Country_details!$A$9:$A$154,0))</f>
        <v>#N/A</v>
      </c>
      <c r="J542" s="164">
        <f t="shared" si="17"/>
        <v>1551.25</v>
      </c>
      <c r="K542" s="164"/>
      <c r="L542" s="164"/>
      <c r="M542" s="164"/>
      <c r="N542" s="164"/>
      <c r="O542" s="166"/>
      <c r="P542" s="166"/>
      <c r="Q542" s="166"/>
      <c r="R542" s="166"/>
      <c r="S542" s="166"/>
      <c r="T542" s="166"/>
      <c r="U542" s="166"/>
      <c r="V542" s="166"/>
      <c r="W542" s="166"/>
      <c r="X542" s="166"/>
      <c r="Y542" s="166"/>
      <c r="Z542" s="166"/>
      <c r="AA542" s="166"/>
      <c r="AB542" s="166"/>
      <c r="AC542" s="166"/>
      <c r="AD542" s="166"/>
      <c r="AE542" s="166"/>
      <c r="AF542" s="166"/>
      <c r="AG542" s="166"/>
      <c r="AH542" s="166"/>
      <c r="AI542" s="166"/>
    </row>
    <row r="543" spans="1:35" x14ac:dyDescent="0.2">
      <c r="A543" s="167" t="s">
        <v>255</v>
      </c>
      <c r="B543" s="162">
        <v>9</v>
      </c>
      <c r="C543" s="162">
        <f t="shared" si="16"/>
        <v>1733.75</v>
      </c>
      <c r="D543" s="162" t="s">
        <v>157</v>
      </c>
      <c r="E543" s="168">
        <v>863380743173.46582</v>
      </c>
      <c r="F543" s="168">
        <v>863380743.17346585</v>
      </c>
      <c r="G543" s="168">
        <v>863380.74317346583</v>
      </c>
      <c r="H543" s="168">
        <v>863.38074317346582</v>
      </c>
      <c r="I543" s="164" t="e">
        <f>H543*$O$9/0.1*INDEX(Country_details!$N$9:N693,MATCH(Solar_data!A543,Country_details!$A$9:$A$154,0))</f>
        <v>#N/A</v>
      </c>
      <c r="J543" s="164">
        <f t="shared" si="17"/>
        <v>1733.75</v>
      </c>
      <c r="K543" s="164"/>
      <c r="L543" s="164"/>
      <c r="M543" s="164"/>
      <c r="N543" s="164"/>
      <c r="O543" s="166"/>
      <c r="P543" s="166"/>
      <c r="Q543" s="166"/>
      <c r="R543" s="166"/>
      <c r="S543" s="166"/>
      <c r="T543" s="166"/>
      <c r="U543" s="166"/>
      <c r="V543" s="166"/>
      <c r="W543" s="166"/>
      <c r="X543" s="166"/>
      <c r="Y543" s="166"/>
      <c r="Z543" s="166"/>
      <c r="AA543" s="166"/>
      <c r="AB543" s="166"/>
      <c r="AC543" s="166"/>
      <c r="AD543" s="166"/>
      <c r="AE543" s="166"/>
      <c r="AF543" s="166"/>
      <c r="AG543" s="166"/>
      <c r="AH543" s="166"/>
      <c r="AI543" s="166"/>
    </row>
    <row r="544" spans="1:35" x14ac:dyDescent="0.2">
      <c r="A544" s="167" t="s">
        <v>255</v>
      </c>
      <c r="B544" s="162">
        <v>10</v>
      </c>
      <c r="C544" s="162">
        <f t="shared" si="16"/>
        <v>1916.25</v>
      </c>
      <c r="D544" s="162" t="s">
        <v>159</v>
      </c>
      <c r="E544" s="168">
        <v>248190836394.76111</v>
      </c>
      <c r="F544" s="168">
        <v>248190836.39476112</v>
      </c>
      <c r="G544" s="168">
        <v>248190.83639476111</v>
      </c>
      <c r="H544" s="168">
        <v>248.19083639476111</v>
      </c>
      <c r="I544" s="164" t="e">
        <f>H544*$O$9/0.1*INDEX(Country_details!$N$9:N694,MATCH(Solar_data!A544,Country_details!$A$9:$A$154,0))</f>
        <v>#N/A</v>
      </c>
      <c r="J544" s="164">
        <f t="shared" si="17"/>
        <v>1916.25</v>
      </c>
      <c r="K544" s="164"/>
      <c r="L544" s="164"/>
      <c r="M544" s="164"/>
      <c r="N544" s="164"/>
      <c r="O544" s="166"/>
      <c r="P544" s="166"/>
      <c r="Q544" s="166"/>
      <c r="R544" s="166"/>
      <c r="S544" s="166"/>
      <c r="T544" s="166"/>
      <c r="U544" s="166"/>
      <c r="V544" s="166"/>
      <c r="W544" s="166"/>
      <c r="X544" s="166"/>
      <c r="Y544" s="166"/>
      <c r="Z544" s="166"/>
      <c r="AA544" s="166"/>
      <c r="AB544" s="166"/>
      <c r="AC544" s="166"/>
      <c r="AD544" s="166"/>
      <c r="AE544" s="166"/>
      <c r="AF544" s="166"/>
      <c r="AG544" s="166"/>
      <c r="AH544" s="166"/>
      <c r="AI544" s="166"/>
    </row>
    <row r="545" spans="1:35" x14ac:dyDescent="0.2">
      <c r="A545" s="167" t="s">
        <v>255</v>
      </c>
      <c r="B545" s="162">
        <v>11</v>
      </c>
      <c r="C545" s="162">
        <f t="shared" si="16"/>
        <v>2098.75</v>
      </c>
      <c r="D545" s="162" t="s">
        <v>161</v>
      </c>
      <c r="E545" s="168">
        <v>99052026425.319</v>
      </c>
      <c r="F545" s="168">
        <v>99052026.425319001</v>
      </c>
      <c r="G545" s="168">
        <v>99052.026425318996</v>
      </c>
      <c r="H545" s="168">
        <v>99.052026425318999</v>
      </c>
      <c r="I545" s="164" t="e">
        <f>H545*$O$9/0.1*INDEX(Country_details!$N$9:N695,MATCH(Solar_data!A545,Country_details!$A$9:$A$154,0))</f>
        <v>#N/A</v>
      </c>
      <c r="J545" s="164">
        <f t="shared" si="17"/>
        <v>2098.75</v>
      </c>
      <c r="K545" s="164"/>
      <c r="L545" s="164"/>
      <c r="M545" s="164"/>
      <c r="N545" s="164"/>
      <c r="O545" s="166"/>
      <c r="P545" s="166"/>
      <c r="Q545" s="166"/>
      <c r="R545" s="166"/>
      <c r="S545" s="166"/>
      <c r="T545" s="166"/>
      <c r="U545" s="166"/>
      <c r="V545" s="166"/>
      <c r="W545" s="166"/>
      <c r="X545" s="166"/>
      <c r="Y545" s="166"/>
      <c r="Z545" s="166"/>
      <c r="AA545" s="166"/>
      <c r="AB545" s="166"/>
      <c r="AC545" s="166"/>
      <c r="AD545" s="166"/>
      <c r="AE545" s="166"/>
      <c r="AF545" s="166"/>
      <c r="AG545" s="166"/>
      <c r="AH545" s="166"/>
      <c r="AI545" s="166"/>
    </row>
    <row r="546" spans="1:35" x14ac:dyDescent="0.2">
      <c r="A546" s="167" t="s">
        <v>255</v>
      </c>
      <c r="B546" s="162">
        <v>12</v>
      </c>
      <c r="C546" s="162">
        <f t="shared" si="16"/>
        <v>2281.25</v>
      </c>
      <c r="D546" s="162" t="s">
        <v>162</v>
      </c>
      <c r="E546" s="168">
        <v>8254377250.1499996</v>
      </c>
      <c r="F546" s="168">
        <v>8254377.2501499997</v>
      </c>
      <c r="G546" s="168">
        <v>8254.3772501500007</v>
      </c>
      <c r="H546" s="168">
        <v>8.2543772501500001</v>
      </c>
      <c r="I546" s="164" t="e">
        <f>H546*$O$9/0.1*INDEX(Country_details!$N$9:N696,MATCH(Solar_data!A546,Country_details!$A$9:$A$154,0))</f>
        <v>#N/A</v>
      </c>
      <c r="J546" s="164">
        <f t="shared" si="17"/>
        <v>2281.25</v>
      </c>
      <c r="K546" s="164"/>
      <c r="L546" s="164"/>
      <c r="M546" s="164"/>
      <c r="N546" s="164"/>
      <c r="O546" s="166"/>
      <c r="P546" s="166"/>
      <c r="Q546" s="166"/>
      <c r="R546" s="166"/>
      <c r="S546" s="166"/>
      <c r="T546" s="166"/>
      <c r="U546" s="166"/>
      <c r="V546" s="166"/>
      <c r="W546" s="166"/>
      <c r="X546" s="166"/>
      <c r="Y546" s="166"/>
      <c r="Z546" s="166"/>
      <c r="AA546" s="166"/>
      <c r="AB546" s="166"/>
      <c r="AC546" s="166"/>
      <c r="AD546" s="166"/>
      <c r="AE546" s="166"/>
      <c r="AF546" s="166"/>
      <c r="AG546" s="166"/>
      <c r="AH546" s="166"/>
      <c r="AI546" s="166"/>
    </row>
    <row r="547" spans="1:35" x14ac:dyDescent="0.2">
      <c r="A547" s="167" t="s">
        <v>114</v>
      </c>
      <c r="B547" s="162">
        <v>9</v>
      </c>
      <c r="C547" s="162">
        <f t="shared" si="16"/>
        <v>1733.75</v>
      </c>
      <c r="D547" s="162" t="s">
        <v>157</v>
      </c>
      <c r="E547" s="168">
        <v>135301685438.44</v>
      </c>
      <c r="F547" s="168">
        <v>135301685.43844</v>
      </c>
      <c r="G547" s="168">
        <v>135301.68543844001</v>
      </c>
      <c r="H547" s="168">
        <v>135.30168543844002</v>
      </c>
      <c r="I547" s="164">
        <f>H547*$O$9/0.1*INDEX(Country_details!$N$9:N697,MATCH(Solar_data!A547,Country_details!$A$9:$A$154,0))</f>
        <v>365.31455068378801</v>
      </c>
      <c r="J547" s="164">
        <f t="shared" si="17"/>
        <v>1733.75</v>
      </c>
      <c r="K547" s="164"/>
      <c r="L547" s="164"/>
      <c r="M547" s="164"/>
      <c r="N547" s="164"/>
      <c r="O547" s="166"/>
      <c r="P547" s="166"/>
      <c r="Q547" s="166"/>
      <c r="R547" s="166"/>
      <c r="S547" s="166"/>
      <c r="T547" s="166"/>
      <c r="U547" s="166"/>
      <c r="V547" s="166"/>
      <c r="W547" s="166"/>
      <c r="X547" s="166"/>
      <c r="Y547" s="166"/>
      <c r="Z547" s="166"/>
      <c r="AA547" s="166"/>
      <c r="AB547" s="166"/>
      <c r="AC547" s="166"/>
      <c r="AD547" s="166"/>
      <c r="AE547" s="166"/>
      <c r="AF547" s="166"/>
      <c r="AG547" s="166"/>
      <c r="AH547" s="166"/>
      <c r="AI547" s="166"/>
    </row>
    <row r="548" spans="1:35" x14ac:dyDescent="0.2">
      <c r="A548" s="167" t="s">
        <v>114</v>
      </c>
      <c r="B548" s="162">
        <v>10</v>
      </c>
      <c r="C548" s="162">
        <f t="shared" si="16"/>
        <v>1916.25</v>
      </c>
      <c r="D548" s="162" t="s">
        <v>159</v>
      </c>
      <c r="E548" s="168">
        <v>971525377685.02197</v>
      </c>
      <c r="F548" s="168">
        <v>971525377.685022</v>
      </c>
      <c r="G548" s="168">
        <v>971525.37768502207</v>
      </c>
      <c r="H548" s="168">
        <v>971.52537768502214</v>
      </c>
      <c r="I548" s="164">
        <f>H548*$O$9/0.1*INDEX(Country_details!$N$9:N698,MATCH(Solar_data!A548,Country_details!$A$9:$A$154,0))</f>
        <v>2623.1185197495597</v>
      </c>
      <c r="J548" s="164">
        <f t="shared" si="17"/>
        <v>1916.25</v>
      </c>
      <c r="K548" s="164"/>
      <c r="L548" s="164"/>
      <c r="M548" s="164"/>
      <c r="N548" s="164"/>
      <c r="O548" s="166"/>
      <c r="P548" s="166"/>
      <c r="Q548" s="166"/>
      <c r="R548" s="166"/>
      <c r="S548" s="166"/>
      <c r="T548" s="166"/>
      <c r="U548" s="166"/>
      <c r="V548" s="166"/>
      <c r="W548" s="166"/>
      <c r="X548" s="166"/>
      <c r="Y548" s="166"/>
      <c r="Z548" s="166"/>
      <c r="AA548" s="166"/>
      <c r="AB548" s="166"/>
      <c r="AC548" s="166"/>
      <c r="AD548" s="166"/>
      <c r="AE548" s="166"/>
      <c r="AF548" s="166"/>
      <c r="AG548" s="166"/>
      <c r="AH548" s="166"/>
      <c r="AI548" s="166"/>
    </row>
    <row r="549" spans="1:35" x14ac:dyDescent="0.2">
      <c r="A549" s="167" t="s">
        <v>114</v>
      </c>
      <c r="B549" s="162">
        <v>11</v>
      </c>
      <c r="C549" s="162">
        <f t="shared" si="16"/>
        <v>2098.75</v>
      </c>
      <c r="D549" s="162" t="s">
        <v>161</v>
      </c>
      <c r="E549" s="168">
        <v>5393961282.6645002</v>
      </c>
      <c r="F549" s="168">
        <v>5393961.2826645002</v>
      </c>
      <c r="G549" s="168">
        <v>5393.9612826645007</v>
      </c>
      <c r="H549" s="168">
        <v>5.3939612826645007</v>
      </c>
      <c r="I549" s="164">
        <f>H549*$O$9/0.1*INDEX(Country_details!$N$9:N699,MATCH(Solar_data!A549,Country_details!$A$9:$A$154,0))</f>
        <v>14.563695463194151</v>
      </c>
      <c r="J549" s="164">
        <f t="shared" si="17"/>
        <v>2098.75</v>
      </c>
      <c r="K549" s="164"/>
      <c r="L549" s="164"/>
      <c r="M549" s="164"/>
      <c r="N549" s="164"/>
      <c r="O549" s="166"/>
      <c r="P549" s="166"/>
      <c r="Q549" s="166"/>
      <c r="R549" s="166"/>
      <c r="S549" s="166"/>
      <c r="T549" s="166"/>
      <c r="U549" s="166"/>
      <c r="V549" s="166"/>
      <c r="W549" s="166"/>
      <c r="X549" s="166"/>
      <c r="Y549" s="166"/>
      <c r="Z549" s="166"/>
      <c r="AA549" s="166"/>
      <c r="AB549" s="166"/>
      <c r="AC549" s="166"/>
      <c r="AD549" s="166"/>
      <c r="AE549" s="166"/>
      <c r="AF549" s="166"/>
      <c r="AG549" s="166"/>
      <c r="AH549" s="166"/>
      <c r="AI549" s="166"/>
    </row>
    <row r="550" spans="1:35" x14ac:dyDescent="0.2">
      <c r="A550" s="167" t="s">
        <v>115</v>
      </c>
      <c r="B550" s="162">
        <v>7</v>
      </c>
      <c r="C550" s="162">
        <f t="shared" si="16"/>
        <v>1368.75</v>
      </c>
      <c r="D550" s="162" t="s">
        <v>174</v>
      </c>
      <c r="E550" s="168">
        <v>29743647550.919998</v>
      </c>
      <c r="F550" s="168">
        <v>29743647.550919998</v>
      </c>
      <c r="G550" s="168">
        <v>29743.647550919999</v>
      </c>
      <c r="H550" s="168">
        <v>29.743647550919999</v>
      </c>
      <c r="I550" s="164">
        <f>H550*$O$9/0.1*INDEX(Country_details!$N$9:N700,MATCH(Solar_data!A550,Country_details!$A$9:$A$154,0))</f>
        <v>71.384754122207994</v>
      </c>
      <c r="J550" s="164">
        <f t="shared" si="17"/>
        <v>1368.75</v>
      </c>
      <c r="K550" s="164"/>
      <c r="L550" s="164"/>
      <c r="M550" s="164"/>
      <c r="N550" s="164"/>
      <c r="O550" s="166"/>
      <c r="P550" s="166"/>
      <c r="Q550" s="166"/>
      <c r="R550" s="166"/>
      <c r="S550" s="166"/>
      <c r="T550" s="166"/>
      <c r="U550" s="166"/>
      <c r="V550" s="166"/>
      <c r="W550" s="166"/>
      <c r="X550" s="166"/>
      <c r="Y550" s="166"/>
      <c r="Z550" s="166"/>
      <c r="AA550" s="166"/>
      <c r="AB550" s="166"/>
      <c r="AC550" s="166"/>
      <c r="AD550" s="166"/>
      <c r="AE550" s="166"/>
      <c r="AF550" s="166"/>
      <c r="AG550" s="166"/>
      <c r="AH550" s="166"/>
      <c r="AI550" s="166"/>
    </row>
    <row r="551" spans="1:35" x14ac:dyDescent="0.2">
      <c r="A551" s="167" t="s">
        <v>115</v>
      </c>
      <c r="B551" s="162">
        <v>8</v>
      </c>
      <c r="C551" s="162">
        <f t="shared" si="16"/>
        <v>1551.25</v>
      </c>
      <c r="D551" s="162" t="s">
        <v>164</v>
      </c>
      <c r="E551" s="168">
        <v>856307859034.81909</v>
      </c>
      <c r="F551" s="168">
        <v>856307859.03481913</v>
      </c>
      <c r="G551" s="168">
        <v>856307.85903481918</v>
      </c>
      <c r="H551" s="168">
        <v>856.30785903481922</v>
      </c>
      <c r="I551" s="164">
        <f>H551*$O$9/0.1*INDEX(Country_details!$N$9:N701,MATCH(Solar_data!A551,Country_details!$A$9:$A$154,0))</f>
        <v>2055.1388616835661</v>
      </c>
      <c r="J551" s="164">
        <f t="shared" si="17"/>
        <v>1551.25</v>
      </c>
      <c r="K551" s="164"/>
      <c r="L551" s="164"/>
      <c r="M551" s="164"/>
      <c r="N551" s="164"/>
      <c r="O551" s="166"/>
      <c r="P551" s="166"/>
      <c r="Q551" s="166"/>
      <c r="R551" s="166"/>
      <c r="S551" s="166"/>
      <c r="T551" s="166"/>
      <c r="U551" s="166"/>
      <c r="V551" s="166"/>
      <c r="W551" s="166"/>
      <c r="X551" s="166"/>
      <c r="Y551" s="166"/>
      <c r="Z551" s="166"/>
      <c r="AA551" s="166"/>
      <c r="AB551" s="166"/>
      <c r="AC551" s="166"/>
      <c r="AD551" s="166"/>
      <c r="AE551" s="166"/>
      <c r="AF551" s="166"/>
      <c r="AG551" s="166"/>
      <c r="AH551" s="166"/>
      <c r="AI551" s="166"/>
    </row>
    <row r="552" spans="1:35" x14ac:dyDescent="0.2">
      <c r="A552" s="167" t="s">
        <v>115</v>
      </c>
      <c r="B552" s="162">
        <v>9</v>
      </c>
      <c r="C552" s="162">
        <f t="shared" si="16"/>
        <v>1733.75</v>
      </c>
      <c r="D552" s="162" t="s">
        <v>157</v>
      </c>
      <c r="E552" s="168">
        <v>990739848726.82544</v>
      </c>
      <c r="F552" s="168">
        <v>990739848.72682548</v>
      </c>
      <c r="G552" s="168">
        <v>990739.84872682544</v>
      </c>
      <c r="H552" s="168">
        <v>990.73984872682547</v>
      </c>
      <c r="I552" s="164">
        <f>H552*$O$9/0.1*INDEX(Country_details!$N$9:N702,MATCH(Solar_data!A552,Country_details!$A$9:$A$154,0))</f>
        <v>2377.7756369443809</v>
      </c>
      <c r="J552" s="164">
        <f t="shared" si="17"/>
        <v>1733.75</v>
      </c>
      <c r="K552" s="164"/>
      <c r="L552" s="164"/>
      <c r="M552" s="164"/>
      <c r="N552" s="164"/>
      <c r="O552" s="166"/>
      <c r="P552" s="166"/>
      <c r="Q552" s="166"/>
      <c r="R552" s="166"/>
      <c r="S552" s="166"/>
      <c r="T552" s="166"/>
      <c r="U552" s="166"/>
      <c r="V552" s="166"/>
      <c r="W552" s="166"/>
      <c r="X552" s="166"/>
      <c r="Y552" s="166"/>
      <c r="Z552" s="166"/>
      <c r="AA552" s="166"/>
      <c r="AB552" s="166"/>
      <c r="AC552" s="166"/>
      <c r="AD552" s="166"/>
      <c r="AE552" s="166"/>
      <c r="AF552" s="166"/>
      <c r="AG552" s="166"/>
      <c r="AH552" s="166"/>
      <c r="AI552" s="166"/>
    </row>
    <row r="553" spans="1:35" x14ac:dyDescent="0.2">
      <c r="A553" s="167" t="s">
        <v>115</v>
      </c>
      <c r="B553" s="162">
        <v>10</v>
      </c>
      <c r="C553" s="162">
        <f t="shared" si="16"/>
        <v>1916.25</v>
      </c>
      <c r="D553" s="162" t="s">
        <v>159</v>
      </c>
      <c r="E553" s="168">
        <v>296321248200.07288</v>
      </c>
      <c r="F553" s="168">
        <v>296321248.20007288</v>
      </c>
      <c r="G553" s="168">
        <v>296321.24820007291</v>
      </c>
      <c r="H553" s="168">
        <v>296.32124820007289</v>
      </c>
      <c r="I553" s="164">
        <f>H553*$O$9/0.1*INDEX(Country_details!$N$9:N703,MATCH(Solar_data!A553,Country_details!$A$9:$A$154,0))</f>
        <v>711.17099568017488</v>
      </c>
      <c r="J553" s="164">
        <f t="shared" si="17"/>
        <v>1916.25</v>
      </c>
      <c r="K553" s="164"/>
      <c r="L553" s="164"/>
      <c r="M553" s="164"/>
      <c r="N553" s="164"/>
      <c r="O553" s="166"/>
      <c r="P553" s="166"/>
      <c r="Q553" s="166"/>
      <c r="R553" s="166"/>
      <c r="S553" s="166"/>
      <c r="T553" s="166"/>
      <c r="U553" s="166"/>
      <c r="V553" s="166"/>
      <c r="W553" s="166"/>
      <c r="X553" s="166"/>
      <c r="Y553" s="166"/>
      <c r="Z553" s="166"/>
      <c r="AA553" s="166"/>
      <c r="AB553" s="166"/>
      <c r="AC553" s="166"/>
      <c r="AD553" s="166"/>
      <c r="AE553" s="166"/>
      <c r="AF553" s="166"/>
      <c r="AG553" s="166"/>
      <c r="AH553" s="166"/>
      <c r="AI553" s="166"/>
    </row>
    <row r="554" spans="1:35" x14ac:dyDescent="0.2">
      <c r="A554" s="167" t="s">
        <v>115</v>
      </c>
      <c r="B554" s="162">
        <v>11</v>
      </c>
      <c r="C554" s="162">
        <f t="shared" si="16"/>
        <v>2098.75</v>
      </c>
      <c r="D554" s="162" t="s">
        <v>161</v>
      </c>
      <c r="E554" s="168">
        <v>680091095937.98401</v>
      </c>
      <c r="F554" s="168">
        <v>680091095.93798399</v>
      </c>
      <c r="G554" s="168">
        <v>680091.09593798395</v>
      </c>
      <c r="H554" s="168">
        <v>680.09109593798394</v>
      </c>
      <c r="I554" s="164">
        <f>H554*$O$9/0.1*INDEX(Country_details!$N$9:N704,MATCH(Solar_data!A554,Country_details!$A$9:$A$154,0))</f>
        <v>1632.2186302511614</v>
      </c>
      <c r="J554" s="164">
        <f t="shared" si="17"/>
        <v>2098.75</v>
      </c>
      <c r="K554" s="164"/>
      <c r="L554" s="164"/>
      <c r="M554" s="164"/>
      <c r="N554" s="164"/>
      <c r="O554" s="166"/>
      <c r="P554" s="166"/>
      <c r="Q554" s="166"/>
      <c r="R554" s="166"/>
      <c r="S554" s="166"/>
      <c r="T554" s="166"/>
      <c r="U554" s="166"/>
      <c r="V554" s="166"/>
      <c r="W554" s="166"/>
      <c r="X554" s="166"/>
      <c r="Y554" s="166"/>
      <c r="Z554" s="166"/>
      <c r="AA554" s="166"/>
      <c r="AB554" s="166"/>
      <c r="AC554" s="166"/>
      <c r="AD554" s="166"/>
      <c r="AE554" s="166"/>
      <c r="AF554" s="166"/>
      <c r="AG554" s="166"/>
      <c r="AH554" s="166"/>
      <c r="AI554" s="166"/>
    </row>
    <row r="555" spans="1:35" x14ac:dyDescent="0.2">
      <c r="A555" s="167" t="s">
        <v>115</v>
      </c>
      <c r="B555" s="162">
        <v>12</v>
      </c>
      <c r="C555" s="162">
        <f t="shared" si="16"/>
        <v>2281.25</v>
      </c>
      <c r="D555" s="162" t="s">
        <v>162</v>
      </c>
      <c r="E555" s="168">
        <v>708512702132.91406</v>
      </c>
      <c r="F555" s="168">
        <v>708512702.13291407</v>
      </c>
      <c r="G555" s="168">
        <v>708512.7021329141</v>
      </c>
      <c r="H555" s="168">
        <v>708.51270213291411</v>
      </c>
      <c r="I555" s="164">
        <f>H555*$O$9/0.1*INDEX(Country_details!$N$9:N705,MATCH(Solar_data!A555,Country_details!$A$9:$A$154,0))</f>
        <v>1700.4304851189936</v>
      </c>
      <c r="J555" s="164">
        <f t="shared" si="17"/>
        <v>2281.25</v>
      </c>
      <c r="K555" s="164"/>
      <c r="L555" s="164"/>
      <c r="M555" s="164"/>
      <c r="N555" s="164"/>
      <c r="O555" s="166"/>
      <c r="P555" s="166"/>
      <c r="Q555" s="166"/>
      <c r="R555" s="166"/>
      <c r="S555" s="166"/>
      <c r="T555" s="166"/>
      <c r="U555" s="166"/>
      <c r="V555" s="166"/>
      <c r="W555" s="166"/>
      <c r="X555" s="166"/>
      <c r="Y555" s="166"/>
      <c r="Z555" s="166"/>
      <c r="AA555" s="166"/>
      <c r="AB555" s="166"/>
      <c r="AC555" s="166"/>
      <c r="AD555" s="166"/>
      <c r="AE555" s="166"/>
      <c r="AF555" s="166"/>
      <c r="AG555" s="166"/>
      <c r="AH555" s="166"/>
      <c r="AI555" s="166"/>
    </row>
    <row r="556" spans="1:35" x14ac:dyDescent="0.2">
      <c r="A556" s="167" t="s">
        <v>115</v>
      </c>
      <c r="B556" s="162">
        <v>13</v>
      </c>
      <c r="C556" s="162">
        <f t="shared" si="16"/>
        <v>2463.75</v>
      </c>
      <c r="D556" s="162" t="s">
        <v>163</v>
      </c>
      <c r="E556" s="168">
        <v>15125157877.1</v>
      </c>
      <c r="F556" s="168">
        <v>15125157.8771</v>
      </c>
      <c r="G556" s="168">
        <v>15125.1578771</v>
      </c>
      <c r="H556" s="168">
        <v>15.125157877100001</v>
      </c>
      <c r="I556" s="164">
        <f>H556*$O$9/0.1*INDEX(Country_details!$N$9:N706,MATCH(Solar_data!A556,Country_details!$A$9:$A$154,0))</f>
        <v>36.300378905039999</v>
      </c>
      <c r="J556" s="164">
        <f t="shared" si="17"/>
        <v>2463.75</v>
      </c>
      <c r="K556" s="164"/>
      <c r="L556" s="164"/>
      <c r="M556" s="164"/>
      <c r="N556" s="164"/>
      <c r="O556" s="166"/>
      <c r="P556" s="166"/>
      <c r="Q556" s="166"/>
      <c r="R556" s="166"/>
      <c r="S556" s="166"/>
      <c r="T556" s="166"/>
      <c r="U556" s="166"/>
      <c r="V556" s="166"/>
      <c r="W556" s="166"/>
      <c r="X556" s="166"/>
      <c r="Y556" s="166"/>
      <c r="Z556" s="166"/>
      <c r="AA556" s="166"/>
      <c r="AB556" s="166"/>
      <c r="AC556" s="166"/>
      <c r="AD556" s="166"/>
      <c r="AE556" s="166"/>
      <c r="AF556" s="166"/>
      <c r="AG556" s="166"/>
      <c r="AH556" s="166"/>
      <c r="AI556" s="166"/>
    </row>
    <row r="557" spans="1:35" x14ac:dyDescent="0.2">
      <c r="A557" s="167" t="s">
        <v>116</v>
      </c>
      <c r="B557" s="162">
        <v>9</v>
      </c>
      <c r="C557" s="162">
        <f t="shared" si="16"/>
        <v>1733.75</v>
      </c>
      <c r="D557" s="162" t="s">
        <v>157</v>
      </c>
      <c r="E557" s="168">
        <v>169063283375.29031</v>
      </c>
      <c r="F557" s="168">
        <v>169063283.3752903</v>
      </c>
      <c r="G557" s="168">
        <v>169063.28337529031</v>
      </c>
      <c r="H557" s="168">
        <v>169.06328337529033</v>
      </c>
      <c r="I557" s="164">
        <f>H557*$O$9/0.1*INDEX(Country_details!$N$9:N707,MATCH(Solar_data!A557,Country_details!$A$9:$A$154,0))</f>
        <v>431.1113726069903</v>
      </c>
      <c r="J557" s="164">
        <f t="shared" si="17"/>
        <v>1733.75</v>
      </c>
      <c r="K557" s="164"/>
      <c r="L557" s="164"/>
      <c r="M557" s="164"/>
      <c r="N557" s="164"/>
      <c r="O557" s="166"/>
      <c r="P557" s="166"/>
      <c r="Q557" s="166"/>
      <c r="R557" s="166"/>
      <c r="S557" s="166"/>
      <c r="T557" s="166"/>
      <c r="U557" s="166"/>
      <c r="V557" s="166"/>
      <c r="W557" s="166"/>
      <c r="X557" s="166"/>
      <c r="Y557" s="166"/>
      <c r="Z557" s="166"/>
      <c r="AA557" s="166"/>
      <c r="AB557" s="166"/>
      <c r="AC557" s="166"/>
      <c r="AD557" s="166"/>
      <c r="AE557" s="166"/>
      <c r="AF557" s="166"/>
      <c r="AG557" s="166"/>
      <c r="AH557" s="166"/>
      <c r="AI557" s="166"/>
    </row>
    <row r="558" spans="1:35" x14ac:dyDescent="0.2">
      <c r="A558" s="167" t="s">
        <v>116</v>
      </c>
      <c r="B558" s="162">
        <v>10</v>
      </c>
      <c r="C558" s="162">
        <f t="shared" si="16"/>
        <v>1916.25</v>
      </c>
      <c r="D558" s="162" t="s">
        <v>159</v>
      </c>
      <c r="E558" s="168">
        <v>585909185224.73755</v>
      </c>
      <c r="F558" s="168">
        <v>585909185.22473752</v>
      </c>
      <c r="G558" s="168">
        <v>585909.18522473751</v>
      </c>
      <c r="H558" s="168">
        <v>585.90918522473748</v>
      </c>
      <c r="I558" s="164">
        <f>H558*$O$9/0.1*INDEX(Country_details!$N$9:N708,MATCH(Solar_data!A558,Country_details!$A$9:$A$154,0))</f>
        <v>1494.0684223230803</v>
      </c>
      <c r="J558" s="164">
        <f t="shared" si="17"/>
        <v>1916.25</v>
      </c>
      <c r="K558" s="164"/>
      <c r="L558" s="164"/>
      <c r="M558" s="164"/>
      <c r="N558" s="164"/>
      <c r="O558" s="166"/>
      <c r="P558" s="166"/>
      <c r="Q558" s="166"/>
      <c r="R558" s="166"/>
      <c r="S558" s="166"/>
      <c r="T558" s="166"/>
      <c r="U558" s="166"/>
      <c r="V558" s="166"/>
      <c r="W558" s="166"/>
      <c r="X558" s="166"/>
      <c r="Y558" s="166"/>
      <c r="Z558" s="166"/>
      <c r="AA558" s="166"/>
      <c r="AB558" s="166"/>
      <c r="AC558" s="166"/>
      <c r="AD558" s="166"/>
      <c r="AE558" s="166"/>
      <c r="AF558" s="166"/>
      <c r="AG558" s="166"/>
      <c r="AH558" s="166"/>
      <c r="AI558" s="166"/>
    </row>
    <row r="559" spans="1:35" x14ac:dyDescent="0.2">
      <c r="A559" s="167" t="s">
        <v>116</v>
      </c>
      <c r="B559" s="162">
        <v>11</v>
      </c>
      <c r="C559" s="162">
        <f t="shared" si="16"/>
        <v>2098.75</v>
      </c>
      <c r="D559" s="162" t="s">
        <v>161</v>
      </c>
      <c r="E559" s="168">
        <v>35972861268.653</v>
      </c>
      <c r="F559" s="168">
        <v>35972861.268652998</v>
      </c>
      <c r="G559" s="168">
        <v>35972.861268652996</v>
      </c>
      <c r="H559" s="168">
        <v>35.972861268652998</v>
      </c>
      <c r="I559" s="164">
        <f>H559*$O$9/0.1*INDEX(Country_details!$N$9:N709,MATCH(Solar_data!A559,Country_details!$A$9:$A$154,0))</f>
        <v>91.730796235065142</v>
      </c>
      <c r="J559" s="164">
        <f t="shared" si="17"/>
        <v>2098.75</v>
      </c>
      <c r="K559" s="164"/>
      <c r="L559" s="164"/>
      <c r="M559" s="164"/>
      <c r="N559" s="164"/>
      <c r="O559" s="166"/>
      <c r="P559" s="166"/>
      <c r="Q559" s="166"/>
      <c r="R559" s="166"/>
      <c r="S559" s="166"/>
      <c r="T559" s="166"/>
      <c r="U559" s="166"/>
      <c r="V559" s="166"/>
      <c r="W559" s="166"/>
      <c r="X559" s="166"/>
      <c r="Y559" s="166"/>
      <c r="Z559" s="166"/>
      <c r="AA559" s="166"/>
      <c r="AB559" s="166"/>
      <c r="AC559" s="166"/>
      <c r="AD559" s="166"/>
      <c r="AE559" s="166"/>
      <c r="AF559" s="166"/>
      <c r="AG559" s="166"/>
      <c r="AH559" s="166"/>
      <c r="AI559" s="166"/>
    </row>
    <row r="560" spans="1:35" x14ac:dyDescent="0.2">
      <c r="A560" s="167" t="s">
        <v>116</v>
      </c>
      <c r="B560" s="162">
        <v>12</v>
      </c>
      <c r="C560" s="162">
        <f t="shared" si="16"/>
        <v>2281.25</v>
      </c>
      <c r="D560" s="162" t="s">
        <v>162</v>
      </c>
      <c r="E560" s="168">
        <v>1202078678.7260001</v>
      </c>
      <c r="F560" s="168">
        <v>1202078.678726</v>
      </c>
      <c r="G560" s="168">
        <v>1202.0786787260001</v>
      </c>
      <c r="H560" s="168">
        <v>1.202078678726</v>
      </c>
      <c r="I560" s="164">
        <f>H560*$O$9/0.1*INDEX(Country_details!$N$9:N710,MATCH(Solar_data!A560,Country_details!$A$9:$A$154,0))</f>
        <v>3.0653006307512998</v>
      </c>
      <c r="J560" s="164">
        <f t="shared" si="17"/>
        <v>2281.25</v>
      </c>
      <c r="K560" s="164"/>
      <c r="L560" s="164"/>
      <c r="M560" s="164"/>
      <c r="N560" s="164"/>
      <c r="O560" s="166"/>
      <c r="P560" s="166"/>
      <c r="Q560" s="166"/>
      <c r="R560" s="166"/>
      <c r="S560" s="166"/>
      <c r="T560" s="166"/>
      <c r="U560" s="166"/>
      <c r="V560" s="166"/>
      <c r="W560" s="166"/>
      <c r="X560" s="166"/>
      <c r="Y560" s="166"/>
      <c r="Z560" s="166"/>
      <c r="AA560" s="166"/>
      <c r="AB560" s="166"/>
      <c r="AC560" s="166"/>
      <c r="AD560" s="166"/>
      <c r="AE560" s="166"/>
      <c r="AF560" s="166"/>
      <c r="AG560" s="166"/>
      <c r="AH560" s="166"/>
      <c r="AI560" s="166"/>
    </row>
    <row r="561" spans="1:35" x14ac:dyDescent="0.2">
      <c r="A561" s="167" t="s">
        <v>256</v>
      </c>
      <c r="B561" s="162">
        <v>11</v>
      </c>
      <c r="C561" s="162">
        <f t="shared" si="16"/>
        <v>2098.75</v>
      </c>
      <c r="D561" s="162" t="s">
        <v>161</v>
      </c>
      <c r="E561" s="168">
        <v>84431635.883900002</v>
      </c>
      <c r="F561" s="168">
        <v>84431.635883900002</v>
      </c>
      <c r="G561" s="168">
        <v>84.4316358839</v>
      </c>
      <c r="H561" s="168">
        <v>8.44316358839E-2</v>
      </c>
      <c r="I561" s="164" t="e">
        <f>H561*$O$9/0.1*INDEX(Country_details!$N$9:N711,MATCH(Solar_data!A561,Country_details!$A$9:$A$154,0))</f>
        <v>#N/A</v>
      </c>
      <c r="J561" s="164">
        <f t="shared" si="17"/>
        <v>2098.75</v>
      </c>
      <c r="K561" s="164"/>
      <c r="L561" s="164"/>
      <c r="M561" s="164"/>
      <c r="N561" s="164"/>
      <c r="O561" s="166"/>
      <c r="P561" s="166"/>
      <c r="Q561" s="166"/>
      <c r="R561" s="166"/>
      <c r="S561" s="166"/>
      <c r="T561" s="166"/>
      <c r="U561" s="166"/>
      <c r="V561" s="166"/>
      <c r="W561" s="166"/>
      <c r="X561" s="166"/>
      <c r="Y561" s="166"/>
      <c r="Z561" s="166"/>
      <c r="AA561" s="166"/>
      <c r="AB561" s="166"/>
      <c r="AC561" s="166"/>
      <c r="AD561" s="166"/>
      <c r="AE561" s="166"/>
      <c r="AF561" s="166"/>
      <c r="AG561" s="166"/>
      <c r="AH561" s="166"/>
      <c r="AI561" s="166"/>
    </row>
    <row r="562" spans="1:35" x14ac:dyDescent="0.2">
      <c r="A562" s="167" t="s">
        <v>257</v>
      </c>
      <c r="B562" s="162">
        <v>5</v>
      </c>
      <c r="C562" s="162">
        <f t="shared" si="16"/>
        <v>1003.75</v>
      </c>
      <c r="D562" s="162" t="s">
        <v>172</v>
      </c>
      <c r="E562" s="168">
        <v>190082567.77700001</v>
      </c>
      <c r="F562" s="168">
        <v>190082.56777700002</v>
      </c>
      <c r="G562" s="168">
        <v>190.08256777700001</v>
      </c>
      <c r="H562" s="168">
        <v>0.190082567777</v>
      </c>
      <c r="I562" s="164" t="e">
        <f>H562*$O$9/0.1*INDEX(Country_details!$N$9:N712,MATCH(Solar_data!A562,Country_details!$A$9:$A$154,0))</f>
        <v>#N/A</v>
      </c>
      <c r="J562" s="164">
        <f t="shared" si="17"/>
        <v>1003.75</v>
      </c>
      <c r="K562" s="164"/>
      <c r="L562" s="164"/>
      <c r="M562" s="164"/>
      <c r="N562" s="164"/>
      <c r="O562" s="166"/>
      <c r="P562" s="166"/>
      <c r="Q562" s="166"/>
      <c r="R562" s="166"/>
      <c r="S562" s="166"/>
      <c r="T562" s="166"/>
      <c r="U562" s="166"/>
      <c r="V562" s="166"/>
      <c r="W562" s="166"/>
      <c r="X562" s="166"/>
      <c r="Y562" s="166"/>
      <c r="Z562" s="166"/>
      <c r="AA562" s="166"/>
      <c r="AB562" s="166"/>
      <c r="AC562" s="166"/>
      <c r="AD562" s="166"/>
      <c r="AE562" s="166"/>
      <c r="AF562" s="166"/>
      <c r="AG562" s="166"/>
      <c r="AH562" s="166"/>
      <c r="AI562" s="166"/>
    </row>
    <row r="563" spans="1:35" x14ac:dyDescent="0.2">
      <c r="A563" s="167" t="s">
        <v>257</v>
      </c>
      <c r="B563" s="162">
        <v>6</v>
      </c>
      <c r="C563" s="162">
        <f t="shared" si="16"/>
        <v>1186.25</v>
      </c>
      <c r="D563" s="162" t="s">
        <v>173</v>
      </c>
      <c r="E563" s="168">
        <v>545751326194.14081</v>
      </c>
      <c r="F563" s="168">
        <v>545751326.19414079</v>
      </c>
      <c r="G563" s="168">
        <v>545751.32619414083</v>
      </c>
      <c r="H563" s="168">
        <v>545.7513261941408</v>
      </c>
      <c r="I563" s="164" t="e">
        <f>H563*$O$9/0.1*INDEX(Country_details!$N$9:N713,MATCH(Solar_data!A563,Country_details!$A$9:$A$154,0))</f>
        <v>#N/A</v>
      </c>
      <c r="J563" s="164">
        <f t="shared" si="17"/>
        <v>1186.25</v>
      </c>
      <c r="K563" s="164"/>
      <c r="L563" s="164"/>
      <c r="M563" s="164"/>
      <c r="N563" s="164"/>
      <c r="O563" s="166"/>
      <c r="P563" s="166"/>
      <c r="Q563" s="166"/>
      <c r="R563" s="166"/>
      <c r="S563" s="166"/>
      <c r="T563" s="166"/>
      <c r="U563" s="166"/>
      <c r="V563" s="166"/>
      <c r="W563" s="166"/>
      <c r="X563" s="166"/>
      <c r="Y563" s="166"/>
      <c r="Z563" s="166"/>
      <c r="AA563" s="166"/>
      <c r="AB563" s="166"/>
      <c r="AC563" s="166"/>
      <c r="AD563" s="166"/>
      <c r="AE563" s="166"/>
      <c r="AF563" s="166"/>
      <c r="AG563" s="166"/>
      <c r="AH563" s="166"/>
      <c r="AI563" s="166"/>
    </row>
    <row r="564" spans="1:35" x14ac:dyDescent="0.2">
      <c r="A564" s="167" t="s">
        <v>257</v>
      </c>
      <c r="B564" s="162">
        <v>7</v>
      </c>
      <c r="C564" s="162">
        <f t="shared" si="16"/>
        <v>1368.75</v>
      </c>
      <c r="D564" s="162" t="s">
        <v>174</v>
      </c>
      <c r="E564" s="168">
        <v>337387278.80729997</v>
      </c>
      <c r="F564" s="168">
        <v>337387.27880729997</v>
      </c>
      <c r="G564" s="168">
        <v>337.38727880729999</v>
      </c>
      <c r="H564" s="168">
        <v>0.33738727880730002</v>
      </c>
      <c r="I564" s="164" t="e">
        <f>H564*$O$9/0.1*INDEX(Country_details!$N$9:N714,MATCH(Solar_data!A564,Country_details!$A$9:$A$154,0))</f>
        <v>#N/A</v>
      </c>
      <c r="J564" s="164">
        <f t="shared" si="17"/>
        <v>1368.75</v>
      </c>
      <c r="K564" s="164"/>
      <c r="L564" s="164"/>
      <c r="M564" s="164"/>
      <c r="N564" s="164"/>
      <c r="O564" s="166"/>
      <c r="P564" s="166"/>
      <c r="Q564" s="166"/>
      <c r="R564" s="166"/>
      <c r="S564" s="166"/>
      <c r="T564" s="166"/>
      <c r="U564" s="166"/>
      <c r="V564" s="166"/>
      <c r="W564" s="166"/>
      <c r="X564" s="166"/>
      <c r="Y564" s="166"/>
      <c r="Z564" s="166"/>
      <c r="AA564" s="166"/>
      <c r="AB564" s="166"/>
      <c r="AC564" s="166"/>
      <c r="AD564" s="166"/>
      <c r="AE564" s="166"/>
      <c r="AF564" s="166"/>
      <c r="AG564" s="166"/>
      <c r="AH564" s="166"/>
      <c r="AI564" s="166"/>
    </row>
    <row r="565" spans="1:35" x14ac:dyDescent="0.2">
      <c r="A565" s="167" t="s">
        <v>258</v>
      </c>
      <c r="B565" s="162">
        <v>8</v>
      </c>
      <c r="C565" s="162">
        <f t="shared" si="16"/>
        <v>1551.25</v>
      </c>
      <c r="D565" s="162" t="s">
        <v>164</v>
      </c>
      <c r="E565" s="168">
        <v>33039358.583299998</v>
      </c>
      <c r="F565" s="168">
        <v>33039.358583299996</v>
      </c>
      <c r="G565" s="168">
        <v>33.0393585833</v>
      </c>
      <c r="H565" s="168">
        <v>3.3039358583300003E-2</v>
      </c>
      <c r="I565" s="164">
        <f>H565*$O$9/0.1*INDEX(Country_details!$N$9:N715,MATCH(Solar_data!A565,Country_details!$A$9:$A$154,0))</f>
        <v>8.9206268174909994E-2</v>
      </c>
      <c r="J565" s="164">
        <f t="shared" si="17"/>
        <v>1551.25</v>
      </c>
      <c r="K565" s="164"/>
      <c r="L565" s="164"/>
      <c r="M565" s="164"/>
      <c r="N565" s="164"/>
      <c r="O565" s="166"/>
      <c r="P565" s="166"/>
      <c r="Q565" s="166"/>
      <c r="R565" s="166"/>
      <c r="S565" s="166"/>
      <c r="T565" s="166"/>
      <c r="U565" s="166"/>
      <c r="V565" s="166"/>
      <c r="W565" s="166"/>
      <c r="X565" s="166"/>
      <c r="Y565" s="166"/>
      <c r="Z565" s="166"/>
      <c r="AA565" s="166"/>
      <c r="AB565" s="166"/>
      <c r="AC565" s="166"/>
      <c r="AD565" s="166"/>
      <c r="AE565" s="166"/>
      <c r="AF565" s="166"/>
      <c r="AG565" s="166"/>
      <c r="AH565" s="166"/>
      <c r="AI565" s="166"/>
    </row>
    <row r="566" spans="1:35" x14ac:dyDescent="0.2">
      <c r="A566" s="167" t="s">
        <v>258</v>
      </c>
      <c r="B566" s="162">
        <v>9</v>
      </c>
      <c r="C566" s="162">
        <f t="shared" si="16"/>
        <v>1733.75</v>
      </c>
      <c r="D566" s="162" t="s">
        <v>157</v>
      </c>
      <c r="E566" s="168">
        <v>98880663089.519699</v>
      </c>
      <c r="F566" s="168">
        <v>98880663.089519694</v>
      </c>
      <c r="G566" s="168">
        <v>98880.663089519701</v>
      </c>
      <c r="H566" s="168">
        <v>98.8806630895197</v>
      </c>
      <c r="I566" s="164">
        <f>H566*$O$9/0.1*INDEX(Country_details!$N$9:N716,MATCH(Solar_data!A566,Country_details!$A$9:$A$154,0))</f>
        <v>266.97779034170321</v>
      </c>
      <c r="J566" s="164">
        <f t="shared" si="17"/>
        <v>1733.75</v>
      </c>
      <c r="K566" s="164"/>
      <c r="L566" s="164"/>
      <c r="M566" s="164"/>
      <c r="N566" s="164"/>
      <c r="O566" s="166"/>
      <c r="P566" s="166"/>
      <c r="Q566" s="166"/>
      <c r="R566" s="166"/>
      <c r="S566" s="166"/>
      <c r="T566" s="166"/>
      <c r="U566" s="166"/>
      <c r="V566" s="166"/>
      <c r="W566" s="166"/>
      <c r="X566" s="166"/>
      <c r="Y566" s="166"/>
      <c r="Z566" s="166"/>
      <c r="AA566" s="166"/>
      <c r="AB566" s="166"/>
      <c r="AC566" s="166"/>
      <c r="AD566" s="166"/>
      <c r="AE566" s="166"/>
      <c r="AF566" s="166"/>
      <c r="AG566" s="166"/>
      <c r="AH566" s="166"/>
      <c r="AI566" s="166"/>
    </row>
    <row r="567" spans="1:35" x14ac:dyDescent="0.2">
      <c r="A567" s="167" t="s">
        <v>258</v>
      </c>
      <c r="B567" s="162">
        <v>10</v>
      </c>
      <c r="C567" s="162">
        <f t="shared" si="16"/>
        <v>1916.25</v>
      </c>
      <c r="D567" s="162" t="s">
        <v>159</v>
      </c>
      <c r="E567" s="168">
        <v>119697216867.3252</v>
      </c>
      <c r="F567" s="168">
        <v>119697216.8673252</v>
      </c>
      <c r="G567" s="168">
        <v>119697.2168673252</v>
      </c>
      <c r="H567" s="168">
        <v>119.69721686732521</v>
      </c>
      <c r="I567" s="164">
        <f>H567*$O$9/0.1*INDEX(Country_details!$N$9:N717,MATCH(Solar_data!A567,Country_details!$A$9:$A$154,0))</f>
        <v>323.18248554177802</v>
      </c>
      <c r="J567" s="164">
        <f t="shared" si="17"/>
        <v>1916.25</v>
      </c>
      <c r="K567" s="164"/>
      <c r="L567" s="164"/>
      <c r="M567" s="164"/>
      <c r="N567" s="164"/>
      <c r="O567" s="166"/>
      <c r="P567" s="166"/>
      <c r="Q567" s="166"/>
      <c r="R567" s="166"/>
      <c r="S567" s="166"/>
      <c r="T567" s="166"/>
      <c r="U567" s="166"/>
      <c r="V567" s="166"/>
      <c r="W567" s="166"/>
      <c r="X567" s="166"/>
      <c r="Y567" s="166"/>
      <c r="Z567" s="166"/>
      <c r="AA567" s="166"/>
      <c r="AB567" s="166"/>
      <c r="AC567" s="166"/>
      <c r="AD567" s="166"/>
      <c r="AE567" s="166"/>
      <c r="AF567" s="166"/>
      <c r="AG567" s="166"/>
      <c r="AH567" s="166"/>
      <c r="AI567" s="166"/>
    </row>
    <row r="568" spans="1:35" x14ac:dyDescent="0.2">
      <c r="A568" s="167" t="s">
        <v>258</v>
      </c>
      <c r="B568" s="162">
        <v>11</v>
      </c>
      <c r="C568" s="162">
        <f t="shared" si="16"/>
        <v>2098.75</v>
      </c>
      <c r="D568" s="162" t="s">
        <v>161</v>
      </c>
      <c r="E568" s="168">
        <v>35685780206.898697</v>
      </c>
      <c r="F568" s="168">
        <v>35685780.206898697</v>
      </c>
      <c r="G568" s="168">
        <v>35685.7802068987</v>
      </c>
      <c r="H568" s="168">
        <v>35.685780206898698</v>
      </c>
      <c r="I568" s="164">
        <f>H568*$O$9/0.1*INDEX(Country_details!$N$9:N718,MATCH(Solar_data!A568,Country_details!$A$9:$A$154,0))</f>
        <v>96.351606558626486</v>
      </c>
      <c r="J568" s="164">
        <f t="shared" si="17"/>
        <v>2098.75</v>
      </c>
      <c r="K568" s="164"/>
      <c r="L568" s="164"/>
      <c r="M568" s="164"/>
      <c r="N568" s="164"/>
      <c r="O568" s="166"/>
      <c r="P568" s="166"/>
      <c r="Q568" s="166"/>
      <c r="R568" s="166"/>
      <c r="S568" s="166"/>
      <c r="T568" s="166"/>
      <c r="U568" s="166"/>
      <c r="V568" s="166"/>
      <c r="W568" s="166"/>
      <c r="X568" s="166"/>
      <c r="Y568" s="166"/>
      <c r="Z568" s="166"/>
      <c r="AA568" s="166"/>
      <c r="AB568" s="166"/>
      <c r="AC568" s="166"/>
      <c r="AD568" s="166"/>
      <c r="AE568" s="166"/>
      <c r="AF568" s="166"/>
      <c r="AG568" s="166"/>
      <c r="AH568" s="166"/>
      <c r="AI568" s="166"/>
    </row>
    <row r="569" spans="1:35" x14ac:dyDescent="0.2">
      <c r="A569" s="167" t="s">
        <v>117</v>
      </c>
      <c r="B569" s="162">
        <v>10</v>
      </c>
      <c r="C569" s="162">
        <f t="shared" si="16"/>
        <v>1916.25</v>
      </c>
      <c r="D569" s="162" t="s">
        <v>159</v>
      </c>
      <c r="E569" s="168">
        <v>11016760018.631001</v>
      </c>
      <c r="F569" s="168">
        <v>11016760.018631</v>
      </c>
      <c r="G569" s="168">
        <v>11016.760018631001</v>
      </c>
      <c r="H569" s="168">
        <v>11.016760018631</v>
      </c>
      <c r="I569" s="164">
        <f>H569*$O$9/0.1*INDEX(Country_details!$N$9:N719,MATCH(Solar_data!A569,Country_details!$A$9:$A$154,0))</f>
        <v>28.092738047509048</v>
      </c>
      <c r="J569" s="164">
        <f t="shared" si="17"/>
        <v>1916.25</v>
      </c>
      <c r="K569" s="164"/>
      <c r="L569" s="164"/>
      <c r="M569" s="164"/>
      <c r="N569" s="164"/>
      <c r="O569" s="166"/>
      <c r="P569" s="166"/>
      <c r="Q569" s="166"/>
      <c r="R569" s="166"/>
      <c r="S569" s="166"/>
      <c r="T569" s="166"/>
      <c r="U569" s="166"/>
      <c r="V569" s="166"/>
      <c r="W569" s="166"/>
      <c r="X569" s="166"/>
      <c r="Y569" s="166"/>
      <c r="Z569" s="166"/>
      <c r="AA569" s="166"/>
      <c r="AB569" s="166"/>
      <c r="AC569" s="166"/>
      <c r="AD569" s="166"/>
      <c r="AE569" s="166"/>
      <c r="AF569" s="166"/>
      <c r="AG569" s="166"/>
      <c r="AH569" s="166"/>
      <c r="AI569" s="166"/>
    </row>
    <row r="570" spans="1:35" x14ac:dyDescent="0.2">
      <c r="A570" s="167" t="s">
        <v>117</v>
      </c>
      <c r="B570" s="162">
        <v>11</v>
      </c>
      <c r="C570" s="162">
        <f t="shared" si="16"/>
        <v>2098.75</v>
      </c>
      <c r="D570" s="162" t="s">
        <v>161</v>
      </c>
      <c r="E570" s="168">
        <v>16302634765.933901</v>
      </c>
      <c r="F570" s="168">
        <v>16302634.765933901</v>
      </c>
      <c r="G570" s="168">
        <v>16302.634765933901</v>
      </c>
      <c r="H570" s="168">
        <v>16.302634765933902</v>
      </c>
      <c r="I570" s="164">
        <f>H570*$O$9/0.1*INDEX(Country_details!$N$9:N720,MATCH(Solar_data!A570,Country_details!$A$9:$A$154,0))</f>
        <v>41.571718653131441</v>
      </c>
      <c r="J570" s="164">
        <f t="shared" si="17"/>
        <v>2098.75</v>
      </c>
      <c r="K570" s="164"/>
      <c r="L570" s="164"/>
      <c r="M570" s="164"/>
      <c r="N570" s="164"/>
      <c r="O570" s="166"/>
      <c r="P570" s="166"/>
      <c r="Q570" s="166"/>
      <c r="R570" s="166"/>
      <c r="S570" s="166"/>
      <c r="T570" s="166"/>
      <c r="U570" s="166"/>
      <c r="V570" s="166"/>
      <c r="W570" s="166"/>
      <c r="X570" s="166"/>
      <c r="Y570" s="166"/>
      <c r="Z570" s="166"/>
      <c r="AA570" s="166"/>
      <c r="AB570" s="166"/>
      <c r="AC570" s="166"/>
      <c r="AD570" s="166"/>
      <c r="AE570" s="166"/>
      <c r="AF570" s="166"/>
      <c r="AG570" s="166"/>
      <c r="AH570" s="166"/>
      <c r="AI570" s="166"/>
    </row>
    <row r="571" spans="1:35" x14ac:dyDescent="0.2">
      <c r="A571" s="167" t="s">
        <v>117</v>
      </c>
      <c r="B571" s="162">
        <v>12</v>
      </c>
      <c r="C571" s="162">
        <f t="shared" si="16"/>
        <v>2281.25</v>
      </c>
      <c r="D571" s="162" t="s">
        <v>162</v>
      </c>
      <c r="E571" s="168">
        <v>141134600.32499999</v>
      </c>
      <c r="F571" s="168">
        <v>141134.60032499998</v>
      </c>
      <c r="G571" s="168">
        <v>141.13460032499998</v>
      </c>
      <c r="H571" s="168">
        <v>0.14113460032499997</v>
      </c>
      <c r="I571" s="164">
        <f>H571*$O$9/0.1*INDEX(Country_details!$N$9:N721,MATCH(Solar_data!A571,Country_details!$A$9:$A$154,0))</f>
        <v>0.35989323082874991</v>
      </c>
      <c r="J571" s="164">
        <f t="shared" si="17"/>
        <v>2281.25</v>
      </c>
      <c r="K571" s="164"/>
      <c r="L571" s="164"/>
      <c r="M571" s="164"/>
      <c r="N571" s="164"/>
      <c r="O571" s="166"/>
      <c r="P571" s="166"/>
      <c r="Q571" s="166"/>
      <c r="R571" s="166"/>
      <c r="S571" s="166"/>
      <c r="T571" s="166"/>
      <c r="U571" s="166"/>
      <c r="V571" s="166"/>
      <c r="W571" s="166"/>
      <c r="X571" s="166"/>
      <c r="Y571" s="166"/>
      <c r="Z571" s="166"/>
      <c r="AA571" s="166"/>
      <c r="AB571" s="166"/>
      <c r="AC571" s="166"/>
      <c r="AD571" s="166"/>
      <c r="AE571" s="166"/>
      <c r="AF571" s="166"/>
      <c r="AG571" s="166"/>
      <c r="AH571" s="166"/>
      <c r="AI571" s="166"/>
    </row>
    <row r="572" spans="1:35" x14ac:dyDescent="0.2">
      <c r="A572" s="167" t="s">
        <v>118</v>
      </c>
      <c r="B572" s="162">
        <v>10</v>
      </c>
      <c r="C572" s="162">
        <f t="shared" si="16"/>
        <v>1916.25</v>
      </c>
      <c r="D572" s="162" t="s">
        <v>159</v>
      </c>
      <c r="E572" s="168">
        <v>17895384741.599998</v>
      </c>
      <c r="F572" s="168">
        <v>17895384.741599999</v>
      </c>
      <c r="G572" s="168">
        <v>17895.384741599999</v>
      </c>
      <c r="H572" s="168">
        <v>17.895384741600001</v>
      </c>
      <c r="I572" s="164">
        <f>H572*$O$9/0.1*INDEX(Country_details!$N$9:N722,MATCH(Solar_data!A572,Country_details!$A$9:$A$154,0))</f>
        <v>45.633231091079999</v>
      </c>
      <c r="J572" s="164">
        <f t="shared" si="17"/>
        <v>1916.25</v>
      </c>
      <c r="K572" s="164"/>
      <c r="L572" s="164"/>
      <c r="M572" s="164"/>
      <c r="N572" s="164"/>
      <c r="O572" s="166"/>
      <c r="P572" s="166"/>
      <c r="Q572" s="166"/>
      <c r="R572" s="166"/>
      <c r="S572" s="166"/>
      <c r="T572" s="166"/>
      <c r="U572" s="166"/>
      <c r="V572" s="166"/>
      <c r="W572" s="166"/>
      <c r="X572" s="166"/>
      <c r="Y572" s="166"/>
      <c r="Z572" s="166"/>
      <c r="AA572" s="166"/>
      <c r="AB572" s="166"/>
      <c r="AC572" s="166"/>
      <c r="AD572" s="166"/>
      <c r="AE572" s="166"/>
      <c r="AF572" s="166"/>
      <c r="AG572" s="166"/>
      <c r="AH572" s="166"/>
      <c r="AI572" s="166"/>
    </row>
    <row r="573" spans="1:35" x14ac:dyDescent="0.2">
      <c r="A573" s="167" t="s">
        <v>118</v>
      </c>
      <c r="B573" s="162">
        <v>11</v>
      </c>
      <c r="C573" s="162">
        <f t="shared" si="16"/>
        <v>2098.75</v>
      </c>
      <c r="D573" s="162" t="s">
        <v>161</v>
      </c>
      <c r="E573" s="168">
        <v>11341309088.9</v>
      </c>
      <c r="F573" s="168">
        <v>11341309.0889</v>
      </c>
      <c r="G573" s="168">
        <v>11341.3090889</v>
      </c>
      <c r="H573" s="168">
        <v>11.341309088899999</v>
      </c>
      <c r="I573" s="164">
        <f>H573*$O$9/0.1*INDEX(Country_details!$N$9:N723,MATCH(Solar_data!A573,Country_details!$A$9:$A$154,0))</f>
        <v>28.920338176694994</v>
      </c>
      <c r="J573" s="164">
        <f t="shared" si="17"/>
        <v>2098.75</v>
      </c>
      <c r="K573" s="164"/>
      <c r="L573" s="164"/>
      <c r="M573" s="164"/>
      <c r="N573" s="164"/>
      <c r="O573" s="166"/>
      <c r="P573" s="166"/>
      <c r="Q573" s="166"/>
      <c r="R573" s="166"/>
      <c r="S573" s="166"/>
      <c r="T573" s="166"/>
      <c r="U573" s="166"/>
      <c r="V573" s="166"/>
      <c r="W573" s="166"/>
      <c r="X573" s="166"/>
      <c r="Y573" s="166"/>
      <c r="Z573" s="166"/>
      <c r="AA573" s="166"/>
      <c r="AB573" s="166"/>
      <c r="AC573" s="166"/>
      <c r="AD573" s="166"/>
      <c r="AE573" s="166"/>
      <c r="AF573" s="166"/>
      <c r="AG573" s="166"/>
      <c r="AH573" s="166"/>
      <c r="AI573" s="166"/>
    </row>
    <row r="574" spans="1:35" x14ac:dyDescent="0.2">
      <c r="A574" s="167" t="s">
        <v>118</v>
      </c>
      <c r="B574" s="162">
        <v>12</v>
      </c>
      <c r="C574" s="162">
        <f t="shared" si="16"/>
        <v>2281.25</v>
      </c>
      <c r="D574" s="162" t="s">
        <v>162</v>
      </c>
      <c r="E574" s="168">
        <v>3730105642.29</v>
      </c>
      <c r="F574" s="168">
        <v>3730105.6422899999</v>
      </c>
      <c r="G574" s="168">
        <v>3730.1056422900001</v>
      </c>
      <c r="H574" s="168">
        <v>3.7301056422900003</v>
      </c>
      <c r="I574" s="164">
        <f>H574*$O$9/0.1*INDEX(Country_details!$N$9:N724,MATCH(Solar_data!A574,Country_details!$A$9:$A$154,0))</f>
        <v>9.5117693878395002</v>
      </c>
      <c r="J574" s="164">
        <f t="shared" si="17"/>
        <v>2281.25</v>
      </c>
      <c r="K574" s="164"/>
      <c r="L574" s="164"/>
      <c r="M574" s="164"/>
      <c r="N574" s="164"/>
      <c r="O574" s="166"/>
      <c r="P574" s="166"/>
      <c r="Q574" s="166"/>
      <c r="R574" s="166"/>
      <c r="S574" s="166"/>
      <c r="T574" s="166"/>
      <c r="U574" s="166"/>
      <c r="V574" s="166"/>
      <c r="W574" s="166"/>
      <c r="X574" s="166"/>
      <c r="Y574" s="166"/>
      <c r="Z574" s="166"/>
      <c r="AA574" s="166"/>
      <c r="AB574" s="166"/>
      <c r="AC574" s="166"/>
      <c r="AD574" s="166"/>
      <c r="AE574" s="166"/>
      <c r="AF574" s="166"/>
      <c r="AG574" s="166"/>
      <c r="AH574" s="166"/>
      <c r="AI574" s="166"/>
    </row>
    <row r="575" spans="1:35" x14ac:dyDescent="0.2">
      <c r="A575" s="167" t="s">
        <v>259</v>
      </c>
      <c r="B575" s="162">
        <v>9</v>
      </c>
      <c r="C575" s="162">
        <f t="shared" si="16"/>
        <v>1733.75</v>
      </c>
      <c r="D575" s="162" t="s">
        <v>157</v>
      </c>
      <c r="E575" s="168">
        <v>2313652157.8099999</v>
      </c>
      <c r="F575" s="168">
        <v>2313652.1578099998</v>
      </c>
      <c r="G575" s="168">
        <v>2313.6521578099996</v>
      </c>
      <c r="H575" s="168">
        <v>2.3136521578099996</v>
      </c>
      <c r="I575" s="164" t="e">
        <f>H575*$O$9/0.1*INDEX(Country_details!$N$9:N725,MATCH(Solar_data!A575,Country_details!$A$9:$A$154,0))</f>
        <v>#N/A</v>
      </c>
      <c r="J575" s="164">
        <f t="shared" si="17"/>
        <v>1733.75</v>
      </c>
      <c r="K575" s="164"/>
      <c r="L575" s="164"/>
      <c r="M575" s="164"/>
      <c r="N575" s="164"/>
      <c r="O575" s="166"/>
      <c r="P575" s="166"/>
      <c r="Q575" s="166"/>
      <c r="R575" s="166"/>
      <c r="S575" s="166"/>
      <c r="T575" s="166"/>
      <c r="U575" s="166"/>
      <c r="V575" s="166"/>
      <c r="W575" s="166"/>
      <c r="X575" s="166"/>
      <c r="Y575" s="166"/>
      <c r="Z575" s="166"/>
      <c r="AA575" s="166"/>
      <c r="AB575" s="166"/>
      <c r="AC575" s="166"/>
      <c r="AD575" s="166"/>
      <c r="AE575" s="166"/>
      <c r="AF575" s="166"/>
      <c r="AG575" s="166"/>
      <c r="AH575" s="166"/>
      <c r="AI575" s="166"/>
    </row>
    <row r="576" spans="1:35" x14ac:dyDescent="0.2">
      <c r="A576" s="167" t="s">
        <v>259</v>
      </c>
      <c r="B576" s="162">
        <v>10</v>
      </c>
      <c r="C576" s="162">
        <f t="shared" si="16"/>
        <v>1916.25</v>
      </c>
      <c r="D576" s="162" t="s">
        <v>159</v>
      </c>
      <c r="E576" s="168">
        <v>1649000159.71</v>
      </c>
      <c r="F576" s="168">
        <v>1649000.15971</v>
      </c>
      <c r="G576" s="168">
        <v>1649.0001597100002</v>
      </c>
      <c r="H576" s="168">
        <v>1.6490001597100001</v>
      </c>
      <c r="I576" s="164" t="e">
        <f>H576*$O$9/0.1*INDEX(Country_details!$N$9:N726,MATCH(Solar_data!A576,Country_details!$A$9:$A$154,0))</f>
        <v>#N/A</v>
      </c>
      <c r="J576" s="164">
        <f t="shared" si="17"/>
        <v>1916.25</v>
      </c>
      <c r="K576" s="164"/>
      <c r="L576" s="164"/>
      <c r="M576" s="164"/>
      <c r="N576" s="164"/>
      <c r="O576" s="166"/>
      <c r="P576" s="166"/>
      <c r="Q576" s="166"/>
      <c r="R576" s="166"/>
      <c r="S576" s="166"/>
      <c r="T576" s="166"/>
      <c r="U576" s="166"/>
      <c r="V576" s="166"/>
      <c r="W576" s="166"/>
      <c r="X576" s="166"/>
      <c r="Y576" s="166"/>
      <c r="Z576" s="166"/>
      <c r="AA576" s="166"/>
      <c r="AB576" s="166"/>
      <c r="AC576" s="166"/>
      <c r="AD576" s="166"/>
      <c r="AE576" s="166"/>
      <c r="AF576" s="166"/>
      <c r="AG576" s="166"/>
      <c r="AH576" s="166"/>
      <c r="AI576" s="166"/>
    </row>
    <row r="577" spans="1:35" x14ac:dyDescent="0.2">
      <c r="A577" s="167" t="s">
        <v>259</v>
      </c>
      <c r="B577" s="162">
        <v>11</v>
      </c>
      <c r="C577" s="162">
        <f t="shared" si="16"/>
        <v>2098.75</v>
      </c>
      <c r="D577" s="162" t="s">
        <v>161</v>
      </c>
      <c r="E577" s="168">
        <v>2427516064.3400002</v>
      </c>
      <c r="F577" s="168">
        <v>2427516.06434</v>
      </c>
      <c r="G577" s="168">
        <v>2427.51606434</v>
      </c>
      <c r="H577" s="168">
        <v>2.4275160643400002</v>
      </c>
      <c r="I577" s="164" t="e">
        <f>H577*$O$9/0.1*INDEX(Country_details!$N$9:N727,MATCH(Solar_data!A577,Country_details!$A$9:$A$154,0))</f>
        <v>#N/A</v>
      </c>
      <c r="J577" s="164">
        <f t="shared" si="17"/>
        <v>2098.75</v>
      </c>
      <c r="K577" s="164"/>
      <c r="L577" s="164"/>
      <c r="M577" s="164"/>
      <c r="N577" s="164"/>
      <c r="O577" s="166"/>
      <c r="P577" s="166"/>
      <c r="Q577" s="166"/>
      <c r="R577" s="166"/>
      <c r="S577" s="166"/>
      <c r="T577" s="166"/>
      <c r="U577" s="166"/>
      <c r="V577" s="166"/>
      <c r="W577" s="166"/>
      <c r="X577" s="166"/>
      <c r="Y577" s="166"/>
      <c r="Z577" s="166"/>
      <c r="AA577" s="166"/>
      <c r="AB577" s="166"/>
      <c r="AC577" s="166"/>
      <c r="AD577" s="166"/>
      <c r="AE577" s="166"/>
      <c r="AF577" s="166"/>
      <c r="AG577" s="166"/>
      <c r="AH577" s="166"/>
      <c r="AI577" s="166"/>
    </row>
    <row r="578" spans="1:35" x14ac:dyDescent="0.2">
      <c r="A578" s="167" t="s">
        <v>260</v>
      </c>
      <c r="B578" s="162">
        <v>7</v>
      </c>
      <c r="C578" s="162">
        <f t="shared" si="16"/>
        <v>1368.75</v>
      </c>
      <c r="D578" s="162" t="s">
        <v>174</v>
      </c>
      <c r="E578" s="168">
        <v>66323298696.756104</v>
      </c>
      <c r="F578" s="168">
        <v>66323298.696756102</v>
      </c>
      <c r="G578" s="168">
        <v>66323.298696756101</v>
      </c>
      <c r="H578" s="168">
        <v>66.323298696756098</v>
      </c>
      <c r="I578" s="164" t="e">
        <f>H578*$O$9/0.1*INDEX(Country_details!$N$9:N728,MATCH(Solar_data!A578,Country_details!$A$9:$A$154,0))</f>
        <v>#N/A</v>
      </c>
      <c r="J578" s="164">
        <f t="shared" si="17"/>
        <v>1368.75</v>
      </c>
      <c r="K578" s="164"/>
      <c r="L578" s="164"/>
      <c r="M578" s="164"/>
      <c r="N578" s="164"/>
      <c r="O578" s="166"/>
      <c r="P578" s="166"/>
      <c r="Q578" s="166"/>
      <c r="R578" s="166"/>
      <c r="S578" s="166"/>
      <c r="T578" s="166"/>
      <c r="U578" s="166"/>
      <c r="V578" s="166"/>
      <c r="W578" s="166"/>
      <c r="X578" s="166"/>
      <c r="Y578" s="166"/>
      <c r="Z578" s="166"/>
      <c r="AA578" s="166"/>
      <c r="AB578" s="166"/>
      <c r="AC578" s="166"/>
      <c r="AD578" s="166"/>
      <c r="AE578" s="166"/>
      <c r="AF578" s="166"/>
      <c r="AG578" s="166"/>
      <c r="AH578" s="166"/>
      <c r="AI578" s="166"/>
    </row>
    <row r="579" spans="1:35" x14ac:dyDescent="0.2">
      <c r="A579" s="167" t="s">
        <v>260</v>
      </c>
      <c r="B579" s="162">
        <v>8</v>
      </c>
      <c r="C579" s="162">
        <f t="shared" si="16"/>
        <v>1551.25</v>
      </c>
      <c r="D579" s="162" t="s">
        <v>164</v>
      </c>
      <c r="E579" s="168">
        <v>480134249308.46838</v>
      </c>
      <c r="F579" s="168">
        <v>480134249.3084684</v>
      </c>
      <c r="G579" s="168">
        <v>480134.24930846842</v>
      </c>
      <c r="H579" s="168">
        <v>480.13424930846844</v>
      </c>
      <c r="I579" s="164" t="e">
        <f>H579*$O$9/0.1*INDEX(Country_details!$N$9:N729,MATCH(Solar_data!A579,Country_details!$A$9:$A$154,0))</f>
        <v>#N/A</v>
      </c>
      <c r="J579" s="164">
        <f t="shared" si="17"/>
        <v>1551.25</v>
      </c>
      <c r="K579" s="164"/>
      <c r="L579" s="164"/>
      <c r="M579" s="164"/>
      <c r="N579" s="164"/>
      <c r="O579" s="166"/>
      <c r="P579" s="166"/>
      <c r="Q579" s="166"/>
      <c r="R579" s="166"/>
      <c r="S579" s="166"/>
      <c r="T579" s="166"/>
      <c r="U579" s="166"/>
      <c r="V579" s="166"/>
      <c r="W579" s="166"/>
      <c r="X579" s="166"/>
      <c r="Y579" s="166"/>
      <c r="Z579" s="166"/>
      <c r="AA579" s="166"/>
      <c r="AB579" s="166"/>
      <c r="AC579" s="166"/>
      <c r="AD579" s="166"/>
      <c r="AE579" s="166"/>
      <c r="AF579" s="166"/>
      <c r="AG579" s="166"/>
      <c r="AH579" s="166"/>
      <c r="AI579" s="166"/>
    </row>
    <row r="580" spans="1:35" x14ac:dyDescent="0.2">
      <c r="A580" s="167" t="s">
        <v>261</v>
      </c>
      <c r="B580" s="162">
        <v>3</v>
      </c>
      <c r="C580" s="162">
        <f t="shared" si="16"/>
        <v>638.75</v>
      </c>
      <c r="D580" s="162" t="s">
        <v>170</v>
      </c>
      <c r="E580" s="168">
        <v>42257168488.657501</v>
      </c>
      <c r="F580" s="168">
        <v>42257168.488657504</v>
      </c>
      <c r="G580" s="168">
        <v>42257.168488657502</v>
      </c>
      <c r="H580" s="168">
        <v>42.257168488657506</v>
      </c>
      <c r="I580" s="164">
        <f>H580*$O$9/0.1*INDEX(Country_details!$N$9:N730,MATCH(Solar_data!A580,Country_details!$A$9:$A$154,0))</f>
        <v>114.09435491937526</v>
      </c>
      <c r="J580" s="164">
        <f t="shared" si="17"/>
        <v>638.75</v>
      </c>
      <c r="K580" s="164"/>
      <c r="L580" s="164"/>
      <c r="M580" s="164"/>
      <c r="N580" s="164"/>
      <c r="O580" s="166"/>
      <c r="P580" s="166"/>
      <c r="Q580" s="166"/>
      <c r="R580" s="166"/>
      <c r="S580" s="166"/>
      <c r="T580" s="166"/>
      <c r="U580" s="166"/>
      <c r="V580" s="166"/>
      <c r="W580" s="166"/>
      <c r="X580" s="166"/>
      <c r="Y580" s="166"/>
      <c r="Z580" s="166"/>
      <c r="AA580" s="166"/>
      <c r="AB580" s="166"/>
      <c r="AC580" s="166"/>
      <c r="AD580" s="166"/>
      <c r="AE580" s="166"/>
      <c r="AF580" s="166"/>
      <c r="AG580" s="166"/>
      <c r="AH580" s="166"/>
      <c r="AI580" s="166"/>
    </row>
    <row r="581" spans="1:35" x14ac:dyDescent="0.2">
      <c r="A581" s="167" t="s">
        <v>261</v>
      </c>
      <c r="B581" s="162">
        <v>4</v>
      </c>
      <c r="C581" s="162">
        <f t="shared" ref="C581:C644" si="18">(0.5*B581+0.25)*365</f>
        <v>821.25</v>
      </c>
      <c r="D581" s="162" t="s">
        <v>171</v>
      </c>
      <c r="E581" s="168">
        <v>1332501438655.6836</v>
      </c>
      <c r="F581" s="168">
        <v>1332501438.6556835</v>
      </c>
      <c r="G581" s="168">
        <v>1332501.4386556835</v>
      </c>
      <c r="H581" s="168">
        <v>1332.5014386556836</v>
      </c>
      <c r="I581" s="164">
        <f>H581*$O$9/0.1*INDEX(Country_details!$N$9:N731,MATCH(Solar_data!A581,Country_details!$A$9:$A$154,0))</f>
        <v>3597.753884370346</v>
      </c>
      <c r="J581" s="164">
        <f t="shared" si="17"/>
        <v>821.25</v>
      </c>
      <c r="K581" s="164"/>
      <c r="L581" s="164"/>
      <c r="M581" s="164"/>
      <c r="N581" s="164"/>
      <c r="O581" s="166"/>
      <c r="P581" s="166"/>
      <c r="Q581" s="166"/>
      <c r="R581" s="166"/>
      <c r="S581" s="166"/>
      <c r="T581" s="166"/>
      <c r="U581" s="166"/>
      <c r="V581" s="166"/>
      <c r="W581" s="166"/>
      <c r="X581" s="166"/>
      <c r="Y581" s="166"/>
      <c r="Z581" s="166"/>
      <c r="AA581" s="166"/>
      <c r="AB581" s="166"/>
      <c r="AC581" s="166"/>
      <c r="AD581" s="166"/>
      <c r="AE581" s="166"/>
      <c r="AF581" s="166"/>
      <c r="AG581" s="166"/>
      <c r="AH581" s="166"/>
      <c r="AI581" s="166"/>
    </row>
    <row r="582" spans="1:35" x14ac:dyDescent="0.2">
      <c r="A582" s="167" t="s">
        <v>261</v>
      </c>
      <c r="B582" s="162">
        <v>5</v>
      </c>
      <c r="C582" s="162">
        <f t="shared" si="18"/>
        <v>1003.75</v>
      </c>
      <c r="D582" s="162" t="s">
        <v>172</v>
      </c>
      <c r="E582" s="168">
        <v>6458333334076.1904</v>
      </c>
      <c r="F582" s="168">
        <v>6458333334.0761909</v>
      </c>
      <c r="G582" s="168">
        <v>6458333.3340761913</v>
      </c>
      <c r="H582" s="168">
        <v>6458.333334076191</v>
      </c>
      <c r="I582" s="164">
        <f>H582*$O$9/0.1*INDEX(Country_details!$N$9:N732,MATCH(Solar_data!A582,Country_details!$A$9:$A$154,0))</f>
        <v>17437.500002005716</v>
      </c>
      <c r="J582" s="164">
        <f t="shared" si="17"/>
        <v>1003.75</v>
      </c>
      <c r="K582" s="164"/>
      <c r="L582" s="164"/>
      <c r="M582" s="164"/>
      <c r="N582" s="164"/>
      <c r="O582" s="166"/>
      <c r="P582" s="166"/>
      <c r="Q582" s="166"/>
      <c r="R582" s="166"/>
      <c r="S582" s="166"/>
      <c r="T582" s="166"/>
      <c r="U582" s="166"/>
      <c r="V582" s="166"/>
      <c r="W582" s="166"/>
      <c r="X582" s="166"/>
      <c r="Y582" s="166"/>
      <c r="Z582" s="166"/>
      <c r="AA582" s="166"/>
      <c r="AB582" s="166"/>
      <c r="AC582" s="166"/>
      <c r="AD582" s="166"/>
      <c r="AE582" s="166"/>
      <c r="AF582" s="166"/>
      <c r="AG582" s="166"/>
      <c r="AH582" s="166"/>
      <c r="AI582" s="166"/>
    </row>
    <row r="583" spans="1:35" x14ac:dyDescent="0.2">
      <c r="A583" s="167" t="s">
        <v>261</v>
      </c>
      <c r="B583" s="162">
        <v>6</v>
      </c>
      <c r="C583" s="162">
        <f t="shared" si="18"/>
        <v>1186.25</v>
      </c>
      <c r="D583" s="162" t="s">
        <v>173</v>
      </c>
      <c r="E583" s="168">
        <v>10087510982491.83</v>
      </c>
      <c r="F583" s="168">
        <v>10087510982.491831</v>
      </c>
      <c r="G583" s="168">
        <v>10087510.98249183</v>
      </c>
      <c r="H583" s="168">
        <v>10087.510982491831</v>
      </c>
      <c r="I583" s="164">
        <f>H583*$O$9/0.1*INDEX(Country_details!$N$9:N733,MATCH(Solar_data!A583,Country_details!$A$9:$A$154,0))</f>
        <v>27236.279652727942</v>
      </c>
      <c r="J583" s="164">
        <f t="shared" si="17"/>
        <v>1186.25</v>
      </c>
      <c r="K583" s="164"/>
      <c r="L583" s="164"/>
      <c r="M583" s="164"/>
      <c r="N583" s="164"/>
      <c r="O583" s="166"/>
      <c r="P583" s="166"/>
      <c r="Q583" s="166"/>
      <c r="R583" s="166"/>
      <c r="S583" s="166"/>
      <c r="T583" s="166"/>
      <c r="U583" s="166"/>
      <c r="V583" s="166"/>
      <c r="W583" s="166"/>
      <c r="X583" s="166"/>
      <c r="Y583" s="166"/>
      <c r="Z583" s="166"/>
      <c r="AA583" s="166"/>
      <c r="AB583" s="166"/>
      <c r="AC583" s="166"/>
      <c r="AD583" s="166"/>
      <c r="AE583" s="166"/>
      <c r="AF583" s="166"/>
      <c r="AG583" s="166"/>
      <c r="AH583" s="166"/>
      <c r="AI583" s="166"/>
    </row>
    <row r="584" spans="1:35" x14ac:dyDescent="0.2">
      <c r="A584" s="167" t="s">
        <v>261</v>
      </c>
      <c r="B584" s="162">
        <v>7</v>
      </c>
      <c r="C584" s="162">
        <f t="shared" si="18"/>
        <v>1368.75</v>
      </c>
      <c r="D584" s="162" t="s">
        <v>174</v>
      </c>
      <c r="E584" s="168">
        <v>8776713836287.8789</v>
      </c>
      <c r="F584" s="168">
        <v>8776713836.2878799</v>
      </c>
      <c r="G584" s="168">
        <v>8776713.8362878803</v>
      </c>
      <c r="H584" s="168">
        <v>8776.7138362878813</v>
      </c>
      <c r="I584" s="164">
        <f>H584*$O$9/0.1*INDEX(Country_details!$N$9:N734,MATCH(Solar_data!A584,Country_details!$A$9:$A$154,0))</f>
        <v>23697.127357977279</v>
      </c>
      <c r="J584" s="164">
        <f t="shared" si="17"/>
        <v>1368.75</v>
      </c>
      <c r="K584" s="164"/>
      <c r="L584" s="164"/>
      <c r="M584" s="164"/>
      <c r="N584" s="164"/>
      <c r="O584" s="166"/>
      <c r="P584" s="166"/>
      <c r="Q584" s="166"/>
      <c r="R584" s="166"/>
      <c r="S584" s="166"/>
      <c r="T584" s="166"/>
      <c r="U584" s="166"/>
      <c r="V584" s="166"/>
      <c r="W584" s="166"/>
      <c r="X584" s="166"/>
      <c r="Y584" s="166"/>
      <c r="Z584" s="166"/>
      <c r="AA584" s="166"/>
      <c r="AB584" s="166"/>
      <c r="AC584" s="166"/>
      <c r="AD584" s="166"/>
      <c r="AE584" s="166"/>
      <c r="AF584" s="166"/>
      <c r="AG584" s="166"/>
      <c r="AH584" s="166"/>
      <c r="AI584" s="166"/>
    </row>
    <row r="585" spans="1:35" x14ac:dyDescent="0.2">
      <c r="A585" s="167" t="s">
        <v>261</v>
      </c>
      <c r="B585" s="162">
        <v>8</v>
      </c>
      <c r="C585" s="162">
        <f t="shared" si="18"/>
        <v>1551.25</v>
      </c>
      <c r="D585" s="162" t="s">
        <v>164</v>
      </c>
      <c r="E585" s="168">
        <v>3523116115282.7852</v>
      </c>
      <c r="F585" s="168">
        <v>3523116115.2827854</v>
      </c>
      <c r="G585" s="168">
        <v>3523116.1152827856</v>
      </c>
      <c r="H585" s="168">
        <v>3523.1161152827858</v>
      </c>
      <c r="I585" s="164">
        <f>H585*$O$9/0.1*INDEX(Country_details!$N$9:N735,MATCH(Solar_data!A585,Country_details!$A$9:$A$154,0))</f>
        <v>9512.4135112635213</v>
      </c>
      <c r="J585" s="164">
        <f t="shared" ref="J585:J648" si="19">(0.5*B585+0.25)*365</f>
        <v>1551.25</v>
      </c>
      <c r="K585" s="164"/>
      <c r="L585" s="164"/>
      <c r="M585" s="164"/>
      <c r="N585" s="164"/>
      <c r="O585" s="166"/>
      <c r="P585" s="166"/>
      <c r="Q585" s="166"/>
      <c r="R585" s="166"/>
      <c r="S585" s="166"/>
      <c r="T585" s="166"/>
      <c r="U585" s="166"/>
      <c r="V585" s="166"/>
      <c r="W585" s="166"/>
      <c r="X585" s="166"/>
      <c r="Y585" s="166"/>
      <c r="Z585" s="166"/>
      <c r="AA585" s="166"/>
      <c r="AB585" s="166"/>
      <c r="AC585" s="166"/>
      <c r="AD585" s="166"/>
      <c r="AE585" s="166"/>
      <c r="AF585" s="166"/>
      <c r="AG585" s="166"/>
      <c r="AH585" s="166"/>
      <c r="AI585" s="166"/>
    </row>
    <row r="586" spans="1:35" x14ac:dyDescent="0.2">
      <c r="A586" s="167" t="s">
        <v>261</v>
      </c>
      <c r="B586" s="162">
        <v>9</v>
      </c>
      <c r="C586" s="162">
        <f t="shared" si="18"/>
        <v>1733.75</v>
      </c>
      <c r="D586" s="162" t="s">
        <v>157</v>
      </c>
      <c r="E586" s="168">
        <v>353003590810.31879</v>
      </c>
      <c r="F586" s="168">
        <v>353003590.81031877</v>
      </c>
      <c r="G586" s="168">
        <v>353003.59081031877</v>
      </c>
      <c r="H586" s="168">
        <v>353.00359081031877</v>
      </c>
      <c r="I586" s="164">
        <f>H586*$O$9/0.1*INDEX(Country_details!$N$9:N736,MATCH(Solar_data!A586,Country_details!$A$9:$A$154,0))</f>
        <v>953.10969518786055</v>
      </c>
      <c r="J586" s="164">
        <f t="shared" si="19"/>
        <v>1733.75</v>
      </c>
      <c r="K586" s="164"/>
      <c r="L586" s="164"/>
      <c r="M586" s="164"/>
      <c r="N586" s="164"/>
      <c r="O586" s="166"/>
      <c r="P586" s="166"/>
      <c r="Q586" s="166"/>
      <c r="R586" s="166"/>
      <c r="S586" s="166"/>
      <c r="T586" s="166"/>
      <c r="U586" s="166"/>
      <c r="V586" s="166"/>
      <c r="W586" s="166"/>
      <c r="X586" s="166"/>
      <c r="Y586" s="166"/>
      <c r="Z586" s="166"/>
      <c r="AA586" s="166"/>
      <c r="AB586" s="166"/>
      <c r="AC586" s="166"/>
      <c r="AD586" s="166"/>
      <c r="AE586" s="166"/>
      <c r="AF586" s="166"/>
      <c r="AG586" s="166"/>
      <c r="AH586" s="166"/>
      <c r="AI586" s="166"/>
    </row>
    <row r="587" spans="1:35" x14ac:dyDescent="0.2">
      <c r="A587" s="167" t="s">
        <v>261</v>
      </c>
      <c r="B587" s="162">
        <v>10</v>
      </c>
      <c r="C587" s="162">
        <f t="shared" si="18"/>
        <v>1916.25</v>
      </c>
      <c r="D587" s="162" t="s">
        <v>159</v>
      </c>
      <c r="E587" s="168">
        <v>12717963271.6082</v>
      </c>
      <c r="F587" s="168">
        <v>12717963.2716082</v>
      </c>
      <c r="G587" s="168">
        <v>12717.9632716082</v>
      </c>
      <c r="H587" s="168">
        <v>12.7179632716082</v>
      </c>
      <c r="I587" s="164">
        <f>H587*$O$9/0.1*INDEX(Country_details!$N$9:N737,MATCH(Solar_data!A587,Country_details!$A$9:$A$154,0))</f>
        <v>34.338500833342138</v>
      </c>
      <c r="J587" s="164">
        <f t="shared" si="19"/>
        <v>1916.25</v>
      </c>
      <c r="K587" s="164"/>
      <c r="L587" s="164"/>
      <c r="M587" s="164"/>
      <c r="N587" s="164"/>
      <c r="O587" s="166"/>
      <c r="P587" s="166"/>
      <c r="Q587" s="166"/>
      <c r="R587" s="166"/>
      <c r="S587" s="166"/>
      <c r="T587" s="166"/>
      <c r="U587" s="166"/>
      <c r="V587" s="166"/>
      <c r="W587" s="166"/>
      <c r="X587" s="166"/>
      <c r="Y587" s="166"/>
      <c r="Z587" s="166"/>
      <c r="AA587" s="166"/>
      <c r="AB587" s="166"/>
      <c r="AC587" s="166"/>
      <c r="AD587" s="166"/>
      <c r="AE587" s="166"/>
      <c r="AF587" s="166"/>
      <c r="AG587" s="166"/>
      <c r="AH587" s="166"/>
      <c r="AI587" s="166"/>
    </row>
    <row r="588" spans="1:35" x14ac:dyDescent="0.2">
      <c r="A588" s="167" t="s">
        <v>261</v>
      </c>
      <c r="B588" s="162">
        <v>11</v>
      </c>
      <c r="C588" s="162">
        <f t="shared" si="18"/>
        <v>2098.75</v>
      </c>
      <c r="D588" s="162" t="s">
        <v>161</v>
      </c>
      <c r="E588" s="168">
        <v>186477339.509</v>
      </c>
      <c r="F588" s="168">
        <v>186477.33950900001</v>
      </c>
      <c r="G588" s="168">
        <v>186.47733950900002</v>
      </c>
      <c r="H588" s="168">
        <v>0.18647733950900003</v>
      </c>
      <c r="I588" s="164">
        <f>H588*$O$9/0.1*INDEX(Country_details!$N$9:N738,MATCH(Solar_data!A588,Country_details!$A$9:$A$154,0))</f>
        <v>0.50348881667430001</v>
      </c>
      <c r="J588" s="164">
        <f t="shared" si="19"/>
        <v>2098.75</v>
      </c>
      <c r="K588" s="164"/>
      <c r="L588" s="164"/>
      <c r="M588" s="164"/>
      <c r="N588" s="164"/>
      <c r="O588" s="166"/>
      <c r="P588" s="166"/>
      <c r="Q588" s="166"/>
      <c r="R588" s="166"/>
      <c r="S588" s="166"/>
      <c r="T588" s="166"/>
      <c r="U588" s="166"/>
      <c r="V588" s="166"/>
      <c r="W588" s="166"/>
      <c r="X588" s="166"/>
      <c r="Y588" s="166"/>
      <c r="Z588" s="166"/>
      <c r="AA588" s="166"/>
      <c r="AB588" s="166"/>
      <c r="AC588" s="166"/>
      <c r="AD588" s="166"/>
      <c r="AE588" s="166"/>
      <c r="AF588" s="166"/>
      <c r="AG588" s="166"/>
      <c r="AH588" s="166"/>
      <c r="AI588" s="166"/>
    </row>
    <row r="589" spans="1:35" x14ac:dyDescent="0.2">
      <c r="A589" s="167" t="s">
        <v>119</v>
      </c>
      <c r="B589" s="162">
        <v>8</v>
      </c>
      <c r="C589" s="162">
        <f t="shared" si="18"/>
        <v>1551.25</v>
      </c>
      <c r="D589" s="162" t="s">
        <v>164</v>
      </c>
      <c r="E589" s="168">
        <v>2764005075.7270002</v>
      </c>
      <c r="F589" s="168">
        <v>2764005.0757270004</v>
      </c>
      <c r="G589" s="168">
        <v>2764.0050757270005</v>
      </c>
      <c r="H589" s="168">
        <v>2.7640050757270007</v>
      </c>
      <c r="I589" s="164">
        <f>H589*$O$9/0.1*INDEX(Country_details!$N$9:N739,MATCH(Solar_data!A589,Country_details!$A$9:$A$154,0))</f>
        <v>7.4628137044629019</v>
      </c>
      <c r="J589" s="164">
        <f t="shared" si="19"/>
        <v>1551.25</v>
      </c>
      <c r="K589" s="164"/>
      <c r="L589" s="164"/>
      <c r="M589" s="164"/>
      <c r="N589" s="164"/>
      <c r="O589" s="166"/>
      <c r="P589" s="166"/>
      <c r="Q589" s="166"/>
      <c r="R589" s="166"/>
      <c r="S589" s="166"/>
      <c r="T589" s="166"/>
      <c r="U589" s="166"/>
      <c r="V589" s="166"/>
      <c r="W589" s="166"/>
      <c r="X589" s="166"/>
      <c r="Y589" s="166"/>
      <c r="Z589" s="166"/>
      <c r="AA589" s="166"/>
      <c r="AB589" s="166"/>
      <c r="AC589" s="166"/>
      <c r="AD589" s="166"/>
      <c r="AE589" s="166"/>
      <c r="AF589" s="166"/>
      <c r="AG589" s="166"/>
      <c r="AH589" s="166"/>
      <c r="AI589" s="166"/>
    </row>
    <row r="590" spans="1:35" x14ac:dyDescent="0.2">
      <c r="A590" s="167" t="s">
        <v>119</v>
      </c>
      <c r="B590" s="162">
        <v>9</v>
      </c>
      <c r="C590" s="162">
        <f t="shared" si="18"/>
        <v>1733.75</v>
      </c>
      <c r="D590" s="162" t="s">
        <v>157</v>
      </c>
      <c r="E590" s="168">
        <v>38392682921.729103</v>
      </c>
      <c r="F590" s="168">
        <v>38392682.921729103</v>
      </c>
      <c r="G590" s="168">
        <v>38392.682921729102</v>
      </c>
      <c r="H590" s="168">
        <v>38.392682921729104</v>
      </c>
      <c r="I590" s="164">
        <f>H590*$O$9/0.1*INDEX(Country_details!$N$9:N740,MATCH(Solar_data!A590,Country_details!$A$9:$A$154,0))</f>
        <v>103.66024388866859</v>
      </c>
      <c r="J590" s="164">
        <f t="shared" si="19"/>
        <v>1733.75</v>
      </c>
      <c r="K590" s="164"/>
      <c r="L590" s="164"/>
      <c r="M590" s="164"/>
      <c r="N590" s="164"/>
      <c r="O590" s="166"/>
      <c r="P590" s="166"/>
      <c r="Q590" s="166"/>
      <c r="R590" s="166"/>
      <c r="S590" s="166"/>
      <c r="T590" s="166"/>
      <c r="U590" s="166"/>
      <c r="V590" s="166"/>
      <c r="W590" s="166"/>
      <c r="X590" s="166"/>
      <c r="Y590" s="166"/>
      <c r="Z590" s="166"/>
      <c r="AA590" s="166"/>
      <c r="AB590" s="166"/>
      <c r="AC590" s="166"/>
      <c r="AD590" s="166"/>
      <c r="AE590" s="166"/>
      <c r="AF590" s="166"/>
      <c r="AG590" s="166"/>
      <c r="AH590" s="166"/>
      <c r="AI590" s="166"/>
    </row>
    <row r="591" spans="1:35" x14ac:dyDescent="0.2">
      <c r="A591" s="167" t="s">
        <v>119</v>
      </c>
      <c r="B591" s="162">
        <v>10</v>
      </c>
      <c r="C591" s="162">
        <f t="shared" si="18"/>
        <v>1916.25</v>
      </c>
      <c r="D591" s="162" t="s">
        <v>159</v>
      </c>
      <c r="E591" s="168">
        <v>25629943652.075401</v>
      </c>
      <c r="F591" s="168">
        <v>25629943.652075402</v>
      </c>
      <c r="G591" s="168">
        <v>25629.943652075402</v>
      </c>
      <c r="H591" s="168">
        <v>25.629943652075404</v>
      </c>
      <c r="I591" s="164">
        <f>H591*$O$9/0.1*INDEX(Country_details!$N$9:N741,MATCH(Solar_data!A591,Country_details!$A$9:$A$154,0))</f>
        <v>69.200847860603588</v>
      </c>
      <c r="J591" s="164">
        <f t="shared" si="19"/>
        <v>1916.25</v>
      </c>
      <c r="K591" s="164"/>
      <c r="L591" s="164"/>
      <c r="M591" s="164"/>
      <c r="N591" s="164"/>
      <c r="O591" s="166"/>
      <c r="P591" s="166"/>
      <c r="Q591" s="166"/>
      <c r="R591" s="166"/>
      <c r="S591" s="166"/>
      <c r="T591" s="166"/>
      <c r="U591" s="166"/>
      <c r="V591" s="166"/>
      <c r="W591" s="166"/>
      <c r="X591" s="166"/>
      <c r="Y591" s="166"/>
      <c r="Z591" s="166"/>
      <c r="AA591" s="166"/>
      <c r="AB591" s="166"/>
      <c r="AC591" s="166"/>
      <c r="AD591" s="166"/>
      <c r="AE591" s="166"/>
      <c r="AF591" s="166"/>
      <c r="AG591" s="166"/>
      <c r="AH591" s="166"/>
      <c r="AI591" s="166"/>
    </row>
    <row r="592" spans="1:35" x14ac:dyDescent="0.2">
      <c r="A592" s="167" t="s">
        <v>262</v>
      </c>
      <c r="B592" s="162">
        <v>10</v>
      </c>
      <c r="C592" s="162">
        <f t="shared" si="18"/>
        <v>1916.25</v>
      </c>
      <c r="D592" s="162" t="s">
        <v>159</v>
      </c>
      <c r="E592" s="168">
        <v>1389821861.5599999</v>
      </c>
      <c r="F592" s="168">
        <v>1389821.8615599999</v>
      </c>
      <c r="G592" s="168">
        <v>1389.8218615599999</v>
      </c>
      <c r="H592" s="168">
        <v>1.38982186156</v>
      </c>
      <c r="I592" s="164" t="e">
        <f>H592*$O$9/0.1*INDEX(Country_details!$N$9:N742,MATCH(Solar_data!A592,Country_details!$A$9:$A$154,0))</f>
        <v>#N/A</v>
      </c>
      <c r="J592" s="164">
        <f t="shared" si="19"/>
        <v>1916.25</v>
      </c>
      <c r="K592" s="164"/>
      <c r="L592" s="164"/>
      <c r="M592" s="164"/>
      <c r="N592" s="164"/>
      <c r="O592" s="166"/>
      <c r="P592" s="166"/>
      <c r="Q592" s="166"/>
      <c r="R592" s="166"/>
      <c r="S592" s="166"/>
      <c r="T592" s="166"/>
      <c r="U592" s="166"/>
      <c r="V592" s="166"/>
      <c r="W592" s="166"/>
      <c r="X592" s="166"/>
      <c r="Y592" s="166"/>
      <c r="Z592" s="166"/>
      <c r="AA592" s="166"/>
      <c r="AB592" s="166"/>
      <c r="AC592" s="166"/>
      <c r="AD592" s="166"/>
      <c r="AE592" s="166"/>
      <c r="AF592" s="166"/>
      <c r="AG592" s="166"/>
      <c r="AH592" s="166"/>
      <c r="AI592" s="166"/>
    </row>
    <row r="593" spans="1:35" x14ac:dyDescent="0.2">
      <c r="A593" s="167" t="s">
        <v>262</v>
      </c>
      <c r="B593" s="162">
        <v>11</v>
      </c>
      <c r="C593" s="162">
        <f t="shared" si="18"/>
        <v>2098.75</v>
      </c>
      <c r="D593" s="162" t="s">
        <v>161</v>
      </c>
      <c r="E593" s="168">
        <v>4738442365.441</v>
      </c>
      <c r="F593" s="168">
        <v>4738442.3654410001</v>
      </c>
      <c r="G593" s="168">
        <v>4738.4423654410002</v>
      </c>
      <c r="H593" s="168">
        <v>4.7384423654410002</v>
      </c>
      <c r="I593" s="164" t="e">
        <f>H593*$O$9/0.1*INDEX(Country_details!$N$9:N743,MATCH(Solar_data!A593,Country_details!$A$9:$A$154,0))</f>
        <v>#N/A</v>
      </c>
      <c r="J593" s="164">
        <f t="shared" si="19"/>
        <v>2098.75</v>
      </c>
      <c r="K593" s="164"/>
      <c r="L593" s="164"/>
      <c r="M593" s="164"/>
      <c r="N593" s="164"/>
      <c r="O593" s="166"/>
      <c r="P593" s="166"/>
      <c r="Q593" s="166"/>
      <c r="R593" s="166"/>
      <c r="S593" s="166"/>
      <c r="T593" s="166"/>
      <c r="U593" s="166"/>
      <c r="V593" s="166"/>
      <c r="W593" s="166"/>
      <c r="X593" s="166"/>
      <c r="Y593" s="166"/>
      <c r="Z593" s="166"/>
      <c r="AA593" s="166"/>
      <c r="AB593" s="166"/>
      <c r="AC593" s="166"/>
      <c r="AD593" s="166"/>
      <c r="AE593" s="166"/>
      <c r="AF593" s="166"/>
      <c r="AG593" s="166"/>
      <c r="AH593" s="166"/>
      <c r="AI593" s="166"/>
    </row>
    <row r="594" spans="1:35" x14ac:dyDescent="0.2">
      <c r="A594" s="167" t="s">
        <v>263</v>
      </c>
      <c r="B594" s="162">
        <v>8</v>
      </c>
      <c r="C594" s="162">
        <f t="shared" si="18"/>
        <v>1551.25</v>
      </c>
      <c r="D594" s="162" t="s">
        <v>164</v>
      </c>
      <c r="E594" s="168">
        <v>76547003.031900004</v>
      </c>
      <c r="F594" s="168">
        <v>76547.003031900007</v>
      </c>
      <c r="G594" s="168">
        <v>76.547003031900005</v>
      </c>
      <c r="H594" s="168">
        <v>7.6547003031900013E-2</v>
      </c>
      <c r="I594" s="164" t="e">
        <f>H594*$O$9/0.1*INDEX(Country_details!$N$9:N744,MATCH(Solar_data!A594,Country_details!$A$9:$A$154,0))</f>
        <v>#N/A</v>
      </c>
      <c r="J594" s="164">
        <f t="shared" si="19"/>
        <v>1551.25</v>
      </c>
      <c r="K594" s="164"/>
      <c r="L594" s="164"/>
      <c r="M594" s="164"/>
      <c r="N594" s="164"/>
      <c r="O594" s="166"/>
      <c r="P594" s="166"/>
      <c r="Q594" s="166"/>
      <c r="R594" s="166"/>
      <c r="S594" s="166"/>
      <c r="T594" s="166"/>
      <c r="U594" s="166"/>
      <c r="V594" s="166"/>
      <c r="W594" s="166"/>
      <c r="X594" s="166"/>
      <c r="Y594" s="166"/>
      <c r="Z594" s="166"/>
      <c r="AA594" s="166"/>
      <c r="AB594" s="166"/>
      <c r="AC594" s="166"/>
      <c r="AD594" s="166"/>
      <c r="AE594" s="166"/>
      <c r="AF594" s="166"/>
      <c r="AG594" s="166"/>
      <c r="AH594" s="166"/>
      <c r="AI594" s="166"/>
    </row>
    <row r="595" spans="1:35" x14ac:dyDescent="0.2">
      <c r="A595" s="167" t="s">
        <v>264</v>
      </c>
      <c r="B595" s="162">
        <v>8</v>
      </c>
      <c r="C595" s="162">
        <f t="shared" si="18"/>
        <v>1551.25</v>
      </c>
      <c r="D595" s="162" t="s">
        <v>164</v>
      </c>
      <c r="E595" s="168">
        <v>1701401636.2672</v>
      </c>
      <c r="F595" s="168">
        <v>1701401.6362672001</v>
      </c>
      <c r="G595" s="168">
        <v>1701.4016362672</v>
      </c>
      <c r="H595" s="168">
        <v>1.7014016362672</v>
      </c>
      <c r="I595" s="164" t="e">
        <f>H595*$O$9/0.1*INDEX(Country_details!$N$9:N745,MATCH(Solar_data!A595,Country_details!$A$9:$A$154,0))</f>
        <v>#N/A</v>
      </c>
      <c r="J595" s="164">
        <f t="shared" si="19"/>
        <v>1551.25</v>
      </c>
      <c r="K595" s="164"/>
      <c r="L595" s="164"/>
      <c r="M595" s="164"/>
      <c r="N595" s="164"/>
      <c r="O595" s="166"/>
      <c r="P595" s="166"/>
      <c r="Q595" s="166"/>
      <c r="R595" s="166"/>
      <c r="S595" s="166"/>
      <c r="T595" s="166"/>
      <c r="U595" s="166"/>
      <c r="V595" s="166"/>
      <c r="W595" s="166"/>
      <c r="X595" s="166"/>
      <c r="Y595" s="166"/>
      <c r="Z595" s="166"/>
      <c r="AA595" s="166"/>
      <c r="AB595" s="166"/>
      <c r="AC595" s="166"/>
      <c r="AD595" s="166"/>
      <c r="AE595" s="166"/>
      <c r="AF595" s="166"/>
      <c r="AG595" s="166"/>
      <c r="AH595" s="166"/>
      <c r="AI595" s="166"/>
    </row>
    <row r="596" spans="1:35" x14ac:dyDescent="0.2">
      <c r="A596" s="167" t="s">
        <v>120</v>
      </c>
      <c r="B596" s="162">
        <v>11</v>
      </c>
      <c r="C596" s="162">
        <f t="shared" si="18"/>
        <v>2098.75</v>
      </c>
      <c r="D596" s="162" t="s">
        <v>161</v>
      </c>
      <c r="E596" s="168">
        <v>37149574809.533501</v>
      </c>
      <c r="F596" s="168">
        <v>37149574.809533499</v>
      </c>
      <c r="G596" s="168">
        <v>37149.5748095335</v>
      </c>
      <c r="H596" s="168">
        <v>37.149574809533505</v>
      </c>
      <c r="I596" s="164">
        <f>H596*$O$9/0.1*INDEX(Country_details!$N$9:N746,MATCH(Solar_data!A596,Country_details!$A$9:$A$154,0))</f>
        <v>83.586543321450378</v>
      </c>
      <c r="J596" s="164">
        <f t="shared" si="19"/>
        <v>2098.75</v>
      </c>
      <c r="K596" s="164"/>
      <c r="L596" s="164"/>
      <c r="M596" s="164"/>
      <c r="N596" s="164"/>
      <c r="O596" s="166"/>
      <c r="P596" s="166"/>
      <c r="Q596" s="166"/>
      <c r="R596" s="166"/>
      <c r="S596" s="166"/>
      <c r="T596" s="166"/>
      <c r="U596" s="166"/>
      <c r="V596" s="166"/>
      <c r="W596" s="166"/>
      <c r="X596" s="166"/>
      <c r="Y596" s="166"/>
      <c r="Z596" s="166"/>
      <c r="AA596" s="166"/>
      <c r="AB596" s="166"/>
      <c r="AC596" s="166"/>
      <c r="AD596" s="166"/>
      <c r="AE596" s="166"/>
      <c r="AF596" s="166"/>
      <c r="AG596" s="166"/>
      <c r="AH596" s="166"/>
      <c r="AI596" s="166"/>
    </row>
    <row r="597" spans="1:35" x14ac:dyDescent="0.2">
      <c r="A597" s="167" t="s">
        <v>120</v>
      </c>
      <c r="B597" s="162">
        <v>12</v>
      </c>
      <c r="C597" s="162">
        <f t="shared" si="18"/>
        <v>2281.25</v>
      </c>
      <c r="D597" s="162" t="s">
        <v>162</v>
      </c>
      <c r="E597" s="168">
        <v>1967898307383.3118</v>
      </c>
      <c r="F597" s="168">
        <v>1967898307.3833117</v>
      </c>
      <c r="G597" s="168">
        <v>1967898.3073833117</v>
      </c>
      <c r="H597" s="168">
        <v>1967.8983073833117</v>
      </c>
      <c r="I597" s="164">
        <f>H597*$O$9/0.1*INDEX(Country_details!$N$9:N747,MATCH(Solar_data!A597,Country_details!$A$9:$A$154,0))</f>
        <v>4427.7711916124508</v>
      </c>
      <c r="J597" s="164">
        <f t="shared" si="19"/>
        <v>2281.25</v>
      </c>
      <c r="K597" s="164"/>
      <c r="L597" s="164"/>
      <c r="M597" s="164"/>
      <c r="N597" s="164"/>
      <c r="O597" s="166"/>
      <c r="P597" s="166"/>
      <c r="Q597" s="166"/>
      <c r="R597" s="166"/>
      <c r="S597" s="166"/>
      <c r="T597" s="166"/>
      <c r="U597" s="166"/>
      <c r="V597" s="166"/>
      <c r="W597" s="166"/>
      <c r="X597" s="166"/>
      <c r="Y597" s="166"/>
      <c r="Z597" s="166"/>
      <c r="AA597" s="166"/>
      <c r="AB597" s="166"/>
      <c r="AC597" s="166"/>
      <c r="AD597" s="166"/>
      <c r="AE597" s="166"/>
      <c r="AF597" s="166"/>
      <c r="AG597" s="166"/>
      <c r="AH597" s="166"/>
      <c r="AI597" s="166"/>
    </row>
    <row r="598" spans="1:35" x14ac:dyDescent="0.2">
      <c r="A598" s="167" t="s">
        <v>120</v>
      </c>
      <c r="B598" s="162">
        <v>13</v>
      </c>
      <c r="C598" s="162">
        <f t="shared" si="18"/>
        <v>2463.75</v>
      </c>
      <c r="D598" s="162" t="s">
        <v>163</v>
      </c>
      <c r="E598" s="168">
        <v>4935373842749.4512</v>
      </c>
      <c r="F598" s="168">
        <v>4935373842.7494516</v>
      </c>
      <c r="G598" s="168">
        <v>4935373.8427494513</v>
      </c>
      <c r="H598" s="168">
        <v>4935.3738427494518</v>
      </c>
      <c r="I598" s="164">
        <f>H598*$O$9/0.1*INDEX(Country_details!$N$9:N748,MATCH(Solar_data!A598,Country_details!$A$9:$A$154,0))</f>
        <v>11104.591146186265</v>
      </c>
      <c r="J598" s="164">
        <f t="shared" si="19"/>
        <v>2463.75</v>
      </c>
      <c r="K598" s="164"/>
      <c r="L598" s="164"/>
      <c r="M598" s="164"/>
      <c r="N598" s="164"/>
      <c r="O598" s="166"/>
      <c r="P598" s="166"/>
      <c r="Q598" s="166"/>
      <c r="R598" s="166"/>
      <c r="S598" s="166"/>
      <c r="T598" s="166"/>
      <c r="U598" s="166"/>
      <c r="V598" s="166"/>
      <c r="W598" s="166"/>
      <c r="X598" s="166"/>
      <c r="Y598" s="166"/>
      <c r="Z598" s="166"/>
      <c r="AA598" s="166"/>
      <c r="AB598" s="166"/>
      <c r="AC598" s="166"/>
      <c r="AD598" s="166"/>
      <c r="AE598" s="166"/>
      <c r="AF598" s="166"/>
      <c r="AG598" s="166"/>
      <c r="AH598" s="166"/>
      <c r="AI598" s="166"/>
    </row>
    <row r="599" spans="1:35" x14ac:dyDescent="0.2">
      <c r="A599" s="167" t="s">
        <v>120</v>
      </c>
      <c r="B599" s="162">
        <v>14</v>
      </c>
      <c r="C599" s="162">
        <f t="shared" si="18"/>
        <v>2646.25</v>
      </c>
      <c r="D599" s="162" t="s">
        <v>165</v>
      </c>
      <c r="E599" s="168">
        <v>26017890194.139999</v>
      </c>
      <c r="F599" s="168">
        <v>26017890.194139998</v>
      </c>
      <c r="G599" s="168">
        <v>26017.89019414</v>
      </c>
      <c r="H599" s="168">
        <v>26.017890194140001</v>
      </c>
      <c r="I599" s="164">
        <f>H599*$O$9/0.1*INDEX(Country_details!$N$9:N749,MATCH(Solar_data!A599,Country_details!$A$9:$A$154,0))</f>
        <v>58.540252936814994</v>
      </c>
      <c r="J599" s="164">
        <f t="shared" si="19"/>
        <v>2646.25</v>
      </c>
      <c r="K599" s="164"/>
      <c r="L599" s="164"/>
      <c r="M599" s="164"/>
      <c r="N599" s="164"/>
      <c r="O599" s="166"/>
      <c r="P599" s="166"/>
      <c r="Q599" s="166"/>
      <c r="R599" s="166"/>
      <c r="S599" s="166"/>
      <c r="T599" s="166"/>
      <c r="U599" s="166"/>
      <c r="V599" s="166"/>
      <c r="W599" s="166"/>
      <c r="X599" s="166"/>
      <c r="Y599" s="166"/>
      <c r="Z599" s="166"/>
      <c r="AA599" s="166"/>
      <c r="AB599" s="166"/>
      <c r="AC599" s="166"/>
      <c r="AD599" s="166"/>
      <c r="AE599" s="166"/>
      <c r="AF599" s="166"/>
      <c r="AG599" s="166"/>
      <c r="AH599" s="166"/>
      <c r="AI599" s="166"/>
    </row>
    <row r="600" spans="1:35" x14ac:dyDescent="0.2">
      <c r="A600" s="167" t="s">
        <v>121</v>
      </c>
      <c r="B600" s="162">
        <v>10</v>
      </c>
      <c r="C600" s="162">
        <f t="shared" si="18"/>
        <v>1916.25</v>
      </c>
      <c r="D600" s="162" t="s">
        <v>159</v>
      </c>
      <c r="E600" s="168">
        <v>26001152424.620998</v>
      </c>
      <c r="F600" s="168">
        <v>26001152.424620997</v>
      </c>
      <c r="G600" s="168">
        <v>26001.152424620999</v>
      </c>
      <c r="H600" s="168">
        <v>26.001152424621001</v>
      </c>
      <c r="I600" s="164">
        <f>H600*$O$9/0.1*INDEX(Country_details!$N$9:N750,MATCH(Solar_data!A600,Country_details!$A$9:$A$154,0))</f>
        <v>66.302938682783548</v>
      </c>
      <c r="J600" s="164">
        <f t="shared" si="19"/>
        <v>1916.25</v>
      </c>
      <c r="K600" s="164"/>
      <c r="L600" s="164"/>
      <c r="M600" s="164"/>
      <c r="N600" s="164"/>
      <c r="O600" s="166"/>
      <c r="P600" s="166"/>
      <c r="Q600" s="166"/>
      <c r="R600" s="166"/>
      <c r="S600" s="166"/>
      <c r="T600" s="166"/>
      <c r="U600" s="166"/>
      <c r="V600" s="166"/>
      <c r="W600" s="166"/>
      <c r="X600" s="166"/>
      <c r="Y600" s="166"/>
      <c r="Z600" s="166"/>
      <c r="AA600" s="166"/>
      <c r="AB600" s="166"/>
      <c r="AC600" s="166"/>
      <c r="AD600" s="166"/>
      <c r="AE600" s="166"/>
      <c r="AF600" s="166"/>
      <c r="AG600" s="166"/>
      <c r="AH600" s="166"/>
      <c r="AI600" s="166"/>
    </row>
    <row r="601" spans="1:35" x14ac:dyDescent="0.2">
      <c r="A601" s="167" t="s">
        <v>121</v>
      </c>
      <c r="B601" s="162">
        <v>11</v>
      </c>
      <c r="C601" s="162">
        <f t="shared" si="18"/>
        <v>2098.75</v>
      </c>
      <c r="D601" s="162" t="s">
        <v>161</v>
      </c>
      <c r="E601" s="168">
        <v>484482104748.87158</v>
      </c>
      <c r="F601" s="168">
        <v>484482104.74887156</v>
      </c>
      <c r="G601" s="168">
        <v>484482.10474887158</v>
      </c>
      <c r="H601" s="168">
        <v>484.48210474887162</v>
      </c>
      <c r="I601" s="164">
        <f>H601*$O$9/0.1*INDEX(Country_details!$N$9:N751,MATCH(Solar_data!A601,Country_details!$A$9:$A$154,0))</f>
        <v>1235.4293671096225</v>
      </c>
      <c r="J601" s="164">
        <f t="shared" si="19"/>
        <v>2098.75</v>
      </c>
      <c r="K601" s="164"/>
      <c r="L601" s="164"/>
      <c r="M601" s="164"/>
      <c r="N601" s="164"/>
      <c r="O601" s="166"/>
      <c r="P601" s="166"/>
      <c r="Q601" s="166"/>
      <c r="R601" s="166"/>
      <c r="S601" s="166"/>
      <c r="T601" s="166"/>
      <c r="U601" s="166"/>
      <c r="V601" s="166"/>
      <c r="W601" s="166"/>
      <c r="X601" s="166"/>
      <c r="Y601" s="166"/>
      <c r="Z601" s="166"/>
      <c r="AA601" s="166"/>
      <c r="AB601" s="166"/>
      <c r="AC601" s="166"/>
      <c r="AD601" s="166"/>
      <c r="AE601" s="166"/>
      <c r="AF601" s="166"/>
      <c r="AG601" s="166"/>
      <c r="AH601" s="166"/>
      <c r="AI601" s="166"/>
    </row>
    <row r="602" spans="1:35" x14ac:dyDescent="0.2">
      <c r="A602" s="167" t="s">
        <v>121</v>
      </c>
      <c r="B602" s="162">
        <v>12</v>
      </c>
      <c r="C602" s="162">
        <f t="shared" si="18"/>
        <v>2281.25</v>
      </c>
      <c r="D602" s="162" t="s">
        <v>162</v>
      </c>
      <c r="E602" s="168">
        <v>115327933563.80161</v>
      </c>
      <c r="F602" s="168">
        <v>115327933.5638016</v>
      </c>
      <c r="G602" s="168">
        <v>115327.93356380161</v>
      </c>
      <c r="H602" s="168">
        <v>115.32793356380161</v>
      </c>
      <c r="I602" s="164">
        <f>H602*$O$9/0.1*INDEX(Country_details!$N$9:N752,MATCH(Solar_data!A602,Country_details!$A$9:$A$154,0))</f>
        <v>294.08623058769405</v>
      </c>
      <c r="J602" s="164">
        <f t="shared" si="19"/>
        <v>2281.25</v>
      </c>
      <c r="K602" s="164"/>
      <c r="L602" s="164"/>
      <c r="M602" s="164"/>
      <c r="N602" s="164"/>
      <c r="O602" s="166"/>
      <c r="P602" s="166"/>
      <c r="Q602" s="166"/>
      <c r="R602" s="166"/>
      <c r="S602" s="166"/>
      <c r="T602" s="166"/>
      <c r="U602" s="166"/>
      <c r="V602" s="166"/>
      <c r="W602" s="166"/>
      <c r="X602" s="166"/>
      <c r="Y602" s="166"/>
      <c r="Z602" s="166"/>
      <c r="AA602" s="166"/>
      <c r="AB602" s="166"/>
      <c r="AC602" s="166"/>
      <c r="AD602" s="166"/>
      <c r="AE602" s="166"/>
      <c r="AF602" s="166"/>
      <c r="AG602" s="166"/>
      <c r="AH602" s="166"/>
      <c r="AI602" s="166"/>
    </row>
    <row r="603" spans="1:35" x14ac:dyDescent="0.2">
      <c r="A603" s="167" t="s">
        <v>122</v>
      </c>
      <c r="B603" s="162">
        <v>7</v>
      </c>
      <c r="C603" s="162">
        <f t="shared" si="18"/>
        <v>1368.75</v>
      </c>
      <c r="D603" s="162" t="s">
        <v>174</v>
      </c>
      <c r="E603" s="168">
        <v>17238449697.318501</v>
      </c>
      <c r="F603" s="168">
        <v>17238449.697318502</v>
      </c>
      <c r="G603" s="168">
        <v>17238.449697318501</v>
      </c>
      <c r="H603" s="168">
        <v>17.238449697318501</v>
      </c>
      <c r="I603" s="164">
        <f>H603*$O$9/0.1*INDEX(Country_details!$N$9:N753,MATCH(Solar_data!A603,Country_details!$A$9:$A$154,0))</f>
        <v>46.543814182759952</v>
      </c>
      <c r="J603" s="164">
        <f t="shared" si="19"/>
        <v>1368.75</v>
      </c>
      <c r="K603" s="164"/>
      <c r="L603" s="164"/>
      <c r="M603" s="164"/>
      <c r="N603" s="164"/>
      <c r="O603" s="166"/>
      <c r="P603" s="166"/>
      <c r="Q603" s="166"/>
      <c r="R603" s="166"/>
      <c r="S603" s="166"/>
      <c r="T603" s="166"/>
      <c r="U603" s="166"/>
      <c r="V603" s="166"/>
      <c r="W603" s="166"/>
      <c r="X603" s="166"/>
      <c r="Y603" s="166"/>
      <c r="Z603" s="166"/>
      <c r="AA603" s="166"/>
      <c r="AB603" s="166"/>
      <c r="AC603" s="166"/>
      <c r="AD603" s="166"/>
      <c r="AE603" s="166"/>
      <c r="AF603" s="166"/>
      <c r="AG603" s="166"/>
      <c r="AH603" s="166"/>
      <c r="AI603" s="166"/>
    </row>
    <row r="604" spans="1:35" x14ac:dyDescent="0.2">
      <c r="A604" s="167" t="s">
        <v>122</v>
      </c>
      <c r="B604" s="162">
        <v>8</v>
      </c>
      <c r="C604" s="162">
        <f t="shared" si="18"/>
        <v>1551.25</v>
      </c>
      <c r="D604" s="162" t="s">
        <v>164</v>
      </c>
      <c r="E604" s="168">
        <v>177142335958.2222</v>
      </c>
      <c r="F604" s="168">
        <v>177142335.95822221</v>
      </c>
      <c r="G604" s="168">
        <v>177142.33595822222</v>
      </c>
      <c r="H604" s="168">
        <v>177.14233595822222</v>
      </c>
      <c r="I604" s="164">
        <f>H604*$O$9/0.1*INDEX(Country_details!$N$9:N754,MATCH(Solar_data!A604,Country_details!$A$9:$A$154,0))</f>
        <v>478.28430708719998</v>
      </c>
      <c r="J604" s="164">
        <f t="shared" si="19"/>
        <v>1551.25</v>
      </c>
      <c r="K604" s="164"/>
      <c r="L604" s="164"/>
      <c r="M604" s="164"/>
      <c r="N604" s="164"/>
      <c r="O604" s="166"/>
      <c r="P604" s="166"/>
      <c r="Q604" s="166"/>
      <c r="R604" s="166"/>
      <c r="S604" s="166"/>
      <c r="T604" s="166"/>
      <c r="U604" s="166"/>
      <c r="V604" s="166"/>
      <c r="W604" s="166"/>
      <c r="X604" s="166"/>
      <c r="Y604" s="166"/>
      <c r="Z604" s="166"/>
      <c r="AA604" s="166"/>
      <c r="AB604" s="166"/>
      <c r="AC604" s="166"/>
      <c r="AD604" s="166"/>
      <c r="AE604" s="166"/>
      <c r="AF604" s="166"/>
      <c r="AG604" s="166"/>
      <c r="AH604" s="166"/>
      <c r="AI604" s="166"/>
    </row>
    <row r="605" spans="1:35" x14ac:dyDescent="0.2">
      <c r="A605" s="167" t="s">
        <v>122</v>
      </c>
      <c r="B605" s="162">
        <v>9</v>
      </c>
      <c r="C605" s="162">
        <f t="shared" si="18"/>
        <v>1733.75</v>
      </c>
      <c r="D605" s="162" t="s">
        <v>157</v>
      </c>
      <c r="E605" s="168">
        <v>10126295214.5301</v>
      </c>
      <c r="F605" s="168">
        <v>10126295.214530099</v>
      </c>
      <c r="G605" s="168">
        <v>10126.295214530099</v>
      </c>
      <c r="H605" s="168">
        <v>10.126295214530099</v>
      </c>
      <c r="I605" s="164">
        <f>H605*$O$9/0.1*INDEX(Country_details!$N$9:N755,MATCH(Solar_data!A605,Country_details!$A$9:$A$154,0))</f>
        <v>27.340997079231268</v>
      </c>
      <c r="J605" s="164">
        <f t="shared" si="19"/>
        <v>1733.75</v>
      </c>
      <c r="K605" s="164"/>
      <c r="L605" s="164"/>
      <c r="M605" s="164"/>
      <c r="N605" s="164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  <c r="Y605" s="166"/>
      <c r="Z605" s="166"/>
      <c r="AA605" s="166"/>
      <c r="AB605" s="166"/>
      <c r="AC605" s="166"/>
      <c r="AD605" s="166"/>
      <c r="AE605" s="166"/>
      <c r="AF605" s="166"/>
      <c r="AG605" s="166"/>
      <c r="AH605" s="166"/>
      <c r="AI605" s="166"/>
    </row>
    <row r="606" spans="1:35" x14ac:dyDescent="0.2">
      <c r="A606" s="167" t="s">
        <v>123</v>
      </c>
      <c r="B606" s="162">
        <v>10</v>
      </c>
      <c r="C606" s="162">
        <f t="shared" si="18"/>
        <v>1916.25</v>
      </c>
      <c r="D606" s="162" t="s">
        <v>159</v>
      </c>
      <c r="E606" s="168">
        <v>613563093.54849994</v>
      </c>
      <c r="F606" s="168">
        <v>613563.09354849998</v>
      </c>
      <c r="G606" s="168">
        <v>613.56309354849998</v>
      </c>
      <c r="H606" s="168">
        <v>0.61356309354850003</v>
      </c>
      <c r="I606" s="164">
        <f>H606*$O$9/0.1*INDEX(Country_details!$N$9:N756,MATCH(Solar_data!A606,Country_details!$A$9:$A$154,0))</f>
        <v>1.65662035258095</v>
      </c>
      <c r="J606" s="164">
        <f t="shared" si="19"/>
        <v>1916.25</v>
      </c>
      <c r="K606" s="164"/>
      <c r="L606" s="164"/>
      <c r="M606" s="164"/>
      <c r="N606" s="164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  <c r="Y606" s="166"/>
      <c r="Z606" s="166"/>
      <c r="AA606" s="166"/>
      <c r="AB606" s="166"/>
      <c r="AC606" s="166"/>
      <c r="AD606" s="166"/>
      <c r="AE606" s="166"/>
      <c r="AF606" s="166"/>
      <c r="AG606" s="166"/>
      <c r="AH606" s="166"/>
      <c r="AI606" s="166"/>
    </row>
    <row r="607" spans="1:35" x14ac:dyDescent="0.2">
      <c r="A607" s="167" t="s">
        <v>124</v>
      </c>
      <c r="B607" s="162">
        <v>9</v>
      </c>
      <c r="C607" s="162">
        <f t="shared" si="18"/>
        <v>1733.75</v>
      </c>
      <c r="D607" s="162" t="s">
        <v>157</v>
      </c>
      <c r="E607" s="168">
        <v>118843987104.16969</v>
      </c>
      <c r="F607" s="168">
        <v>118843987.1041697</v>
      </c>
      <c r="G607" s="168">
        <v>118843.9871041697</v>
      </c>
      <c r="H607" s="168">
        <v>118.84398710416971</v>
      </c>
      <c r="I607" s="164">
        <f>H607*$O$9/0.1*INDEX(Country_details!$N$9:N757,MATCH(Solar_data!A607,Country_details!$A$9:$A$154,0))</f>
        <v>320.87876518125819</v>
      </c>
      <c r="J607" s="164">
        <f t="shared" si="19"/>
        <v>1733.75</v>
      </c>
      <c r="K607" s="164"/>
      <c r="L607" s="164"/>
      <c r="M607" s="164"/>
      <c r="N607" s="164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  <c r="Y607" s="166"/>
      <c r="Z607" s="166"/>
      <c r="AA607" s="166"/>
      <c r="AB607" s="166"/>
      <c r="AC607" s="166"/>
      <c r="AD607" s="166"/>
      <c r="AE607" s="166"/>
      <c r="AF607" s="166"/>
      <c r="AG607" s="166"/>
      <c r="AH607" s="166"/>
      <c r="AI607" s="166"/>
    </row>
    <row r="608" spans="1:35" x14ac:dyDescent="0.2">
      <c r="A608" s="167" t="s">
        <v>124</v>
      </c>
      <c r="B608" s="162">
        <v>10</v>
      </c>
      <c r="C608" s="162">
        <f t="shared" si="18"/>
        <v>1916.25</v>
      </c>
      <c r="D608" s="162" t="s">
        <v>159</v>
      </c>
      <c r="E608" s="168">
        <v>78285602144.708694</v>
      </c>
      <c r="F608" s="168">
        <v>78285602.144708693</v>
      </c>
      <c r="G608" s="168">
        <v>78285.602144708697</v>
      </c>
      <c r="H608" s="168">
        <v>78.285602144708704</v>
      </c>
      <c r="I608" s="164">
        <f>H608*$O$9/0.1*INDEX(Country_details!$N$9:N758,MATCH(Solar_data!A608,Country_details!$A$9:$A$154,0))</f>
        <v>211.37112579071351</v>
      </c>
      <c r="J608" s="164">
        <f t="shared" si="19"/>
        <v>1916.25</v>
      </c>
      <c r="K608" s="164"/>
      <c r="L608" s="164"/>
      <c r="M608" s="164"/>
      <c r="N608" s="164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  <c r="Y608" s="166"/>
      <c r="Z608" s="166"/>
      <c r="AA608" s="166"/>
      <c r="AB608" s="166"/>
      <c r="AC608" s="166"/>
      <c r="AD608" s="166"/>
      <c r="AE608" s="166"/>
      <c r="AF608" s="166"/>
      <c r="AG608" s="166"/>
      <c r="AH608" s="166"/>
      <c r="AI608" s="166"/>
    </row>
    <row r="609" spans="1:35" x14ac:dyDescent="0.2">
      <c r="A609" s="167" t="s">
        <v>265</v>
      </c>
      <c r="B609" s="162">
        <v>9</v>
      </c>
      <c r="C609" s="162">
        <f t="shared" si="18"/>
        <v>1733.75</v>
      </c>
      <c r="D609" s="162" t="s">
        <v>157</v>
      </c>
      <c r="E609" s="168">
        <v>979641023.59800005</v>
      </c>
      <c r="F609" s="168">
        <v>979641.02359800006</v>
      </c>
      <c r="G609" s="168">
        <v>979.64102359800006</v>
      </c>
      <c r="H609" s="168">
        <v>0.97964102359800009</v>
      </c>
      <c r="I609" s="164" t="e">
        <f>H609*$O$9/0.1*INDEX(Country_details!$N$9:N759,MATCH(Solar_data!A609,Country_details!$A$9:$A$154,0))</f>
        <v>#N/A</v>
      </c>
      <c r="J609" s="164">
        <f t="shared" si="19"/>
        <v>1733.75</v>
      </c>
      <c r="K609" s="164"/>
      <c r="L609" s="164"/>
      <c r="M609" s="164"/>
      <c r="N609" s="164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  <c r="Y609" s="166"/>
      <c r="Z609" s="166"/>
      <c r="AA609" s="166"/>
      <c r="AB609" s="166"/>
      <c r="AC609" s="166"/>
      <c r="AD609" s="166"/>
      <c r="AE609" s="166"/>
      <c r="AF609" s="166"/>
      <c r="AG609" s="166"/>
      <c r="AH609" s="166"/>
      <c r="AI609" s="166"/>
    </row>
    <row r="610" spans="1:35" x14ac:dyDescent="0.2">
      <c r="A610" s="167" t="s">
        <v>266</v>
      </c>
      <c r="B610" s="162">
        <v>6</v>
      </c>
      <c r="C610" s="162">
        <f t="shared" si="18"/>
        <v>1186.25</v>
      </c>
      <c r="D610" s="162" t="s">
        <v>173</v>
      </c>
      <c r="E610" s="168">
        <v>41496084096.8741</v>
      </c>
      <c r="F610" s="168">
        <v>41496084.096874103</v>
      </c>
      <c r="G610" s="168">
        <v>41496.084096874103</v>
      </c>
      <c r="H610" s="168">
        <v>41.496084096874107</v>
      </c>
      <c r="I610" s="164" t="e">
        <f>H610*$O$9/0.1*INDEX(Country_details!$N$9:N760,MATCH(Solar_data!A610,Country_details!$A$9:$A$154,0))</f>
        <v>#N/A</v>
      </c>
      <c r="J610" s="164">
        <f t="shared" si="19"/>
        <v>1186.25</v>
      </c>
      <c r="K610" s="164"/>
      <c r="L610" s="164"/>
      <c r="M610" s="164"/>
      <c r="N610" s="164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  <c r="Y610" s="166"/>
      <c r="Z610" s="166"/>
      <c r="AA610" s="166"/>
      <c r="AB610" s="166"/>
      <c r="AC610" s="166"/>
      <c r="AD610" s="166"/>
      <c r="AE610" s="166"/>
      <c r="AF610" s="166"/>
      <c r="AG610" s="166"/>
      <c r="AH610" s="166"/>
      <c r="AI610" s="166"/>
    </row>
    <row r="611" spans="1:35" x14ac:dyDescent="0.2">
      <c r="A611" s="167" t="s">
        <v>266</v>
      </c>
      <c r="B611" s="162">
        <v>7</v>
      </c>
      <c r="C611" s="162">
        <f t="shared" si="18"/>
        <v>1368.75</v>
      </c>
      <c r="D611" s="162" t="s">
        <v>174</v>
      </c>
      <c r="E611" s="168">
        <v>52115988500.904503</v>
      </c>
      <c r="F611" s="168">
        <v>52115988.5009045</v>
      </c>
      <c r="G611" s="168">
        <v>52115.988500904503</v>
      </c>
      <c r="H611" s="168">
        <v>52.115988500904507</v>
      </c>
      <c r="I611" s="164" t="e">
        <f>H611*$O$9/0.1*INDEX(Country_details!$N$9:N761,MATCH(Solar_data!A611,Country_details!$A$9:$A$154,0))</f>
        <v>#N/A</v>
      </c>
      <c r="J611" s="164">
        <f t="shared" si="19"/>
        <v>1368.75</v>
      </c>
      <c r="K611" s="164"/>
      <c r="L611" s="164"/>
      <c r="M611" s="164"/>
      <c r="N611" s="164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  <c r="Y611" s="166"/>
      <c r="Z611" s="166"/>
      <c r="AA611" s="166"/>
      <c r="AB611" s="166"/>
      <c r="AC611" s="166"/>
      <c r="AD611" s="166"/>
      <c r="AE611" s="166"/>
      <c r="AF611" s="166"/>
      <c r="AG611" s="166"/>
      <c r="AH611" s="166"/>
      <c r="AI611" s="166"/>
    </row>
    <row r="612" spans="1:35" x14ac:dyDescent="0.2">
      <c r="A612" s="167" t="s">
        <v>267</v>
      </c>
      <c r="B612" s="162">
        <v>7</v>
      </c>
      <c r="C612" s="162">
        <f t="shared" si="18"/>
        <v>1368.75</v>
      </c>
      <c r="D612" s="162" t="s">
        <v>174</v>
      </c>
      <c r="E612" s="168">
        <v>41370842921.003098</v>
      </c>
      <c r="F612" s="168">
        <v>41370842.921003096</v>
      </c>
      <c r="G612" s="168">
        <v>41370.842921003095</v>
      </c>
      <c r="H612" s="168">
        <v>41.370842921003096</v>
      </c>
      <c r="I612" s="164" t="e">
        <f>H612*$O$9/0.1*INDEX(Country_details!$N$9:N762,MATCH(Solar_data!A612,Country_details!$A$9:$A$154,0))</f>
        <v>#N/A</v>
      </c>
      <c r="J612" s="164">
        <f t="shared" si="19"/>
        <v>1368.75</v>
      </c>
      <c r="K612" s="164"/>
      <c r="L612" s="164"/>
      <c r="M612" s="164"/>
      <c r="N612" s="164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  <c r="Y612" s="166"/>
      <c r="Z612" s="166"/>
      <c r="AA612" s="166"/>
      <c r="AB612" s="166"/>
      <c r="AC612" s="166"/>
      <c r="AD612" s="166"/>
      <c r="AE612" s="166"/>
      <c r="AF612" s="166"/>
      <c r="AG612" s="166"/>
      <c r="AH612" s="166"/>
      <c r="AI612" s="166"/>
    </row>
    <row r="613" spans="1:35" x14ac:dyDescent="0.2">
      <c r="A613" s="167" t="s">
        <v>267</v>
      </c>
      <c r="B613" s="162">
        <v>8</v>
      </c>
      <c r="C613" s="162">
        <f t="shared" si="18"/>
        <v>1551.25</v>
      </c>
      <c r="D613" s="162" t="s">
        <v>164</v>
      </c>
      <c r="E613" s="168">
        <v>609141928.65289998</v>
      </c>
      <c r="F613" s="168">
        <v>609141.92865290004</v>
      </c>
      <c r="G613" s="168">
        <v>609.14192865290011</v>
      </c>
      <c r="H613" s="168">
        <v>0.60914192865290007</v>
      </c>
      <c r="I613" s="164" t="e">
        <f>H613*$O$9/0.1*INDEX(Country_details!$N$9:N763,MATCH(Solar_data!A613,Country_details!$A$9:$A$154,0))</f>
        <v>#N/A</v>
      </c>
      <c r="J613" s="164">
        <f t="shared" si="19"/>
        <v>1551.25</v>
      </c>
      <c r="K613" s="164"/>
      <c r="L613" s="164"/>
      <c r="M613" s="164"/>
      <c r="N613" s="164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  <c r="Y613" s="166"/>
      <c r="Z613" s="166"/>
      <c r="AA613" s="166"/>
      <c r="AB613" s="166"/>
      <c r="AC613" s="166"/>
      <c r="AD613" s="166"/>
      <c r="AE613" s="166"/>
      <c r="AF613" s="166"/>
      <c r="AG613" s="166"/>
      <c r="AH613" s="166"/>
      <c r="AI613" s="166"/>
    </row>
    <row r="614" spans="1:35" x14ac:dyDescent="0.2">
      <c r="A614" s="167" t="s">
        <v>268</v>
      </c>
      <c r="B614" s="162">
        <v>10</v>
      </c>
      <c r="C614" s="162">
        <f t="shared" si="18"/>
        <v>1916.25</v>
      </c>
      <c r="D614" s="162" t="s">
        <v>159</v>
      </c>
      <c r="E614" s="168">
        <v>35935961774.403</v>
      </c>
      <c r="F614" s="168">
        <v>35935961.774402998</v>
      </c>
      <c r="G614" s="168">
        <v>35935.961774402997</v>
      </c>
      <c r="H614" s="168">
        <v>35.935961774402998</v>
      </c>
      <c r="I614" s="164" t="e">
        <f>H614*$O$9/0.1*INDEX(Country_details!$N$9:N764,MATCH(Solar_data!A614,Country_details!$A$9:$A$154,0))</f>
        <v>#N/A</v>
      </c>
      <c r="J614" s="164">
        <f t="shared" si="19"/>
        <v>1916.25</v>
      </c>
      <c r="K614" s="164"/>
      <c r="L614" s="164"/>
      <c r="M614" s="164"/>
      <c r="N614" s="164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  <c r="Y614" s="166"/>
      <c r="Z614" s="166"/>
      <c r="AA614" s="166"/>
      <c r="AB614" s="166"/>
      <c r="AC614" s="166"/>
      <c r="AD614" s="166"/>
      <c r="AE614" s="166"/>
      <c r="AF614" s="166"/>
      <c r="AG614" s="166"/>
      <c r="AH614" s="166"/>
      <c r="AI614" s="166"/>
    </row>
    <row r="615" spans="1:35" x14ac:dyDescent="0.2">
      <c r="A615" s="167" t="s">
        <v>268</v>
      </c>
      <c r="B615" s="162">
        <v>11</v>
      </c>
      <c r="C615" s="162">
        <f t="shared" si="18"/>
        <v>2098.75</v>
      </c>
      <c r="D615" s="162" t="s">
        <v>161</v>
      </c>
      <c r="E615" s="168">
        <v>27171689318.1437</v>
      </c>
      <c r="F615" s="168">
        <v>27171689.318143699</v>
      </c>
      <c r="G615" s="168">
        <v>27171.689318143701</v>
      </c>
      <c r="H615" s="168">
        <v>27.171689318143702</v>
      </c>
      <c r="I615" s="164" t="e">
        <f>H615*$O$9/0.1*INDEX(Country_details!$N$9:N765,MATCH(Solar_data!A615,Country_details!$A$9:$A$154,0))</f>
        <v>#N/A</v>
      </c>
      <c r="J615" s="164">
        <f t="shared" si="19"/>
        <v>2098.75</v>
      </c>
      <c r="K615" s="164"/>
      <c r="L615" s="164"/>
      <c r="M615" s="164"/>
      <c r="N615" s="164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  <c r="Y615" s="166"/>
      <c r="Z615" s="166"/>
      <c r="AA615" s="166"/>
      <c r="AB615" s="166"/>
      <c r="AC615" s="166"/>
      <c r="AD615" s="166"/>
      <c r="AE615" s="166"/>
      <c r="AF615" s="166"/>
      <c r="AG615" s="166"/>
      <c r="AH615" s="166"/>
      <c r="AI615" s="166"/>
    </row>
    <row r="616" spans="1:35" x14ac:dyDescent="0.2">
      <c r="A616" s="167" t="s">
        <v>125</v>
      </c>
      <c r="B616" s="162">
        <v>10</v>
      </c>
      <c r="C616" s="162">
        <f t="shared" si="18"/>
        <v>1916.25</v>
      </c>
      <c r="D616" s="162" t="s">
        <v>159</v>
      </c>
      <c r="E616" s="168">
        <v>2396020021.4113002</v>
      </c>
      <c r="F616" s="168">
        <v>2396020.0214113002</v>
      </c>
      <c r="G616" s="168">
        <v>2396.0200214113001</v>
      </c>
      <c r="H616" s="168">
        <v>2.3960200214113003</v>
      </c>
      <c r="I616" s="164">
        <f>H616*$O$9/0.1*INDEX(Country_details!$N$9:N766,MATCH(Solar_data!A616,Country_details!$A$9:$A$154,0))</f>
        <v>5.7504480513871208</v>
      </c>
      <c r="J616" s="164">
        <f t="shared" si="19"/>
        <v>1916.25</v>
      </c>
      <c r="K616" s="164"/>
      <c r="L616" s="164"/>
      <c r="M616" s="164"/>
      <c r="N616" s="164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  <c r="Y616" s="166"/>
      <c r="Z616" s="166"/>
      <c r="AA616" s="166"/>
      <c r="AB616" s="166"/>
      <c r="AC616" s="166"/>
      <c r="AD616" s="166"/>
      <c r="AE616" s="166"/>
      <c r="AF616" s="166"/>
      <c r="AG616" s="166"/>
      <c r="AH616" s="166"/>
      <c r="AI616" s="166"/>
    </row>
    <row r="617" spans="1:35" x14ac:dyDescent="0.2">
      <c r="A617" s="167" t="s">
        <v>125</v>
      </c>
      <c r="B617" s="162">
        <v>11</v>
      </c>
      <c r="C617" s="162">
        <f t="shared" si="18"/>
        <v>2098.75</v>
      </c>
      <c r="D617" s="162" t="s">
        <v>161</v>
      </c>
      <c r="E617" s="168">
        <v>676325026226.33276</v>
      </c>
      <c r="F617" s="168">
        <v>676325026.22633278</v>
      </c>
      <c r="G617" s="168">
        <v>676325.02622633276</v>
      </c>
      <c r="H617" s="168">
        <v>676.32502622633274</v>
      </c>
      <c r="I617" s="164">
        <f>H617*$O$9/0.1*INDEX(Country_details!$N$9:N767,MATCH(Solar_data!A617,Country_details!$A$9:$A$154,0))</f>
        <v>1623.1800629431984</v>
      </c>
      <c r="J617" s="164">
        <f t="shared" si="19"/>
        <v>2098.75</v>
      </c>
      <c r="K617" s="164"/>
      <c r="L617" s="164"/>
      <c r="M617" s="164"/>
      <c r="N617" s="164"/>
      <c r="O617" s="166"/>
      <c r="P617" s="166"/>
      <c r="Q617" s="166"/>
      <c r="R617" s="166"/>
      <c r="S617" s="166"/>
      <c r="T617" s="166"/>
      <c r="U617" s="166"/>
      <c r="V617" s="166"/>
      <c r="W617" s="166"/>
      <c r="X617" s="166"/>
      <c r="Y617" s="166"/>
      <c r="Z617" s="166"/>
      <c r="AA617" s="166"/>
      <c r="AB617" s="166"/>
      <c r="AC617" s="166"/>
      <c r="AD617" s="166"/>
      <c r="AE617" s="166"/>
      <c r="AF617" s="166"/>
      <c r="AG617" s="166"/>
      <c r="AH617" s="166"/>
      <c r="AI617" s="166"/>
    </row>
    <row r="618" spans="1:35" x14ac:dyDescent="0.2">
      <c r="A618" s="167" t="s">
        <v>125</v>
      </c>
      <c r="B618" s="162">
        <v>12</v>
      </c>
      <c r="C618" s="162">
        <f t="shared" si="18"/>
        <v>2281.25</v>
      </c>
      <c r="D618" s="162" t="s">
        <v>162</v>
      </c>
      <c r="E618" s="168">
        <v>821753049795.48743</v>
      </c>
      <c r="F618" s="168">
        <v>821753049.7954874</v>
      </c>
      <c r="G618" s="168">
        <v>821753.04979548743</v>
      </c>
      <c r="H618" s="168">
        <v>821.75304979548741</v>
      </c>
      <c r="I618" s="164">
        <f>H618*$O$9/0.1*INDEX(Country_details!$N$9:N768,MATCH(Solar_data!A618,Country_details!$A$9:$A$154,0))</f>
        <v>1972.2073195091698</v>
      </c>
      <c r="J618" s="164">
        <f t="shared" si="19"/>
        <v>2281.25</v>
      </c>
      <c r="K618" s="164"/>
      <c r="L618" s="164"/>
      <c r="M618" s="164"/>
      <c r="N618" s="164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  <c r="Y618" s="166"/>
      <c r="Z618" s="166"/>
      <c r="AA618" s="166"/>
      <c r="AB618" s="166"/>
      <c r="AC618" s="166"/>
      <c r="AD618" s="166"/>
      <c r="AE618" s="166"/>
      <c r="AF618" s="166"/>
      <c r="AG618" s="166"/>
      <c r="AH618" s="166"/>
      <c r="AI618" s="166"/>
    </row>
    <row r="619" spans="1:35" x14ac:dyDescent="0.2">
      <c r="A619" s="167" t="s">
        <v>125</v>
      </c>
      <c r="B619" s="162">
        <v>13</v>
      </c>
      <c r="C619" s="162">
        <f t="shared" si="18"/>
        <v>2463.75</v>
      </c>
      <c r="D619" s="162" t="s">
        <v>163</v>
      </c>
      <c r="E619" s="168">
        <v>663516973776.56433</v>
      </c>
      <c r="F619" s="168">
        <v>663516973.77656436</v>
      </c>
      <c r="G619" s="168">
        <v>663516.97377656435</v>
      </c>
      <c r="H619" s="168">
        <v>663.51697377656433</v>
      </c>
      <c r="I619" s="164">
        <f>H619*$O$9/0.1*INDEX(Country_details!$N$9:N769,MATCH(Solar_data!A619,Country_details!$A$9:$A$154,0))</f>
        <v>1592.4407370637543</v>
      </c>
      <c r="J619" s="164">
        <f t="shared" si="19"/>
        <v>2463.75</v>
      </c>
      <c r="K619" s="164"/>
      <c r="L619" s="164"/>
      <c r="M619" s="164"/>
      <c r="N619" s="164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  <c r="Y619" s="166"/>
      <c r="Z619" s="166"/>
      <c r="AA619" s="166"/>
      <c r="AB619" s="166"/>
      <c r="AC619" s="166"/>
      <c r="AD619" s="166"/>
      <c r="AE619" s="166"/>
      <c r="AF619" s="166"/>
      <c r="AG619" s="166"/>
      <c r="AH619" s="166"/>
      <c r="AI619" s="166"/>
    </row>
    <row r="620" spans="1:35" x14ac:dyDescent="0.2">
      <c r="A620" s="167" t="s">
        <v>126</v>
      </c>
      <c r="B620" s="162">
        <v>6</v>
      </c>
      <c r="C620" s="162">
        <f t="shared" si="18"/>
        <v>1186.25</v>
      </c>
      <c r="D620" s="162" t="s">
        <v>173</v>
      </c>
      <c r="E620" s="168">
        <v>234523960.61300001</v>
      </c>
      <c r="F620" s="168">
        <v>234523.960613</v>
      </c>
      <c r="G620" s="168">
        <v>234.52396061300001</v>
      </c>
      <c r="H620" s="168">
        <v>0.23452396061300002</v>
      </c>
      <c r="I620" s="164">
        <f>H620*$O$9/0.1*INDEX(Country_details!$N$9:N770,MATCH(Solar_data!A620,Country_details!$A$9:$A$154,0))</f>
        <v>0.56285750547120006</v>
      </c>
      <c r="J620" s="164">
        <f t="shared" si="19"/>
        <v>1186.25</v>
      </c>
      <c r="K620" s="164"/>
      <c r="L620" s="164"/>
      <c r="M620" s="164"/>
      <c r="N620" s="164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  <c r="Y620" s="166"/>
      <c r="Z620" s="166"/>
      <c r="AA620" s="166"/>
      <c r="AB620" s="166"/>
      <c r="AC620" s="166"/>
      <c r="AD620" s="166"/>
      <c r="AE620" s="166"/>
      <c r="AF620" s="166"/>
      <c r="AG620" s="166"/>
      <c r="AH620" s="166"/>
      <c r="AI620" s="166"/>
    </row>
    <row r="621" spans="1:35" x14ac:dyDescent="0.2">
      <c r="A621" s="167" t="s">
        <v>126</v>
      </c>
      <c r="B621" s="162">
        <v>9</v>
      </c>
      <c r="C621" s="162">
        <f t="shared" si="18"/>
        <v>1733.75</v>
      </c>
      <c r="D621" s="162" t="s">
        <v>157</v>
      </c>
      <c r="E621" s="168">
        <v>4045545389.6561999</v>
      </c>
      <c r="F621" s="168">
        <v>4045545.3896562001</v>
      </c>
      <c r="G621" s="168">
        <v>4045.5453896562003</v>
      </c>
      <c r="H621" s="168">
        <v>4.0455453896562004</v>
      </c>
      <c r="I621" s="164">
        <f>H621*$O$9/0.1*INDEX(Country_details!$N$9:N771,MATCH(Solar_data!A621,Country_details!$A$9:$A$154,0))</f>
        <v>9.7093089351748798</v>
      </c>
      <c r="J621" s="164">
        <f t="shared" si="19"/>
        <v>1733.75</v>
      </c>
      <c r="K621" s="164"/>
      <c r="L621" s="164"/>
      <c r="M621" s="164"/>
      <c r="N621" s="164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  <c r="Y621" s="166"/>
      <c r="Z621" s="166"/>
      <c r="AA621" s="166"/>
      <c r="AB621" s="166"/>
      <c r="AC621" s="166"/>
      <c r="AD621" s="166"/>
      <c r="AE621" s="166"/>
      <c r="AF621" s="166"/>
      <c r="AG621" s="166"/>
      <c r="AH621" s="166"/>
      <c r="AI621" s="166"/>
    </row>
    <row r="622" spans="1:35" x14ac:dyDescent="0.2">
      <c r="A622" s="167" t="s">
        <v>126</v>
      </c>
      <c r="B622" s="162">
        <v>10</v>
      </c>
      <c r="C622" s="162">
        <f t="shared" si="18"/>
        <v>1916.25</v>
      </c>
      <c r="D622" s="162" t="s">
        <v>159</v>
      </c>
      <c r="E622" s="168">
        <v>126940276186.5981</v>
      </c>
      <c r="F622" s="168">
        <v>126940276.18659811</v>
      </c>
      <c r="G622" s="168">
        <v>126940.27618659812</v>
      </c>
      <c r="H622" s="168">
        <v>126.94027618659811</v>
      </c>
      <c r="I622" s="164">
        <f>H622*$O$9/0.1*INDEX(Country_details!$N$9:N772,MATCH(Solar_data!A622,Country_details!$A$9:$A$154,0))</f>
        <v>304.65666284783543</v>
      </c>
      <c r="J622" s="164">
        <f t="shared" si="19"/>
        <v>1916.25</v>
      </c>
      <c r="K622" s="164"/>
      <c r="L622" s="164"/>
      <c r="M622" s="164"/>
      <c r="N622" s="164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  <c r="Y622" s="166"/>
      <c r="Z622" s="166"/>
      <c r="AA622" s="166"/>
      <c r="AB622" s="166"/>
      <c r="AC622" s="166"/>
      <c r="AD622" s="166"/>
      <c r="AE622" s="166"/>
      <c r="AF622" s="166"/>
      <c r="AG622" s="166"/>
      <c r="AH622" s="166"/>
      <c r="AI622" s="166"/>
    </row>
    <row r="623" spans="1:35" x14ac:dyDescent="0.2">
      <c r="A623" s="167" t="s">
        <v>126</v>
      </c>
      <c r="B623" s="162">
        <v>11</v>
      </c>
      <c r="C623" s="162">
        <f t="shared" si="18"/>
        <v>2098.75</v>
      </c>
      <c r="D623" s="162" t="s">
        <v>161</v>
      </c>
      <c r="E623" s="168">
        <v>852522781421.41309</v>
      </c>
      <c r="F623" s="168">
        <v>852522781.42141306</v>
      </c>
      <c r="G623" s="168">
        <v>852522.78142141306</v>
      </c>
      <c r="H623" s="168">
        <v>852.52278142141313</v>
      </c>
      <c r="I623" s="164">
        <f>H623*$O$9/0.1*INDEX(Country_details!$N$9:N773,MATCH(Solar_data!A623,Country_details!$A$9:$A$154,0))</f>
        <v>2046.0546754113911</v>
      </c>
      <c r="J623" s="164">
        <f t="shared" si="19"/>
        <v>2098.75</v>
      </c>
      <c r="K623" s="164"/>
      <c r="L623" s="164"/>
      <c r="M623" s="164"/>
      <c r="N623" s="164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  <c r="Y623" s="166"/>
      <c r="Z623" s="166"/>
      <c r="AA623" s="166"/>
      <c r="AB623" s="166"/>
      <c r="AC623" s="166"/>
      <c r="AD623" s="166"/>
      <c r="AE623" s="166"/>
      <c r="AF623" s="166"/>
      <c r="AG623" s="166"/>
      <c r="AH623" s="166"/>
      <c r="AI623" s="166"/>
    </row>
    <row r="624" spans="1:35" x14ac:dyDescent="0.2">
      <c r="A624" s="167" t="s">
        <v>126</v>
      </c>
      <c r="B624" s="162">
        <v>12</v>
      </c>
      <c r="C624" s="162">
        <f t="shared" si="18"/>
        <v>2281.25</v>
      </c>
      <c r="D624" s="162" t="s">
        <v>162</v>
      </c>
      <c r="E624" s="168">
        <v>1627123950723.5935</v>
      </c>
      <c r="F624" s="168">
        <v>1627123950.7235935</v>
      </c>
      <c r="G624" s="168">
        <v>1627123.9507235936</v>
      </c>
      <c r="H624" s="168">
        <v>1627.1239507235937</v>
      </c>
      <c r="I624" s="164">
        <f>H624*$O$9/0.1*INDEX(Country_details!$N$9:N774,MATCH(Solar_data!A624,Country_details!$A$9:$A$154,0))</f>
        <v>3905.0974817366246</v>
      </c>
      <c r="J624" s="164">
        <f t="shared" si="19"/>
        <v>2281.25</v>
      </c>
      <c r="K624" s="164"/>
      <c r="L624" s="164"/>
      <c r="M624" s="164"/>
      <c r="N624" s="164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  <c r="Y624" s="166"/>
      <c r="Z624" s="166"/>
      <c r="AA624" s="166"/>
      <c r="AB624" s="166"/>
      <c r="AC624" s="166"/>
      <c r="AD624" s="166"/>
      <c r="AE624" s="166"/>
      <c r="AF624" s="166"/>
      <c r="AG624" s="166"/>
      <c r="AH624" s="166"/>
      <c r="AI624" s="166"/>
    </row>
    <row r="625" spans="1:35" x14ac:dyDescent="0.2">
      <c r="A625" s="167" t="s">
        <v>126</v>
      </c>
      <c r="B625" s="162">
        <v>13</v>
      </c>
      <c r="C625" s="162">
        <f t="shared" si="18"/>
        <v>2463.75</v>
      </c>
      <c r="D625" s="162" t="s">
        <v>163</v>
      </c>
      <c r="E625" s="168">
        <v>1593631933840.7097</v>
      </c>
      <c r="F625" s="168">
        <v>1593631933.8407097</v>
      </c>
      <c r="G625" s="168">
        <v>1593631.9338407097</v>
      </c>
      <c r="H625" s="168">
        <v>1593.6319338407097</v>
      </c>
      <c r="I625" s="164">
        <f>H625*$O$9/0.1*INDEX(Country_details!$N$9:N775,MATCH(Solar_data!A625,Country_details!$A$9:$A$154,0))</f>
        <v>3824.716641217703</v>
      </c>
      <c r="J625" s="164">
        <f t="shared" si="19"/>
        <v>2463.75</v>
      </c>
      <c r="K625" s="164"/>
      <c r="L625" s="164"/>
      <c r="M625" s="164"/>
      <c r="N625" s="164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  <c r="Y625" s="166"/>
      <c r="Z625" s="166"/>
      <c r="AA625" s="166"/>
      <c r="AB625" s="166"/>
      <c r="AC625" s="166"/>
      <c r="AD625" s="166"/>
      <c r="AE625" s="166"/>
      <c r="AF625" s="166"/>
      <c r="AG625" s="166"/>
      <c r="AH625" s="166"/>
      <c r="AI625" s="166"/>
    </row>
    <row r="626" spans="1:35" x14ac:dyDescent="0.2">
      <c r="A626" s="167" t="s">
        <v>269</v>
      </c>
      <c r="B626" s="162">
        <v>4</v>
      </c>
      <c r="C626" s="162">
        <f t="shared" si="18"/>
        <v>821.25</v>
      </c>
      <c r="D626" s="162" t="s">
        <v>171</v>
      </c>
      <c r="E626" s="168">
        <v>3942544730.04</v>
      </c>
      <c r="F626" s="168">
        <v>3942544.7300399998</v>
      </c>
      <c r="G626" s="168">
        <v>3942.5447300400001</v>
      </c>
      <c r="H626" s="168">
        <v>3.9425447300400003</v>
      </c>
      <c r="I626" s="164" t="e">
        <f>H626*$O$9/0.1*INDEX(Country_details!$N$9:N776,MATCH(Solar_data!A626,Country_details!$A$9:$A$154,0))</f>
        <v>#N/A</v>
      </c>
      <c r="J626" s="164">
        <f t="shared" si="19"/>
        <v>821.25</v>
      </c>
      <c r="K626" s="164"/>
      <c r="L626" s="164"/>
      <c r="M626" s="164"/>
      <c r="N626" s="164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  <c r="Y626" s="166"/>
      <c r="Z626" s="166"/>
      <c r="AA626" s="166"/>
      <c r="AB626" s="166"/>
      <c r="AC626" s="166"/>
      <c r="AD626" s="166"/>
      <c r="AE626" s="166"/>
      <c r="AF626" s="166"/>
      <c r="AG626" s="166"/>
      <c r="AH626" s="166"/>
      <c r="AI626" s="166"/>
    </row>
    <row r="627" spans="1:35" x14ac:dyDescent="0.2">
      <c r="A627" s="167" t="s">
        <v>269</v>
      </c>
      <c r="B627" s="162">
        <v>5</v>
      </c>
      <c r="C627" s="162">
        <f t="shared" si="18"/>
        <v>1003.75</v>
      </c>
      <c r="D627" s="162" t="s">
        <v>172</v>
      </c>
      <c r="E627" s="168">
        <v>64804.7889</v>
      </c>
      <c r="F627" s="168">
        <v>64.804788900000005</v>
      </c>
      <c r="G627" s="168">
        <v>6.4804788900000007E-2</v>
      </c>
      <c r="H627" s="168">
        <v>6.4804788900000012E-5</v>
      </c>
      <c r="I627" s="164" t="e">
        <f>H627*$O$9/0.1*INDEX(Country_details!$N$9:N777,MATCH(Solar_data!A627,Country_details!$A$9:$A$154,0))</f>
        <v>#N/A</v>
      </c>
      <c r="J627" s="164">
        <f t="shared" si="19"/>
        <v>1003.75</v>
      </c>
      <c r="K627" s="164"/>
      <c r="L627" s="164"/>
      <c r="M627" s="164"/>
      <c r="N627" s="164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  <c r="Y627" s="166"/>
      <c r="Z627" s="166"/>
      <c r="AA627" s="166"/>
      <c r="AB627" s="166"/>
      <c r="AC627" s="166"/>
      <c r="AD627" s="166"/>
      <c r="AE627" s="166"/>
      <c r="AF627" s="166"/>
      <c r="AG627" s="166"/>
      <c r="AH627" s="166"/>
      <c r="AI627" s="166"/>
    </row>
    <row r="628" spans="1:35" x14ac:dyDescent="0.2">
      <c r="A628" s="167" t="s">
        <v>269</v>
      </c>
      <c r="B628" s="162">
        <v>6</v>
      </c>
      <c r="C628" s="162">
        <f t="shared" si="18"/>
        <v>1186.25</v>
      </c>
      <c r="D628" s="162" t="s">
        <v>173</v>
      </c>
      <c r="E628" s="168">
        <v>283797731.00199997</v>
      </c>
      <c r="F628" s="168">
        <v>283797.73100199999</v>
      </c>
      <c r="G628" s="168">
        <v>283.79773100199998</v>
      </c>
      <c r="H628" s="168">
        <v>0.28379773100200001</v>
      </c>
      <c r="I628" s="164" t="e">
        <f>H628*$O$9/0.1*INDEX(Country_details!$N$9:N778,MATCH(Solar_data!A628,Country_details!$A$9:$A$154,0))</f>
        <v>#N/A</v>
      </c>
      <c r="J628" s="164">
        <f t="shared" si="19"/>
        <v>1186.25</v>
      </c>
      <c r="K628" s="164"/>
      <c r="L628" s="164"/>
      <c r="M628" s="164"/>
      <c r="N628" s="164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  <c r="Y628" s="166"/>
      <c r="Z628" s="166"/>
      <c r="AA628" s="166"/>
      <c r="AB628" s="166"/>
      <c r="AC628" s="166"/>
      <c r="AD628" s="166"/>
      <c r="AE628" s="166"/>
      <c r="AF628" s="166"/>
      <c r="AG628" s="166"/>
      <c r="AH628" s="166"/>
      <c r="AI628" s="166"/>
    </row>
    <row r="629" spans="1:35" x14ac:dyDescent="0.2">
      <c r="A629" s="167" t="s">
        <v>270</v>
      </c>
      <c r="B629" s="162">
        <v>8</v>
      </c>
      <c r="C629" s="162">
        <f t="shared" si="18"/>
        <v>1551.25</v>
      </c>
      <c r="D629" s="162" t="s">
        <v>164</v>
      </c>
      <c r="E629" s="168">
        <v>4354578404.2854996</v>
      </c>
      <c r="F629" s="168">
        <v>4354578.4042854998</v>
      </c>
      <c r="G629" s="168">
        <v>4354.5784042855003</v>
      </c>
      <c r="H629" s="168">
        <v>4.3545784042855002</v>
      </c>
      <c r="I629" s="164">
        <f>H629*$O$9/0.1*INDEX(Country_details!$N$9:N779,MATCH(Solar_data!A629,Country_details!$A$9:$A$154,0))</f>
        <v>11.75736169157085</v>
      </c>
      <c r="J629" s="164">
        <f t="shared" si="19"/>
        <v>1551.25</v>
      </c>
      <c r="K629" s="164"/>
      <c r="L629" s="164"/>
      <c r="M629" s="164"/>
      <c r="N629" s="164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  <c r="Y629" s="166"/>
      <c r="Z629" s="166"/>
      <c r="AA629" s="166"/>
      <c r="AB629" s="166"/>
      <c r="AC629" s="166"/>
      <c r="AD629" s="166"/>
      <c r="AE629" s="166"/>
      <c r="AF629" s="166"/>
      <c r="AG629" s="166"/>
      <c r="AH629" s="166"/>
      <c r="AI629" s="166"/>
    </row>
    <row r="630" spans="1:35" x14ac:dyDescent="0.2">
      <c r="A630" s="167" t="s">
        <v>270</v>
      </c>
      <c r="B630" s="162">
        <v>9</v>
      </c>
      <c r="C630" s="162">
        <f t="shared" si="18"/>
        <v>1733.75</v>
      </c>
      <c r="D630" s="162" t="s">
        <v>157</v>
      </c>
      <c r="E630" s="168">
        <v>190777821596.12091</v>
      </c>
      <c r="F630" s="168">
        <v>190777821.59612092</v>
      </c>
      <c r="G630" s="168">
        <v>190777.82159612092</v>
      </c>
      <c r="H630" s="168">
        <v>190.77782159612093</v>
      </c>
      <c r="I630" s="164">
        <f>H630*$O$9/0.1*INDEX(Country_details!$N$9:N780,MATCH(Solar_data!A630,Country_details!$A$9:$A$154,0))</f>
        <v>515.10011830952647</v>
      </c>
      <c r="J630" s="164">
        <f t="shared" si="19"/>
        <v>1733.75</v>
      </c>
      <c r="K630" s="164"/>
      <c r="L630" s="164"/>
      <c r="M630" s="164"/>
      <c r="N630" s="164"/>
      <c r="O630" s="166"/>
      <c r="P630" s="166"/>
      <c r="Q630" s="166"/>
      <c r="R630" s="166"/>
      <c r="S630" s="166"/>
      <c r="T630" s="166"/>
      <c r="U630" s="166"/>
      <c r="V630" s="166"/>
      <c r="W630" s="166"/>
      <c r="X630" s="166"/>
      <c r="Y630" s="166"/>
      <c r="Z630" s="166"/>
      <c r="AA630" s="166"/>
      <c r="AB630" s="166"/>
      <c r="AC630" s="166"/>
      <c r="AD630" s="166"/>
      <c r="AE630" s="166"/>
      <c r="AF630" s="166"/>
      <c r="AG630" s="166"/>
      <c r="AH630" s="166"/>
      <c r="AI630" s="166"/>
    </row>
    <row r="631" spans="1:35" x14ac:dyDescent="0.2">
      <c r="A631" s="167" t="s">
        <v>270</v>
      </c>
      <c r="B631" s="162">
        <v>10</v>
      </c>
      <c r="C631" s="162">
        <f t="shared" si="18"/>
        <v>1916.25</v>
      </c>
      <c r="D631" s="162" t="s">
        <v>159</v>
      </c>
      <c r="E631" s="168">
        <v>55549998421.012001</v>
      </c>
      <c r="F631" s="168">
        <v>55549998.421011999</v>
      </c>
      <c r="G631" s="168">
        <v>55549.998421012002</v>
      </c>
      <c r="H631" s="168">
        <v>55.549998421012006</v>
      </c>
      <c r="I631" s="164">
        <f>H631*$O$9/0.1*INDEX(Country_details!$N$9:N781,MATCH(Solar_data!A631,Country_details!$A$9:$A$154,0))</f>
        <v>149.98499573673237</v>
      </c>
      <c r="J631" s="164">
        <f t="shared" si="19"/>
        <v>1916.25</v>
      </c>
      <c r="K631" s="164"/>
      <c r="L631" s="164"/>
      <c r="M631" s="164"/>
      <c r="N631" s="164"/>
      <c r="O631" s="166"/>
      <c r="P631" s="166"/>
      <c r="Q631" s="166"/>
      <c r="R631" s="166"/>
      <c r="S631" s="166"/>
      <c r="T631" s="166"/>
      <c r="U631" s="166"/>
      <c r="V631" s="166"/>
      <c r="W631" s="166"/>
      <c r="X631" s="166"/>
      <c r="Y631" s="166"/>
      <c r="Z631" s="166"/>
      <c r="AA631" s="166"/>
      <c r="AB631" s="166"/>
      <c r="AC631" s="166"/>
      <c r="AD631" s="166"/>
      <c r="AE631" s="166"/>
      <c r="AF631" s="166"/>
      <c r="AG631" s="166"/>
      <c r="AH631" s="166"/>
      <c r="AI631" s="166"/>
    </row>
    <row r="632" spans="1:35" x14ac:dyDescent="0.2">
      <c r="A632" s="167" t="s">
        <v>127</v>
      </c>
      <c r="B632" s="162">
        <v>7</v>
      </c>
      <c r="C632" s="162">
        <f t="shared" si="18"/>
        <v>1368.75</v>
      </c>
      <c r="D632" s="162" t="s">
        <v>174</v>
      </c>
      <c r="E632" s="168">
        <v>20034547778.786098</v>
      </c>
      <c r="F632" s="168">
        <v>20034547.7787861</v>
      </c>
      <c r="G632" s="168">
        <v>20034.547778786102</v>
      </c>
      <c r="H632" s="168">
        <v>20.034547778786102</v>
      </c>
      <c r="I632" s="164">
        <f>H632*$O$9/0.1*INDEX(Country_details!$N$9:N782,MATCH(Solar_data!A632,Country_details!$A$9:$A$154,0))</f>
        <v>54.093279002722468</v>
      </c>
      <c r="J632" s="164">
        <f t="shared" si="19"/>
        <v>1368.75</v>
      </c>
      <c r="K632" s="164"/>
      <c r="L632" s="164"/>
      <c r="M632" s="164"/>
      <c r="N632" s="164"/>
      <c r="O632" s="166"/>
      <c r="P632" s="166"/>
      <c r="Q632" s="166"/>
      <c r="R632" s="166"/>
      <c r="S632" s="166"/>
      <c r="T632" s="166"/>
      <c r="U632" s="166"/>
      <c r="V632" s="166"/>
      <c r="W632" s="166"/>
      <c r="X632" s="166"/>
      <c r="Y632" s="166"/>
      <c r="Z632" s="166"/>
      <c r="AA632" s="166"/>
      <c r="AB632" s="166"/>
      <c r="AC632" s="166"/>
      <c r="AD632" s="166"/>
      <c r="AE632" s="166"/>
      <c r="AF632" s="166"/>
      <c r="AG632" s="166"/>
      <c r="AH632" s="166"/>
      <c r="AI632" s="166"/>
    </row>
    <row r="633" spans="1:35" x14ac:dyDescent="0.2">
      <c r="A633" s="167" t="s">
        <v>127</v>
      </c>
      <c r="B633" s="162">
        <v>8</v>
      </c>
      <c r="C633" s="162">
        <f t="shared" si="18"/>
        <v>1551.25</v>
      </c>
      <c r="D633" s="162" t="s">
        <v>164</v>
      </c>
      <c r="E633" s="168">
        <v>127082368881.3317</v>
      </c>
      <c r="F633" s="168">
        <v>127082368.8813317</v>
      </c>
      <c r="G633" s="168">
        <v>127082.3688813317</v>
      </c>
      <c r="H633" s="168">
        <v>127.0823688813317</v>
      </c>
      <c r="I633" s="164">
        <f>H633*$O$9/0.1*INDEX(Country_details!$N$9:N783,MATCH(Solar_data!A633,Country_details!$A$9:$A$154,0))</f>
        <v>343.12239597959552</v>
      </c>
      <c r="J633" s="164">
        <f t="shared" si="19"/>
        <v>1551.25</v>
      </c>
      <c r="K633" s="164"/>
      <c r="L633" s="164"/>
      <c r="M633" s="164"/>
      <c r="N633" s="164"/>
      <c r="O633" s="166"/>
      <c r="P633" s="166"/>
      <c r="Q633" s="166"/>
      <c r="R633" s="166"/>
      <c r="S633" s="166"/>
      <c r="T633" s="166"/>
      <c r="U633" s="166"/>
      <c r="V633" s="166"/>
      <c r="W633" s="166"/>
      <c r="X633" s="166"/>
      <c r="Y633" s="166"/>
      <c r="Z633" s="166"/>
      <c r="AA633" s="166"/>
      <c r="AB633" s="166"/>
      <c r="AC633" s="166"/>
      <c r="AD633" s="166"/>
      <c r="AE633" s="166"/>
      <c r="AF633" s="166"/>
      <c r="AG633" s="166"/>
      <c r="AH633" s="166"/>
      <c r="AI633" s="166"/>
    </row>
    <row r="634" spans="1:35" x14ac:dyDescent="0.2">
      <c r="A634" s="167" t="s">
        <v>127</v>
      </c>
      <c r="B634" s="162">
        <v>9</v>
      </c>
      <c r="C634" s="162">
        <f t="shared" si="18"/>
        <v>1733.75</v>
      </c>
      <c r="D634" s="162" t="s">
        <v>157</v>
      </c>
      <c r="E634" s="168">
        <v>398409796928.12848</v>
      </c>
      <c r="F634" s="168">
        <v>398409796.92812848</v>
      </c>
      <c r="G634" s="168">
        <v>398409.79692812846</v>
      </c>
      <c r="H634" s="168">
        <v>398.40979692812846</v>
      </c>
      <c r="I634" s="164">
        <f>H634*$O$9/0.1*INDEX(Country_details!$N$9:N784,MATCH(Solar_data!A634,Country_details!$A$9:$A$154,0))</f>
        <v>1075.7064517059468</v>
      </c>
      <c r="J634" s="164">
        <f t="shared" si="19"/>
        <v>1733.75</v>
      </c>
      <c r="K634" s="164"/>
      <c r="L634" s="164"/>
      <c r="M634" s="164"/>
      <c r="N634" s="164"/>
      <c r="O634" s="166"/>
      <c r="P634" s="166"/>
      <c r="Q634" s="166"/>
      <c r="R634" s="166"/>
      <c r="S634" s="166"/>
      <c r="T634" s="166"/>
      <c r="U634" s="166"/>
      <c r="V634" s="166"/>
      <c r="W634" s="166"/>
      <c r="X634" s="166"/>
      <c r="Y634" s="166"/>
      <c r="Z634" s="166"/>
      <c r="AA634" s="166"/>
      <c r="AB634" s="166"/>
      <c r="AC634" s="166"/>
      <c r="AD634" s="166"/>
      <c r="AE634" s="166"/>
      <c r="AF634" s="166"/>
      <c r="AG634" s="166"/>
      <c r="AH634" s="166"/>
      <c r="AI634" s="166"/>
    </row>
    <row r="635" spans="1:35" x14ac:dyDescent="0.2">
      <c r="A635" s="167" t="s">
        <v>127</v>
      </c>
      <c r="B635" s="162">
        <v>10</v>
      </c>
      <c r="C635" s="162">
        <f t="shared" si="18"/>
        <v>1916.25</v>
      </c>
      <c r="D635" s="162" t="s">
        <v>159</v>
      </c>
      <c r="E635" s="168">
        <v>795330572094.31873</v>
      </c>
      <c r="F635" s="168">
        <v>795330572.09431875</v>
      </c>
      <c r="G635" s="168">
        <v>795330.57209431881</v>
      </c>
      <c r="H635" s="168">
        <v>795.33057209431877</v>
      </c>
      <c r="I635" s="164">
        <f>H635*$O$9/0.1*INDEX(Country_details!$N$9:N785,MATCH(Solar_data!A635,Country_details!$A$9:$A$154,0))</f>
        <v>2147.3925446546605</v>
      </c>
      <c r="J635" s="164">
        <f t="shared" si="19"/>
        <v>1916.25</v>
      </c>
      <c r="K635" s="164"/>
      <c r="L635" s="164"/>
      <c r="M635" s="164"/>
      <c r="N635" s="164"/>
      <c r="O635" s="166"/>
      <c r="P635" s="166"/>
      <c r="Q635" s="166"/>
      <c r="R635" s="166"/>
      <c r="S635" s="166"/>
      <c r="T635" s="166"/>
      <c r="U635" s="166"/>
      <c r="V635" s="166"/>
      <c r="W635" s="166"/>
      <c r="X635" s="166"/>
      <c r="Y635" s="166"/>
      <c r="Z635" s="166"/>
      <c r="AA635" s="166"/>
      <c r="AB635" s="166"/>
      <c r="AC635" s="166"/>
      <c r="AD635" s="166"/>
      <c r="AE635" s="166"/>
      <c r="AF635" s="166"/>
      <c r="AG635" s="166"/>
      <c r="AH635" s="166"/>
      <c r="AI635" s="166"/>
    </row>
    <row r="636" spans="1:35" x14ac:dyDescent="0.2">
      <c r="A636" s="167" t="s">
        <v>127</v>
      </c>
      <c r="B636" s="162">
        <v>11</v>
      </c>
      <c r="C636" s="162">
        <f t="shared" si="18"/>
        <v>2098.75</v>
      </c>
      <c r="D636" s="162" t="s">
        <v>161</v>
      </c>
      <c r="E636" s="168">
        <v>35683100419.1633</v>
      </c>
      <c r="F636" s="168">
        <v>35683100.419163302</v>
      </c>
      <c r="G636" s="168">
        <v>35683.100419163304</v>
      </c>
      <c r="H636" s="168">
        <v>35.683100419163303</v>
      </c>
      <c r="I636" s="164">
        <f>H636*$O$9/0.1*INDEX(Country_details!$N$9:N786,MATCH(Solar_data!A636,Country_details!$A$9:$A$154,0))</f>
        <v>96.344371131740914</v>
      </c>
      <c r="J636" s="164">
        <f t="shared" si="19"/>
        <v>2098.75</v>
      </c>
      <c r="K636" s="164"/>
      <c r="L636" s="164"/>
      <c r="M636" s="164"/>
      <c r="N636" s="164"/>
      <c r="O636" s="166"/>
      <c r="P636" s="166"/>
      <c r="Q636" s="166"/>
      <c r="R636" s="166"/>
      <c r="S636" s="166"/>
      <c r="T636" s="166"/>
      <c r="U636" s="166"/>
      <c r="V636" s="166"/>
      <c r="W636" s="166"/>
      <c r="X636" s="166"/>
      <c r="Y636" s="166"/>
      <c r="Z636" s="166"/>
      <c r="AA636" s="166"/>
      <c r="AB636" s="166"/>
      <c r="AC636" s="166"/>
      <c r="AD636" s="166"/>
      <c r="AE636" s="166"/>
      <c r="AF636" s="166"/>
      <c r="AG636" s="166"/>
      <c r="AH636" s="166"/>
      <c r="AI636" s="166"/>
    </row>
    <row r="637" spans="1:35" x14ac:dyDescent="0.2">
      <c r="A637" s="167" t="s">
        <v>128</v>
      </c>
      <c r="B637" s="162">
        <v>9</v>
      </c>
      <c r="C637" s="162">
        <f t="shared" si="18"/>
        <v>1733.75</v>
      </c>
      <c r="D637" s="162" t="s">
        <v>157</v>
      </c>
      <c r="E637" s="168">
        <v>2113815730.0306001</v>
      </c>
      <c r="F637" s="168">
        <v>2113815.7300306</v>
      </c>
      <c r="G637" s="168">
        <v>2113.8157300306002</v>
      </c>
      <c r="H637" s="168">
        <v>2.1138157300306002</v>
      </c>
      <c r="I637" s="164">
        <f>H637*$O$9/0.1*INDEX(Country_details!$N$9:N787,MATCH(Solar_data!A637,Country_details!$A$9:$A$154,0))</f>
        <v>5.7073024710826195</v>
      </c>
      <c r="J637" s="164">
        <f t="shared" si="19"/>
        <v>1733.75</v>
      </c>
      <c r="K637" s="164"/>
      <c r="L637" s="164"/>
      <c r="M637" s="164"/>
      <c r="N637" s="164"/>
      <c r="O637" s="166"/>
      <c r="P637" s="166"/>
      <c r="Q637" s="166"/>
      <c r="R637" s="166"/>
      <c r="S637" s="166"/>
      <c r="T637" s="166"/>
      <c r="U637" s="166"/>
      <c r="V637" s="166"/>
      <c r="W637" s="166"/>
      <c r="X637" s="166"/>
      <c r="Y637" s="166"/>
      <c r="Z637" s="166"/>
      <c r="AA637" s="166"/>
      <c r="AB637" s="166"/>
      <c r="AC637" s="166"/>
      <c r="AD637" s="166"/>
      <c r="AE637" s="166"/>
      <c r="AF637" s="166"/>
      <c r="AG637" s="166"/>
      <c r="AH637" s="166"/>
      <c r="AI637" s="166"/>
    </row>
    <row r="638" spans="1:35" x14ac:dyDescent="0.2">
      <c r="A638" s="167" t="s">
        <v>128</v>
      </c>
      <c r="B638" s="162">
        <v>10</v>
      </c>
      <c r="C638" s="162">
        <f t="shared" si="18"/>
        <v>1916.25</v>
      </c>
      <c r="D638" s="162" t="s">
        <v>159</v>
      </c>
      <c r="E638" s="168">
        <v>152445389110.5274</v>
      </c>
      <c r="F638" s="168">
        <v>152445389.1105274</v>
      </c>
      <c r="G638" s="168">
        <v>152445.38911052741</v>
      </c>
      <c r="H638" s="168">
        <v>152.4453891105274</v>
      </c>
      <c r="I638" s="164">
        <f>H638*$O$9/0.1*INDEX(Country_details!$N$9:N788,MATCH(Solar_data!A638,Country_details!$A$9:$A$154,0))</f>
        <v>411.60255059842399</v>
      </c>
      <c r="J638" s="164">
        <f t="shared" si="19"/>
        <v>1916.25</v>
      </c>
      <c r="K638" s="164"/>
      <c r="L638" s="164"/>
      <c r="M638" s="164"/>
      <c r="N638" s="164"/>
      <c r="O638" s="166"/>
      <c r="P638" s="166"/>
      <c r="Q638" s="166"/>
      <c r="R638" s="166"/>
      <c r="S638" s="166"/>
      <c r="T638" s="166"/>
      <c r="U638" s="166"/>
      <c r="V638" s="166"/>
      <c r="W638" s="166"/>
      <c r="X638" s="166"/>
      <c r="Y638" s="166"/>
      <c r="Z638" s="166"/>
      <c r="AA638" s="166"/>
      <c r="AB638" s="166"/>
      <c r="AC638" s="166"/>
      <c r="AD638" s="166"/>
      <c r="AE638" s="166"/>
      <c r="AF638" s="166"/>
      <c r="AG638" s="166"/>
      <c r="AH638" s="166"/>
      <c r="AI638" s="166"/>
    </row>
    <row r="639" spans="1:35" x14ac:dyDescent="0.2">
      <c r="A639" s="167" t="s">
        <v>128</v>
      </c>
      <c r="B639" s="162">
        <v>11</v>
      </c>
      <c r="C639" s="162">
        <f t="shared" si="18"/>
        <v>2098.75</v>
      </c>
      <c r="D639" s="162" t="s">
        <v>161</v>
      </c>
      <c r="E639" s="168">
        <v>34892775228.369904</v>
      </c>
      <c r="F639" s="168">
        <v>34892775.228369907</v>
      </c>
      <c r="G639" s="168">
        <v>34892.775228369908</v>
      </c>
      <c r="H639" s="168">
        <v>34.892775228369906</v>
      </c>
      <c r="I639" s="164">
        <f>H639*$O$9/0.1*INDEX(Country_details!$N$9:N789,MATCH(Solar_data!A639,Country_details!$A$9:$A$154,0))</f>
        <v>94.210493116598741</v>
      </c>
      <c r="J639" s="164">
        <f t="shared" si="19"/>
        <v>2098.75</v>
      </c>
      <c r="K639" s="164"/>
      <c r="L639" s="164"/>
      <c r="M639" s="164"/>
      <c r="N639" s="164"/>
      <c r="O639" s="166"/>
      <c r="P639" s="166"/>
      <c r="Q639" s="166"/>
      <c r="R639" s="166"/>
      <c r="S639" s="166"/>
      <c r="T639" s="166"/>
      <c r="U639" s="166"/>
      <c r="V639" s="166"/>
      <c r="W639" s="166"/>
      <c r="X639" s="166"/>
      <c r="Y639" s="166"/>
      <c r="Z639" s="166"/>
      <c r="AA639" s="166"/>
      <c r="AB639" s="166"/>
      <c r="AC639" s="166"/>
      <c r="AD639" s="166"/>
      <c r="AE639" s="166"/>
      <c r="AF639" s="166"/>
      <c r="AG639" s="166"/>
      <c r="AH639" s="166"/>
      <c r="AI639" s="166"/>
    </row>
    <row r="640" spans="1:35" x14ac:dyDescent="0.2">
      <c r="A640" s="167" t="s">
        <v>271</v>
      </c>
      <c r="B640" s="162">
        <v>10</v>
      </c>
      <c r="C640" s="162">
        <f t="shared" si="18"/>
        <v>1916.25</v>
      </c>
      <c r="D640" s="162" t="s">
        <v>159</v>
      </c>
      <c r="E640" s="168">
        <v>120763725.265</v>
      </c>
      <c r="F640" s="168">
        <v>120763.725265</v>
      </c>
      <c r="G640" s="168">
        <v>120.76372526500001</v>
      </c>
      <c r="H640" s="168">
        <v>0.12076372526500001</v>
      </c>
      <c r="I640" s="164" t="e">
        <f>H640*$O$9/0.1*INDEX(Country_details!$N$9:N790,MATCH(Solar_data!A640,Country_details!$A$9:$A$154,0))</f>
        <v>#N/A</v>
      </c>
      <c r="J640" s="164">
        <f t="shared" si="19"/>
        <v>1916.25</v>
      </c>
      <c r="K640" s="164"/>
      <c r="L640" s="164"/>
      <c r="M640" s="164"/>
      <c r="N640" s="164"/>
      <c r="O640" s="166"/>
      <c r="P640" s="166"/>
      <c r="Q640" s="166"/>
      <c r="R640" s="166"/>
      <c r="S640" s="166"/>
      <c r="T640" s="166"/>
      <c r="U640" s="166"/>
      <c r="V640" s="166"/>
      <c r="W640" s="166"/>
      <c r="X640" s="166"/>
      <c r="Y640" s="166"/>
      <c r="Z640" s="166"/>
      <c r="AA640" s="166"/>
      <c r="AB640" s="166"/>
      <c r="AC640" s="166"/>
      <c r="AD640" s="166"/>
      <c r="AE640" s="166"/>
      <c r="AF640" s="166"/>
      <c r="AG640" s="166"/>
      <c r="AH640" s="166"/>
      <c r="AI640" s="166"/>
    </row>
    <row r="641" spans="1:35" x14ac:dyDescent="0.2">
      <c r="A641" s="167" t="s">
        <v>271</v>
      </c>
      <c r="B641" s="162">
        <v>11</v>
      </c>
      <c r="C641" s="162">
        <f t="shared" si="18"/>
        <v>2098.75</v>
      </c>
      <c r="D641" s="162" t="s">
        <v>161</v>
      </c>
      <c r="E641" s="168">
        <v>147461495.252</v>
      </c>
      <c r="F641" s="168">
        <v>147461.49525199999</v>
      </c>
      <c r="G641" s="168">
        <v>147.46149525199999</v>
      </c>
      <c r="H641" s="168">
        <v>0.147461495252</v>
      </c>
      <c r="I641" s="164" t="e">
        <f>H641*$O$9/0.1*INDEX(Country_details!$N$9:N791,MATCH(Solar_data!A641,Country_details!$A$9:$A$154,0))</f>
        <v>#N/A</v>
      </c>
      <c r="J641" s="164">
        <f t="shared" si="19"/>
        <v>2098.75</v>
      </c>
      <c r="K641" s="164"/>
      <c r="L641" s="164"/>
      <c r="M641" s="164"/>
      <c r="N641" s="164"/>
      <c r="O641" s="166"/>
      <c r="P641" s="166"/>
      <c r="Q641" s="166"/>
      <c r="R641" s="166"/>
      <c r="S641" s="166"/>
      <c r="T641" s="166"/>
      <c r="U641" s="166"/>
      <c r="V641" s="166"/>
      <c r="W641" s="166"/>
      <c r="X641" s="166"/>
      <c r="Y641" s="166"/>
      <c r="Z641" s="166"/>
      <c r="AA641" s="166"/>
      <c r="AB641" s="166"/>
      <c r="AC641" s="166"/>
      <c r="AD641" s="166"/>
      <c r="AE641" s="166"/>
      <c r="AF641" s="166"/>
      <c r="AG641" s="166"/>
      <c r="AH641" s="166"/>
      <c r="AI641" s="166"/>
    </row>
    <row r="642" spans="1:35" x14ac:dyDescent="0.2">
      <c r="A642" s="167" t="s">
        <v>272</v>
      </c>
      <c r="B642" s="162">
        <v>10</v>
      </c>
      <c r="C642" s="162">
        <f t="shared" si="18"/>
        <v>1916.25</v>
      </c>
      <c r="D642" s="162" t="s">
        <v>159</v>
      </c>
      <c r="E642" s="168">
        <v>450484044.56199998</v>
      </c>
      <c r="F642" s="168">
        <v>450484.04456199997</v>
      </c>
      <c r="G642" s="168">
        <v>450.48404456199995</v>
      </c>
      <c r="H642" s="168">
        <v>0.45048404456199997</v>
      </c>
      <c r="I642" s="164" t="e">
        <f>H642*$O$9/0.1*INDEX(Country_details!$N$9:N792,MATCH(Solar_data!A642,Country_details!$A$9:$A$154,0))</f>
        <v>#N/A</v>
      </c>
      <c r="J642" s="164">
        <f t="shared" si="19"/>
        <v>1916.25</v>
      </c>
      <c r="K642" s="164"/>
      <c r="L642" s="164"/>
      <c r="M642" s="164"/>
      <c r="N642" s="164"/>
      <c r="O642" s="166"/>
      <c r="P642" s="166"/>
      <c r="Q642" s="166"/>
      <c r="R642" s="166"/>
      <c r="S642" s="166"/>
      <c r="T642" s="166"/>
      <c r="U642" s="166"/>
      <c r="V642" s="166"/>
      <c r="W642" s="166"/>
      <c r="X642" s="166"/>
      <c r="Y642" s="166"/>
      <c r="Z642" s="166"/>
      <c r="AA642" s="166"/>
      <c r="AB642" s="166"/>
      <c r="AC642" s="166"/>
      <c r="AD642" s="166"/>
      <c r="AE642" s="166"/>
      <c r="AF642" s="166"/>
      <c r="AG642" s="166"/>
      <c r="AH642" s="166"/>
      <c r="AI642" s="166"/>
    </row>
    <row r="643" spans="1:35" x14ac:dyDescent="0.2">
      <c r="A643" s="167" t="s">
        <v>273</v>
      </c>
      <c r="B643" s="162">
        <v>9</v>
      </c>
      <c r="C643" s="162">
        <f t="shared" si="18"/>
        <v>1733.75</v>
      </c>
      <c r="D643" s="162" t="s">
        <v>157</v>
      </c>
      <c r="E643" s="168">
        <v>870906857.32099998</v>
      </c>
      <c r="F643" s="168">
        <v>870906.85732099996</v>
      </c>
      <c r="G643" s="168">
        <v>870.90685732099996</v>
      </c>
      <c r="H643" s="168">
        <v>0.87090685732099993</v>
      </c>
      <c r="I643" s="164" t="e">
        <f>H643*$O$9/0.1*INDEX(Country_details!$N$9:N793,MATCH(Solar_data!A643,Country_details!$A$9:$A$154,0))</f>
        <v>#N/A</v>
      </c>
      <c r="J643" s="164">
        <f t="shared" si="19"/>
        <v>1733.75</v>
      </c>
      <c r="K643" s="164"/>
      <c r="L643" s="164"/>
      <c r="M643" s="164"/>
      <c r="N643" s="164"/>
      <c r="O643" s="166"/>
      <c r="P643" s="166"/>
      <c r="Q643" s="166"/>
      <c r="R643" s="166"/>
      <c r="S643" s="166"/>
      <c r="T643" s="166"/>
      <c r="U643" s="166"/>
      <c r="V643" s="166"/>
      <c r="W643" s="166"/>
      <c r="X643" s="166"/>
      <c r="Y643" s="166"/>
      <c r="Z643" s="166"/>
      <c r="AA643" s="166"/>
      <c r="AB643" s="166"/>
      <c r="AC643" s="166"/>
      <c r="AD643" s="166"/>
      <c r="AE643" s="166"/>
      <c r="AF643" s="166"/>
      <c r="AG643" s="166"/>
      <c r="AH643" s="166"/>
      <c r="AI643" s="166"/>
    </row>
    <row r="644" spans="1:35" x14ac:dyDescent="0.2">
      <c r="A644" s="167" t="s">
        <v>273</v>
      </c>
      <c r="B644" s="162">
        <v>10</v>
      </c>
      <c r="C644" s="162">
        <f t="shared" si="18"/>
        <v>1916.25</v>
      </c>
      <c r="D644" s="162" t="s">
        <v>159</v>
      </c>
      <c r="E644" s="168">
        <v>486142.14649999997</v>
      </c>
      <c r="F644" s="168">
        <v>486.14214649999997</v>
      </c>
      <c r="G644" s="168">
        <v>0.48614214649999998</v>
      </c>
      <c r="H644" s="168">
        <v>4.8614214650000002E-4</v>
      </c>
      <c r="I644" s="164" t="e">
        <f>H644*$O$9/0.1*INDEX(Country_details!$N$9:N794,MATCH(Solar_data!A644,Country_details!$A$9:$A$154,0))</f>
        <v>#N/A</v>
      </c>
      <c r="J644" s="164">
        <f t="shared" si="19"/>
        <v>1916.25</v>
      </c>
      <c r="K644" s="164"/>
      <c r="L644" s="164"/>
      <c r="M644" s="164"/>
      <c r="N644" s="164"/>
      <c r="O644" s="166"/>
      <c r="P644" s="166"/>
      <c r="Q644" s="166"/>
      <c r="R644" s="166"/>
      <c r="S644" s="166"/>
      <c r="T644" s="166"/>
      <c r="U644" s="166"/>
      <c r="V644" s="166"/>
      <c r="W644" s="166"/>
      <c r="X644" s="166"/>
      <c r="Y644" s="166"/>
      <c r="Z644" s="166"/>
      <c r="AA644" s="166"/>
      <c r="AB644" s="166"/>
      <c r="AC644" s="166"/>
      <c r="AD644" s="166"/>
      <c r="AE644" s="166"/>
      <c r="AF644" s="166"/>
      <c r="AG644" s="166"/>
      <c r="AH644" s="166"/>
      <c r="AI644" s="166"/>
    </row>
    <row r="645" spans="1:35" x14ac:dyDescent="0.2">
      <c r="A645" s="167" t="s">
        <v>274</v>
      </c>
      <c r="B645" s="162">
        <v>6</v>
      </c>
      <c r="C645" s="162">
        <f t="shared" ref="C645:C708" si="20">(0.5*B645+0.25)*365</f>
        <v>1186.25</v>
      </c>
      <c r="D645" s="162" t="s">
        <v>173</v>
      </c>
      <c r="E645" s="168">
        <v>153678463.6796</v>
      </c>
      <c r="F645" s="168">
        <v>153678.46367960001</v>
      </c>
      <c r="G645" s="168">
        <v>153.67846367960001</v>
      </c>
      <c r="H645" s="168">
        <v>0.15367846367960003</v>
      </c>
      <c r="I645" s="164" t="e">
        <f>H645*$O$9/0.1*INDEX(Country_details!$N$9:N795,MATCH(Solar_data!A645,Country_details!$A$9:$A$154,0))</f>
        <v>#N/A</v>
      </c>
      <c r="J645" s="164">
        <f t="shared" si="19"/>
        <v>1186.25</v>
      </c>
      <c r="K645" s="164"/>
      <c r="L645" s="164"/>
      <c r="M645" s="164"/>
      <c r="N645" s="164"/>
      <c r="O645" s="166"/>
      <c r="P645" s="166"/>
      <c r="Q645" s="166"/>
      <c r="R645" s="166"/>
      <c r="S645" s="166"/>
      <c r="T645" s="166"/>
      <c r="U645" s="166"/>
      <c r="V645" s="166"/>
      <c r="W645" s="166"/>
      <c r="X645" s="166"/>
      <c r="Y645" s="166"/>
      <c r="Z645" s="166"/>
      <c r="AA645" s="166"/>
      <c r="AB645" s="166"/>
      <c r="AC645" s="166"/>
      <c r="AD645" s="166"/>
      <c r="AE645" s="166"/>
      <c r="AF645" s="166"/>
      <c r="AG645" s="166"/>
      <c r="AH645" s="166"/>
      <c r="AI645" s="166"/>
    </row>
    <row r="646" spans="1:35" x14ac:dyDescent="0.2">
      <c r="A646" s="167" t="s">
        <v>274</v>
      </c>
      <c r="B646" s="162">
        <v>7</v>
      </c>
      <c r="C646" s="162">
        <f t="shared" si="20"/>
        <v>1368.75</v>
      </c>
      <c r="D646" s="162" t="s">
        <v>174</v>
      </c>
      <c r="E646" s="168">
        <v>405891319.47299999</v>
      </c>
      <c r="F646" s="168">
        <v>405891.31947300001</v>
      </c>
      <c r="G646" s="168">
        <v>405.89131947300001</v>
      </c>
      <c r="H646" s="168">
        <v>0.405891319473</v>
      </c>
      <c r="I646" s="164" t="e">
        <f>H646*$O$9/0.1*INDEX(Country_details!$N$9:N796,MATCH(Solar_data!A646,Country_details!$A$9:$A$154,0))</f>
        <v>#N/A</v>
      </c>
      <c r="J646" s="164">
        <f t="shared" si="19"/>
        <v>1368.75</v>
      </c>
      <c r="K646" s="164"/>
      <c r="L646" s="164"/>
      <c r="M646" s="164"/>
      <c r="N646" s="164"/>
      <c r="O646" s="166"/>
      <c r="P646" s="166"/>
      <c r="Q646" s="166"/>
      <c r="R646" s="166"/>
      <c r="S646" s="166"/>
      <c r="T646" s="166"/>
      <c r="U646" s="166"/>
      <c r="V646" s="166"/>
      <c r="W646" s="166"/>
      <c r="X646" s="166"/>
      <c r="Y646" s="166"/>
      <c r="Z646" s="166"/>
      <c r="AA646" s="166"/>
      <c r="AB646" s="166"/>
      <c r="AC646" s="166"/>
      <c r="AD646" s="166"/>
      <c r="AE646" s="166"/>
      <c r="AF646" s="166"/>
      <c r="AG646" s="166"/>
      <c r="AH646" s="166"/>
      <c r="AI646" s="166"/>
    </row>
    <row r="647" spans="1:35" x14ac:dyDescent="0.2">
      <c r="A647" s="167" t="s">
        <v>275</v>
      </c>
      <c r="B647" s="162">
        <v>9</v>
      </c>
      <c r="C647" s="162">
        <f t="shared" si="20"/>
        <v>1733.75</v>
      </c>
      <c r="D647" s="162" t="s">
        <v>157</v>
      </c>
      <c r="E647" s="168">
        <v>630724099.05599999</v>
      </c>
      <c r="F647" s="168">
        <v>630724.09905600001</v>
      </c>
      <c r="G647" s="168">
        <v>630.724099056</v>
      </c>
      <c r="H647" s="168">
        <v>0.63072409905600002</v>
      </c>
      <c r="I647" s="164" t="e">
        <f>H647*$O$9/0.1*INDEX(Country_details!$N$9:N797,MATCH(Solar_data!A647,Country_details!$A$9:$A$154,0))</f>
        <v>#N/A</v>
      </c>
      <c r="J647" s="164">
        <f t="shared" si="19"/>
        <v>1733.75</v>
      </c>
      <c r="K647" s="164"/>
      <c r="L647" s="164"/>
      <c r="M647" s="164"/>
      <c r="N647" s="164"/>
      <c r="O647" s="166"/>
      <c r="P647" s="166"/>
      <c r="Q647" s="166"/>
      <c r="R647" s="166"/>
      <c r="S647" s="166"/>
      <c r="T647" s="166"/>
      <c r="U647" s="166"/>
      <c r="V647" s="166"/>
      <c r="W647" s="166"/>
      <c r="X647" s="166"/>
      <c r="Y647" s="166"/>
      <c r="Z647" s="166"/>
      <c r="AA647" s="166"/>
      <c r="AB647" s="166"/>
      <c r="AC647" s="166"/>
      <c r="AD647" s="166"/>
      <c r="AE647" s="166"/>
      <c r="AF647" s="166"/>
      <c r="AG647" s="166"/>
      <c r="AH647" s="166"/>
      <c r="AI647" s="166"/>
    </row>
    <row r="648" spans="1:35" x14ac:dyDescent="0.2">
      <c r="A648" s="167" t="s">
        <v>129</v>
      </c>
      <c r="B648" s="162">
        <v>10</v>
      </c>
      <c r="C648" s="162">
        <f t="shared" si="20"/>
        <v>1916.25</v>
      </c>
      <c r="D648" s="162" t="s">
        <v>159</v>
      </c>
      <c r="E648" s="168">
        <v>111965376512.2785</v>
      </c>
      <c r="F648" s="168">
        <v>111965376.51227851</v>
      </c>
      <c r="G648" s="168">
        <v>111965.37651227851</v>
      </c>
      <c r="H648" s="168">
        <v>111.96537651227851</v>
      </c>
      <c r="I648" s="164">
        <f>H648*$O$9/0.1*INDEX(Country_details!$N$9:N798,MATCH(Solar_data!A648,Country_details!$A$9:$A$154,0))</f>
        <v>251.92209715262661</v>
      </c>
      <c r="J648" s="164">
        <f t="shared" si="19"/>
        <v>1916.25</v>
      </c>
      <c r="K648" s="164"/>
      <c r="L648" s="164"/>
      <c r="M648" s="164"/>
      <c r="N648" s="164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  <c r="Y648" s="166"/>
      <c r="Z648" s="166"/>
      <c r="AA648" s="166"/>
      <c r="AB648" s="166"/>
      <c r="AC648" s="166"/>
      <c r="AD648" s="166"/>
      <c r="AE648" s="166"/>
      <c r="AF648" s="166"/>
      <c r="AG648" s="166"/>
      <c r="AH648" s="166"/>
      <c r="AI648" s="166"/>
    </row>
    <row r="649" spans="1:35" x14ac:dyDescent="0.2">
      <c r="A649" s="167" t="s">
        <v>129</v>
      </c>
      <c r="B649" s="162">
        <v>11</v>
      </c>
      <c r="C649" s="162">
        <f t="shared" si="20"/>
        <v>2098.75</v>
      </c>
      <c r="D649" s="162" t="s">
        <v>161</v>
      </c>
      <c r="E649" s="168">
        <v>1989760369660.6448</v>
      </c>
      <c r="F649" s="168">
        <v>1989760369.6606448</v>
      </c>
      <c r="G649" s="168">
        <v>1989760.3696606448</v>
      </c>
      <c r="H649" s="168">
        <v>1989.7603696606448</v>
      </c>
      <c r="I649" s="164">
        <f>H649*$O$9/0.1*INDEX(Country_details!$N$9:N799,MATCH(Solar_data!A649,Country_details!$A$9:$A$154,0))</f>
        <v>4476.96083173645</v>
      </c>
      <c r="J649" s="164">
        <f t="shared" ref="J649:J712" si="21">(0.5*B649+0.25)*365</f>
        <v>2098.75</v>
      </c>
      <c r="K649" s="164"/>
      <c r="L649" s="164"/>
      <c r="M649" s="164"/>
      <c r="N649" s="164"/>
      <c r="O649" s="166"/>
      <c r="P649" s="166"/>
      <c r="Q649" s="166"/>
      <c r="R649" s="166"/>
      <c r="S649" s="166"/>
      <c r="T649" s="166"/>
      <c r="U649" s="166"/>
      <c r="V649" s="166"/>
      <c r="W649" s="166"/>
      <c r="X649" s="166"/>
      <c r="Y649" s="166"/>
      <c r="Z649" s="166"/>
      <c r="AA649" s="166"/>
      <c r="AB649" s="166"/>
      <c r="AC649" s="166"/>
      <c r="AD649" s="166"/>
      <c r="AE649" s="166"/>
      <c r="AF649" s="166"/>
      <c r="AG649" s="166"/>
      <c r="AH649" s="166"/>
      <c r="AI649" s="166"/>
    </row>
    <row r="650" spans="1:35" x14ac:dyDescent="0.2">
      <c r="A650" s="167" t="s">
        <v>129</v>
      </c>
      <c r="B650" s="162">
        <v>12</v>
      </c>
      <c r="C650" s="162">
        <f t="shared" si="20"/>
        <v>2281.25</v>
      </c>
      <c r="D650" s="162" t="s">
        <v>162</v>
      </c>
      <c r="E650" s="168">
        <v>1663974829659.3599</v>
      </c>
      <c r="F650" s="168">
        <v>1663974829.6593599</v>
      </c>
      <c r="G650" s="168">
        <v>1663974.82965936</v>
      </c>
      <c r="H650" s="168">
        <v>1663.97482965936</v>
      </c>
      <c r="I650" s="164">
        <f>H650*$O$9/0.1*INDEX(Country_details!$N$9:N800,MATCH(Solar_data!A650,Country_details!$A$9:$A$154,0))</f>
        <v>3743.9433667335597</v>
      </c>
      <c r="J650" s="164">
        <f t="shared" si="21"/>
        <v>2281.25</v>
      </c>
      <c r="K650" s="164"/>
      <c r="L650" s="164"/>
      <c r="M650" s="164"/>
      <c r="N650" s="164"/>
      <c r="O650" s="166"/>
      <c r="P650" s="166"/>
      <c r="Q650" s="166"/>
      <c r="R650" s="166"/>
      <c r="S650" s="166"/>
      <c r="T650" s="166"/>
      <c r="U650" s="166"/>
      <c r="V650" s="166"/>
      <c r="W650" s="166"/>
      <c r="X650" s="166"/>
      <c r="Y650" s="166"/>
      <c r="Z650" s="166"/>
      <c r="AA650" s="166"/>
      <c r="AB650" s="166"/>
      <c r="AC650" s="166"/>
      <c r="AD650" s="166"/>
      <c r="AE650" s="166"/>
      <c r="AF650" s="166"/>
      <c r="AG650" s="166"/>
      <c r="AH650" s="166"/>
      <c r="AI650" s="166"/>
    </row>
    <row r="651" spans="1:35" x14ac:dyDescent="0.2">
      <c r="A651" s="167" t="s">
        <v>129</v>
      </c>
      <c r="B651" s="162">
        <v>13</v>
      </c>
      <c r="C651" s="162">
        <f t="shared" si="20"/>
        <v>2463.75</v>
      </c>
      <c r="D651" s="162" t="s">
        <v>163</v>
      </c>
      <c r="E651" s="168">
        <v>4857714463323.6846</v>
      </c>
      <c r="F651" s="168">
        <v>4857714463.3236847</v>
      </c>
      <c r="G651" s="168">
        <v>4857714.4633236844</v>
      </c>
      <c r="H651" s="168">
        <v>4857.7144633236849</v>
      </c>
      <c r="I651" s="164">
        <f>H651*$O$9/0.1*INDEX(Country_details!$N$9:N801,MATCH(Solar_data!A651,Country_details!$A$9:$A$154,0))</f>
        <v>10929.857542478288</v>
      </c>
      <c r="J651" s="164">
        <f t="shared" si="21"/>
        <v>2463.75</v>
      </c>
      <c r="K651" s="164"/>
      <c r="L651" s="164"/>
      <c r="M651" s="164"/>
      <c r="N651" s="164"/>
      <c r="O651" s="166"/>
      <c r="P651" s="166"/>
      <c r="Q651" s="166"/>
      <c r="R651" s="166"/>
      <c r="S651" s="166"/>
      <c r="T651" s="166"/>
      <c r="U651" s="166"/>
      <c r="V651" s="166"/>
      <c r="W651" s="166"/>
      <c r="X651" s="166"/>
      <c r="Y651" s="166"/>
      <c r="Z651" s="166"/>
      <c r="AA651" s="166"/>
      <c r="AB651" s="166"/>
      <c r="AC651" s="166"/>
      <c r="AD651" s="166"/>
      <c r="AE651" s="166"/>
      <c r="AF651" s="166"/>
      <c r="AG651" s="166"/>
      <c r="AH651" s="166"/>
      <c r="AI651" s="166"/>
    </row>
    <row r="652" spans="1:35" x14ac:dyDescent="0.2">
      <c r="A652" s="167" t="s">
        <v>129</v>
      </c>
      <c r="B652" s="162">
        <v>14</v>
      </c>
      <c r="C652" s="162">
        <f t="shared" si="20"/>
        <v>2646.25</v>
      </c>
      <c r="D652" s="162" t="s">
        <v>165</v>
      </c>
      <c r="E652" s="168">
        <v>79351307463.236298</v>
      </c>
      <c r="F652" s="168">
        <v>79351307.463236302</v>
      </c>
      <c r="G652" s="168">
        <v>79351.307463236299</v>
      </c>
      <c r="H652" s="168">
        <v>79.351307463236296</v>
      </c>
      <c r="I652" s="164">
        <f>H652*$O$9/0.1*INDEX(Country_details!$N$9:N802,MATCH(Solar_data!A652,Country_details!$A$9:$A$154,0))</f>
        <v>178.54044179228165</v>
      </c>
      <c r="J652" s="164">
        <f t="shared" si="21"/>
        <v>2646.25</v>
      </c>
      <c r="K652" s="164"/>
      <c r="L652" s="164"/>
      <c r="M652" s="164"/>
      <c r="N652" s="164"/>
      <c r="O652" s="166"/>
      <c r="P652" s="166"/>
      <c r="Q652" s="166"/>
      <c r="R652" s="166"/>
      <c r="S652" s="166"/>
      <c r="T652" s="166"/>
      <c r="U652" s="166"/>
      <c r="V652" s="166"/>
      <c r="W652" s="166"/>
      <c r="X652" s="166"/>
      <c r="Y652" s="166"/>
      <c r="Z652" s="166"/>
      <c r="AA652" s="166"/>
      <c r="AB652" s="166"/>
      <c r="AC652" s="166"/>
      <c r="AD652" s="166"/>
      <c r="AE652" s="166"/>
      <c r="AF652" s="166"/>
      <c r="AG652" s="166"/>
      <c r="AH652" s="166"/>
      <c r="AI652" s="166"/>
    </row>
    <row r="653" spans="1:35" x14ac:dyDescent="0.2">
      <c r="A653" s="167" t="s">
        <v>130</v>
      </c>
      <c r="B653" s="162">
        <v>9</v>
      </c>
      <c r="C653" s="162">
        <f t="shared" si="20"/>
        <v>1733.75</v>
      </c>
      <c r="D653" s="162" t="s">
        <v>157</v>
      </c>
      <c r="E653" s="168">
        <v>6318899993.4300003</v>
      </c>
      <c r="F653" s="168">
        <v>6318899.9934300007</v>
      </c>
      <c r="G653" s="168">
        <v>6318.8999934300009</v>
      </c>
      <c r="H653" s="168">
        <v>6.3188999934300014</v>
      </c>
      <c r="I653" s="164">
        <f>H653*$O$9/0.1*INDEX(Country_details!$N$9:N803,MATCH(Solar_data!A653,Country_details!$A$9:$A$154,0))</f>
        <v>16.113194983246505</v>
      </c>
      <c r="J653" s="164">
        <f t="shared" si="21"/>
        <v>1733.75</v>
      </c>
      <c r="K653" s="164"/>
      <c r="L653" s="164"/>
      <c r="M653" s="164"/>
      <c r="N653" s="164"/>
      <c r="O653" s="166"/>
      <c r="P653" s="166"/>
      <c r="Q653" s="166"/>
      <c r="R653" s="166"/>
      <c r="S653" s="166"/>
      <c r="T653" s="166"/>
      <c r="U653" s="166"/>
      <c r="V653" s="166"/>
      <c r="W653" s="166"/>
      <c r="X653" s="166"/>
      <c r="Y653" s="166"/>
      <c r="Z653" s="166"/>
      <c r="AA653" s="166"/>
      <c r="AB653" s="166"/>
      <c r="AC653" s="166"/>
      <c r="AD653" s="166"/>
      <c r="AE653" s="166"/>
      <c r="AF653" s="166"/>
      <c r="AG653" s="166"/>
      <c r="AH653" s="166"/>
      <c r="AI653" s="166"/>
    </row>
    <row r="654" spans="1:35" x14ac:dyDescent="0.2">
      <c r="A654" s="167" t="s">
        <v>130</v>
      </c>
      <c r="B654" s="162">
        <v>10</v>
      </c>
      <c r="C654" s="162">
        <f t="shared" si="20"/>
        <v>1916.25</v>
      </c>
      <c r="D654" s="162" t="s">
        <v>159</v>
      </c>
      <c r="E654" s="168">
        <v>396137037501.38062</v>
      </c>
      <c r="F654" s="168">
        <v>396137037.50138062</v>
      </c>
      <c r="G654" s="168">
        <v>396137.0375013806</v>
      </c>
      <c r="H654" s="168">
        <v>396.13703750138063</v>
      </c>
      <c r="I654" s="164">
        <f>H654*$O$9/0.1*INDEX(Country_details!$N$9:N804,MATCH(Solar_data!A654,Country_details!$A$9:$A$154,0))</f>
        <v>1010.1494456285205</v>
      </c>
      <c r="J654" s="164">
        <f t="shared" si="21"/>
        <v>1916.25</v>
      </c>
      <c r="K654" s="164"/>
      <c r="L654" s="164"/>
      <c r="M654" s="164"/>
      <c r="N654" s="164"/>
      <c r="O654" s="166"/>
      <c r="P654" s="166"/>
      <c r="Q654" s="166"/>
      <c r="R654" s="166"/>
      <c r="S654" s="166"/>
      <c r="T654" s="166"/>
      <c r="U654" s="166"/>
      <c r="V654" s="166"/>
      <c r="W654" s="166"/>
      <c r="X654" s="166"/>
      <c r="Y654" s="166"/>
      <c r="Z654" s="166"/>
      <c r="AA654" s="166"/>
      <c r="AB654" s="166"/>
      <c r="AC654" s="166"/>
      <c r="AD654" s="166"/>
      <c r="AE654" s="166"/>
      <c r="AF654" s="166"/>
      <c r="AG654" s="166"/>
      <c r="AH654" s="166"/>
      <c r="AI654" s="166"/>
    </row>
    <row r="655" spans="1:35" x14ac:dyDescent="0.2">
      <c r="A655" s="167" t="s">
        <v>130</v>
      </c>
      <c r="B655" s="162">
        <v>12</v>
      </c>
      <c r="C655" s="162">
        <f t="shared" si="20"/>
        <v>2281.25</v>
      </c>
      <c r="D655" s="162" t="s">
        <v>162</v>
      </c>
      <c r="E655" s="168">
        <v>479527.46720000001</v>
      </c>
      <c r="F655" s="168">
        <v>479.52746720000005</v>
      </c>
      <c r="G655" s="168">
        <v>0.47952746720000006</v>
      </c>
      <c r="H655" s="168">
        <v>4.7952746720000009E-4</v>
      </c>
      <c r="I655" s="164">
        <f>H655*$O$9/0.1*INDEX(Country_details!$N$9:N805,MATCH(Solar_data!A655,Country_details!$A$9:$A$154,0))</f>
        <v>1.2227950413600003E-3</v>
      </c>
      <c r="J655" s="164">
        <f t="shared" si="21"/>
        <v>2281.25</v>
      </c>
      <c r="K655" s="164"/>
      <c r="L655" s="164"/>
      <c r="M655" s="164"/>
      <c r="N655" s="164"/>
      <c r="O655" s="166"/>
      <c r="P655" s="166"/>
      <c r="Q655" s="166"/>
      <c r="R655" s="166"/>
      <c r="S655" s="166"/>
      <c r="T655" s="166"/>
      <c r="U655" s="166"/>
      <c r="V655" s="166"/>
      <c r="W655" s="166"/>
      <c r="X655" s="166"/>
      <c r="Y655" s="166"/>
      <c r="Z655" s="166"/>
      <c r="AA655" s="166"/>
      <c r="AB655" s="166"/>
      <c r="AC655" s="166"/>
      <c r="AD655" s="166"/>
      <c r="AE655" s="166"/>
      <c r="AF655" s="166"/>
      <c r="AG655" s="166"/>
      <c r="AH655" s="166"/>
      <c r="AI655" s="166"/>
    </row>
    <row r="656" spans="1:35" x14ac:dyDescent="0.2">
      <c r="A656" s="167" t="s">
        <v>276</v>
      </c>
      <c r="B656" s="162">
        <v>3</v>
      </c>
      <c r="C656" s="162">
        <f t="shared" si="20"/>
        <v>638.75</v>
      </c>
      <c r="D656" s="162" t="s">
        <v>170</v>
      </c>
      <c r="E656" s="168">
        <v>41501284081.9282</v>
      </c>
      <c r="F656" s="168">
        <v>41501284.081928201</v>
      </c>
      <c r="G656" s="168">
        <v>41501.284081928199</v>
      </c>
      <c r="H656" s="168">
        <v>41.501284081928198</v>
      </c>
      <c r="I656" s="164" t="e">
        <f>H656*$O$9/0.1*INDEX(Country_details!$N$9:N806,MATCH(Solar_data!A656,Country_details!$A$9:$A$154,0))</f>
        <v>#N/A</v>
      </c>
      <c r="J656" s="164">
        <f t="shared" si="21"/>
        <v>638.75</v>
      </c>
      <c r="K656" s="164"/>
      <c r="L656" s="164"/>
      <c r="M656" s="164"/>
      <c r="N656" s="164"/>
      <c r="O656" s="166"/>
      <c r="P656" s="166"/>
      <c r="Q656" s="166"/>
      <c r="R656" s="166"/>
      <c r="S656" s="166"/>
      <c r="T656" s="166"/>
      <c r="U656" s="166"/>
      <c r="V656" s="166"/>
      <c r="W656" s="166"/>
      <c r="X656" s="166"/>
      <c r="Y656" s="166"/>
      <c r="Z656" s="166"/>
      <c r="AA656" s="166"/>
      <c r="AB656" s="166"/>
      <c r="AC656" s="166"/>
      <c r="AD656" s="166"/>
      <c r="AE656" s="166"/>
      <c r="AF656" s="166"/>
      <c r="AG656" s="166"/>
      <c r="AH656" s="166"/>
      <c r="AI656" s="166"/>
    </row>
    <row r="657" spans="1:35" x14ac:dyDescent="0.2">
      <c r="A657" s="167" t="s">
        <v>276</v>
      </c>
      <c r="B657" s="162">
        <v>4</v>
      </c>
      <c r="C657" s="162">
        <f t="shared" si="20"/>
        <v>821.25</v>
      </c>
      <c r="D657" s="162" t="s">
        <v>171</v>
      </c>
      <c r="E657" s="168">
        <v>20689589320.1325</v>
      </c>
      <c r="F657" s="168">
        <v>20689589.320132501</v>
      </c>
      <c r="G657" s="168">
        <v>20689.589320132502</v>
      </c>
      <c r="H657" s="168">
        <v>20.689589320132502</v>
      </c>
      <c r="I657" s="164" t="e">
        <f>H657*$O$9/0.1*INDEX(Country_details!$N$9:N807,MATCH(Solar_data!A657,Country_details!$A$9:$A$154,0))</f>
        <v>#N/A</v>
      </c>
      <c r="J657" s="164">
        <f t="shared" si="21"/>
        <v>821.25</v>
      </c>
      <c r="K657" s="164"/>
      <c r="L657" s="164"/>
      <c r="M657" s="164"/>
      <c r="N657" s="164"/>
      <c r="O657" s="166"/>
      <c r="P657" s="166"/>
      <c r="Q657" s="166"/>
      <c r="R657" s="166"/>
      <c r="S657" s="166"/>
      <c r="T657" s="166"/>
      <c r="U657" s="166"/>
      <c r="V657" s="166"/>
      <c r="W657" s="166"/>
      <c r="X657" s="166"/>
      <c r="Y657" s="166"/>
      <c r="Z657" s="166"/>
      <c r="AA657" s="166"/>
      <c r="AB657" s="166"/>
      <c r="AC657" s="166"/>
      <c r="AD657" s="166"/>
      <c r="AE657" s="166"/>
      <c r="AF657" s="166"/>
      <c r="AG657" s="166"/>
      <c r="AH657" s="166"/>
      <c r="AI657" s="166"/>
    </row>
    <row r="658" spans="1:35" x14ac:dyDescent="0.2">
      <c r="A658" s="167" t="s">
        <v>276</v>
      </c>
      <c r="B658" s="162">
        <v>5</v>
      </c>
      <c r="C658" s="162">
        <f t="shared" si="20"/>
        <v>1003.75</v>
      </c>
      <c r="D658" s="162" t="s">
        <v>172</v>
      </c>
      <c r="E658" s="168">
        <v>2311485695.0599999</v>
      </c>
      <c r="F658" s="168">
        <v>2311485.6950599998</v>
      </c>
      <c r="G658" s="168">
        <v>2311.4856950599997</v>
      </c>
      <c r="H658" s="168">
        <v>2.3114856950599996</v>
      </c>
      <c r="I658" s="164" t="e">
        <f>H658*$O$9/0.1*INDEX(Country_details!$N$9:N808,MATCH(Solar_data!A658,Country_details!$A$9:$A$154,0))</f>
        <v>#N/A</v>
      </c>
      <c r="J658" s="164">
        <f t="shared" si="21"/>
        <v>1003.75</v>
      </c>
      <c r="K658" s="164"/>
      <c r="L658" s="164"/>
      <c r="M658" s="164"/>
      <c r="N658" s="164"/>
      <c r="O658" s="166"/>
      <c r="P658" s="166"/>
      <c r="Q658" s="166"/>
      <c r="R658" s="166"/>
      <c r="S658" s="166"/>
      <c r="T658" s="166"/>
      <c r="U658" s="166"/>
      <c r="V658" s="166"/>
      <c r="W658" s="166"/>
      <c r="X658" s="166"/>
      <c r="Y658" s="166"/>
      <c r="Z658" s="166"/>
      <c r="AA658" s="166"/>
      <c r="AB658" s="166"/>
      <c r="AC658" s="166"/>
      <c r="AD658" s="166"/>
      <c r="AE658" s="166"/>
      <c r="AF658" s="166"/>
      <c r="AG658" s="166"/>
      <c r="AH658" s="166"/>
      <c r="AI658" s="166"/>
    </row>
    <row r="659" spans="1:35" x14ac:dyDescent="0.2">
      <c r="A659" s="167" t="s">
        <v>131</v>
      </c>
      <c r="B659" s="162">
        <v>11</v>
      </c>
      <c r="C659" s="162">
        <f t="shared" si="20"/>
        <v>2098.75</v>
      </c>
      <c r="D659" s="162" t="s">
        <v>161</v>
      </c>
      <c r="E659" s="168">
        <v>53026488925.313103</v>
      </c>
      <c r="F659" s="168">
        <v>53026488.9253131</v>
      </c>
      <c r="G659" s="168">
        <v>53026.488925313104</v>
      </c>
      <c r="H659" s="168">
        <v>53.026488925313103</v>
      </c>
      <c r="I659" s="164">
        <f>H659*$O$9/0.1*INDEX(Country_details!$N$9:N809,MATCH(Solar_data!A659,Country_details!$A$9:$A$154,0))</f>
        <v>143.17152009834538</v>
      </c>
      <c r="J659" s="164">
        <f t="shared" si="21"/>
        <v>2098.75</v>
      </c>
      <c r="K659" s="164"/>
      <c r="L659" s="164"/>
      <c r="M659" s="164"/>
      <c r="N659" s="164"/>
      <c r="O659" s="166"/>
      <c r="P659" s="166"/>
      <c r="Q659" s="166"/>
      <c r="R659" s="166"/>
      <c r="S659" s="166"/>
      <c r="T659" s="166"/>
      <c r="U659" s="166"/>
      <c r="V659" s="166"/>
      <c r="W659" s="166"/>
      <c r="X659" s="166"/>
      <c r="Y659" s="166"/>
      <c r="Z659" s="166"/>
      <c r="AA659" s="166"/>
      <c r="AB659" s="166"/>
      <c r="AC659" s="166"/>
      <c r="AD659" s="166"/>
      <c r="AE659" s="166"/>
      <c r="AF659" s="166"/>
      <c r="AG659" s="166"/>
      <c r="AH659" s="166"/>
      <c r="AI659" s="166"/>
    </row>
    <row r="660" spans="1:35" x14ac:dyDescent="0.2">
      <c r="A660" s="167" t="s">
        <v>132</v>
      </c>
      <c r="B660" s="162">
        <v>5</v>
      </c>
      <c r="C660" s="162">
        <f t="shared" si="20"/>
        <v>1003.75</v>
      </c>
      <c r="D660" s="162" t="s">
        <v>172</v>
      </c>
      <c r="E660" s="168">
        <v>547148987802.07159</v>
      </c>
      <c r="F660" s="168">
        <v>547148987.80207157</v>
      </c>
      <c r="G660" s="168">
        <v>547148.98780207161</v>
      </c>
      <c r="H660" s="168">
        <v>547.14898780207159</v>
      </c>
      <c r="I660" s="164">
        <f>H660*$O$9/0.1*INDEX(Country_details!$N$9:N810,MATCH(Solar_data!A660,Country_details!$A$9:$A$154,0))</f>
        <v>1477.302267065593</v>
      </c>
      <c r="J660" s="164">
        <f t="shared" si="21"/>
        <v>1003.75</v>
      </c>
      <c r="K660" s="164"/>
      <c r="L660" s="164"/>
      <c r="M660" s="164"/>
      <c r="N660" s="164"/>
      <c r="O660" s="166"/>
      <c r="P660" s="166"/>
      <c r="Q660" s="166"/>
      <c r="R660" s="166"/>
      <c r="S660" s="166"/>
      <c r="T660" s="166"/>
      <c r="U660" s="166"/>
      <c r="V660" s="166"/>
      <c r="W660" s="166"/>
      <c r="X660" s="166"/>
      <c r="Y660" s="166"/>
      <c r="Z660" s="166"/>
      <c r="AA660" s="166"/>
      <c r="AB660" s="166"/>
      <c r="AC660" s="166"/>
      <c r="AD660" s="166"/>
      <c r="AE660" s="166"/>
      <c r="AF660" s="166"/>
      <c r="AG660" s="166"/>
      <c r="AH660" s="166"/>
      <c r="AI660" s="166"/>
    </row>
    <row r="661" spans="1:35" x14ac:dyDescent="0.2">
      <c r="A661" s="167" t="s">
        <v>132</v>
      </c>
      <c r="B661" s="162">
        <v>6</v>
      </c>
      <c r="C661" s="162">
        <f t="shared" si="20"/>
        <v>1186.25</v>
      </c>
      <c r="D661" s="162" t="s">
        <v>173</v>
      </c>
      <c r="E661" s="168">
        <v>173276366641.0509</v>
      </c>
      <c r="F661" s="168">
        <v>173276366.6410509</v>
      </c>
      <c r="G661" s="168">
        <v>173276.3666410509</v>
      </c>
      <c r="H661" s="168">
        <v>173.27636664105091</v>
      </c>
      <c r="I661" s="164">
        <f>H661*$O$9/0.1*INDEX(Country_details!$N$9:N811,MATCH(Solar_data!A661,Country_details!$A$9:$A$154,0))</f>
        <v>467.8461899308374</v>
      </c>
      <c r="J661" s="164">
        <f t="shared" si="21"/>
        <v>1186.25</v>
      </c>
      <c r="K661" s="164"/>
      <c r="L661" s="164"/>
      <c r="M661" s="164"/>
      <c r="N661" s="164"/>
      <c r="O661" s="166"/>
      <c r="P661" s="166"/>
      <c r="Q661" s="166"/>
      <c r="R661" s="166"/>
      <c r="S661" s="166"/>
      <c r="T661" s="166"/>
      <c r="U661" s="166"/>
      <c r="V661" s="166"/>
      <c r="W661" s="166"/>
      <c r="X661" s="166"/>
      <c r="Y661" s="166"/>
      <c r="Z661" s="166"/>
      <c r="AA661" s="166"/>
      <c r="AB661" s="166"/>
      <c r="AC661" s="166"/>
      <c r="AD661" s="166"/>
      <c r="AE661" s="166"/>
      <c r="AF661" s="166"/>
      <c r="AG661" s="166"/>
      <c r="AH661" s="166"/>
      <c r="AI661" s="166"/>
    </row>
    <row r="662" spans="1:35" x14ac:dyDescent="0.2">
      <c r="A662" s="167" t="s">
        <v>132</v>
      </c>
      <c r="B662" s="162">
        <v>7</v>
      </c>
      <c r="C662" s="162">
        <f t="shared" si="20"/>
        <v>1368.75</v>
      </c>
      <c r="D662" s="162" t="s">
        <v>174</v>
      </c>
      <c r="E662" s="168">
        <v>3038742.4742999999</v>
      </c>
      <c r="F662" s="168">
        <v>3038.7424743000001</v>
      </c>
      <c r="G662" s="168">
        <v>3.0387424743000002</v>
      </c>
      <c r="H662" s="168">
        <v>3.0387424743000004E-3</v>
      </c>
      <c r="I662" s="164">
        <f>H662*$O$9/0.1*INDEX(Country_details!$N$9:N812,MATCH(Solar_data!A662,Country_details!$A$9:$A$154,0))</f>
        <v>8.2046046806099997E-3</v>
      </c>
      <c r="J662" s="164">
        <f t="shared" si="21"/>
        <v>1368.75</v>
      </c>
      <c r="K662" s="164"/>
      <c r="L662" s="164"/>
      <c r="M662" s="164"/>
      <c r="N662" s="164"/>
      <c r="O662" s="166"/>
      <c r="P662" s="166"/>
      <c r="Q662" s="166"/>
      <c r="R662" s="166"/>
      <c r="S662" s="166"/>
      <c r="T662" s="166"/>
      <c r="U662" s="166"/>
      <c r="V662" s="166"/>
      <c r="W662" s="166"/>
      <c r="X662" s="166"/>
      <c r="Y662" s="166"/>
      <c r="Z662" s="166"/>
      <c r="AA662" s="166"/>
      <c r="AB662" s="166"/>
      <c r="AC662" s="166"/>
      <c r="AD662" s="166"/>
      <c r="AE662" s="166"/>
      <c r="AF662" s="166"/>
      <c r="AG662" s="166"/>
      <c r="AH662" s="166"/>
      <c r="AI662" s="166"/>
    </row>
    <row r="663" spans="1:35" x14ac:dyDescent="0.2">
      <c r="A663" s="167" t="s">
        <v>133</v>
      </c>
      <c r="B663" s="162">
        <v>6</v>
      </c>
      <c r="C663" s="162">
        <f t="shared" si="20"/>
        <v>1186.25</v>
      </c>
      <c r="D663" s="162" t="s">
        <v>173</v>
      </c>
      <c r="E663" s="168">
        <v>12978742788.485001</v>
      </c>
      <c r="F663" s="168">
        <v>12978742.788485002</v>
      </c>
      <c r="G663" s="168">
        <v>12978.742788485002</v>
      </c>
      <c r="H663" s="168">
        <v>12.978742788485002</v>
      </c>
      <c r="I663" s="164">
        <f>H663*$O$9/0.1*INDEX(Country_details!$N$9:N813,MATCH(Solar_data!A663,Country_details!$A$9:$A$154,0))</f>
        <v>35.042605528909505</v>
      </c>
      <c r="J663" s="164">
        <f t="shared" si="21"/>
        <v>1186.25</v>
      </c>
      <c r="K663" s="164"/>
      <c r="L663" s="164"/>
      <c r="M663" s="164"/>
      <c r="N663" s="164"/>
      <c r="O663" s="166"/>
      <c r="P663" s="166"/>
      <c r="Q663" s="166"/>
      <c r="R663" s="166"/>
      <c r="S663" s="166"/>
      <c r="T663" s="166"/>
      <c r="U663" s="166"/>
      <c r="V663" s="166"/>
      <c r="W663" s="166"/>
      <c r="X663" s="166"/>
      <c r="Y663" s="166"/>
      <c r="Z663" s="166"/>
      <c r="AA663" s="166"/>
      <c r="AB663" s="166"/>
      <c r="AC663" s="166"/>
      <c r="AD663" s="166"/>
      <c r="AE663" s="166"/>
      <c r="AF663" s="166"/>
      <c r="AG663" s="166"/>
      <c r="AH663" s="166"/>
      <c r="AI663" s="166"/>
    </row>
    <row r="664" spans="1:35" x14ac:dyDescent="0.2">
      <c r="A664" s="167" t="s">
        <v>133</v>
      </c>
      <c r="B664" s="162">
        <v>7</v>
      </c>
      <c r="C664" s="162">
        <f t="shared" si="20"/>
        <v>1368.75</v>
      </c>
      <c r="D664" s="162" t="s">
        <v>174</v>
      </c>
      <c r="E664" s="168">
        <v>35457192710.358002</v>
      </c>
      <c r="F664" s="168">
        <v>35457192.710358001</v>
      </c>
      <c r="G664" s="168">
        <v>35457.192710358002</v>
      </c>
      <c r="H664" s="168">
        <v>35.457192710358001</v>
      </c>
      <c r="I664" s="164">
        <f>H664*$O$9/0.1*INDEX(Country_details!$N$9:N814,MATCH(Solar_data!A664,Country_details!$A$9:$A$154,0))</f>
        <v>95.73442031796661</v>
      </c>
      <c r="J664" s="164">
        <f t="shared" si="21"/>
        <v>1368.75</v>
      </c>
      <c r="K664" s="164"/>
      <c r="L664" s="164"/>
      <c r="M664" s="164"/>
      <c r="N664" s="164"/>
      <c r="O664" s="166"/>
      <c r="P664" s="166"/>
      <c r="Q664" s="166"/>
      <c r="R664" s="166"/>
      <c r="S664" s="166"/>
      <c r="T664" s="166"/>
      <c r="U664" s="166"/>
      <c r="V664" s="166"/>
      <c r="W664" s="166"/>
      <c r="X664" s="166"/>
      <c r="Y664" s="166"/>
      <c r="Z664" s="166"/>
      <c r="AA664" s="166"/>
      <c r="AB664" s="166"/>
      <c r="AC664" s="166"/>
      <c r="AD664" s="166"/>
      <c r="AE664" s="166"/>
      <c r="AF664" s="166"/>
      <c r="AG664" s="166"/>
      <c r="AH664" s="166"/>
      <c r="AI664" s="166"/>
    </row>
    <row r="665" spans="1:35" x14ac:dyDescent="0.2">
      <c r="A665" s="167" t="s">
        <v>133</v>
      </c>
      <c r="B665" s="162">
        <v>8</v>
      </c>
      <c r="C665" s="162">
        <f t="shared" si="20"/>
        <v>1551.25</v>
      </c>
      <c r="D665" s="162" t="s">
        <v>164</v>
      </c>
      <c r="E665" s="168">
        <v>25938611486.067001</v>
      </c>
      <c r="F665" s="168">
        <v>25938611.486067001</v>
      </c>
      <c r="G665" s="168">
        <v>25938.611486067002</v>
      </c>
      <c r="H665" s="168">
        <v>25.938611486067003</v>
      </c>
      <c r="I665" s="164">
        <f>H665*$O$9/0.1*INDEX(Country_details!$N$9:N815,MATCH(Solar_data!A665,Country_details!$A$9:$A$154,0))</f>
        <v>70.034251012380892</v>
      </c>
      <c r="J665" s="164">
        <f t="shared" si="21"/>
        <v>1551.25</v>
      </c>
      <c r="K665" s="164"/>
      <c r="L665" s="164"/>
      <c r="M665" s="164"/>
      <c r="N665" s="164"/>
      <c r="O665" s="166"/>
      <c r="P665" s="166"/>
      <c r="Q665" s="166"/>
      <c r="R665" s="166"/>
      <c r="S665" s="166"/>
      <c r="T665" s="166"/>
      <c r="U665" s="166"/>
      <c r="V665" s="166"/>
      <c r="W665" s="166"/>
      <c r="X665" s="166"/>
      <c r="Y665" s="166"/>
      <c r="Z665" s="166"/>
      <c r="AA665" s="166"/>
      <c r="AB665" s="166"/>
      <c r="AC665" s="166"/>
      <c r="AD665" s="166"/>
      <c r="AE665" s="166"/>
      <c r="AF665" s="166"/>
      <c r="AG665" s="166"/>
      <c r="AH665" s="166"/>
      <c r="AI665" s="166"/>
    </row>
    <row r="666" spans="1:35" x14ac:dyDescent="0.2">
      <c r="A666" s="167" t="s">
        <v>133</v>
      </c>
      <c r="B666" s="162">
        <v>9</v>
      </c>
      <c r="C666" s="162">
        <f t="shared" si="20"/>
        <v>1733.75</v>
      </c>
      <c r="D666" s="162" t="s">
        <v>157</v>
      </c>
      <c r="E666" s="168">
        <v>15978804664.6213</v>
      </c>
      <c r="F666" s="168">
        <v>15978804.664621301</v>
      </c>
      <c r="G666" s="168">
        <v>15978.804664621301</v>
      </c>
      <c r="H666" s="168">
        <v>15.9788046646213</v>
      </c>
      <c r="I666" s="164">
        <f>H666*$O$9/0.1*INDEX(Country_details!$N$9:N816,MATCH(Solar_data!A666,Country_details!$A$9:$A$154,0))</f>
        <v>43.142772594477506</v>
      </c>
      <c r="J666" s="164">
        <f t="shared" si="21"/>
        <v>1733.75</v>
      </c>
      <c r="K666" s="164"/>
      <c r="L666" s="164"/>
      <c r="M666" s="164"/>
      <c r="N666" s="164"/>
      <c r="O666" s="166"/>
      <c r="P666" s="166"/>
      <c r="Q666" s="166"/>
      <c r="R666" s="166"/>
      <c r="S666" s="166"/>
      <c r="T666" s="166"/>
      <c r="U666" s="166"/>
      <c r="V666" s="166"/>
      <c r="W666" s="166"/>
      <c r="X666" s="166"/>
      <c r="Y666" s="166"/>
      <c r="Z666" s="166"/>
      <c r="AA666" s="166"/>
      <c r="AB666" s="166"/>
      <c r="AC666" s="166"/>
      <c r="AD666" s="166"/>
      <c r="AE666" s="166"/>
      <c r="AF666" s="166"/>
      <c r="AG666" s="166"/>
      <c r="AH666" s="166"/>
      <c r="AI666" s="166"/>
    </row>
    <row r="667" spans="1:35" x14ac:dyDescent="0.2">
      <c r="A667" s="167" t="s">
        <v>133</v>
      </c>
      <c r="B667" s="162">
        <v>10</v>
      </c>
      <c r="C667" s="162">
        <f t="shared" si="20"/>
        <v>1916.25</v>
      </c>
      <c r="D667" s="162" t="s">
        <v>159</v>
      </c>
      <c r="E667" s="168">
        <v>677530301.80869997</v>
      </c>
      <c r="F667" s="168">
        <v>677530.30180869997</v>
      </c>
      <c r="G667" s="168">
        <v>677.53030180869996</v>
      </c>
      <c r="H667" s="168">
        <v>0.6775303018087</v>
      </c>
      <c r="I667" s="164">
        <f>H667*$O$9/0.1*INDEX(Country_details!$N$9:N817,MATCH(Solar_data!A667,Country_details!$A$9:$A$154,0))</f>
        <v>1.8293318148834898</v>
      </c>
      <c r="J667" s="164">
        <f t="shared" si="21"/>
        <v>1916.25</v>
      </c>
      <c r="K667" s="164"/>
      <c r="L667" s="164"/>
      <c r="M667" s="164"/>
      <c r="N667" s="164"/>
      <c r="O667" s="166"/>
      <c r="P667" s="166"/>
      <c r="Q667" s="166"/>
      <c r="R667" s="166"/>
      <c r="S667" s="166"/>
      <c r="T667" s="166"/>
      <c r="U667" s="166"/>
      <c r="V667" s="166"/>
      <c r="W667" s="166"/>
      <c r="X667" s="166"/>
      <c r="Y667" s="166"/>
      <c r="Z667" s="166"/>
      <c r="AA667" s="166"/>
      <c r="AB667" s="166"/>
      <c r="AC667" s="166"/>
      <c r="AD667" s="166"/>
      <c r="AE667" s="166"/>
      <c r="AF667" s="166"/>
      <c r="AG667" s="166"/>
      <c r="AH667" s="166"/>
      <c r="AI667" s="166"/>
    </row>
    <row r="668" spans="1:35" x14ac:dyDescent="0.2">
      <c r="A668" s="167" t="s">
        <v>277</v>
      </c>
      <c r="B668" s="162">
        <v>9</v>
      </c>
      <c r="C668" s="162">
        <f t="shared" si="20"/>
        <v>1733.75</v>
      </c>
      <c r="D668" s="162" t="s">
        <v>157</v>
      </c>
      <c r="E668" s="168">
        <v>256666549198.30609</v>
      </c>
      <c r="F668" s="168">
        <v>256666549.19830608</v>
      </c>
      <c r="G668" s="168">
        <v>256666.54919830608</v>
      </c>
      <c r="H668" s="168">
        <v>256.66654919830609</v>
      </c>
      <c r="I668" s="164">
        <f>H668*$O$9/0.1*INDEX(Country_details!$N$9:N818,MATCH(Solar_data!A668,Country_details!$A$9:$A$154,0))</f>
        <v>654.49970045568034</v>
      </c>
      <c r="J668" s="164">
        <f t="shared" si="21"/>
        <v>1733.75</v>
      </c>
      <c r="K668" s="164"/>
      <c r="L668" s="164"/>
      <c r="M668" s="164"/>
      <c r="N668" s="164"/>
      <c r="O668" s="166"/>
      <c r="P668" s="166"/>
      <c r="Q668" s="166"/>
      <c r="R668" s="166"/>
      <c r="S668" s="166"/>
      <c r="T668" s="166"/>
      <c r="U668" s="166"/>
      <c r="V668" s="166"/>
      <c r="W668" s="166"/>
      <c r="X668" s="166"/>
      <c r="Y668" s="166"/>
      <c r="Z668" s="166"/>
      <c r="AA668" s="166"/>
      <c r="AB668" s="166"/>
      <c r="AC668" s="166"/>
      <c r="AD668" s="166"/>
      <c r="AE668" s="166"/>
      <c r="AF668" s="166"/>
      <c r="AG668" s="166"/>
      <c r="AH668" s="166"/>
      <c r="AI668" s="166"/>
    </row>
    <row r="669" spans="1:35" x14ac:dyDescent="0.2">
      <c r="A669" s="167" t="s">
        <v>277</v>
      </c>
      <c r="B669" s="162">
        <v>10</v>
      </c>
      <c r="C669" s="162">
        <f t="shared" si="20"/>
        <v>1916.25</v>
      </c>
      <c r="D669" s="162" t="s">
        <v>159</v>
      </c>
      <c r="E669" s="168">
        <v>260112025696.72672</v>
      </c>
      <c r="F669" s="168">
        <v>260112025.69672671</v>
      </c>
      <c r="G669" s="168">
        <v>260112.02569672672</v>
      </c>
      <c r="H669" s="168">
        <v>260.11202569672673</v>
      </c>
      <c r="I669" s="164">
        <f>H669*$O$9/0.1*INDEX(Country_details!$N$9:N819,MATCH(Solar_data!A669,Country_details!$A$9:$A$154,0))</f>
        <v>663.28566552665302</v>
      </c>
      <c r="J669" s="164">
        <f t="shared" si="21"/>
        <v>1916.25</v>
      </c>
      <c r="K669" s="164"/>
      <c r="L669" s="164"/>
      <c r="M669" s="164"/>
      <c r="N669" s="164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  <c r="Y669" s="166"/>
      <c r="Z669" s="166"/>
      <c r="AA669" s="166"/>
      <c r="AB669" s="166"/>
      <c r="AC669" s="166"/>
      <c r="AD669" s="166"/>
      <c r="AE669" s="166"/>
      <c r="AF669" s="166"/>
      <c r="AG669" s="166"/>
      <c r="AH669" s="166"/>
      <c r="AI669" s="166"/>
    </row>
    <row r="670" spans="1:35" x14ac:dyDescent="0.2">
      <c r="A670" s="167" t="s">
        <v>277</v>
      </c>
      <c r="B670" s="162">
        <v>11</v>
      </c>
      <c r="C670" s="162">
        <f t="shared" si="20"/>
        <v>2098.75</v>
      </c>
      <c r="D670" s="162" t="s">
        <v>161</v>
      </c>
      <c r="E670" s="168">
        <v>4782279946.3801003</v>
      </c>
      <c r="F670" s="168">
        <v>4782279.9463801002</v>
      </c>
      <c r="G670" s="168">
        <v>4782.2799463801002</v>
      </c>
      <c r="H670" s="168">
        <v>4.7822799463801005</v>
      </c>
      <c r="I670" s="164">
        <f>H670*$O$9/0.1*INDEX(Country_details!$N$9:N820,MATCH(Solar_data!A670,Country_details!$A$9:$A$154,0))</f>
        <v>12.194813863269255</v>
      </c>
      <c r="J670" s="164">
        <f t="shared" si="21"/>
        <v>2098.75</v>
      </c>
      <c r="K670" s="164"/>
      <c r="L670" s="164"/>
      <c r="M670" s="164"/>
      <c r="N670" s="164"/>
      <c r="O670" s="166"/>
      <c r="P670" s="166"/>
      <c r="Q670" s="166"/>
      <c r="R670" s="166"/>
      <c r="S670" s="166"/>
      <c r="T670" s="166"/>
      <c r="U670" s="166"/>
      <c r="V670" s="166"/>
      <c r="W670" s="166"/>
      <c r="X670" s="166"/>
      <c r="Y670" s="166"/>
      <c r="Z670" s="166"/>
      <c r="AA670" s="166"/>
      <c r="AB670" s="166"/>
      <c r="AC670" s="166"/>
      <c r="AD670" s="166"/>
      <c r="AE670" s="166"/>
      <c r="AF670" s="166"/>
      <c r="AG670" s="166"/>
      <c r="AH670" s="166"/>
      <c r="AI670" s="166"/>
    </row>
    <row r="671" spans="1:35" x14ac:dyDescent="0.2">
      <c r="A671" s="167" t="s">
        <v>277</v>
      </c>
      <c r="B671" s="162">
        <v>12</v>
      </c>
      <c r="C671" s="162">
        <f t="shared" si="20"/>
        <v>2281.25</v>
      </c>
      <c r="D671" s="162" t="s">
        <v>162</v>
      </c>
      <c r="E671" s="168">
        <v>3968274659.1890001</v>
      </c>
      <c r="F671" s="168">
        <v>3968274.6591890003</v>
      </c>
      <c r="G671" s="168">
        <v>3968.2746591890004</v>
      </c>
      <c r="H671" s="168">
        <v>3.9682746591890004</v>
      </c>
      <c r="I671" s="164">
        <f>H671*$O$9/0.1*INDEX(Country_details!$N$9:N821,MATCH(Solar_data!A671,Country_details!$A$9:$A$154,0))</f>
        <v>10.11910038093195</v>
      </c>
      <c r="J671" s="164">
        <f t="shared" si="21"/>
        <v>2281.25</v>
      </c>
      <c r="K671" s="164"/>
      <c r="L671" s="164"/>
      <c r="M671" s="164"/>
      <c r="N671" s="164"/>
      <c r="O671" s="166"/>
      <c r="P671" s="166"/>
      <c r="Q671" s="166"/>
      <c r="R671" s="166"/>
      <c r="S671" s="166"/>
      <c r="T671" s="166"/>
      <c r="U671" s="166"/>
      <c r="V671" s="166"/>
      <c r="W671" s="166"/>
      <c r="X671" s="166"/>
      <c r="Y671" s="166"/>
      <c r="Z671" s="166"/>
      <c r="AA671" s="166"/>
      <c r="AB671" s="166"/>
      <c r="AC671" s="166"/>
      <c r="AD671" s="166"/>
      <c r="AE671" s="166"/>
      <c r="AF671" s="166"/>
      <c r="AG671" s="166"/>
      <c r="AH671" s="166"/>
      <c r="AI671" s="166"/>
    </row>
    <row r="672" spans="1:35" x14ac:dyDescent="0.2">
      <c r="A672" s="167" t="s">
        <v>134</v>
      </c>
      <c r="B672" s="162">
        <v>9</v>
      </c>
      <c r="C672" s="162">
        <f t="shared" si="20"/>
        <v>1733.75</v>
      </c>
      <c r="D672" s="162" t="s">
        <v>157</v>
      </c>
      <c r="E672" s="168">
        <v>124859245490.2713</v>
      </c>
      <c r="F672" s="168">
        <v>124859245.4902713</v>
      </c>
      <c r="G672" s="168">
        <v>124859.24549027131</v>
      </c>
      <c r="H672" s="168">
        <v>124.85924549027131</v>
      </c>
      <c r="I672" s="164">
        <f>H672*$O$9/0.1*INDEX(Country_details!$N$9:N822,MATCH(Solar_data!A672,Country_details!$A$9:$A$154,0))</f>
        <v>318.39107600019179</v>
      </c>
      <c r="J672" s="164">
        <f t="shared" si="21"/>
        <v>1733.75</v>
      </c>
      <c r="K672" s="164"/>
      <c r="L672" s="164"/>
      <c r="M672" s="164"/>
      <c r="N672" s="164"/>
      <c r="O672" s="166"/>
      <c r="P672" s="166"/>
      <c r="Q672" s="166"/>
      <c r="R672" s="166"/>
      <c r="S672" s="166"/>
      <c r="T672" s="166"/>
      <c r="U672" s="166"/>
      <c r="V672" s="166"/>
      <c r="W672" s="166"/>
      <c r="X672" s="166"/>
      <c r="Y672" s="166"/>
      <c r="Z672" s="166"/>
      <c r="AA672" s="166"/>
      <c r="AB672" s="166"/>
      <c r="AC672" s="166"/>
      <c r="AD672" s="166"/>
      <c r="AE672" s="166"/>
      <c r="AF672" s="166"/>
      <c r="AG672" s="166"/>
      <c r="AH672" s="166"/>
      <c r="AI672" s="166"/>
    </row>
    <row r="673" spans="1:35" x14ac:dyDescent="0.2">
      <c r="A673" s="167" t="s">
        <v>134</v>
      </c>
      <c r="B673" s="162">
        <v>10</v>
      </c>
      <c r="C673" s="162">
        <f t="shared" si="20"/>
        <v>1916.25</v>
      </c>
      <c r="D673" s="162" t="s">
        <v>159</v>
      </c>
      <c r="E673" s="168">
        <v>200748023838.30289</v>
      </c>
      <c r="F673" s="168">
        <v>200748023.83830288</v>
      </c>
      <c r="G673" s="168">
        <v>200748.02383830288</v>
      </c>
      <c r="H673" s="168">
        <v>200.74802383830288</v>
      </c>
      <c r="I673" s="164">
        <f>H673*$O$9/0.1*INDEX(Country_details!$N$9:N823,MATCH(Solar_data!A673,Country_details!$A$9:$A$154,0))</f>
        <v>511.90746078767228</v>
      </c>
      <c r="J673" s="164">
        <f t="shared" si="21"/>
        <v>1916.25</v>
      </c>
      <c r="K673" s="164"/>
      <c r="L673" s="164"/>
      <c r="M673" s="164"/>
      <c r="N673" s="164"/>
      <c r="O673" s="166"/>
      <c r="P673" s="166"/>
      <c r="Q673" s="166"/>
      <c r="R673" s="166"/>
      <c r="S673" s="166"/>
      <c r="T673" s="166"/>
      <c r="U673" s="166"/>
      <c r="V673" s="166"/>
      <c r="W673" s="166"/>
      <c r="X673" s="166"/>
      <c r="Y673" s="166"/>
      <c r="Z673" s="166"/>
      <c r="AA673" s="166"/>
      <c r="AB673" s="166"/>
      <c r="AC673" s="166"/>
      <c r="AD673" s="166"/>
      <c r="AE673" s="166"/>
      <c r="AF673" s="166"/>
      <c r="AG673" s="166"/>
      <c r="AH673" s="166"/>
      <c r="AI673" s="166"/>
    </row>
    <row r="674" spans="1:35" x14ac:dyDescent="0.2">
      <c r="A674" s="167" t="s">
        <v>134</v>
      </c>
      <c r="B674" s="162">
        <v>11</v>
      </c>
      <c r="C674" s="162">
        <f t="shared" si="20"/>
        <v>2098.75</v>
      </c>
      <c r="D674" s="162" t="s">
        <v>161</v>
      </c>
      <c r="E674" s="168">
        <v>84162410862.236801</v>
      </c>
      <c r="F674" s="168">
        <v>84162410.862236798</v>
      </c>
      <c r="G674" s="168">
        <v>84162.410862236793</v>
      </c>
      <c r="H674" s="168">
        <v>84.162410862236797</v>
      </c>
      <c r="I674" s="164">
        <f>H674*$O$9/0.1*INDEX(Country_details!$N$9:N824,MATCH(Solar_data!A674,Country_details!$A$9:$A$154,0))</f>
        <v>214.61414769870382</v>
      </c>
      <c r="J674" s="164">
        <f t="shared" si="21"/>
        <v>2098.75</v>
      </c>
      <c r="K674" s="164"/>
      <c r="L674" s="164"/>
      <c r="M674" s="164"/>
      <c r="N674" s="164"/>
      <c r="O674" s="166"/>
      <c r="P674" s="166"/>
      <c r="Q674" s="166"/>
      <c r="R674" s="166"/>
      <c r="S674" s="166"/>
      <c r="T674" s="166"/>
      <c r="U674" s="166"/>
      <c r="V674" s="166"/>
      <c r="W674" s="166"/>
      <c r="X674" s="166"/>
      <c r="Y674" s="166"/>
      <c r="Z674" s="166"/>
      <c r="AA674" s="166"/>
      <c r="AB674" s="166"/>
      <c r="AC674" s="166"/>
      <c r="AD674" s="166"/>
      <c r="AE674" s="166"/>
      <c r="AF674" s="166"/>
      <c r="AG674" s="166"/>
      <c r="AH674" s="166"/>
      <c r="AI674" s="166"/>
    </row>
    <row r="675" spans="1:35" x14ac:dyDescent="0.2">
      <c r="A675" s="167" t="s">
        <v>134</v>
      </c>
      <c r="B675" s="162">
        <v>12</v>
      </c>
      <c r="C675" s="162">
        <f t="shared" si="20"/>
        <v>2281.25</v>
      </c>
      <c r="D675" s="162" t="s">
        <v>162</v>
      </c>
      <c r="E675" s="168">
        <v>358438181.86269999</v>
      </c>
      <c r="F675" s="168">
        <v>358438.18186269997</v>
      </c>
      <c r="G675" s="168">
        <v>358.43818186269999</v>
      </c>
      <c r="H675" s="168">
        <v>0.35843818186269999</v>
      </c>
      <c r="I675" s="164">
        <f>H675*$O$9/0.1*INDEX(Country_details!$N$9:N825,MATCH(Solar_data!A675,Country_details!$A$9:$A$154,0))</f>
        <v>0.91401736374988485</v>
      </c>
      <c r="J675" s="164">
        <f t="shared" si="21"/>
        <v>2281.25</v>
      </c>
      <c r="K675" s="164"/>
      <c r="L675" s="164"/>
      <c r="M675" s="164"/>
      <c r="N675" s="164"/>
      <c r="O675" s="166"/>
      <c r="P675" s="166"/>
      <c r="Q675" s="166"/>
      <c r="R675" s="166"/>
      <c r="S675" s="166"/>
      <c r="T675" s="166"/>
      <c r="U675" s="166"/>
      <c r="V675" s="166"/>
      <c r="W675" s="166"/>
      <c r="X675" s="166"/>
      <c r="Y675" s="166"/>
      <c r="Z675" s="166"/>
      <c r="AA675" s="166"/>
      <c r="AB675" s="166"/>
      <c r="AC675" s="166"/>
      <c r="AD675" s="166"/>
      <c r="AE675" s="166"/>
      <c r="AF675" s="166"/>
      <c r="AG675" s="166"/>
      <c r="AH675" s="166"/>
      <c r="AI675" s="166"/>
    </row>
    <row r="676" spans="1:35" x14ac:dyDescent="0.2">
      <c r="A676" s="167" t="s">
        <v>135</v>
      </c>
      <c r="B676" s="162">
        <v>8</v>
      </c>
      <c r="C676" s="162">
        <f t="shared" si="20"/>
        <v>1551.25</v>
      </c>
      <c r="D676" s="162" t="s">
        <v>164</v>
      </c>
      <c r="E676" s="168">
        <v>129044983.999</v>
      </c>
      <c r="F676" s="168">
        <v>129044.983999</v>
      </c>
      <c r="G676" s="168">
        <v>129.04498399900001</v>
      </c>
      <c r="H676" s="168">
        <v>0.12904498399900002</v>
      </c>
      <c r="I676" s="164">
        <f>H676*$O$9/0.1*INDEX(Country_details!$N$9:N826,MATCH(Solar_data!A676,Country_details!$A$9:$A$154,0))</f>
        <v>0.32906470919745001</v>
      </c>
      <c r="J676" s="164">
        <f t="shared" si="21"/>
        <v>1551.25</v>
      </c>
      <c r="K676" s="164"/>
      <c r="L676" s="164"/>
      <c r="M676" s="164"/>
      <c r="N676" s="164"/>
      <c r="O676" s="166"/>
      <c r="P676" s="166"/>
      <c r="Q676" s="166"/>
      <c r="R676" s="166"/>
      <c r="S676" s="166"/>
      <c r="T676" s="166"/>
      <c r="U676" s="166"/>
      <c r="V676" s="166"/>
      <c r="W676" s="166"/>
      <c r="X676" s="166"/>
      <c r="Y676" s="166"/>
      <c r="Z676" s="166"/>
      <c r="AA676" s="166"/>
      <c r="AB676" s="166"/>
      <c r="AC676" s="166"/>
      <c r="AD676" s="166"/>
      <c r="AE676" s="166"/>
      <c r="AF676" s="166"/>
      <c r="AG676" s="166"/>
      <c r="AH676" s="166"/>
      <c r="AI676" s="166"/>
    </row>
    <row r="677" spans="1:35" x14ac:dyDescent="0.2">
      <c r="A677" s="167" t="s">
        <v>135</v>
      </c>
      <c r="B677" s="162">
        <v>9</v>
      </c>
      <c r="C677" s="162">
        <f t="shared" si="20"/>
        <v>1733.75</v>
      </c>
      <c r="D677" s="162" t="s">
        <v>157</v>
      </c>
      <c r="E677" s="168">
        <v>101705086733.0043</v>
      </c>
      <c r="F677" s="168">
        <v>101705086.7330043</v>
      </c>
      <c r="G677" s="168">
        <v>101705.08673300431</v>
      </c>
      <c r="H677" s="168">
        <v>101.70508673300431</v>
      </c>
      <c r="I677" s="164">
        <f>H677*$O$9/0.1*INDEX(Country_details!$N$9:N827,MATCH(Solar_data!A677,Country_details!$A$9:$A$154,0))</f>
        <v>259.34797116916093</v>
      </c>
      <c r="J677" s="164">
        <f t="shared" si="21"/>
        <v>1733.75</v>
      </c>
      <c r="K677" s="164"/>
      <c r="L677" s="164"/>
      <c r="M677" s="164"/>
      <c r="N677" s="164"/>
      <c r="O677" s="166"/>
      <c r="P677" s="166"/>
      <c r="Q677" s="166"/>
      <c r="R677" s="166"/>
      <c r="S677" s="166"/>
      <c r="T677" s="166"/>
      <c r="U677" s="166"/>
      <c r="V677" s="166"/>
      <c r="W677" s="166"/>
      <c r="X677" s="166"/>
      <c r="Y677" s="166"/>
      <c r="Z677" s="166"/>
      <c r="AA677" s="166"/>
      <c r="AB677" s="166"/>
      <c r="AC677" s="166"/>
      <c r="AD677" s="166"/>
      <c r="AE677" s="166"/>
      <c r="AF677" s="166"/>
      <c r="AG677" s="166"/>
      <c r="AH677" s="166"/>
      <c r="AI677" s="166"/>
    </row>
    <row r="678" spans="1:35" x14ac:dyDescent="0.2">
      <c r="A678" s="167" t="s">
        <v>135</v>
      </c>
      <c r="B678" s="162">
        <v>10</v>
      </c>
      <c r="C678" s="162">
        <f t="shared" si="20"/>
        <v>1916.25</v>
      </c>
      <c r="D678" s="162" t="s">
        <v>159</v>
      </c>
      <c r="E678" s="168">
        <v>1056131808561.397</v>
      </c>
      <c r="F678" s="168">
        <v>1056131808.561397</v>
      </c>
      <c r="G678" s="168">
        <v>1056131.808561397</v>
      </c>
      <c r="H678" s="168">
        <v>1056.1318085613971</v>
      </c>
      <c r="I678" s="164">
        <f>H678*$O$9/0.1*INDEX(Country_details!$N$9:N828,MATCH(Solar_data!A678,Country_details!$A$9:$A$154,0))</f>
        <v>2693.1361118315626</v>
      </c>
      <c r="J678" s="164">
        <f t="shared" si="21"/>
        <v>1916.25</v>
      </c>
      <c r="K678" s="164"/>
      <c r="L678" s="164"/>
      <c r="M678" s="164"/>
      <c r="N678" s="164"/>
      <c r="O678" s="166"/>
      <c r="P678" s="166"/>
      <c r="Q678" s="166"/>
      <c r="R678" s="166"/>
      <c r="S678" s="166"/>
      <c r="T678" s="166"/>
      <c r="U678" s="166"/>
      <c r="V678" s="166"/>
      <c r="W678" s="166"/>
      <c r="X678" s="166"/>
      <c r="Y678" s="166"/>
      <c r="Z678" s="166"/>
      <c r="AA678" s="166"/>
      <c r="AB678" s="166"/>
      <c r="AC678" s="166"/>
      <c r="AD678" s="166"/>
      <c r="AE678" s="166"/>
      <c r="AF678" s="166"/>
      <c r="AG678" s="166"/>
      <c r="AH678" s="166"/>
      <c r="AI678" s="166"/>
    </row>
    <row r="679" spans="1:35" x14ac:dyDescent="0.2">
      <c r="A679" s="167" t="s">
        <v>135</v>
      </c>
      <c r="B679" s="162">
        <v>11</v>
      </c>
      <c r="C679" s="162">
        <f t="shared" si="20"/>
        <v>2098.75</v>
      </c>
      <c r="D679" s="162" t="s">
        <v>161</v>
      </c>
      <c r="E679" s="168">
        <v>1140367701487.4951</v>
      </c>
      <c r="F679" s="168">
        <v>1140367701.4874952</v>
      </c>
      <c r="G679" s="168">
        <v>1140367.7014874951</v>
      </c>
      <c r="H679" s="168">
        <v>1140.3677014874952</v>
      </c>
      <c r="I679" s="164">
        <f>H679*$O$9/0.1*INDEX(Country_details!$N$9:N829,MATCH(Solar_data!A679,Country_details!$A$9:$A$154,0))</f>
        <v>2907.9376387931125</v>
      </c>
      <c r="J679" s="164">
        <f t="shared" si="21"/>
        <v>2098.75</v>
      </c>
      <c r="K679" s="164"/>
      <c r="L679" s="164"/>
      <c r="M679" s="164"/>
      <c r="N679" s="164"/>
      <c r="O679" s="166"/>
      <c r="P679" s="166"/>
      <c r="Q679" s="166"/>
      <c r="R679" s="166"/>
      <c r="S679" s="166"/>
      <c r="T679" s="166"/>
      <c r="U679" s="166"/>
      <c r="V679" s="166"/>
      <c r="W679" s="166"/>
      <c r="X679" s="166"/>
      <c r="Y679" s="166"/>
      <c r="Z679" s="166"/>
      <c r="AA679" s="166"/>
      <c r="AB679" s="166"/>
      <c r="AC679" s="166"/>
      <c r="AD679" s="166"/>
      <c r="AE679" s="166"/>
      <c r="AF679" s="166"/>
      <c r="AG679" s="166"/>
      <c r="AH679" s="166"/>
      <c r="AI679" s="166"/>
    </row>
    <row r="680" spans="1:35" x14ac:dyDescent="0.2">
      <c r="A680" s="167" t="s">
        <v>135</v>
      </c>
      <c r="B680" s="162">
        <v>12</v>
      </c>
      <c r="C680" s="162">
        <f t="shared" si="20"/>
        <v>2281.25</v>
      </c>
      <c r="D680" s="162" t="s">
        <v>162</v>
      </c>
      <c r="E680" s="168">
        <v>578730336880.21545</v>
      </c>
      <c r="F680" s="168">
        <v>578730336.88021553</v>
      </c>
      <c r="G680" s="168">
        <v>578730.33688021556</v>
      </c>
      <c r="H680" s="168">
        <v>578.73033688021553</v>
      </c>
      <c r="I680" s="164">
        <f>H680*$O$9/0.1*INDEX(Country_details!$N$9:N830,MATCH(Solar_data!A680,Country_details!$A$9:$A$154,0))</f>
        <v>1475.7623590445494</v>
      </c>
      <c r="J680" s="164">
        <f t="shared" si="21"/>
        <v>2281.25</v>
      </c>
      <c r="K680" s="164"/>
      <c r="L680" s="164"/>
      <c r="M680" s="164"/>
      <c r="N680" s="164"/>
      <c r="O680" s="166"/>
      <c r="P680" s="166"/>
      <c r="Q680" s="166"/>
      <c r="R680" s="166"/>
      <c r="S680" s="166"/>
      <c r="T680" s="166"/>
      <c r="U680" s="166"/>
      <c r="V680" s="166"/>
      <c r="W680" s="166"/>
      <c r="X680" s="166"/>
      <c r="Y680" s="166"/>
      <c r="Z680" s="166"/>
      <c r="AA680" s="166"/>
      <c r="AB680" s="166"/>
      <c r="AC680" s="166"/>
      <c r="AD680" s="166"/>
      <c r="AE680" s="166"/>
      <c r="AF680" s="166"/>
      <c r="AG680" s="166"/>
      <c r="AH680" s="166"/>
      <c r="AI680" s="166"/>
    </row>
    <row r="681" spans="1:35" x14ac:dyDescent="0.2">
      <c r="A681" s="167" t="s">
        <v>136</v>
      </c>
      <c r="B681" s="162">
        <v>9</v>
      </c>
      <c r="C681" s="162">
        <f t="shared" si="20"/>
        <v>1733.75</v>
      </c>
      <c r="D681" s="162" t="s">
        <v>157</v>
      </c>
      <c r="E681" s="168">
        <v>8216490389.3591003</v>
      </c>
      <c r="F681" s="168">
        <v>8216490.3893591007</v>
      </c>
      <c r="G681" s="168">
        <v>8216.4903893591018</v>
      </c>
      <c r="H681" s="168">
        <v>8.2164903893591017</v>
      </c>
      <c r="I681" s="164">
        <f>H681*$O$9/0.1*INDEX(Country_details!$N$9:N831,MATCH(Solar_data!A681,Country_details!$A$9:$A$154,0))</f>
        <v>22.184524051269577</v>
      </c>
      <c r="J681" s="164">
        <f t="shared" si="21"/>
        <v>1733.75</v>
      </c>
      <c r="K681" s="164"/>
      <c r="L681" s="164"/>
      <c r="M681" s="164"/>
      <c r="N681" s="164"/>
      <c r="O681" s="166"/>
      <c r="P681" s="166"/>
      <c r="Q681" s="166"/>
      <c r="R681" s="166"/>
      <c r="S681" s="166"/>
      <c r="T681" s="166"/>
      <c r="U681" s="166"/>
      <c r="V681" s="166"/>
      <c r="W681" s="166"/>
      <c r="X681" s="166"/>
      <c r="Y681" s="166"/>
      <c r="Z681" s="166"/>
      <c r="AA681" s="166"/>
      <c r="AB681" s="166"/>
      <c r="AC681" s="166"/>
      <c r="AD681" s="166"/>
      <c r="AE681" s="166"/>
      <c r="AF681" s="166"/>
      <c r="AG681" s="166"/>
      <c r="AH681" s="166"/>
      <c r="AI681" s="166"/>
    </row>
    <row r="682" spans="1:35" x14ac:dyDescent="0.2">
      <c r="A682" s="167" t="s">
        <v>136</v>
      </c>
      <c r="B682" s="162">
        <v>10</v>
      </c>
      <c r="C682" s="162">
        <f t="shared" si="20"/>
        <v>1916.25</v>
      </c>
      <c r="D682" s="162" t="s">
        <v>159</v>
      </c>
      <c r="E682" s="168">
        <v>469645758020.08917</v>
      </c>
      <c r="F682" s="168">
        <v>469645758.02008921</v>
      </c>
      <c r="G682" s="168">
        <v>469645.75802008924</v>
      </c>
      <c r="H682" s="168">
        <v>469.64575802008926</v>
      </c>
      <c r="I682" s="164">
        <f>H682*$O$9/0.1*INDEX(Country_details!$N$9:N832,MATCH(Solar_data!A682,Country_details!$A$9:$A$154,0))</f>
        <v>1268.043546654241</v>
      </c>
      <c r="J682" s="164">
        <f t="shared" si="21"/>
        <v>1916.25</v>
      </c>
      <c r="K682" s="164"/>
      <c r="L682" s="164"/>
      <c r="M682" s="164"/>
      <c r="N682" s="164"/>
      <c r="O682" s="166"/>
      <c r="P682" s="166"/>
      <c r="Q682" s="166"/>
      <c r="R682" s="166"/>
      <c r="S682" s="166"/>
      <c r="T682" s="166"/>
      <c r="U682" s="166"/>
      <c r="V682" s="166"/>
      <c r="W682" s="166"/>
      <c r="X682" s="166"/>
      <c r="Y682" s="166"/>
      <c r="Z682" s="166"/>
      <c r="AA682" s="166"/>
      <c r="AB682" s="166"/>
      <c r="AC682" s="166"/>
      <c r="AD682" s="166"/>
      <c r="AE682" s="166"/>
      <c r="AF682" s="166"/>
      <c r="AG682" s="166"/>
      <c r="AH682" s="166"/>
      <c r="AI682" s="166"/>
    </row>
    <row r="683" spans="1:35" x14ac:dyDescent="0.2">
      <c r="A683" s="167" t="s">
        <v>136</v>
      </c>
      <c r="B683" s="162">
        <v>11</v>
      </c>
      <c r="C683" s="162">
        <f t="shared" si="20"/>
        <v>2098.75</v>
      </c>
      <c r="D683" s="162" t="s">
        <v>161</v>
      </c>
      <c r="E683" s="168">
        <v>1079643794720.6151</v>
      </c>
      <c r="F683" s="168">
        <v>1079643794.7206151</v>
      </c>
      <c r="G683" s="168">
        <v>1079643.7947206153</v>
      </c>
      <c r="H683" s="168">
        <v>1079.6437947206152</v>
      </c>
      <c r="I683" s="164">
        <f>H683*$O$9/0.1*INDEX(Country_details!$N$9:N833,MATCH(Solar_data!A683,Country_details!$A$9:$A$154,0))</f>
        <v>2915.0382457456608</v>
      </c>
      <c r="J683" s="164">
        <f t="shared" si="21"/>
        <v>2098.75</v>
      </c>
      <c r="K683" s="164"/>
      <c r="L683" s="164"/>
      <c r="M683" s="164"/>
      <c r="N683" s="164"/>
      <c r="O683" s="166"/>
      <c r="P683" s="166"/>
      <c r="Q683" s="166"/>
      <c r="R683" s="166"/>
      <c r="S683" s="166"/>
      <c r="T683" s="166"/>
      <c r="U683" s="166"/>
      <c r="V683" s="166"/>
      <c r="W683" s="166"/>
      <c r="X683" s="166"/>
      <c r="Y683" s="166"/>
      <c r="Z683" s="166"/>
      <c r="AA683" s="166"/>
      <c r="AB683" s="166"/>
      <c r="AC683" s="166"/>
      <c r="AD683" s="166"/>
      <c r="AE683" s="166"/>
      <c r="AF683" s="166"/>
      <c r="AG683" s="166"/>
      <c r="AH683" s="166"/>
      <c r="AI683" s="166"/>
    </row>
    <row r="684" spans="1:35" x14ac:dyDescent="0.2">
      <c r="A684" s="167" t="s">
        <v>278</v>
      </c>
      <c r="B684" s="162">
        <v>9</v>
      </c>
      <c r="C684" s="162">
        <f t="shared" si="20"/>
        <v>1733.75</v>
      </c>
      <c r="D684" s="162" t="s">
        <v>157</v>
      </c>
      <c r="E684" s="168">
        <v>2351076531.6669998</v>
      </c>
      <c r="F684" s="168">
        <v>2351076.5316669997</v>
      </c>
      <c r="G684" s="168">
        <v>2351.0765316669999</v>
      </c>
      <c r="H684" s="168">
        <v>2.3510765316670001</v>
      </c>
      <c r="I684" s="164" t="e">
        <f>H684*$O$9/0.1*INDEX(Country_details!$N$9:N834,MATCH(Solar_data!A684,Country_details!$A$9:$A$154,0))</f>
        <v>#N/A</v>
      </c>
      <c r="J684" s="164">
        <f t="shared" si="21"/>
        <v>1733.75</v>
      </c>
      <c r="K684" s="164"/>
      <c r="L684" s="164"/>
      <c r="M684" s="164"/>
      <c r="N684" s="164"/>
      <c r="O684" s="166"/>
      <c r="P684" s="166"/>
      <c r="Q684" s="166"/>
      <c r="R684" s="166"/>
      <c r="S684" s="166"/>
      <c r="T684" s="166"/>
      <c r="U684" s="166"/>
      <c r="V684" s="166"/>
      <c r="W684" s="166"/>
      <c r="X684" s="166"/>
      <c r="Y684" s="166"/>
      <c r="Z684" s="166"/>
      <c r="AA684" s="166"/>
      <c r="AB684" s="166"/>
      <c r="AC684" s="166"/>
      <c r="AD684" s="166"/>
      <c r="AE684" s="166"/>
      <c r="AF684" s="166"/>
      <c r="AG684" s="166"/>
      <c r="AH684" s="166"/>
      <c r="AI684" s="166"/>
    </row>
    <row r="685" spans="1:35" x14ac:dyDescent="0.2">
      <c r="A685" s="167" t="s">
        <v>278</v>
      </c>
      <c r="B685" s="162">
        <v>10</v>
      </c>
      <c r="C685" s="162">
        <f t="shared" si="20"/>
        <v>1916.25</v>
      </c>
      <c r="D685" s="162" t="s">
        <v>159</v>
      </c>
      <c r="E685" s="168">
        <v>18531524216.013901</v>
      </c>
      <c r="F685" s="168">
        <v>18531524.216013901</v>
      </c>
      <c r="G685" s="168">
        <v>18531.524216013902</v>
      </c>
      <c r="H685" s="168">
        <v>18.531524216013903</v>
      </c>
      <c r="I685" s="164" t="e">
        <f>H685*$O$9/0.1*INDEX(Country_details!$N$9:N835,MATCH(Solar_data!A685,Country_details!$A$9:$A$154,0))</f>
        <v>#N/A</v>
      </c>
      <c r="J685" s="164">
        <f t="shared" si="21"/>
        <v>1916.25</v>
      </c>
      <c r="K685" s="164"/>
      <c r="L685" s="164"/>
      <c r="M685" s="164"/>
      <c r="N685" s="164"/>
      <c r="O685" s="166"/>
      <c r="P685" s="166"/>
      <c r="Q685" s="166"/>
      <c r="R685" s="166"/>
      <c r="S685" s="166"/>
      <c r="T685" s="166"/>
      <c r="U685" s="166"/>
      <c r="V685" s="166"/>
      <c r="W685" s="166"/>
      <c r="X685" s="166"/>
      <c r="Y685" s="166"/>
      <c r="Z685" s="166"/>
      <c r="AA685" s="166"/>
      <c r="AB685" s="166"/>
      <c r="AC685" s="166"/>
      <c r="AD685" s="166"/>
      <c r="AE685" s="166"/>
      <c r="AF685" s="166"/>
      <c r="AG685" s="166"/>
      <c r="AH685" s="166"/>
      <c r="AI685" s="166"/>
    </row>
    <row r="686" spans="1:35" x14ac:dyDescent="0.2">
      <c r="A686" s="167" t="s">
        <v>278</v>
      </c>
      <c r="B686" s="162">
        <v>11</v>
      </c>
      <c r="C686" s="162">
        <f t="shared" si="20"/>
        <v>2098.75</v>
      </c>
      <c r="D686" s="162" t="s">
        <v>161</v>
      </c>
      <c r="E686" s="168">
        <v>10545524054.3957</v>
      </c>
      <c r="F686" s="168">
        <v>10545524.0543957</v>
      </c>
      <c r="G686" s="168">
        <v>10545.524054395701</v>
      </c>
      <c r="H686" s="168">
        <v>10.545524054395701</v>
      </c>
      <c r="I686" s="164" t="e">
        <f>H686*$O$9/0.1*INDEX(Country_details!$N$9:N836,MATCH(Solar_data!A686,Country_details!$A$9:$A$154,0))</f>
        <v>#N/A</v>
      </c>
      <c r="J686" s="164">
        <f t="shared" si="21"/>
        <v>2098.75</v>
      </c>
      <c r="K686" s="164"/>
      <c r="L686" s="164"/>
      <c r="M686" s="164"/>
      <c r="N686" s="164"/>
      <c r="O686" s="166"/>
      <c r="P686" s="166"/>
      <c r="Q686" s="166"/>
      <c r="R686" s="166"/>
      <c r="S686" s="166"/>
      <c r="T686" s="166"/>
      <c r="U686" s="166"/>
      <c r="V686" s="166"/>
      <c r="W686" s="166"/>
      <c r="X686" s="166"/>
      <c r="Y686" s="166"/>
      <c r="Z686" s="166"/>
      <c r="AA686" s="166"/>
      <c r="AB686" s="166"/>
      <c r="AC686" s="166"/>
      <c r="AD686" s="166"/>
      <c r="AE686" s="166"/>
      <c r="AF686" s="166"/>
      <c r="AG686" s="166"/>
      <c r="AH686" s="166"/>
      <c r="AI686" s="166"/>
    </row>
    <row r="687" spans="1:35" x14ac:dyDescent="0.2">
      <c r="A687" s="167" t="s">
        <v>298</v>
      </c>
      <c r="B687" s="162">
        <v>10</v>
      </c>
      <c r="C687" s="162">
        <f t="shared" si="20"/>
        <v>1916.25</v>
      </c>
      <c r="D687" s="162" t="s">
        <v>159</v>
      </c>
      <c r="E687" s="168">
        <v>562622011.83220005</v>
      </c>
      <c r="F687" s="168">
        <v>562622.01183220011</v>
      </c>
      <c r="G687" s="168">
        <v>562.62201183220009</v>
      </c>
      <c r="H687" s="168">
        <v>0.56262201183220006</v>
      </c>
      <c r="I687" s="164">
        <f>H687*$O$9/0.1*INDEX(Country_details!$N$9:N837,MATCH(Solar_data!A687,Country_details!$A$9:$A$154,0))</f>
        <v>1.5190794319469403</v>
      </c>
      <c r="J687" s="164">
        <f t="shared" si="21"/>
        <v>1916.25</v>
      </c>
      <c r="K687" s="164"/>
      <c r="L687" s="164"/>
      <c r="M687" s="164"/>
      <c r="N687" s="164"/>
      <c r="O687" s="166"/>
      <c r="P687" s="166"/>
      <c r="Q687" s="166"/>
      <c r="R687" s="166"/>
      <c r="S687" s="166"/>
      <c r="T687" s="166"/>
      <c r="U687" s="166"/>
      <c r="V687" s="166"/>
      <c r="W687" s="166"/>
      <c r="X687" s="166"/>
      <c r="Y687" s="166"/>
      <c r="Z687" s="166"/>
      <c r="AA687" s="166"/>
      <c r="AB687" s="166"/>
      <c r="AC687" s="166"/>
      <c r="AD687" s="166"/>
      <c r="AE687" s="166"/>
      <c r="AF687" s="166"/>
      <c r="AG687" s="166"/>
      <c r="AH687" s="166"/>
      <c r="AI687" s="166"/>
    </row>
    <row r="688" spans="1:35" x14ac:dyDescent="0.2">
      <c r="A688" s="167" t="s">
        <v>298</v>
      </c>
      <c r="B688" s="162">
        <v>11</v>
      </c>
      <c r="C688" s="162">
        <f t="shared" si="20"/>
        <v>2098.75</v>
      </c>
      <c r="D688" s="162" t="s">
        <v>161</v>
      </c>
      <c r="E688" s="168">
        <v>30267821993.088799</v>
      </c>
      <c r="F688" s="168">
        <v>30267821.9930888</v>
      </c>
      <c r="G688" s="168">
        <v>30267.821993088801</v>
      </c>
      <c r="H688" s="168">
        <v>30.267821993088802</v>
      </c>
      <c r="I688" s="164">
        <f>H688*$O$9/0.1*INDEX(Country_details!$N$9:N838,MATCH(Solar_data!A688,Country_details!$A$9:$A$154,0))</f>
        <v>81.723119381339757</v>
      </c>
      <c r="J688" s="164">
        <f t="shared" si="21"/>
        <v>2098.75</v>
      </c>
      <c r="K688" s="164"/>
      <c r="L688" s="164"/>
      <c r="M688" s="164"/>
      <c r="N688" s="164"/>
      <c r="O688" s="166"/>
      <c r="P688" s="166"/>
      <c r="Q688" s="166"/>
      <c r="R688" s="166"/>
      <c r="S688" s="166"/>
      <c r="T688" s="166"/>
      <c r="U688" s="166"/>
      <c r="V688" s="166"/>
      <c r="W688" s="166"/>
      <c r="X688" s="166"/>
      <c r="Y688" s="166"/>
      <c r="Z688" s="166"/>
      <c r="AA688" s="166"/>
      <c r="AB688" s="166"/>
      <c r="AC688" s="166"/>
      <c r="AD688" s="166"/>
      <c r="AE688" s="166"/>
      <c r="AF688" s="166"/>
      <c r="AG688" s="166"/>
      <c r="AH688" s="166"/>
      <c r="AI688" s="166"/>
    </row>
    <row r="689" spans="1:35" x14ac:dyDescent="0.2">
      <c r="A689" s="167" t="s">
        <v>280</v>
      </c>
      <c r="B689" s="162">
        <v>11</v>
      </c>
      <c r="C689" s="162">
        <f t="shared" si="20"/>
        <v>2098.75</v>
      </c>
      <c r="D689" s="162" t="s">
        <v>161</v>
      </c>
      <c r="E689" s="168">
        <v>28610090790.200001</v>
      </c>
      <c r="F689" s="168">
        <v>28610090.790200002</v>
      </c>
      <c r="G689" s="168">
        <v>28610.090790200004</v>
      </c>
      <c r="H689" s="168">
        <v>28.610090790200005</v>
      </c>
      <c r="I689" s="164" t="e">
        <f>H689*$O$9/0.1*INDEX(Country_details!$N$9:N839,MATCH(Solar_data!A689,Country_details!$A$9:$A$154,0))</f>
        <v>#N/A</v>
      </c>
      <c r="J689" s="164">
        <f t="shared" si="21"/>
        <v>2098.75</v>
      </c>
      <c r="K689" s="164"/>
      <c r="L689" s="164"/>
      <c r="M689" s="164"/>
      <c r="N689" s="164"/>
      <c r="O689" s="166"/>
      <c r="P689" s="166"/>
      <c r="Q689" s="166"/>
      <c r="R689" s="166"/>
      <c r="S689" s="166"/>
      <c r="T689" s="166"/>
      <c r="U689" s="166"/>
      <c r="V689" s="166"/>
      <c r="W689" s="166"/>
      <c r="X689" s="166"/>
      <c r="Y689" s="166"/>
      <c r="Z689" s="166"/>
      <c r="AA689" s="166"/>
      <c r="AB689" s="166"/>
      <c r="AC689" s="166"/>
      <c r="AD689" s="166"/>
      <c r="AE689" s="166"/>
      <c r="AF689" s="166"/>
      <c r="AG689" s="166"/>
      <c r="AH689" s="166"/>
      <c r="AI689" s="166"/>
    </row>
    <row r="690" spans="1:35" x14ac:dyDescent="0.2">
      <c r="A690" s="167" t="s">
        <v>280</v>
      </c>
      <c r="B690" s="162">
        <v>12</v>
      </c>
      <c r="C690" s="162">
        <f t="shared" si="20"/>
        <v>2281.25</v>
      </c>
      <c r="D690" s="162" t="s">
        <v>162</v>
      </c>
      <c r="E690" s="168">
        <v>21814414515.470001</v>
      </c>
      <c r="F690" s="168">
        <v>21814414.515470002</v>
      </c>
      <c r="G690" s="168">
        <v>21814.414515470002</v>
      </c>
      <c r="H690" s="168">
        <v>21.814414515470002</v>
      </c>
      <c r="I690" s="164" t="e">
        <f>H690*$O$9/0.1*INDEX(Country_details!$N$9:N840,MATCH(Solar_data!A690,Country_details!$A$9:$A$154,0))</f>
        <v>#N/A</v>
      </c>
      <c r="J690" s="164">
        <f t="shared" si="21"/>
        <v>2281.25</v>
      </c>
      <c r="K690" s="164"/>
      <c r="L690" s="164"/>
      <c r="M690" s="164"/>
      <c r="N690" s="164"/>
      <c r="O690" s="166"/>
      <c r="P690" s="166"/>
      <c r="Q690" s="166"/>
      <c r="R690" s="166"/>
      <c r="S690" s="166"/>
      <c r="T690" s="166"/>
      <c r="U690" s="166"/>
      <c r="V690" s="166"/>
      <c r="W690" s="166"/>
      <c r="X690" s="166"/>
      <c r="Y690" s="166"/>
      <c r="Z690" s="166"/>
      <c r="AA690" s="166"/>
      <c r="AB690" s="166"/>
      <c r="AC690" s="166"/>
      <c r="AD690" s="166"/>
      <c r="AE690" s="166"/>
      <c r="AF690" s="166"/>
      <c r="AG690" s="166"/>
      <c r="AH690" s="166"/>
      <c r="AI690" s="166"/>
    </row>
    <row r="691" spans="1:35" x14ac:dyDescent="0.2">
      <c r="A691" s="167" t="s">
        <v>280</v>
      </c>
      <c r="B691" s="162">
        <v>13</v>
      </c>
      <c r="C691" s="162">
        <f t="shared" si="20"/>
        <v>2463.75</v>
      </c>
      <c r="D691" s="162" t="s">
        <v>163</v>
      </c>
      <c r="E691" s="168">
        <v>91922597.117400005</v>
      </c>
      <c r="F691" s="168">
        <v>91922.597117400001</v>
      </c>
      <c r="G691" s="168">
        <v>91.922597117400002</v>
      </c>
      <c r="H691" s="168">
        <v>9.1922597117400001E-2</v>
      </c>
      <c r="I691" s="164" t="e">
        <f>H691*$O$9/0.1*INDEX(Country_details!$N$9:N841,MATCH(Solar_data!A691,Country_details!$A$9:$A$154,0))</f>
        <v>#N/A</v>
      </c>
      <c r="J691" s="164">
        <f t="shared" si="21"/>
        <v>2463.75</v>
      </c>
      <c r="K691" s="164"/>
      <c r="L691" s="164"/>
      <c r="M691" s="164"/>
      <c r="N691" s="164"/>
      <c r="O691" s="166"/>
      <c r="P691" s="166"/>
      <c r="Q691" s="166"/>
      <c r="R691" s="166"/>
      <c r="S691" s="166"/>
      <c r="T691" s="166"/>
      <c r="U691" s="166"/>
      <c r="V691" s="166"/>
      <c r="W691" s="166"/>
      <c r="X691" s="166"/>
      <c r="Y691" s="166"/>
      <c r="Z691" s="166"/>
      <c r="AA691" s="166"/>
      <c r="AB691" s="166"/>
      <c r="AC691" s="166"/>
      <c r="AD691" s="166"/>
      <c r="AE691" s="166"/>
      <c r="AF691" s="166"/>
      <c r="AG691" s="166"/>
      <c r="AH691" s="166"/>
      <c r="AI691" s="166"/>
    </row>
    <row r="692" spans="1:35" x14ac:dyDescent="0.2">
      <c r="A692" s="167" t="s">
        <v>137</v>
      </c>
      <c r="B692" s="162">
        <v>9</v>
      </c>
      <c r="C692" s="162">
        <f t="shared" si="20"/>
        <v>1733.75</v>
      </c>
      <c r="D692" s="162" t="s">
        <v>157</v>
      </c>
      <c r="E692" s="168">
        <v>10916921144.7493</v>
      </c>
      <c r="F692" s="168">
        <v>10916921.144749301</v>
      </c>
      <c r="G692" s="168">
        <v>10916.921144749302</v>
      </c>
      <c r="H692" s="168">
        <v>10.916921144749303</v>
      </c>
      <c r="I692" s="164">
        <f>H692*$O$9/0.1*INDEX(Country_details!$N$9:N842,MATCH(Solar_data!A692,Country_details!$A$9:$A$154,0))</f>
        <v>29.475687090823119</v>
      </c>
      <c r="J692" s="164">
        <f t="shared" si="21"/>
        <v>1733.75</v>
      </c>
      <c r="K692" s="164"/>
      <c r="L692" s="164"/>
      <c r="M692" s="164"/>
      <c r="N692" s="164"/>
      <c r="O692" s="166"/>
      <c r="P692" s="166"/>
      <c r="Q692" s="166"/>
      <c r="R692" s="166"/>
      <c r="S692" s="166"/>
      <c r="T692" s="166"/>
      <c r="U692" s="166"/>
      <c r="V692" s="166"/>
      <c r="W692" s="166"/>
      <c r="X692" s="166"/>
      <c r="Y692" s="166"/>
      <c r="Z692" s="166"/>
      <c r="AA692" s="166"/>
      <c r="AB692" s="166"/>
      <c r="AC692" s="166"/>
      <c r="AD692" s="166"/>
      <c r="AE692" s="166"/>
      <c r="AF692" s="166"/>
      <c r="AG692" s="166"/>
      <c r="AH692" s="166"/>
      <c r="AI692" s="166"/>
    </row>
    <row r="693" spans="1:35" x14ac:dyDescent="0.2">
      <c r="A693" s="167" t="s">
        <v>137</v>
      </c>
      <c r="B693" s="162">
        <v>10</v>
      </c>
      <c r="C693" s="162">
        <f t="shared" si="20"/>
        <v>1916.25</v>
      </c>
      <c r="D693" s="162" t="s">
        <v>159</v>
      </c>
      <c r="E693" s="168">
        <v>101595526853.37579</v>
      </c>
      <c r="F693" s="168">
        <v>101595526.85337579</v>
      </c>
      <c r="G693" s="168">
        <v>101595.52685337579</v>
      </c>
      <c r="H693" s="168">
        <v>101.59552685337579</v>
      </c>
      <c r="I693" s="164">
        <f>H693*$O$9/0.1*INDEX(Country_details!$N$9:N843,MATCH(Solar_data!A693,Country_details!$A$9:$A$154,0))</f>
        <v>274.30792250411463</v>
      </c>
      <c r="J693" s="164">
        <f t="shared" si="21"/>
        <v>1916.25</v>
      </c>
      <c r="K693" s="164"/>
      <c r="L693" s="164"/>
      <c r="M693" s="164"/>
      <c r="N693" s="164"/>
      <c r="O693" s="166"/>
      <c r="P693" s="166"/>
      <c r="Q693" s="166"/>
      <c r="R693" s="166"/>
      <c r="S693" s="166"/>
      <c r="T693" s="166"/>
      <c r="U693" s="166"/>
      <c r="V693" s="166"/>
      <c r="W693" s="166"/>
      <c r="X693" s="166"/>
      <c r="Y693" s="166"/>
      <c r="Z693" s="166"/>
      <c r="AA693" s="166"/>
      <c r="AB693" s="166"/>
      <c r="AC693" s="166"/>
      <c r="AD693" s="166"/>
      <c r="AE693" s="166"/>
      <c r="AF693" s="166"/>
      <c r="AG693" s="166"/>
      <c r="AH693" s="166"/>
      <c r="AI693" s="166"/>
    </row>
    <row r="694" spans="1:35" x14ac:dyDescent="0.2">
      <c r="A694" s="167" t="s">
        <v>137</v>
      </c>
      <c r="B694" s="162">
        <v>11</v>
      </c>
      <c r="C694" s="162">
        <f t="shared" si="20"/>
        <v>2098.75</v>
      </c>
      <c r="D694" s="162" t="s">
        <v>161</v>
      </c>
      <c r="E694" s="168">
        <v>52393651774.373001</v>
      </c>
      <c r="F694" s="168">
        <v>52393651.774373002</v>
      </c>
      <c r="G694" s="168">
        <v>52393.651774373</v>
      </c>
      <c r="H694" s="168">
        <v>52.393651774372998</v>
      </c>
      <c r="I694" s="164">
        <f>H694*$O$9/0.1*INDEX(Country_details!$N$9:N844,MATCH(Solar_data!A694,Country_details!$A$9:$A$154,0))</f>
        <v>141.46285979080707</v>
      </c>
      <c r="J694" s="164">
        <f t="shared" si="21"/>
        <v>2098.75</v>
      </c>
      <c r="K694" s="164"/>
      <c r="L694" s="164"/>
      <c r="M694" s="164"/>
      <c r="N694" s="164"/>
      <c r="O694" s="166"/>
      <c r="P694" s="166"/>
      <c r="Q694" s="166"/>
      <c r="R694" s="166"/>
      <c r="S694" s="166"/>
      <c r="T694" s="166"/>
      <c r="U694" s="166"/>
      <c r="V694" s="166"/>
      <c r="W694" s="166"/>
      <c r="X694" s="166"/>
      <c r="Y694" s="166"/>
      <c r="Z694" s="166"/>
      <c r="AA694" s="166"/>
      <c r="AB694" s="166"/>
      <c r="AC694" s="166"/>
      <c r="AD694" s="166"/>
      <c r="AE694" s="166"/>
      <c r="AF694" s="166"/>
      <c r="AG694" s="166"/>
      <c r="AH694" s="166"/>
      <c r="AI694" s="166"/>
    </row>
    <row r="695" spans="1:35" x14ac:dyDescent="0.2">
      <c r="A695" s="167" t="s">
        <v>281</v>
      </c>
      <c r="B695" s="162">
        <v>10</v>
      </c>
      <c r="C695" s="162">
        <f t="shared" si="20"/>
        <v>1916.25</v>
      </c>
      <c r="D695" s="162" t="s">
        <v>159</v>
      </c>
      <c r="E695" s="168">
        <v>14276633.663899999</v>
      </c>
      <c r="F695" s="168">
        <v>14276.6336639</v>
      </c>
      <c r="G695" s="168">
        <v>14.2766336639</v>
      </c>
      <c r="H695" s="168">
        <v>1.4276633663900001E-2</v>
      </c>
      <c r="I695" s="164" t="e">
        <f>H695*$O$9/0.1*INDEX(Country_details!$N$9:N845,MATCH(Solar_data!A695,Country_details!$A$9:$A$154,0))</f>
        <v>#N/A</v>
      </c>
      <c r="J695" s="164">
        <f t="shared" si="21"/>
        <v>1916.25</v>
      </c>
      <c r="K695" s="164"/>
      <c r="L695" s="164"/>
      <c r="M695" s="164"/>
      <c r="N695" s="164"/>
      <c r="O695" s="166"/>
      <c r="P695" s="166"/>
      <c r="Q695" s="166"/>
      <c r="R695" s="166"/>
      <c r="S695" s="166"/>
      <c r="T695" s="166"/>
      <c r="U695" s="166"/>
      <c r="V695" s="166"/>
      <c r="W695" s="166"/>
      <c r="X695" s="166"/>
      <c r="Y695" s="166"/>
      <c r="Z695" s="166"/>
      <c r="AA695" s="166"/>
      <c r="AB695" s="166"/>
      <c r="AC695" s="166"/>
      <c r="AD695" s="166"/>
      <c r="AE695" s="166"/>
      <c r="AF695" s="166"/>
      <c r="AG695" s="166"/>
      <c r="AH695" s="166"/>
      <c r="AI695" s="166"/>
    </row>
    <row r="696" spans="1:35" x14ac:dyDescent="0.2">
      <c r="A696" s="167" t="s">
        <v>282</v>
      </c>
      <c r="B696" s="162">
        <v>10</v>
      </c>
      <c r="C696" s="162">
        <f t="shared" si="20"/>
        <v>1916.25</v>
      </c>
      <c r="D696" s="162" t="s">
        <v>159</v>
      </c>
      <c r="E696" s="168">
        <v>767297858.24800003</v>
      </c>
      <c r="F696" s="168">
        <v>767297.85824800003</v>
      </c>
      <c r="G696" s="168">
        <v>767.29785824800001</v>
      </c>
      <c r="H696" s="168">
        <v>0.76729785824800001</v>
      </c>
      <c r="I696" s="164" t="e">
        <f>H696*$O$9/0.1*INDEX(Country_details!$N$9:N846,MATCH(Solar_data!A696,Country_details!$A$9:$A$154,0))</f>
        <v>#N/A</v>
      </c>
      <c r="J696" s="164">
        <f t="shared" si="21"/>
        <v>1916.25</v>
      </c>
      <c r="K696" s="164"/>
      <c r="L696" s="164"/>
      <c r="M696" s="164"/>
      <c r="N696" s="164"/>
      <c r="O696" s="166"/>
      <c r="P696" s="166"/>
      <c r="Q696" s="166"/>
      <c r="R696" s="166"/>
      <c r="S696" s="166"/>
      <c r="T696" s="166"/>
      <c r="U696" s="166"/>
      <c r="V696" s="166"/>
      <c r="W696" s="166"/>
      <c r="X696" s="166"/>
      <c r="Y696" s="166"/>
      <c r="Z696" s="166"/>
      <c r="AA696" s="166"/>
      <c r="AB696" s="166"/>
      <c r="AC696" s="166"/>
      <c r="AD696" s="166"/>
      <c r="AE696" s="166"/>
      <c r="AF696" s="166"/>
      <c r="AG696" s="166"/>
      <c r="AH696" s="166"/>
      <c r="AI696" s="166"/>
    </row>
    <row r="697" spans="1:35" x14ac:dyDescent="0.2">
      <c r="A697" s="167" t="s">
        <v>283</v>
      </c>
      <c r="B697" s="162">
        <v>9</v>
      </c>
      <c r="C697" s="162">
        <f t="shared" si="20"/>
        <v>1733.75</v>
      </c>
      <c r="D697" s="162" t="s">
        <v>157</v>
      </c>
      <c r="E697" s="168">
        <v>9897990501.0522995</v>
      </c>
      <c r="F697" s="168">
        <v>9897990.5010522995</v>
      </c>
      <c r="G697" s="168">
        <v>9897.9905010522998</v>
      </c>
      <c r="H697" s="168">
        <v>9.8979905010523002</v>
      </c>
      <c r="I697" s="164">
        <f>H697*$O$9/0.1*INDEX(Country_details!$N$9:N847,MATCH(Solar_data!A697,Country_details!$A$9:$A$154,0))</f>
        <v>26.724574352841209</v>
      </c>
      <c r="J697" s="164">
        <f t="shared" si="21"/>
        <v>1733.75</v>
      </c>
      <c r="K697" s="164"/>
      <c r="L697" s="164"/>
      <c r="M697" s="164"/>
      <c r="N697" s="164"/>
      <c r="O697" s="166"/>
      <c r="P697" s="166"/>
      <c r="Q697" s="166"/>
      <c r="R697" s="166"/>
      <c r="S697" s="166"/>
      <c r="T697" s="166"/>
      <c r="U697" s="166"/>
      <c r="V697" s="166"/>
      <c r="W697" s="166"/>
      <c r="X697" s="166"/>
      <c r="Y697" s="166"/>
      <c r="Z697" s="166"/>
      <c r="AA697" s="166"/>
      <c r="AB697" s="166"/>
      <c r="AC697" s="166"/>
      <c r="AD697" s="166"/>
      <c r="AE697" s="166"/>
      <c r="AF697" s="166"/>
      <c r="AG697" s="166"/>
      <c r="AH697" s="166"/>
      <c r="AI697" s="166"/>
    </row>
    <row r="698" spans="1:35" x14ac:dyDescent="0.2">
      <c r="A698" s="167" t="s">
        <v>283</v>
      </c>
      <c r="B698" s="162">
        <v>10</v>
      </c>
      <c r="C698" s="162">
        <f t="shared" si="20"/>
        <v>1916.25</v>
      </c>
      <c r="D698" s="162" t="s">
        <v>159</v>
      </c>
      <c r="E698" s="168">
        <v>1865282231.9948001</v>
      </c>
      <c r="F698" s="168">
        <v>1865282.2319948</v>
      </c>
      <c r="G698" s="168">
        <v>1865.2822319948</v>
      </c>
      <c r="H698" s="168">
        <v>1.8652822319947999</v>
      </c>
      <c r="I698" s="164">
        <f>H698*$O$9/0.1*INDEX(Country_details!$N$9:N848,MATCH(Solar_data!A698,Country_details!$A$9:$A$154,0))</f>
        <v>5.0362620263859599</v>
      </c>
      <c r="J698" s="164">
        <f t="shared" si="21"/>
        <v>1916.25</v>
      </c>
      <c r="K698" s="164"/>
      <c r="L698" s="164"/>
      <c r="M698" s="164"/>
      <c r="N698" s="164"/>
      <c r="O698" s="166"/>
      <c r="P698" s="166"/>
      <c r="Q698" s="166"/>
      <c r="R698" s="166"/>
      <c r="S698" s="166"/>
      <c r="T698" s="166"/>
      <c r="U698" s="166"/>
      <c r="V698" s="166"/>
      <c r="W698" s="166"/>
      <c r="X698" s="166"/>
      <c r="Y698" s="166"/>
      <c r="Z698" s="166"/>
      <c r="AA698" s="166"/>
      <c r="AB698" s="166"/>
      <c r="AC698" s="166"/>
      <c r="AD698" s="166"/>
      <c r="AE698" s="166"/>
      <c r="AF698" s="166"/>
      <c r="AG698" s="166"/>
      <c r="AH698" s="166"/>
      <c r="AI698" s="166"/>
    </row>
    <row r="699" spans="1:35" x14ac:dyDescent="0.2">
      <c r="A699" s="167" t="s">
        <v>27</v>
      </c>
      <c r="B699" s="162">
        <v>9</v>
      </c>
      <c r="C699" s="162">
        <f t="shared" si="20"/>
        <v>1733.75</v>
      </c>
      <c r="D699" s="162" t="s">
        <v>157</v>
      </c>
      <c r="E699" s="168">
        <v>24925810050.081799</v>
      </c>
      <c r="F699" s="168">
        <v>24925810.050081801</v>
      </c>
      <c r="G699" s="168">
        <v>24925.8100500818</v>
      </c>
      <c r="H699" s="168">
        <v>24.9258100500818</v>
      </c>
      <c r="I699" s="164">
        <f>H699*$O$9/0.1*INDEX(Country_details!$N$9:N849,MATCH(Solar_data!A699,Country_details!$A$9:$A$154,0))</f>
        <v>59.821944120196321</v>
      </c>
      <c r="J699" s="164">
        <f t="shared" si="21"/>
        <v>1733.75</v>
      </c>
      <c r="K699" s="164"/>
      <c r="L699" s="164"/>
      <c r="M699" s="164"/>
      <c r="N699" s="164"/>
      <c r="O699" s="166"/>
      <c r="P699" s="166"/>
      <c r="Q699" s="166"/>
      <c r="R699" s="166"/>
      <c r="S699" s="166"/>
      <c r="T699" s="166"/>
      <c r="U699" s="166"/>
      <c r="V699" s="166"/>
      <c r="W699" s="166"/>
      <c r="X699" s="166"/>
      <c r="Y699" s="166"/>
      <c r="Z699" s="166"/>
      <c r="AA699" s="166"/>
      <c r="AB699" s="166"/>
      <c r="AC699" s="166"/>
      <c r="AD699" s="166"/>
      <c r="AE699" s="166"/>
      <c r="AF699" s="166"/>
      <c r="AG699" s="166"/>
      <c r="AH699" s="166"/>
      <c r="AI699" s="166"/>
    </row>
    <row r="700" spans="1:35" x14ac:dyDescent="0.2">
      <c r="A700" s="167" t="s">
        <v>27</v>
      </c>
      <c r="B700" s="162">
        <v>10</v>
      </c>
      <c r="C700" s="162">
        <f t="shared" si="20"/>
        <v>1916.25</v>
      </c>
      <c r="D700" s="162" t="s">
        <v>159</v>
      </c>
      <c r="E700" s="168">
        <v>288291506424.81329</v>
      </c>
      <c r="F700" s="168">
        <v>288291506.42481327</v>
      </c>
      <c r="G700" s="168">
        <v>288291.5064248133</v>
      </c>
      <c r="H700" s="168">
        <v>288.29150642481329</v>
      </c>
      <c r="I700" s="164">
        <f>H700*$O$9/0.1*INDEX(Country_details!$N$9:N850,MATCH(Solar_data!A700,Country_details!$A$9:$A$154,0))</f>
        <v>691.89961541955188</v>
      </c>
      <c r="J700" s="164">
        <f t="shared" si="21"/>
        <v>1916.25</v>
      </c>
      <c r="K700" s="164"/>
      <c r="L700" s="164"/>
      <c r="M700" s="164"/>
      <c r="N700" s="164"/>
      <c r="O700" s="166"/>
      <c r="P700" s="166"/>
      <c r="Q700" s="166"/>
      <c r="R700" s="166"/>
      <c r="S700" s="166"/>
      <c r="T700" s="166"/>
      <c r="U700" s="166"/>
      <c r="V700" s="166"/>
      <c r="W700" s="166"/>
      <c r="X700" s="166"/>
      <c r="Y700" s="166"/>
      <c r="Z700" s="166"/>
      <c r="AA700" s="166"/>
      <c r="AB700" s="166"/>
      <c r="AC700" s="166"/>
      <c r="AD700" s="166"/>
      <c r="AE700" s="166"/>
      <c r="AF700" s="166"/>
      <c r="AG700" s="166"/>
      <c r="AH700" s="166"/>
      <c r="AI700" s="166"/>
    </row>
    <row r="701" spans="1:35" x14ac:dyDescent="0.2">
      <c r="A701" s="167" t="s">
        <v>27</v>
      </c>
      <c r="B701" s="162">
        <v>11</v>
      </c>
      <c r="C701" s="162">
        <f t="shared" si="20"/>
        <v>2098.75</v>
      </c>
      <c r="D701" s="162" t="s">
        <v>161</v>
      </c>
      <c r="E701" s="168">
        <v>58072830513.8787</v>
      </c>
      <c r="F701" s="168">
        <v>58072830.513878703</v>
      </c>
      <c r="G701" s="168">
        <v>58072.830513878704</v>
      </c>
      <c r="H701" s="168">
        <v>58.072830513878706</v>
      </c>
      <c r="I701" s="164">
        <f>H701*$O$9/0.1*INDEX(Country_details!$N$9:N851,MATCH(Solar_data!A701,Country_details!$A$9:$A$154,0))</f>
        <v>139.37479323330888</v>
      </c>
      <c r="J701" s="164">
        <f t="shared" si="21"/>
        <v>2098.75</v>
      </c>
      <c r="K701" s="164"/>
      <c r="L701" s="164"/>
      <c r="M701" s="164"/>
      <c r="N701" s="164"/>
      <c r="O701" s="166"/>
      <c r="P701" s="166"/>
      <c r="Q701" s="166"/>
      <c r="R701" s="166"/>
      <c r="S701" s="166"/>
      <c r="T701" s="166"/>
      <c r="U701" s="166"/>
      <c r="V701" s="166"/>
      <c r="W701" s="166"/>
      <c r="X701" s="166"/>
      <c r="Y701" s="166"/>
      <c r="Z701" s="166"/>
      <c r="AA701" s="166"/>
      <c r="AB701" s="166"/>
      <c r="AC701" s="166"/>
      <c r="AD701" s="166"/>
      <c r="AE701" s="166"/>
      <c r="AF701" s="166"/>
      <c r="AG701" s="166"/>
      <c r="AH701" s="166"/>
      <c r="AI701" s="166"/>
    </row>
    <row r="702" spans="1:35" x14ac:dyDescent="0.2">
      <c r="A702" s="167" t="s">
        <v>27</v>
      </c>
      <c r="B702" s="162">
        <v>12</v>
      </c>
      <c r="C702" s="162">
        <f t="shared" si="20"/>
        <v>2281.25</v>
      </c>
      <c r="D702" s="162" t="s">
        <v>162</v>
      </c>
      <c r="E702" s="168">
        <v>68960444260.408401</v>
      </c>
      <c r="F702" s="168">
        <v>68960444.260408401</v>
      </c>
      <c r="G702" s="168">
        <v>68960.444260408403</v>
      </c>
      <c r="H702" s="168">
        <v>68.960444260408408</v>
      </c>
      <c r="I702" s="164">
        <f>H702*$O$9/0.1*INDEX(Country_details!$N$9:N852,MATCH(Solar_data!A702,Country_details!$A$9:$A$154,0))</f>
        <v>165.50506622498017</v>
      </c>
      <c r="J702" s="164">
        <f t="shared" si="21"/>
        <v>2281.25</v>
      </c>
      <c r="K702" s="164"/>
      <c r="L702" s="164"/>
      <c r="M702" s="164"/>
      <c r="N702" s="164"/>
      <c r="O702" s="166"/>
      <c r="P702" s="166"/>
      <c r="Q702" s="166"/>
      <c r="R702" s="166"/>
      <c r="S702" s="166"/>
      <c r="T702" s="166"/>
      <c r="U702" s="166"/>
      <c r="V702" s="166"/>
      <c r="W702" s="166"/>
      <c r="X702" s="166"/>
      <c r="Y702" s="166"/>
      <c r="Z702" s="166"/>
      <c r="AA702" s="166"/>
      <c r="AB702" s="166"/>
      <c r="AC702" s="166"/>
      <c r="AD702" s="166"/>
      <c r="AE702" s="166"/>
      <c r="AF702" s="166"/>
      <c r="AG702" s="166"/>
      <c r="AH702" s="166"/>
      <c r="AI702" s="166"/>
    </row>
    <row r="703" spans="1:35" x14ac:dyDescent="0.2">
      <c r="A703" s="167" t="s">
        <v>27</v>
      </c>
      <c r="B703" s="162">
        <v>13</v>
      </c>
      <c r="C703" s="162">
        <f t="shared" si="20"/>
        <v>2463.75</v>
      </c>
      <c r="D703" s="162" t="s">
        <v>163</v>
      </c>
      <c r="E703" s="168">
        <v>26771818131.084</v>
      </c>
      <c r="F703" s="168">
        <v>26771818.131083999</v>
      </c>
      <c r="G703" s="168">
        <v>26771.818131084001</v>
      </c>
      <c r="H703" s="168">
        <v>26.771818131084</v>
      </c>
      <c r="I703" s="164">
        <f>H703*$O$9/0.1*INDEX(Country_details!$N$9:N853,MATCH(Solar_data!A703,Country_details!$A$9:$A$154,0))</f>
        <v>64.252363514601598</v>
      </c>
      <c r="J703" s="164">
        <f t="shared" si="21"/>
        <v>2463.75</v>
      </c>
      <c r="K703" s="164"/>
      <c r="L703" s="164"/>
      <c r="M703" s="164"/>
      <c r="N703" s="164"/>
      <c r="O703" s="166"/>
      <c r="P703" s="166"/>
      <c r="Q703" s="166"/>
      <c r="R703" s="166"/>
      <c r="S703" s="166"/>
      <c r="T703" s="166"/>
      <c r="U703" s="166"/>
      <c r="V703" s="166"/>
      <c r="W703" s="166"/>
      <c r="X703" s="166"/>
      <c r="Y703" s="166"/>
      <c r="Z703" s="166"/>
      <c r="AA703" s="166"/>
      <c r="AB703" s="166"/>
      <c r="AC703" s="166"/>
      <c r="AD703" s="166"/>
      <c r="AE703" s="166"/>
      <c r="AF703" s="166"/>
      <c r="AG703" s="166"/>
      <c r="AH703" s="166"/>
      <c r="AI703" s="166"/>
    </row>
    <row r="704" spans="1:35" x14ac:dyDescent="0.2">
      <c r="A704" s="167" t="s">
        <v>284</v>
      </c>
      <c r="B704" s="162">
        <v>7</v>
      </c>
      <c r="C704" s="162">
        <f t="shared" si="20"/>
        <v>1368.75</v>
      </c>
      <c r="D704" s="162" t="s">
        <v>174</v>
      </c>
      <c r="E704" s="168">
        <v>28592827845.112</v>
      </c>
      <c r="F704" s="168">
        <v>28592827.845112</v>
      </c>
      <c r="G704" s="168">
        <v>28592.827845111999</v>
      </c>
      <c r="H704" s="168">
        <v>28.592827845111998</v>
      </c>
      <c r="I704" s="164">
        <f>H704*$O$9/0.1*INDEX(Country_details!$N$9:N854,MATCH(Solar_data!A704,Country_details!$A$9:$A$154,0))</f>
        <v>77.200635181802383</v>
      </c>
      <c r="J704" s="164">
        <f t="shared" si="21"/>
        <v>1368.75</v>
      </c>
      <c r="K704" s="164"/>
      <c r="L704" s="164"/>
      <c r="M704" s="164"/>
      <c r="N704" s="164"/>
      <c r="O704" s="166"/>
      <c r="P704" s="166"/>
      <c r="Q704" s="166"/>
      <c r="R704" s="166"/>
      <c r="S704" s="166"/>
      <c r="T704" s="166"/>
      <c r="U704" s="166"/>
      <c r="V704" s="166"/>
      <c r="W704" s="166"/>
      <c r="X704" s="166"/>
      <c r="Y704" s="166"/>
      <c r="Z704" s="166"/>
      <c r="AA704" s="166"/>
      <c r="AB704" s="166"/>
      <c r="AC704" s="166"/>
      <c r="AD704" s="166"/>
      <c r="AE704" s="166"/>
      <c r="AF704" s="166"/>
      <c r="AG704" s="166"/>
      <c r="AH704" s="166"/>
      <c r="AI704" s="166"/>
    </row>
    <row r="705" spans="1:35" x14ac:dyDescent="0.2">
      <c r="A705" s="167" t="s">
        <v>284</v>
      </c>
      <c r="B705" s="162">
        <v>8</v>
      </c>
      <c r="C705" s="162">
        <f t="shared" si="20"/>
        <v>1551.25</v>
      </c>
      <c r="D705" s="162" t="s">
        <v>164</v>
      </c>
      <c r="E705" s="168">
        <v>145591039863.4707</v>
      </c>
      <c r="F705" s="168">
        <v>145591039.8634707</v>
      </c>
      <c r="G705" s="168">
        <v>145591.03986347071</v>
      </c>
      <c r="H705" s="168">
        <v>145.59103986347071</v>
      </c>
      <c r="I705" s="164">
        <f>H705*$O$9/0.1*INDEX(Country_details!$N$9:N855,MATCH(Solar_data!A705,Country_details!$A$9:$A$154,0))</f>
        <v>393.09580763137086</v>
      </c>
      <c r="J705" s="164">
        <f t="shared" si="21"/>
        <v>1551.25</v>
      </c>
      <c r="K705" s="164"/>
      <c r="L705" s="164"/>
      <c r="M705" s="164"/>
      <c r="N705" s="164"/>
      <c r="O705" s="166"/>
      <c r="P705" s="166"/>
      <c r="Q705" s="166"/>
      <c r="R705" s="166"/>
      <c r="S705" s="166"/>
      <c r="T705" s="166"/>
      <c r="U705" s="166"/>
      <c r="V705" s="166"/>
      <c r="W705" s="166"/>
      <c r="X705" s="166"/>
      <c r="Y705" s="166"/>
      <c r="Z705" s="166"/>
      <c r="AA705" s="166"/>
      <c r="AB705" s="166"/>
      <c r="AC705" s="166"/>
      <c r="AD705" s="166"/>
      <c r="AE705" s="166"/>
      <c r="AF705" s="166"/>
      <c r="AG705" s="166"/>
      <c r="AH705" s="166"/>
      <c r="AI705" s="166"/>
    </row>
    <row r="706" spans="1:35" x14ac:dyDescent="0.2">
      <c r="A706" s="167" t="s">
        <v>284</v>
      </c>
      <c r="B706" s="162">
        <v>9</v>
      </c>
      <c r="C706" s="162">
        <f t="shared" si="20"/>
        <v>1733.75</v>
      </c>
      <c r="D706" s="162" t="s">
        <v>157</v>
      </c>
      <c r="E706" s="168">
        <v>411680351926.21478</v>
      </c>
      <c r="F706" s="168">
        <v>411680351.92621481</v>
      </c>
      <c r="G706" s="168">
        <v>411680.35192621482</v>
      </c>
      <c r="H706" s="168">
        <v>411.68035192621483</v>
      </c>
      <c r="I706" s="164">
        <f>H706*$O$9/0.1*INDEX(Country_details!$N$9:N856,MATCH(Solar_data!A706,Country_details!$A$9:$A$154,0))</f>
        <v>1111.5369502007798</v>
      </c>
      <c r="J706" s="164">
        <f t="shared" si="21"/>
        <v>1733.75</v>
      </c>
      <c r="K706" s="164"/>
      <c r="L706" s="164"/>
      <c r="M706" s="164"/>
      <c r="N706" s="164"/>
      <c r="O706" s="166"/>
      <c r="P706" s="166"/>
      <c r="Q706" s="166"/>
      <c r="R706" s="166"/>
      <c r="S706" s="166"/>
      <c r="T706" s="166"/>
      <c r="U706" s="166"/>
      <c r="V706" s="166"/>
      <c r="W706" s="166"/>
      <c r="X706" s="166"/>
      <c r="Y706" s="166"/>
      <c r="Z706" s="166"/>
      <c r="AA706" s="166"/>
      <c r="AB706" s="166"/>
      <c r="AC706" s="166"/>
      <c r="AD706" s="166"/>
      <c r="AE706" s="166"/>
      <c r="AF706" s="166"/>
      <c r="AG706" s="166"/>
      <c r="AH706" s="166"/>
      <c r="AI706" s="166"/>
    </row>
    <row r="707" spans="1:35" x14ac:dyDescent="0.2">
      <c r="A707" s="167" t="s">
        <v>284</v>
      </c>
      <c r="B707" s="162">
        <v>10</v>
      </c>
      <c r="C707" s="162">
        <f t="shared" si="20"/>
        <v>1916.25</v>
      </c>
      <c r="D707" s="162" t="s">
        <v>159</v>
      </c>
      <c r="E707" s="168">
        <v>959394078812.03955</v>
      </c>
      <c r="F707" s="168">
        <v>959394078.81203961</v>
      </c>
      <c r="G707" s="168">
        <v>959394.07881203969</v>
      </c>
      <c r="H707" s="168">
        <v>959.39407881203977</v>
      </c>
      <c r="I707" s="164">
        <f>H707*$O$9/0.1*INDEX(Country_details!$N$9:N857,MATCH(Solar_data!A707,Country_details!$A$9:$A$154,0))</f>
        <v>2590.3640127925073</v>
      </c>
      <c r="J707" s="164">
        <f t="shared" si="21"/>
        <v>1916.25</v>
      </c>
      <c r="K707" s="164"/>
      <c r="L707" s="164"/>
      <c r="M707" s="164"/>
      <c r="N707" s="164"/>
      <c r="O707" s="166"/>
      <c r="P707" s="166"/>
      <c r="Q707" s="166"/>
      <c r="R707" s="166"/>
      <c r="S707" s="166"/>
      <c r="T707" s="166"/>
      <c r="U707" s="166"/>
      <c r="V707" s="166"/>
      <c r="W707" s="166"/>
      <c r="X707" s="166"/>
      <c r="Y707" s="166"/>
      <c r="Z707" s="166"/>
      <c r="AA707" s="166"/>
      <c r="AB707" s="166"/>
      <c r="AC707" s="166"/>
      <c r="AD707" s="166"/>
      <c r="AE707" s="166"/>
      <c r="AF707" s="166"/>
      <c r="AG707" s="166"/>
      <c r="AH707" s="166"/>
      <c r="AI707" s="166"/>
    </row>
    <row r="708" spans="1:35" x14ac:dyDescent="0.2">
      <c r="A708" s="167" t="s">
        <v>284</v>
      </c>
      <c r="B708" s="162">
        <v>11</v>
      </c>
      <c r="C708" s="162">
        <f t="shared" si="20"/>
        <v>2098.75</v>
      </c>
      <c r="D708" s="162" t="s">
        <v>161</v>
      </c>
      <c r="E708" s="168">
        <v>663036483692.89038</v>
      </c>
      <c r="F708" s="168">
        <v>663036483.69289041</v>
      </c>
      <c r="G708" s="168">
        <v>663036.48369289038</v>
      </c>
      <c r="H708" s="168">
        <v>663.03648369289044</v>
      </c>
      <c r="I708" s="164">
        <f>H708*$O$9/0.1*INDEX(Country_details!$N$9:N858,MATCH(Solar_data!A708,Country_details!$A$9:$A$154,0))</f>
        <v>1790.198505970804</v>
      </c>
      <c r="J708" s="164">
        <f t="shared" si="21"/>
        <v>2098.75</v>
      </c>
      <c r="K708" s="164"/>
      <c r="L708" s="164"/>
      <c r="M708" s="164"/>
      <c r="N708" s="164"/>
      <c r="O708" s="166"/>
      <c r="P708" s="166"/>
      <c r="Q708" s="166"/>
      <c r="R708" s="166"/>
      <c r="S708" s="166"/>
      <c r="T708" s="166"/>
      <c r="U708" s="166"/>
      <c r="V708" s="166"/>
      <c r="W708" s="166"/>
      <c r="X708" s="166"/>
      <c r="Y708" s="166"/>
      <c r="Z708" s="166"/>
      <c r="AA708" s="166"/>
      <c r="AB708" s="166"/>
      <c r="AC708" s="166"/>
      <c r="AD708" s="166"/>
      <c r="AE708" s="166"/>
      <c r="AF708" s="166"/>
      <c r="AG708" s="166"/>
      <c r="AH708" s="166"/>
      <c r="AI708" s="166"/>
    </row>
    <row r="709" spans="1:35" x14ac:dyDescent="0.2">
      <c r="A709" s="167" t="s">
        <v>138</v>
      </c>
      <c r="B709" s="162">
        <v>8</v>
      </c>
      <c r="C709" s="162">
        <f t="shared" ref="C709:C772" si="22">(0.5*B709+0.25)*365</f>
        <v>1551.25</v>
      </c>
      <c r="D709" s="162" t="s">
        <v>164</v>
      </c>
      <c r="E709" s="168">
        <v>50215584349.290001</v>
      </c>
      <c r="F709" s="168">
        <v>50215584.349289998</v>
      </c>
      <c r="G709" s="168">
        <v>50215.584349290002</v>
      </c>
      <c r="H709" s="168">
        <v>50.215584349290005</v>
      </c>
      <c r="I709" s="164">
        <f>H709*$O$9/0.1*INDEX(Country_details!$N$9:N859,MATCH(Solar_data!A709,Country_details!$A$9:$A$154,0))</f>
        <v>135.582077743083</v>
      </c>
      <c r="J709" s="164">
        <f t="shared" si="21"/>
        <v>1551.25</v>
      </c>
      <c r="K709" s="164"/>
      <c r="L709" s="164"/>
      <c r="M709" s="164"/>
      <c r="N709" s="164"/>
      <c r="O709" s="166"/>
      <c r="P709" s="166"/>
      <c r="Q709" s="166"/>
      <c r="R709" s="166"/>
      <c r="S709" s="166"/>
      <c r="T709" s="166"/>
      <c r="U709" s="166"/>
      <c r="V709" s="166"/>
      <c r="W709" s="166"/>
      <c r="X709" s="166"/>
      <c r="Y709" s="166"/>
      <c r="Z709" s="166"/>
      <c r="AA709" s="166"/>
      <c r="AB709" s="166"/>
      <c r="AC709" s="166"/>
      <c r="AD709" s="166"/>
      <c r="AE709" s="166"/>
      <c r="AF709" s="166"/>
      <c r="AG709" s="166"/>
      <c r="AH709" s="166"/>
      <c r="AI709" s="166"/>
    </row>
    <row r="710" spans="1:35" x14ac:dyDescent="0.2">
      <c r="A710" s="167" t="s">
        <v>138</v>
      </c>
      <c r="B710" s="162">
        <v>9</v>
      </c>
      <c r="C710" s="162">
        <f t="shared" si="22"/>
        <v>1733.75</v>
      </c>
      <c r="D710" s="162" t="s">
        <v>157</v>
      </c>
      <c r="E710" s="168">
        <v>791535550529.47095</v>
      </c>
      <c r="F710" s="168">
        <v>791535550.52947092</v>
      </c>
      <c r="G710" s="168">
        <v>791535.5505294709</v>
      </c>
      <c r="H710" s="168">
        <v>791.53555052947092</v>
      </c>
      <c r="I710" s="164">
        <f>H710*$O$9/0.1*INDEX(Country_details!$N$9:N860,MATCH(Solar_data!A710,Country_details!$A$9:$A$154,0))</f>
        <v>2137.1459864295716</v>
      </c>
      <c r="J710" s="164">
        <f t="shared" si="21"/>
        <v>1733.75</v>
      </c>
      <c r="K710" s="164"/>
      <c r="L710" s="164"/>
      <c r="M710" s="164"/>
      <c r="N710" s="164"/>
      <c r="O710" s="166"/>
      <c r="P710" s="166"/>
      <c r="Q710" s="166"/>
      <c r="R710" s="166"/>
      <c r="S710" s="166"/>
      <c r="T710" s="166"/>
      <c r="U710" s="166"/>
      <c r="V710" s="166"/>
      <c r="W710" s="166"/>
      <c r="X710" s="166"/>
      <c r="Y710" s="166"/>
      <c r="Z710" s="166"/>
      <c r="AA710" s="166"/>
      <c r="AB710" s="166"/>
      <c r="AC710" s="166"/>
      <c r="AD710" s="166"/>
      <c r="AE710" s="166"/>
      <c r="AF710" s="166"/>
      <c r="AG710" s="166"/>
      <c r="AH710" s="166"/>
      <c r="AI710" s="166"/>
    </row>
    <row r="711" spans="1:35" x14ac:dyDescent="0.2">
      <c r="A711" s="167" t="s">
        <v>138</v>
      </c>
      <c r="B711" s="162">
        <v>10</v>
      </c>
      <c r="C711" s="162">
        <f t="shared" si="22"/>
        <v>1916.25</v>
      </c>
      <c r="D711" s="162" t="s">
        <v>159</v>
      </c>
      <c r="E711" s="168">
        <v>641971675695.02002</v>
      </c>
      <c r="F711" s="168">
        <v>641971675.69502008</v>
      </c>
      <c r="G711" s="168">
        <v>641971.67569502012</v>
      </c>
      <c r="H711" s="168">
        <v>641.97167569502017</v>
      </c>
      <c r="I711" s="164">
        <f>H711*$O$9/0.1*INDEX(Country_details!$N$9:N861,MATCH(Solar_data!A711,Country_details!$A$9:$A$154,0))</f>
        <v>1733.3235243765546</v>
      </c>
      <c r="J711" s="164">
        <f t="shared" si="21"/>
        <v>1916.25</v>
      </c>
      <c r="K711" s="164"/>
      <c r="L711" s="164"/>
      <c r="M711" s="164"/>
      <c r="N711" s="164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  <c r="Y711" s="166"/>
      <c r="Z711" s="166"/>
      <c r="AA711" s="166"/>
      <c r="AB711" s="166"/>
      <c r="AC711" s="166"/>
      <c r="AD711" s="166"/>
      <c r="AE711" s="166"/>
      <c r="AF711" s="166"/>
      <c r="AG711" s="166"/>
      <c r="AH711" s="166"/>
      <c r="AI711" s="166"/>
    </row>
    <row r="712" spans="1:35" x14ac:dyDescent="0.2">
      <c r="A712" s="167" t="s">
        <v>285</v>
      </c>
      <c r="B712" s="162">
        <v>11</v>
      </c>
      <c r="C712" s="162">
        <f t="shared" si="22"/>
        <v>2098.75</v>
      </c>
      <c r="D712" s="162" t="s">
        <v>161</v>
      </c>
      <c r="E712" s="168">
        <v>524420578.02999997</v>
      </c>
      <c r="F712" s="168">
        <v>524420.57802999998</v>
      </c>
      <c r="G712" s="168">
        <v>524.42057803</v>
      </c>
      <c r="H712" s="168">
        <v>0.52442057802999997</v>
      </c>
      <c r="I712" s="164" t="e">
        <f>H712*$O$9/0.1*INDEX(Country_details!$N$9:N862,MATCH(Solar_data!A712,Country_details!$A$9:$A$154,0))</f>
        <v>#N/A</v>
      </c>
      <c r="J712" s="164">
        <f t="shared" si="21"/>
        <v>2098.75</v>
      </c>
      <c r="K712" s="164"/>
      <c r="L712" s="164"/>
      <c r="M712" s="164"/>
      <c r="N712" s="164"/>
      <c r="O712" s="166"/>
      <c r="P712" s="166"/>
      <c r="Q712" s="166"/>
      <c r="R712" s="166"/>
      <c r="S712" s="166"/>
      <c r="T712" s="166"/>
      <c r="U712" s="166"/>
      <c r="V712" s="166"/>
      <c r="W712" s="166"/>
      <c r="X712" s="166"/>
      <c r="Y712" s="166"/>
      <c r="Z712" s="166"/>
      <c r="AA712" s="166"/>
      <c r="AB712" s="166"/>
      <c r="AC712" s="166"/>
      <c r="AD712" s="166"/>
      <c r="AE712" s="166"/>
      <c r="AF712" s="166"/>
      <c r="AG712" s="166"/>
      <c r="AH712" s="166"/>
      <c r="AI712" s="166"/>
    </row>
    <row r="713" spans="1:35" x14ac:dyDescent="0.2">
      <c r="A713" s="167" t="s">
        <v>286</v>
      </c>
      <c r="B713" s="162">
        <v>10</v>
      </c>
      <c r="C713" s="162">
        <f t="shared" si="22"/>
        <v>1916.25</v>
      </c>
      <c r="D713" s="162" t="s">
        <v>159</v>
      </c>
      <c r="E713" s="168">
        <v>50745881.902199998</v>
      </c>
      <c r="F713" s="168">
        <v>50745.881902200003</v>
      </c>
      <c r="G713" s="168">
        <v>50.745881902200004</v>
      </c>
      <c r="H713" s="168">
        <v>5.0745881902200009E-2</v>
      </c>
      <c r="I713" s="164" t="e">
        <f>H713*$O$9/0.1*INDEX(Country_details!$N$9:N863,MATCH(Solar_data!A713,Country_details!$A$9:$A$154,0))</f>
        <v>#N/A</v>
      </c>
      <c r="J713" s="164">
        <f t="shared" ref="J713:J776" si="23">(0.5*B713+0.25)*365</f>
        <v>1916.25</v>
      </c>
      <c r="K713" s="164"/>
      <c r="L713" s="164"/>
      <c r="M713" s="164"/>
      <c r="N713" s="164"/>
      <c r="O713" s="166"/>
      <c r="P713" s="166"/>
      <c r="Q713" s="166"/>
      <c r="R713" s="166"/>
      <c r="S713" s="166"/>
      <c r="T713" s="166"/>
      <c r="U713" s="166"/>
      <c r="V713" s="166"/>
      <c r="W713" s="166"/>
      <c r="X713" s="166"/>
      <c r="Y713" s="166"/>
      <c r="Z713" s="166"/>
      <c r="AA713" s="166"/>
      <c r="AB713" s="166"/>
      <c r="AC713" s="166"/>
      <c r="AD713" s="166"/>
      <c r="AE713" s="166"/>
      <c r="AF713" s="166"/>
      <c r="AG713" s="166"/>
      <c r="AH713" s="166"/>
      <c r="AI713" s="166"/>
    </row>
    <row r="714" spans="1:35" x14ac:dyDescent="0.2">
      <c r="A714" s="167" t="s">
        <v>139</v>
      </c>
      <c r="B714" s="162">
        <v>8</v>
      </c>
      <c r="C714" s="162">
        <f t="shared" si="22"/>
        <v>1551.25</v>
      </c>
      <c r="D714" s="162" t="s">
        <v>164</v>
      </c>
      <c r="E714" s="168">
        <v>13914776793.983</v>
      </c>
      <c r="F714" s="168">
        <v>13914776.793982999</v>
      </c>
      <c r="G714" s="168">
        <v>13914.776793982999</v>
      </c>
      <c r="H714" s="168">
        <v>13.914776793983</v>
      </c>
      <c r="I714" s="164">
        <f>H714*$O$9/0.1*INDEX(Country_details!$N$9:N864,MATCH(Solar_data!A714,Country_details!$A$9:$A$154,0))</f>
        <v>35.482680824656647</v>
      </c>
      <c r="J714" s="164">
        <f t="shared" si="23"/>
        <v>1551.25</v>
      </c>
      <c r="K714" s="164"/>
      <c r="L714" s="164"/>
      <c r="M714" s="164"/>
      <c r="N714" s="164"/>
      <c r="O714" s="166"/>
      <c r="P714" s="166"/>
      <c r="Q714" s="166"/>
      <c r="R714" s="166"/>
      <c r="S714" s="166"/>
      <c r="T714" s="166"/>
      <c r="U714" s="166"/>
      <c r="V714" s="166"/>
      <c r="W714" s="166"/>
      <c r="X714" s="166"/>
      <c r="Y714" s="166"/>
      <c r="Z714" s="166"/>
      <c r="AA714" s="166"/>
      <c r="AB714" s="166"/>
      <c r="AC714" s="166"/>
      <c r="AD714" s="166"/>
      <c r="AE714" s="166"/>
      <c r="AF714" s="166"/>
      <c r="AG714" s="166"/>
      <c r="AH714" s="166"/>
      <c r="AI714" s="166"/>
    </row>
    <row r="715" spans="1:35" x14ac:dyDescent="0.2">
      <c r="A715" s="167" t="s">
        <v>139</v>
      </c>
      <c r="B715" s="162">
        <v>9</v>
      </c>
      <c r="C715" s="162">
        <f t="shared" si="22"/>
        <v>1733.75</v>
      </c>
      <c r="D715" s="162" t="s">
        <v>157</v>
      </c>
      <c r="E715" s="168">
        <v>69070834114.988693</v>
      </c>
      <c r="F715" s="168">
        <v>69070834.1149887</v>
      </c>
      <c r="G715" s="168">
        <v>69070.834114988698</v>
      </c>
      <c r="H715" s="168">
        <v>69.070834114988699</v>
      </c>
      <c r="I715" s="164">
        <f>H715*$O$9/0.1*INDEX(Country_details!$N$9:N865,MATCH(Solar_data!A715,Country_details!$A$9:$A$154,0))</f>
        <v>176.13062699322117</v>
      </c>
      <c r="J715" s="164">
        <f t="shared" si="23"/>
        <v>1733.75</v>
      </c>
      <c r="K715" s="164"/>
      <c r="L715" s="164"/>
      <c r="M715" s="164"/>
      <c r="N715" s="164"/>
      <c r="O715" s="166"/>
      <c r="P715" s="166"/>
      <c r="Q715" s="166"/>
      <c r="R715" s="166"/>
      <c r="S715" s="166"/>
      <c r="T715" s="166"/>
      <c r="U715" s="166"/>
      <c r="V715" s="166"/>
      <c r="W715" s="166"/>
      <c r="X715" s="166"/>
      <c r="Y715" s="166"/>
      <c r="Z715" s="166"/>
      <c r="AA715" s="166"/>
      <c r="AB715" s="166"/>
      <c r="AC715" s="166"/>
      <c r="AD715" s="166"/>
      <c r="AE715" s="166"/>
      <c r="AF715" s="166"/>
      <c r="AG715" s="166"/>
      <c r="AH715" s="166"/>
      <c r="AI715" s="166"/>
    </row>
    <row r="716" spans="1:35" x14ac:dyDescent="0.2">
      <c r="A716" s="167" t="s">
        <v>139</v>
      </c>
      <c r="B716" s="162">
        <v>10</v>
      </c>
      <c r="C716" s="162">
        <f t="shared" si="22"/>
        <v>1916.25</v>
      </c>
      <c r="D716" s="162" t="s">
        <v>159</v>
      </c>
      <c r="E716" s="168">
        <v>222636363385.0285</v>
      </c>
      <c r="F716" s="168">
        <v>222636363.38502851</v>
      </c>
      <c r="G716" s="168">
        <v>222636.36338502853</v>
      </c>
      <c r="H716" s="168">
        <v>222.63636338502852</v>
      </c>
      <c r="I716" s="164">
        <f>H716*$O$9/0.1*INDEX(Country_details!$N$9:N866,MATCH(Solar_data!A716,Country_details!$A$9:$A$154,0))</f>
        <v>567.72272663182264</v>
      </c>
      <c r="J716" s="164">
        <f t="shared" si="23"/>
        <v>1916.25</v>
      </c>
      <c r="K716" s="164"/>
      <c r="L716" s="164"/>
      <c r="M716" s="164"/>
      <c r="N716" s="164"/>
      <c r="O716" s="166"/>
      <c r="P716" s="166"/>
      <c r="Q716" s="166"/>
      <c r="R716" s="166"/>
      <c r="S716" s="166"/>
      <c r="T716" s="166"/>
      <c r="U716" s="166"/>
      <c r="V716" s="166"/>
      <c r="W716" s="166"/>
      <c r="X716" s="166"/>
      <c r="Y716" s="166"/>
      <c r="Z716" s="166"/>
      <c r="AA716" s="166"/>
      <c r="AB716" s="166"/>
      <c r="AC716" s="166"/>
      <c r="AD716" s="166"/>
      <c r="AE716" s="166"/>
      <c r="AF716" s="166"/>
      <c r="AG716" s="166"/>
      <c r="AH716" s="166"/>
      <c r="AI716" s="166"/>
    </row>
    <row r="717" spans="1:35" x14ac:dyDescent="0.2">
      <c r="A717" s="167" t="s">
        <v>139</v>
      </c>
      <c r="B717" s="162">
        <v>11</v>
      </c>
      <c r="C717" s="162">
        <f t="shared" si="22"/>
        <v>2098.75</v>
      </c>
      <c r="D717" s="162" t="s">
        <v>161</v>
      </c>
      <c r="E717" s="168">
        <v>245645610022.7854</v>
      </c>
      <c r="F717" s="168">
        <v>245645610.0227854</v>
      </c>
      <c r="G717" s="168">
        <v>245645.6100227854</v>
      </c>
      <c r="H717" s="168">
        <v>245.64561002278541</v>
      </c>
      <c r="I717" s="164">
        <f>H717*$O$9/0.1*INDEX(Country_details!$N$9:N867,MATCH(Solar_data!A717,Country_details!$A$9:$A$154,0))</f>
        <v>626.39630555810265</v>
      </c>
      <c r="J717" s="164">
        <f t="shared" si="23"/>
        <v>2098.75</v>
      </c>
      <c r="K717" s="164"/>
      <c r="L717" s="164"/>
      <c r="M717" s="164"/>
      <c r="N717" s="164"/>
      <c r="O717" s="166"/>
      <c r="P717" s="166"/>
      <c r="Q717" s="166"/>
      <c r="R717" s="166"/>
      <c r="S717" s="166"/>
      <c r="T717" s="166"/>
      <c r="U717" s="166"/>
      <c r="V717" s="166"/>
      <c r="W717" s="166"/>
      <c r="X717" s="166"/>
      <c r="Y717" s="166"/>
      <c r="Z717" s="166"/>
      <c r="AA717" s="166"/>
      <c r="AB717" s="166"/>
      <c r="AC717" s="166"/>
      <c r="AD717" s="166"/>
      <c r="AE717" s="166"/>
      <c r="AF717" s="166"/>
      <c r="AG717" s="166"/>
      <c r="AH717" s="166"/>
      <c r="AI717" s="166"/>
    </row>
    <row r="718" spans="1:35" x14ac:dyDescent="0.2">
      <c r="A718" s="167" t="s">
        <v>139</v>
      </c>
      <c r="B718" s="162">
        <v>12</v>
      </c>
      <c r="C718" s="162">
        <f t="shared" si="22"/>
        <v>2281.25</v>
      </c>
      <c r="D718" s="162" t="s">
        <v>162</v>
      </c>
      <c r="E718" s="168">
        <v>191838169533.54181</v>
      </c>
      <c r="F718" s="168">
        <v>191838169.5335418</v>
      </c>
      <c r="G718" s="168">
        <v>191838.1695335418</v>
      </c>
      <c r="H718" s="168">
        <v>191.83816953354182</v>
      </c>
      <c r="I718" s="164">
        <f>H718*$O$9/0.1*INDEX(Country_details!$N$9:N868,MATCH(Solar_data!A718,Country_details!$A$9:$A$154,0))</f>
        <v>489.18733231053159</v>
      </c>
      <c r="J718" s="164">
        <f t="shared" si="23"/>
        <v>2281.25</v>
      </c>
      <c r="K718" s="164"/>
      <c r="L718" s="164"/>
      <c r="M718" s="164"/>
      <c r="N718" s="164"/>
      <c r="O718" s="166"/>
      <c r="P718" s="166"/>
      <c r="Q718" s="166"/>
      <c r="R718" s="166"/>
      <c r="S718" s="166"/>
      <c r="T718" s="166"/>
      <c r="U718" s="166"/>
      <c r="V718" s="166"/>
      <c r="W718" s="166"/>
      <c r="X718" s="166"/>
      <c r="Y718" s="166"/>
      <c r="Z718" s="166"/>
      <c r="AA718" s="166"/>
      <c r="AB718" s="166"/>
      <c r="AC718" s="166"/>
      <c r="AD718" s="166"/>
      <c r="AE718" s="166"/>
      <c r="AF718" s="166"/>
      <c r="AG718" s="166"/>
      <c r="AH718" s="166"/>
      <c r="AI718" s="166"/>
    </row>
    <row r="719" spans="1:35" x14ac:dyDescent="0.2">
      <c r="A719" s="167" t="s">
        <v>287</v>
      </c>
      <c r="B719" s="162">
        <v>6</v>
      </c>
      <c r="C719" s="162">
        <f t="shared" si="22"/>
        <v>1186.25</v>
      </c>
      <c r="D719" s="162" t="s">
        <v>173</v>
      </c>
      <c r="E719" s="168">
        <v>148799899895.12051</v>
      </c>
      <c r="F719" s="168">
        <v>148799899.89512053</v>
      </c>
      <c r="G719" s="168">
        <v>148799.89989512053</v>
      </c>
      <c r="H719" s="168">
        <v>148.79989989512052</v>
      </c>
      <c r="I719" s="164">
        <f>H719*$O$9/0.1*INDEX(Country_details!$N$9:N869,MATCH(Solar_data!A719,Country_details!$A$9:$A$154,0))</f>
        <v>401.7597297168254</v>
      </c>
      <c r="J719" s="164">
        <f t="shared" si="23"/>
        <v>1186.25</v>
      </c>
      <c r="K719" s="164"/>
      <c r="L719" s="164"/>
      <c r="M719" s="164"/>
      <c r="N719" s="164"/>
      <c r="O719" s="166"/>
      <c r="P719" s="166"/>
      <c r="Q719" s="166"/>
      <c r="R719" s="166"/>
      <c r="S719" s="166"/>
      <c r="T719" s="166"/>
      <c r="U719" s="166"/>
      <c r="V719" s="166"/>
      <c r="W719" s="166"/>
      <c r="X719" s="166"/>
      <c r="Y719" s="166"/>
      <c r="Z719" s="166"/>
      <c r="AA719" s="166"/>
      <c r="AB719" s="166"/>
      <c r="AC719" s="166"/>
      <c r="AD719" s="166"/>
      <c r="AE719" s="166"/>
      <c r="AF719" s="166"/>
      <c r="AG719" s="166"/>
      <c r="AH719" s="166"/>
      <c r="AI719" s="166"/>
    </row>
    <row r="720" spans="1:35" x14ac:dyDescent="0.2">
      <c r="A720" s="167" t="s">
        <v>287</v>
      </c>
      <c r="B720" s="162">
        <v>7</v>
      </c>
      <c r="C720" s="162">
        <f t="shared" si="22"/>
        <v>1368.75</v>
      </c>
      <c r="D720" s="162" t="s">
        <v>174</v>
      </c>
      <c r="E720" s="168">
        <v>993987776128.58386</v>
      </c>
      <c r="F720" s="168">
        <v>993987776.12858391</v>
      </c>
      <c r="G720" s="168">
        <v>993987.77612858394</v>
      </c>
      <c r="H720" s="168">
        <v>993.98777612858396</v>
      </c>
      <c r="I720" s="164">
        <f>H720*$O$9/0.1*INDEX(Country_details!$N$9:N870,MATCH(Solar_data!A720,Country_details!$A$9:$A$154,0))</f>
        <v>2683.7669955471765</v>
      </c>
      <c r="J720" s="164">
        <f t="shared" si="23"/>
        <v>1368.75</v>
      </c>
      <c r="K720" s="164"/>
      <c r="L720" s="164"/>
      <c r="M720" s="164"/>
      <c r="N720" s="164"/>
      <c r="O720" s="166"/>
      <c r="P720" s="166"/>
      <c r="Q720" s="166"/>
      <c r="R720" s="166"/>
      <c r="S720" s="166"/>
      <c r="T720" s="166"/>
      <c r="U720" s="166"/>
      <c r="V720" s="166"/>
      <c r="W720" s="166"/>
      <c r="X720" s="166"/>
      <c r="Y720" s="166"/>
      <c r="Z720" s="166"/>
      <c r="AA720" s="166"/>
      <c r="AB720" s="166"/>
      <c r="AC720" s="166"/>
      <c r="AD720" s="166"/>
      <c r="AE720" s="166"/>
      <c r="AF720" s="166"/>
      <c r="AG720" s="166"/>
      <c r="AH720" s="166"/>
      <c r="AI720" s="166"/>
    </row>
    <row r="721" spans="1:35" x14ac:dyDescent="0.2">
      <c r="A721" s="167" t="s">
        <v>287</v>
      </c>
      <c r="B721" s="162">
        <v>8</v>
      </c>
      <c r="C721" s="162">
        <f t="shared" si="22"/>
        <v>1551.25</v>
      </c>
      <c r="D721" s="162" t="s">
        <v>164</v>
      </c>
      <c r="E721" s="168">
        <v>59431890246.952904</v>
      </c>
      <c r="F721" s="168">
        <v>59431890.246952906</v>
      </c>
      <c r="G721" s="168">
        <v>59431.890246952906</v>
      </c>
      <c r="H721" s="168">
        <v>59.431890246952904</v>
      </c>
      <c r="I721" s="164">
        <f>H721*$O$9/0.1*INDEX(Country_details!$N$9:N871,MATCH(Solar_data!A721,Country_details!$A$9:$A$154,0))</f>
        <v>160.4661036667728</v>
      </c>
      <c r="J721" s="164">
        <f t="shared" si="23"/>
        <v>1551.25</v>
      </c>
      <c r="K721" s="164"/>
      <c r="L721" s="164"/>
      <c r="M721" s="164"/>
      <c r="N721" s="164"/>
      <c r="O721" s="166"/>
      <c r="P721" s="166"/>
      <c r="Q721" s="166"/>
      <c r="R721" s="166"/>
      <c r="S721" s="166"/>
      <c r="T721" s="166"/>
      <c r="U721" s="166"/>
      <c r="V721" s="166"/>
      <c r="W721" s="166"/>
      <c r="X721" s="166"/>
      <c r="Y721" s="166"/>
      <c r="Z721" s="166"/>
      <c r="AA721" s="166"/>
      <c r="AB721" s="166"/>
      <c r="AC721" s="166"/>
      <c r="AD721" s="166"/>
      <c r="AE721" s="166"/>
      <c r="AF721" s="166"/>
      <c r="AG721" s="166"/>
      <c r="AH721" s="166"/>
      <c r="AI721" s="166"/>
    </row>
    <row r="722" spans="1:35" x14ac:dyDescent="0.2">
      <c r="A722" s="167" t="s">
        <v>287</v>
      </c>
      <c r="B722" s="162">
        <v>9</v>
      </c>
      <c r="C722" s="162">
        <f t="shared" si="22"/>
        <v>1733.75</v>
      </c>
      <c r="D722" s="162" t="s">
        <v>157</v>
      </c>
      <c r="E722" s="168">
        <v>151432074.36300001</v>
      </c>
      <c r="F722" s="168">
        <v>151432.07436300002</v>
      </c>
      <c r="G722" s="168">
        <v>151.43207436300003</v>
      </c>
      <c r="H722" s="168">
        <v>0.15143207436300002</v>
      </c>
      <c r="I722" s="164">
        <f>H722*$O$9/0.1*INDEX(Country_details!$N$9:N872,MATCH(Solar_data!A722,Country_details!$A$9:$A$154,0))</f>
        <v>0.40886660078010001</v>
      </c>
      <c r="J722" s="164">
        <f t="shared" si="23"/>
        <v>1733.75</v>
      </c>
      <c r="K722" s="164"/>
      <c r="L722" s="164"/>
      <c r="M722" s="164"/>
      <c r="N722" s="164"/>
      <c r="O722" s="166"/>
      <c r="P722" s="166"/>
      <c r="Q722" s="166"/>
      <c r="R722" s="166"/>
      <c r="S722" s="166"/>
      <c r="T722" s="166"/>
      <c r="U722" s="166"/>
      <c r="V722" s="166"/>
      <c r="W722" s="166"/>
      <c r="X722" s="166"/>
      <c r="Y722" s="166"/>
      <c r="Z722" s="166"/>
      <c r="AA722" s="166"/>
      <c r="AB722" s="166"/>
      <c r="AC722" s="166"/>
      <c r="AD722" s="166"/>
      <c r="AE722" s="166"/>
      <c r="AF722" s="166"/>
      <c r="AG722" s="166"/>
      <c r="AH722" s="166"/>
      <c r="AI722" s="166"/>
    </row>
    <row r="723" spans="1:35" x14ac:dyDescent="0.2">
      <c r="A723" s="167" t="s">
        <v>92</v>
      </c>
      <c r="B723" s="162">
        <v>11</v>
      </c>
      <c r="C723" s="162">
        <f t="shared" si="22"/>
        <v>2098.75</v>
      </c>
      <c r="D723" s="162" t="s">
        <v>161</v>
      </c>
      <c r="E723" s="168">
        <v>50631954585.390999</v>
      </c>
      <c r="F723" s="168">
        <v>50631954.585391</v>
      </c>
      <c r="G723" s="168">
        <v>50631.954585391002</v>
      </c>
      <c r="H723" s="168">
        <v>50.631954585391</v>
      </c>
      <c r="I723" s="164">
        <f>H723*$O$9/0.1*INDEX(Country_details!$N$9:N873,MATCH(Solar_data!A723,Country_details!$A$9:$A$154,0))</f>
        <v>129.11148419274704</v>
      </c>
      <c r="J723" s="164">
        <f t="shared" si="23"/>
        <v>2098.75</v>
      </c>
      <c r="K723" s="164"/>
      <c r="L723" s="164"/>
      <c r="M723" s="164"/>
      <c r="N723" s="164"/>
      <c r="O723" s="166"/>
      <c r="P723" s="166"/>
      <c r="Q723" s="166"/>
      <c r="R723" s="166"/>
      <c r="S723" s="166"/>
      <c r="T723" s="166"/>
      <c r="U723" s="166"/>
      <c r="V723" s="166"/>
      <c r="W723" s="166"/>
      <c r="X723" s="166"/>
      <c r="Y723" s="166"/>
      <c r="Z723" s="166"/>
      <c r="AA723" s="166"/>
      <c r="AB723" s="166"/>
      <c r="AC723" s="166"/>
      <c r="AD723" s="166"/>
      <c r="AE723" s="166"/>
      <c r="AF723" s="166"/>
      <c r="AG723" s="166"/>
      <c r="AH723" s="166"/>
      <c r="AI723" s="166"/>
    </row>
    <row r="724" spans="1:35" x14ac:dyDescent="0.2">
      <c r="A724" s="167" t="s">
        <v>92</v>
      </c>
      <c r="B724" s="162">
        <v>12</v>
      </c>
      <c r="C724" s="162">
        <f t="shared" si="22"/>
        <v>2281.25</v>
      </c>
      <c r="D724" s="162" t="s">
        <v>162</v>
      </c>
      <c r="E724" s="168">
        <v>176747980419.3804</v>
      </c>
      <c r="F724" s="168">
        <v>176747980.4193804</v>
      </c>
      <c r="G724" s="168">
        <v>176747.98041938039</v>
      </c>
      <c r="H724" s="168">
        <v>176.74798041938038</v>
      </c>
      <c r="I724" s="164">
        <f>H724*$O$9/0.1*INDEX(Country_details!$N$9:N874,MATCH(Solar_data!A724,Country_details!$A$9:$A$154,0))</f>
        <v>450.70735006941987</v>
      </c>
      <c r="J724" s="164">
        <f t="shared" si="23"/>
        <v>2281.25</v>
      </c>
      <c r="K724" s="164"/>
      <c r="L724" s="164"/>
      <c r="M724" s="164"/>
      <c r="N724" s="164"/>
      <c r="O724" s="166"/>
      <c r="P724" s="166"/>
      <c r="Q724" s="166"/>
      <c r="R724" s="166"/>
      <c r="S724" s="166"/>
      <c r="T724" s="166"/>
      <c r="U724" s="166"/>
      <c r="V724" s="166"/>
      <c r="W724" s="166"/>
      <c r="X724" s="166"/>
      <c r="Y724" s="166"/>
      <c r="Z724" s="166"/>
      <c r="AA724" s="166"/>
      <c r="AB724" s="166"/>
      <c r="AC724" s="166"/>
      <c r="AD724" s="166"/>
      <c r="AE724" s="166"/>
      <c r="AF724" s="166"/>
      <c r="AG724" s="166"/>
      <c r="AH724" s="166"/>
      <c r="AI724" s="166"/>
    </row>
    <row r="725" spans="1:35" x14ac:dyDescent="0.2">
      <c r="A725" s="167" t="s">
        <v>140</v>
      </c>
      <c r="B725" s="162">
        <v>4</v>
      </c>
      <c r="C725" s="162">
        <f t="shared" si="22"/>
        <v>821.25</v>
      </c>
      <c r="D725" s="162" t="s">
        <v>171</v>
      </c>
      <c r="E725" s="168">
        <v>1369719421.1494</v>
      </c>
      <c r="F725" s="168">
        <v>1369719.4211494001</v>
      </c>
      <c r="G725" s="168">
        <v>1369.7194211494002</v>
      </c>
      <c r="H725" s="168">
        <v>1.3697194211494002</v>
      </c>
      <c r="I725" s="164">
        <f>H725*$O$9/0.1*INDEX(Country_details!$N$9:N875,MATCH(Solar_data!A725,Country_details!$A$9:$A$154,0))</f>
        <v>3.6982424371033802</v>
      </c>
      <c r="J725" s="164">
        <f t="shared" si="23"/>
        <v>821.25</v>
      </c>
      <c r="K725" s="164"/>
      <c r="L725" s="164"/>
      <c r="M725" s="164"/>
      <c r="N725" s="164"/>
      <c r="O725" s="166"/>
      <c r="P725" s="166"/>
      <c r="Q725" s="166"/>
      <c r="R725" s="166"/>
      <c r="S725" s="166"/>
      <c r="T725" s="166"/>
      <c r="U725" s="166"/>
      <c r="V725" s="166"/>
      <c r="W725" s="166"/>
      <c r="X725" s="166"/>
      <c r="Y725" s="166"/>
      <c r="Z725" s="166"/>
      <c r="AA725" s="166"/>
      <c r="AB725" s="166"/>
      <c r="AC725" s="166"/>
      <c r="AD725" s="166"/>
      <c r="AE725" s="166"/>
      <c r="AF725" s="166"/>
      <c r="AG725" s="166"/>
      <c r="AH725" s="166"/>
      <c r="AI725" s="166"/>
    </row>
    <row r="726" spans="1:35" x14ac:dyDescent="0.2">
      <c r="A726" s="167" t="s">
        <v>140</v>
      </c>
      <c r="B726" s="162">
        <v>5</v>
      </c>
      <c r="C726" s="162">
        <f t="shared" si="22"/>
        <v>1003.75</v>
      </c>
      <c r="D726" s="162" t="s">
        <v>172</v>
      </c>
      <c r="E726" s="168">
        <v>198177488036.14529</v>
      </c>
      <c r="F726" s="168">
        <v>198177488.0361453</v>
      </c>
      <c r="G726" s="168">
        <v>198177.48803614531</v>
      </c>
      <c r="H726" s="168">
        <v>198.17748803614532</v>
      </c>
      <c r="I726" s="164">
        <f>H726*$O$9/0.1*INDEX(Country_details!$N$9:N876,MATCH(Solar_data!A726,Country_details!$A$9:$A$154,0))</f>
        <v>535.0792176975923</v>
      </c>
      <c r="J726" s="164">
        <f t="shared" si="23"/>
        <v>1003.75</v>
      </c>
      <c r="K726" s="164"/>
      <c r="L726" s="164"/>
      <c r="M726" s="164"/>
      <c r="N726" s="164"/>
      <c r="O726" s="166"/>
      <c r="P726" s="166"/>
      <c r="Q726" s="166"/>
      <c r="R726" s="166"/>
      <c r="S726" s="166"/>
      <c r="T726" s="166"/>
      <c r="U726" s="166"/>
      <c r="V726" s="166"/>
      <c r="W726" s="166"/>
      <c r="X726" s="166"/>
      <c r="Y726" s="166"/>
      <c r="Z726" s="166"/>
      <c r="AA726" s="166"/>
      <c r="AB726" s="166"/>
      <c r="AC726" s="166"/>
      <c r="AD726" s="166"/>
      <c r="AE726" s="166"/>
      <c r="AF726" s="166"/>
      <c r="AG726" s="166"/>
      <c r="AH726" s="166"/>
      <c r="AI726" s="166"/>
    </row>
    <row r="727" spans="1:35" x14ac:dyDescent="0.2">
      <c r="A727" s="167" t="s">
        <v>140</v>
      </c>
      <c r="B727" s="162">
        <v>6</v>
      </c>
      <c r="C727" s="162">
        <f t="shared" si="22"/>
        <v>1186.25</v>
      </c>
      <c r="D727" s="162" t="s">
        <v>173</v>
      </c>
      <c r="E727" s="168">
        <v>191468876571.1272</v>
      </c>
      <c r="F727" s="168">
        <v>191468876.57112721</v>
      </c>
      <c r="G727" s="168">
        <v>191468.87657112721</v>
      </c>
      <c r="H727" s="168">
        <v>191.46887657112723</v>
      </c>
      <c r="I727" s="164">
        <f>H727*$O$9/0.1*INDEX(Country_details!$N$9:N877,MATCH(Solar_data!A727,Country_details!$A$9:$A$154,0))</f>
        <v>516.96596674204341</v>
      </c>
      <c r="J727" s="164">
        <f t="shared" si="23"/>
        <v>1186.25</v>
      </c>
      <c r="K727" s="164"/>
      <c r="L727" s="164"/>
      <c r="M727" s="164"/>
      <c r="N727" s="164"/>
      <c r="O727" s="166"/>
      <c r="P727" s="166"/>
      <c r="Q727" s="166"/>
      <c r="R727" s="166"/>
      <c r="S727" s="166"/>
      <c r="T727" s="166"/>
      <c r="U727" s="166"/>
      <c r="V727" s="166"/>
      <c r="W727" s="166"/>
      <c r="X727" s="166"/>
      <c r="Y727" s="166"/>
      <c r="Z727" s="166"/>
      <c r="AA727" s="166"/>
      <c r="AB727" s="166"/>
      <c r="AC727" s="166"/>
      <c r="AD727" s="166"/>
      <c r="AE727" s="166"/>
      <c r="AF727" s="166"/>
      <c r="AG727" s="166"/>
      <c r="AH727" s="166"/>
      <c r="AI727" s="166"/>
    </row>
    <row r="728" spans="1:35" x14ac:dyDescent="0.2">
      <c r="A728" s="167" t="s">
        <v>140</v>
      </c>
      <c r="B728" s="162">
        <v>7</v>
      </c>
      <c r="C728" s="162">
        <f t="shared" si="22"/>
        <v>1368.75</v>
      </c>
      <c r="D728" s="162" t="s">
        <v>174</v>
      </c>
      <c r="E728" s="168">
        <v>1425622.1022999999</v>
      </c>
      <c r="F728" s="168">
        <v>1425.6221023000001</v>
      </c>
      <c r="G728" s="168">
        <v>1.4256221023</v>
      </c>
      <c r="H728" s="168">
        <v>1.4256221022999999E-3</v>
      </c>
      <c r="I728" s="164">
        <f>H728*$O$9/0.1*INDEX(Country_details!$N$9:N878,MATCH(Solar_data!A728,Country_details!$A$9:$A$154,0))</f>
        <v>3.8491796762100002E-3</v>
      </c>
      <c r="J728" s="164">
        <f t="shared" si="23"/>
        <v>1368.75</v>
      </c>
      <c r="K728" s="164"/>
      <c r="L728" s="164"/>
      <c r="M728" s="164"/>
      <c r="N728" s="164"/>
      <c r="O728" s="166"/>
      <c r="P728" s="166"/>
      <c r="Q728" s="166"/>
      <c r="R728" s="166"/>
      <c r="S728" s="166"/>
      <c r="T728" s="166"/>
      <c r="U728" s="166"/>
      <c r="V728" s="166"/>
      <c r="W728" s="166"/>
      <c r="X728" s="166"/>
      <c r="Y728" s="166"/>
      <c r="Z728" s="166"/>
      <c r="AA728" s="166"/>
      <c r="AB728" s="166"/>
      <c r="AC728" s="166"/>
      <c r="AD728" s="166"/>
      <c r="AE728" s="166"/>
      <c r="AF728" s="166"/>
      <c r="AG728" s="166"/>
      <c r="AH728" s="166"/>
      <c r="AI728" s="166"/>
    </row>
    <row r="729" spans="1:35" x14ac:dyDescent="0.2">
      <c r="A729" s="167" t="s">
        <v>93</v>
      </c>
      <c r="B729" s="162">
        <v>4</v>
      </c>
      <c r="C729" s="162">
        <f t="shared" si="22"/>
        <v>821.25</v>
      </c>
      <c r="D729" s="162" t="s">
        <v>171</v>
      </c>
      <c r="E729" s="168">
        <v>12493877992.719999</v>
      </c>
      <c r="F729" s="168">
        <v>12493877.99272</v>
      </c>
      <c r="G729" s="168">
        <v>12493.877992720001</v>
      </c>
      <c r="H729" s="168">
        <v>12.493877992720002</v>
      </c>
      <c r="I729" s="164">
        <f>H729*$O$9/0.1*INDEX(Country_details!$N$9:N879,MATCH(Solar_data!A729,Country_details!$A$9:$A$154,0))</f>
        <v>29.985307182528004</v>
      </c>
      <c r="J729" s="164">
        <f t="shared" si="23"/>
        <v>821.25</v>
      </c>
      <c r="K729" s="164"/>
      <c r="L729" s="164"/>
      <c r="M729" s="164"/>
      <c r="N729" s="164"/>
      <c r="O729" s="166"/>
      <c r="P729" s="166"/>
      <c r="Q729" s="166"/>
      <c r="R729" s="166"/>
      <c r="S729" s="166"/>
      <c r="T729" s="166"/>
      <c r="U729" s="166"/>
      <c r="V729" s="166"/>
      <c r="W729" s="166"/>
      <c r="X729" s="166"/>
      <c r="Y729" s="166"/>
      <c r="Z729" s="166"/>
      <c r="AA729" s="166"/>
      <c r="AB729" s="166"/>
      <c r="AC729" s="166"/>
      <c r="AD729" s="166"/>
      <c r="AE729" s="166"/>
      <c r="AF729" s="166"/>
      <c r="AG729" s="166"/>
      <c r="AH729" s="166"/>
      <c r="AI729" s="166"/>
    </row>
    <row r="730" spans="1:35" x14ac:dyDescent="0.2">
      <c r="A730" s="167" t="s">
        <v>93</v>
      </c>
      <c r="B730" s="162">
        <v>5</v>
      </c>
      <c r="C730" s="162">
        <f t="shared" si="22"/>
        <v>1003.75</v>
      </c>
      <c r="D730" s="162" t="s">
        <v>172</v>
      </c>
      <c r="E730" s="168">
        <v>1554011547674.9172</v>
      </c>
      <c r="F730" s="168">
        <v>1554011547.6749172</v>
      </c>
      <c r="G730" s="168">
        <v>1554011.5476749172</v>
      </c>
      <c r="H730" s="168">
        <v>1554.0115476749172</v>
      </c>
      <c r="I730" s="164">
        <f>H730*$O$9/0.1*INDEX(Country_details!$N$9:N880,MATCH(Solar_data!A730,Country_details!$A$9:$A$154,0))</f>
        <v>3729.6277144198011</v>
      </c>
      <c r="J730" s="164">
        <f t="shared" si="23"/>
        <v>1003.75</v>
      </c>
      <c r="K730" s="164"/>
      <c r="L730" s="164"/>
      <c r="M730" s="164"/>
      <c r="N730" s="164"/>
      <c r="O730" s="166"/>
      <c r="P730" s="166"/>
      <c r="Q730" s="166"/>
      <c r="R730" s="166"/>
      <c r="S730" s="166"/>
      <c r="T730" s="166"/>
      <c r="U730" s="166"/>
      <c r="V730" s="166"/>
      <c r="W730" s="166"/>
      <c r="X730" s="166"/>
      <c r="Y730" s="166"/>
      <c r="Z730" s="166"/>
      <c r="AA730" s="166"/>
      <c r="AB730" s="166"/>
      <c r="AC730" s="166"/>
      <c r="AD730" s="166"/>
      <c r="AE730" s="166"/>
      <c r="AF730" s="166"/>
      <c r="AG730" s="166"/>
      <c r="AH730" s="166"/>
      <c r="AI730" s="166"/>
    </row>
    <row r="731" spans="1:35" x14ac:dyDescent="0.2">
      <c r="A731" s="167" t="s">
        <v>93</v>
      </c>
      <c r="B731" s="162">
        <v>6</v>
      </c>
      <c r="C731" s="162">
        <f t="shared" si="22"/>
        <v>1186.25</v>
      </c>
      <c r="D731" s="162" t="s">
        <v>173</v>
      </c>
      <c r="E731" s="168">
        <v>801518840137.66199</v>
      </c>
      <c r="F731" s="168">
        <v>801518840.13766205</v>
      </c>
      <c r="G731" s="168">
        <v>801518.84013766202</v>
      </c>
      <c r="H731" s="168">
        <v>801.51884013766198</v>
      </c>
      <c r="I731" s="164">
        <f>H731*$O$9/0.1*INDEX(Country_details!$N$9:N881,MATCH(Solar_data!A731,Country_details!$A$9:$A$154,0))</f>
        <v>1923.6452163303886</v>
      </c>
      <c r="J731" s="164">
        <f t="shared" si="23"/>
        <v>1186.25</v>
      </c>
      <c r="K731" s="164"/>
      <c r="L731" s="164"/>
      <c r="M731" s="164"/>
      <c r="N731" s="164"/>
      <c r="O731" s="166"/>
      <c r="P731" s="166"/>
      <c r="Q731" s="166"/>
      <c r="R731" s="166"/>
      <c r="S731" s="166"/>
      <c r="T731" s="166"/>
      <c r="U731" s="166"/>
      <c r="V731" s="166"/>
      <c r="W731" s="166"/>
      <c r="X731" s="166"/>
      <c r="Y731" s="166"/>
      <c r="Z731" s="166"/>
      <c r="AA731" s="166"/>
      <c r="AB731" s="166"/>
      <c r="AC731" s="166"/>
      <c r="AD731" s="166"/>
      <c r="AE731" s="166"/>
      <c r="AF731" s="166"/>
      <c r="AG731" s="166"/>
      <c r="AH731" s="166"/>
      <c r="AI731" s="166"/>
    </row>
    <row r="732" spans="1:35" x14ac:dyDescent="0.2">
      <c r="A732" s="167" t="s">
        <v>93</v>
      </c>
      <c r="B732" s="162">
        <v>7</v>
      </c>
      <c r="C732" s="162">
        <f t="shared" si="22"/>
        <v>1368.75</v>
      </c>
      <c r="D732" s="162" t="s">
        <v>174</v>
      </c>
      <c r="E732" s="168">
        <v>229799834832.66281</v>
      </c>
      <c r="F732" s="168">
        <v>229799834.83266282</v>
      </c>
      <c r="G732" s="168">
        <v>229799.83483266283</v>
      </c>
      <c r="H732" s="168">
        <v>229.79983483266284</v>
      </c>
      <c r="I732" s="164">
        <f>H732*$O$9/0.1*INDEX(Country_details!$N$9:N882,MATCH(Solar_data!A732,Country_details!$A$9:$A$154,0))</f>
        <v>551.51960359839074</v>
      </c>
      <c r="J732" s="164">
        <f t="shared" si="23"/>
        <v>1368.75</v>
      </c>
      <c r="K732" s="164"/>
      <c r="L732" s="164"/>
      <c r="M732" s="164"/>
      <c r="N732" s="164"/>
      <c r="O732" s="166"/>
      <c r="P732" s="166"/>
      <c r="Q732" s="166"/>
      <c r="R732" s="166"/>
      <c r="S732" s="166"/>
      <c r="T732" s="166"/>
      <c r="U732" s="166"/>
      <c r="V732" s="166"/>
      <c r="W732" s="166"/>
      <c r="X732" s="166"/>
      <c r="Y732" s="166"/>
      <c r="Z732" s="166"/>
      <c r="AA732" s="166"/>
      <c r="AB732" s="166"/>
      <c r="AC732" s="166"/>
      <c r="AD732" s="166"/>
      <c r="AE732" s="166"/>
      <c r="AF732" s="166"/>
      <c r="AG732" s="166"/>
      <c r="AH732" s="166"/>
      <c r="AI732" s="166"/>
    </row>
    <row r="733" spans="1:35" x14ac:dyDescent="0.2">
      <c r="A733" s="167" t="s">
        <v>93</v>
      </c>
      <c r="B733" s="162">
        <v>8</v>
      </c>
      <c r="C733" s="162">
        <f t="shared" si="22"/>
        <v>1551.25</v>
      </c>
      <c r="D733" s="162" t="s">
        <v>164</v>
      </c>
      <c r="E733" s="168">
        <v>3631074536027.0498</v>
      </c>
      <c r="F733" s="168">
        <v>3631074536.02705</v>
      </c>
      <c r="G733" s="168">
        <v>3631074.5360270501</v>
      </c>
      <c r="H733" s="168">
        <v>3631.0745360270503</v>
      </c>
      <c r="I733" s="164">
        <f>H733*$O$9/0.1*INDEX(Country_details!$N$9:N883,MATCH(Solar_data!A733,Country_details!$A$9:$A$154,0))</f>
        <v>8714.5788864649203</v>
      </c>
      <c r="J733" s="164">
        <f t="shared" si="23"/>
        <v>1551.25</v>
      </c>
      <c r="K733" s="164"/>
      <c r="L733" s="164"/>
      <c r="M733" s="164"/>
      <c r="N733" s="164"/>
      <c r="O733" s="166"/>
      <c r="P733" s="166"/>
      <c r="Q733" s="166"/>
      <c r="R733" s="166"/>
      <c r="S733" s="166"/>
      <c r="T733" s="166"/>
      <c r="U733" s="166"/>
      <c r="V733" s="166"/>
      <c r="W733" s="166"/>
      <c r="X733" s="166"/>
      <c r="Y733" s="166"/>
      <c r="Z733" s="166"/>
      <c r="AA733" s="166"/>
      <c r="AB733" s="166"/>
      <c r="AC733" s="166"/>
      <c r="AD733" s="166"/>
      <c r="AE733" s="166"/>
      <c r="AF733" s="166"/>
      <c r="AG733" s="166"/>
      <c r="AH733" s="166"/>
      <c r="AI733" s="166"/>
    </row>
    <row r="734" spans="1:35" x14ac:dyDescent="0.2">
      <c r="A734" s="167" t="s">
        <v>93</v>
      </c>
      <c r="B734" s="162">
        <v>9</v>
      </c>
      <c r="C734" s="162">
        <f t="shared" si="22"/>
        <v>1733.75</v>
      </c>
      <c r="D734" s="162" t="s">
        <v>157</v>
      </c>
      <c r="E734" s="168">
        <v>6510588658701.8145</v>
      </c>
      <c r="F734" s="168">
        <v>6510588658.7018147</v>
      </c>
      <c r="G734" s="168">
        <v>6510588.6587018147</v>
      </c>
      <c r="H734" s="168">
        <v>6510.5886587018149</v>
      </c>
      <c r="I734" s="164">
        <f>H734*$O$9/0.1*INDEX(Country_details!$N$9:N884,MATCH(Solar_data!A734,Country_details!$A$9:$A$154,0))</f>
        <v>15625.412780884355</v>
      </c>
      <c r="J734" s="164">
        <f t="shared" si="23"/>
        <v>1733.75</v>
      </c>
      <c r="K734" s="164"/>
      <c r="L734" s="164"/>
      <c r="M734" s="164"/>
      <c r="N734" s="164"/>
      <c r="O734" s="166"/>
      <c r="P734" s="166"/>
      <c r="Q734" s="166"/>
      <c r="R734" s="166"/>
      <c r="S734" s="166"/>
      <c r="T734" s="166"/>
      <c r="U734" s="166"/>
      <c r="V734" s="166"/>
      <c r="W734" s="166"/>
      <c r="X734" s="166"/>
      <c r="Y734" s="166"/>
      <c r="Z734" s="166"/>
      <c r="AA734" s="166"/>
      <c r="AB734" s="166"/>
      <c r="AC734" s="166"/>
      <c r="AD734" s="166"/>
      <c r="AE734" s="166"/>
      <c r="AF734" s="166"/>
      <c r="AG734" s="166"/>
      <c r="AH734" s="166"/>
      <c r="AI734" s="166"/>
    </row>
    <row r="735" spans="1:35" x14ac:dyDescent="0.2">
      <c r="A735" s="167" t="s">
        <v>93</v>
      </c>
      <c r="B735" s="162">
        <v>10</v>
      </c>
      <c r="C735" s="162">
        <f t="shared" si="22"/>
        <v>1916.25</v>
      </c>
      <c r="D735" s="162" t="s">
        <v>159</v>
      </c>
      <c r="E735" s="168">
        <v>5096221468538.2061</v>
      </c>
      <c r="F735" s="168">
        <v>5096221468.5382061</v>
      </c>
      <c r="G735" s="168">
        <v>5096221.4685382061</v>
      </c>
      <c r="H735" s="168">
        <v>5096.221468538206</v>
      </c>
      <c r="I735" s="164">
        <f>H735*$O$9/0.1*INDEX(Country_details!$N$9:N885,MATCH(Solar_data!A735,Country_details!$A$9:$A$154,0))</f>
        <v>12230.931524491694</v>
      </c>
      <c r="J735" s="164">
        <f t="shared" si="23"/>
        <v>1916.25</v>
      </c>
      <c r="K735" s="164"/>
      <c r="L735" s="164"/>
      <c r="M735" s="164"/>
      <c r="N735" s="164"/>
      <c r="O735" s="166"/>
      <c r="P735" s="166"/>
      <c r="Q735" s="166"/>
      <c r="R735" s="166"/>
      <c r="S735" s="166"/>
      <c r="T735" s="166"/>
      <c r="U735" s="166"/>
      <c r="V735" s="166"/>
      <c r="W735" s="166"/>
      <c r="X735" s="166"/>
      <c r="Y735" s="166"/>
      <c r="Z735" s="166"/>
      <c r="AA735" s="166"/>
      <c r="AB735" s="166"/>
      <c r="AC735" s="166"/>
      <c r="AD735" s="166"/>
      <c r="AE735" s="166"/>
      <c r="AF735" s="166"/>
      <c r="AG735" s="166"/>
      <c r="AH735" s="166"/>
      <c r="AI735" s="166"/>
    </row>
    <row r="736" spans="1:35" x14ac:dyDescent="0.2">
      <c r="A736" s="167" t="s">
        <v>93</v>
      </c>
      <c r="B736" s="162">
        <v>11</v>
      </c>
      <c r="C736" s="162">
        <f t="shared" si="22"/>
        <v>2098.75</v>
      </c>
      <c r="D736" s="162" t="s">
        <v>161</v>
      </c>
      <c r="E736" s="168">
        <v>2969777996212.9766</v>
      </c>
      <c r="F736" s="168">
        <v>2969777996.2129765</v>
      </c>
      <c r="G736" s="168">
        <v>2969777.9962129765</v>
      </c>
      <c r="H736" s="168">
        <v>2969.7779962129766</v>
      </c>
      <c r="I736" s="164">
        <f>H736*$O$9/0.1*INDEX(Country_details!$N$9:N886,MATCH(Solar_data!A736,Country_details!$A$9:$A$154,0))</f>
        <v>7127.4671909111439</v>
      </c>
      <c r="J736" s="164">
        <f t="shared" si="23"/>
        <v>2098.75</v>
      </c>
      <c r="K736" s="164"/>
      <c r="L736" s="164"/>
      <c r="M736" s="164"/>
      <c r="N736" s="164"/>
      <c r="O736" s="166"/>
      <c r="P736" s="166"/>
      <c r="Q736" s="166"/>
      <c r="R736" s="166"/>
      <c r="S736" s="166"/>
      <c r="T736" s="166"/>
      <c r="U736" s="166"/>
      <c r="V736" s="166"/>
      <c r="W736" s="166"/>
      <c r="X736" s="166"/>
      <c r="Y736" s="166"/>
      <c r="Z736" s="166"/>
      <c r="AA736" s="166"/>
      <c r="AB736" s="166"/>
      <c r="AC736" s="166"/>
      <c r="AD736" s="166"/>
      <c r="AE736" s="166"/>
      <c r="AF736" s="166"/>
      <c r="AG736" s="166"/>
      <c r="AH736" s="166"/>
      <c r="AI736" s="166"/>
    </row>
    <row r="737" spans="1:35" x14ac:dyDescent="0.2">
      <c r="A737" s="167" t="s">
        <v>93</v>
      </c>
      <c r="B737" s="162">
        <v>12</v>
      </c>
      <c r="C737" s="162">
        <f t="shared" si="22"/>
        <v>2281.25</v>
      </c>
      <c r="D737" s="162" t="s">
        <v>162</v>
      </c>
      <c r="E737" s="168">
        <v>3015188510945.3271</v>
      </c>
      <c r="F737" s="168">
        <v>3015188510.9453273</v>
      </c>
      <c r="G737" s="168">
        <v>3015188.5109453271</v>
      </c>
      <c r="H737" s="168">
        <v>3015.1885109453274</v>
      </c>
      <c r="I737" s="164">
        <f>H737*$O$9/0.1*INDEX(Country_details!$N$9:N887,MATCH(Solar_data!A737,Country_details!$A$9:$A$154,0))</f>
        <v>7236.4524262687846</v>
      </c>
      <c r="J737" s="164">
        <f t="shared" si="23"/>
        <v>2281.25</v>
      </c>
      <c r="K737" s="164"/>
      <c r="L737" s="164"/>
      <c r="M737" s="164"/>
      <c r="N737" s="164"/>
      <c r="O737" s="166"/>
      <c r="P737" s="166"/>
      <c r="Q737" s="166"/>
      <c r="R737" s="166"/>
      <c r="S737" s="166"/>
      <c r="T737" s="166"/>
      <c r="U737" s="166"/>
      <c r="V737" s="166"/>
      <c r="W737" s="166"/>
      <c r="X737" s="166"/>
      <c r="Y737" s="166"/>
      <c r="Z737" s="166"/>
      <c r="AA737" s="166"/>
      <c r="AB737" s="166"/>
      <c r="AC737" s="166"/>
      <c r="AD737" s="166"/>
      <c r="AE737" s="166"/>
      <c r="AF737" s="166"/>
      <c r="AG737" s="166"/>
      <c r="AH737" s="166"/>
      <c r="AI737" s="166"/>
    </row>
    <row r="738" spans="1:35" x14ac:dyDescent="0.2">
      <c r="A738" s="167" t="s">
        <v>93</v>
      </c>
      <c r="B738" s="162">
        <v>13</v>
      </c>
      <c r="C738" s="162">
        <f t="shared" si="22"/>
        <v>2463.75</v>
      </c>
      <c r="D738" s="162" t="s">
        <v>163</v>
      </c>
      <c r="E738" s="168">
        <v>736406180602.92554</v>
      </c>
      <c r="F738" s="168">
        <v>736406180.60292554</v>
      </c>
      <c r="G738" s="168">
        <v>736406.1806029256</v>
      </c>
      <c r="H738" s="168">
        <v>736.40618060292559</v>
      </c>
      <c r="I738" s="164">
        <f>H738*$O$9/0.1*INDEX(Country_details!$N$9:N888,MATCH(Solar_data!A738,Country_details!$A$9:$A$154,0))</f>
        <v>1767.3748334470213</v>
      </c>
      <c r="J738" s="164">
        <f t="shared" si="23"/>
        <v>2463.75</v>
      </c>
      <c r="K738" s="164"/>
      <c r="L738" s="164"/>
      <c r="M738" s="164"/>
      <c r="N738" s="164"/>
      <c r="O738" s="166"/>
      <c r="P738" s="166"/>
      <c r="Q738" s="166"/>
      <c r="R738" s="166"/>
      <c r="S738" s="166"/>
      <c r="T738" s="166"/>
      <c r="U738" s="166"/>
      <c r="V738" s="166"/>
      <c r="W738" s="166"/>
      <c r="X738" s="166"/>
      <c r="Y738" s="166"/>
      <c r="Z738" s="166"/>
      <c r="AA738" s="166"/>
      <c r="AB738" s="166"/>
      <c r="AC738" s="166"/>
      <c r="AD738" s="166"/>
      <c r="AE738" s="166"/>
      <c r="AF738" s="166"/>
      <c r="AG738" s="166"/>
      <c r="AH738" s="166"/>
      <c r="AI738" s="166"/>
    </row>
    <row r="739" spans="1:35" x14ac:dyDescent="0.2">
      <c r="A739" s="167" t="s">
        <v>28</v>
      </c>
      <c r="B739" s="162">
        <v>9</v>
      </c>
      <c r="C739" s="162">
        <f t="shared" si="22"/>
        <v>1733.75</v>
      </c>
      <c r="D739" s="162" t="s">
        <v>157</v>
      </c>
      <c r="E739" s="168">
        <v>366904625355.81812</v>
      </c>
      <c r="F739" s="168">
        <v>366904625.35581815</v>
      </c>
      <c r="G739" s="168">
        <v>366904.62535581813</v>
      </c>
      <c r="H739" s="168">
        <v>366.90462535581815</v>
      </c>
      <c r="I739" s="164">
        <f>H739*$O$9/0.1*INDEX(Country_details!$N$9:N889,MATCH(Solar_data!A739,Country_details!$A$9:$A$154,0))</f>
        <v>990.64248846070893</v>
      </c>
      <c r="J739" s="164">
        <f t="shared" si="23"/>
        <v>1733.75</v>
      </c>
      <c r="K739" s="164"/>
      <c r="L739" s="164"/>
      <c r="M739" s="164"/>
      <c r="N739" s="164"/>
      <c r="O739" s="166"/>
      <c r="P739" s="166"/>
      <c r="Q739" s="166"/>
      <c r="R739" s="166"/>
      <c r="S739" s="166"/>
      <c r="T739" s="166"/>
      <c r="U739" s="166"/>
      <c r="V739" s="166"/>
      <c r="W739" s="166"/>
      <c r="X739" s="166"/>
      <c r="Y739" s="166"/>
      <c r="Z739" s="166"/>
      <c r="AA739" s="166"/>
      <c r="AB739" s="166"/>
      <c r="AC739" s="166"/>
      <c r="AD739" s="166"/>
      <c r="AE739" s="166"/>
      <c r="AF739" s="166"/>
      <c r="AG739" s="166"/>
      <c r="AH739" s="166"/>
      <c r="AI739" s="166"/>
    </row>
    <row r="740" spans="1:35" x14ac:dyDescent="0.2">
      <c r="A740" s="167" t="s">
        <v>28</v>
      </c>
      <c r="B740" s="162">
        <v>10</v>
      </c>
      <c r="C740" s="162">
        <f t="shared" si="22"/>
        <v>1916.25</v>
      </c>
      <c r="D740" s="162" t="s">
        <v>159</v>
      </c>
      <c r="E740" s="168">
        <v>113332078187.5248</v>
      </c>
      <c r="F740" s="168">
        <v>113332078.1875248</v>
      </c>
      <c r="G740" s="168">
        <v>113332.07818752479</v>
      </c>
      <c r="H740" s="168">
        <v>113.3320781875248</v>
      </c>
      <c r="I740" s="164">
        <f>H740*$O$9/0.1*INDEX(Country_details!$N$9:N890,MATCH(Solar_data!A740,Country_details!$A$9:$A$154,0))</f>
        <v>305.99661110631695</v>
      </c>
      <c r="J740" s="164">
        <f t="shared" si="23"/>
        <v>1916.25</v>
      </c>
      <c r="K740" s="164"/>
      <c r="L740" s="164"/>
      <c r="M740" s="164"/>
      <c r="N740" s="164"/>
      <c r="O740" s="166"/>
      <c r="P740" s="166"/>
      <c r="Q740" s="166"/>
      <c r="R740" s="166"/>
      <c r="S740" s="166"/>
      <c r="T740" s="166"/>
      <c r="U740" s="166"/>
      <c r="V740" s="166"/>
      <c r="W740" s="166"/>
      <c r="X740" s="166"/>
      <c r="Y740" s="166"/>
      <c r="Z740" s="166"/>
      <c r="AA740" s="166"/>
      <c r="AB740" s="166"/>
      <c r="AC740" s="166"/>
      <c r="AD740" s="166"/>
      <c r="AE740" s="166"/>
      <c r="AF740" s="166"/>
      <c r="AG740" s="166"/>
      <c r="AH740" s="166"/>
      <c r="AI740" s="166"/>
    </row>
    <row r="741" spans="1:35" x14ac:dyDescent="0.2">
      <c r="A741" s="167" t="s">
        <v>94</v>
      </c>
      <c r="B741" s="162">
        <v>8</v>
      </c>
      <c r="C741" s="162">
        <f t="shared" si="22"/>
        <v>1551.25</v>
      </c>
      <c r="D741" s="162" t="s">
        <v>164</v>
      </c>
      <c r="E741" s="168">
        <v>35366390164.372002</v>
      </c>
      <c r="F741" s="168">
        <v>35366390.164372005</v>
      </c>
      <c r="G741" s="168">
        <v>35366.390164372002</v>
      </c>
      <c r="H741" s="168">
        <v>35.366390164372</v>
      </c>
      <c r="I741" s="164">
        <f>H741*$O$9/0.1*INDEX(Country_details!$N$9:N891,MATCH(Solar_data!A741,Country_details!$A$9:$A$154,0))</f>
        <v>95.489253443804401</v>
      </c>
      <c r="J741" s="164">
        <f t="shared" si="23"/>
        <v>1551.25</v>
      </c>
      <c r="K741" s="164"/>
      <c r="L741" s="164"/>
      <c r="M741" s="164"/>
      <c r="N741" s="164"/>
      <c r="O741" s="166"/>
      <c r="P741" s="166"/>
      <c r="Q741" s="166"/>
      <c r="R741" s="166"/>
      <c r="S741" s="166"/>
      <c r="T741" s="166"/>
      <c r="U741" s="166"/>
      <c r="V741" s="166"/>
      <c r="W741" s="166"/>
      <c r="X741" s="166"/>
      <c r="Y741" s="166"/>
      <c r="Z741" s="166"/>
      <c r="AA741" s="166"/>
      <c r="AB741" s="166"/>
      <c r="AC741" s="166"/>
      <c r="AD741" s="166"/>
      <c r="AE741" s="166"/>
      <c r="AF741" s="166"/>
      <c r="AG741" s="166"/>
      <c r="AH741" s="166"/>
      <c r="AI741" s="166"/>
    </row>
    <row r="742" spans="1:35" x14ac:dyDescent="0.2">
      <c r="A742" s="167" t="s">
        <v>94</v>
      </c>
      <c r="B742" s="162">
        <v>9</v>
      </c>
      <c r="C742" s="162">
        <f t="shared" si="22"/>
        <v>1733.75</v>
      </c>
      <c r="D742" s="162" t="s">
        <v>157</v>
      </c>
      <c r="E742" s="168">
        <v>916098913350.14746</v>
      </c>
      <c r="F742" s="168">
        <v>916098913.35014749</v>
      </c>
      <c r="G742" s="168">
        <v>916098.91335014754</v>
      </c>
      <c r="H742" s="168">
        <v>916.09891335014754</v>
      </c>
      <c r="I742" s="164">
        <f>H742*$O$9/0.1*INDEX(Country_details!$N$9:N892,MATCH(Solar_data!A742,Country_details!$A$9:$A$154,0))</f>
        <v>2473.467066045398</v>
      </c>
      <c r="J742" s="164">
        <f t="shared" si="23"/>
        <v>1733.75</v>
      </c>
      <c r="K742" s="164"/>
      <c r="L742" s="164"/>
      <c r="M742" s="164"/>
      <c r="N742" s="164"/>
      <c r="O742" s="166"/>
      <c r="P742" s="166"/>
      <c r="Q742" s="166"/>
      <c r="R742" s="166"/>
      <c r="S742" s="166"/>
      <c r="T742" s="166"/>
      <c r="U742" s="166"/>
      <c r="V742" s="166"/>
      <c r="W742" s="166"/>
      <c r="X742" s="166"/>
      <c r="Y742" s="166"/>
      <c r="Z742" s="166"/>
      <c r="AA742" s="166"/>
      <c r="AB742" s="166"/>
      <c r="AC742" s="166"/>
      <c r="AD742" s="166"/>
      <c r="AE742" s="166"/>
      <c r="AF742" s="166"/>
      <c r="AG742" s="166"/>
      <c r="AH742" s="166"/>
      <c r="AI742" s="166"/>
    </row>
    <row r="743" spans="1:35" x14ac:dyDescent="0.2">
      <c r="A743" s="167" t="s">
        <v>94</v>
      </c>
      <c r="B743" s="162">
        <v>10</v>
      </c>
      <c r="C743" s="162">
        <f t="shared" si="22"/>
        <v>1916.25</v>
      </c>
      <c r="D743" s="162" t="s">
        <v>159</v>
      </c>
      <c r="E743" s="168">
        <v>243525058381.19659</v>
      </c>
      <c r="F743" s="168">
        <v>243525058.38119659</v>
      </c>
      <c r="G743" s="168">
        <v>243525.05838119661</v>
      </c>
      <c r="H743" s="168">
        <v>243.5250583811966</v>
      </c>
      <c r="I743" s="164">
        <f>H743*$O$9/0.1*INDEX(Country_details!$N$9:N893,MATCH(Solar_data!A743,Country_details!$A$9:$A$154,0))</f>
        <v>657.51765762923071</v>
      </c>
      <c r="J743" s="164">
        <f t="shared" si="23"/>
        <v>1916.25</v>
      </c>
      <c r="K743" s="164"/>
      <c r="L743" s="164"/>
      <c r="M743" s="164"/>
      <c r="N743" s="164"/>
      <c r="O743" s="166"/>
      <c r="P743" s="166"/>
      <c r="Q743" s="166"/>
      <c r="R743" s="166"/>
      <c r="S743" s="166"/>
      <c r="T743" s="166"/>
      <c r="U743" s="166"/>
      <c r="V743" s="166"/>
      <c r="W743" s="166"/>
      <c r="X743" s="166"/>
      <c r="Y743" s="166"/>
      <c r="Z743" s="166"/>
      <c r="AA743" s="166"/>
      <c r="AB743" s="166"/>
      <c r="AC743" s="166"/>
      <c r="AD743" s="166"/>
      <c r="AE743" s="166"/>
      <c r="AF743" s="166"/>
      <c r="AG743" s="166"/>
      <c r="AH743" s="166"/>
      <c r="AI743" s="166"/>
    </row>
    <row r="744" spans="1:35" x14ac:dyDescent="0.2">
      <c r="A744" s="167" t="s">
        <v>288</v>
      </c>
      <c r="B744" s="162">
        <v>10</v>
      </c>
      <c r="C744" s="162">
        <f t="shared" si="22"/>
        <v>1916.25</v>
      </c>
      <c r="D744" s="162" t="s">
        <v>159</v>
      </c>
      <c r="E744" s="168">
        <v>7121559219.2648001</v>
      </c>
      <c r="F744" s="168">
        <v>7121559.2192648007</v>
      </c>
      <c r="G744" s="168">
        <v>7121.559219264801</v>
      </c>
      <c r="H744" s="168">
        <v>7.1215592192648014</v>
      </c>
      <c r="I744" s="164" t="e">
        <f>H744*$O$9/0.1*INDEX(Country_details!$N$9:N894,MATCH(Solar_data!A744,Country_details!$A$9:$A$154,0))</f>
        <v>#N/A</v>
      </c>
      <c r="J744" s="164">
        <f t="shared" si="23"/>
        <v>1916.25</v>
      </c>
      <c r="K744" s="164"/>
      <c r="L744" s="164"/>
      <c r="M744" s="164"/>
      <c r="N744" s="164"/>
      <c r="O744" s="166"/>
      <c r="P744" s="166"/>
      <c r="Q744" s="166"/>
      <c r="R744" s="166"/>
      <c r="S744" s="166"/>
      <c r="T744" s="166"/>
      <c r="U744" s="166"/>
      <c r="V744" s="166"/>
      <c r="W744" s="166"/>
      <c r="X744" s="166"/>
      <c r="Y744" s="166"/>
      <c r="Z744" s="166"/>
      <c r="AA744" s="166"/>
      <c r="AB744" s="166"/>
      <c r="AC744" s="166"/>
      <c r="AD744" s="166"/>
      <c r="AE744" s="166"/>
      <c r="AF744" s="166"/>
      <c r="AG744" s="166"/>
      <c r="AH744" s="166"/>
      <c r="AI744" s="166"/>
    </row>
    <row r="745" spans="1:35" x14ac:dyDescent="0.2">
      <c r="A745" s="167" t="s">
        <v>288</v>
      </c>
      <c r="B745" s="162">
        <v>11</v>
      </c>
      <c r="C745" s="162">
        <f t="shared" si="22"/>
        <v>2098.75</v>
      </c>
      <c r="D745" s="162" t="s">
        <v>161</v>
      </c>
      <c r="E745" s="168">
        <v>12384530520.460501</v>
      </c>
      <c r="F745" s="168">
        <v>12384530.520460501</v>
      </c>
      <c r="G745" s="168">
        <v>12384.530520460501</v>
      </c>
      <c r="H745" s="168">
        <v>12.384530520460501</v>
      </c>
      <c r="I745" s="164" t="e">
        <f>H745*$O$9/0.1*INDEX(Country_details!$N$9:N895,MATCH(Solar_data!A745,Country_details!$A$9:$A$154,0))</f>
        <v>#N/A</v>
      </c>
      <c r="J745" s="164">
        <f t="shared" si="23"/>
        <v>2098.75</v>
      </c>
      <c r="K745" s="164"/>
      <c r="L745" s="164"/>
      <c r="M745" s="164"/>
      <c r="N745" s="164"/>
      <c r="O745" s="166"/>
      <c r="P745" s="166"/>
      <c r="Q745" s="166"/>
      <c r="R745" s="166"/>
      <c r="S745" s="166"/>
      <c r="T745" s="166"/>
      <c r="U745" s="166"/>
      <c r="V745" s="166"/>
      <c r="W745" s="166"/>
      <c r="X745" s="166"/>
      <c r="Y745" s="166"/>
      <c r="Z745" s="166"/>
      <c r="AA745" s="166"/>
      <c r="AB745" s="166"/>
      <c r="AC745" s="166"/>
      <c r="AD745" s="166"/>
      <c r="AE745" s="166"/>
      <c r="AF745" s="166"/>
      <c r="AG745" s="166"/>
      <c r="AH745" s="166"/>
      <c r="AI745" s="166"/>
    </row>
    <row r="746" spans="1:35" x14ac:dyDescent="0.2">
      <c r="A746" s="167" t="s">
        <v>288</v>
      </c>
      <c r="B746" s="162">
        <v>12</v>
      </c>
      <c r="C746" s="162">
        <f t="shared" si="22"/>
        <v>2281.25</v>
      </c>
      <c r="D746" s="162" t="s">
        <v>162</v>
      </c>
      <c r="E746" s="168">
        <v>6804204755.2799997</v>
      </c>
      <c r="F746" s="168">
        <v>6804204.7552800002</v>
      </c>
      <c r="G746" s="168">
        <v>6804.2047552800004</v>
      </c>
      <c r="H746" s="168">
        <v>6.8042047552800007</v>
      </c>
      <c r="I746" s="164" t="e">
        <f>H746*$O$9/0.1*INDEX(Country_details!$N$9:N896,MATCH(Solar_data!A746,Country_details!$A$9:$A$154,0))</f>
        <v>#N/A</v>
      </c>
      <c r="J746" s="164">
        <f t="shared" si="23"/>
        <v>2281.25</v>
      </c>
      <c r="K746" s="164"/>
      <c r="L746" s="164"/>
      <c r="M746" s="164"/>
      <c r="N746" s="164"/>
      <c r="O746" s="166"/>
      <c r="P746" s="166"/>
      <c r="Q746" s="166"/>
      <c r="R746" s="166"/>
      <c r="S746" s="166"/>
      <c r="T746" s="166"/>
      <c r="U746" s="166"/>
      <c r="V746" s="166"/>
      <c r="W746" s="166"/>
      <c r="X746" s="166"/>
      <c r="Y746" s="166"/>
      <c r="Z746" s="166"/>
      <c r="AA746" s="166"/>
      <c r="AB746" s="166"/>
      <c r="AC746" s="166"/>
      <c r="AD746" s="166"/>
      <c r="AE746" s="166"/>
      <c r="AF746" s="166"/>
      <c r="AG746" s="166"/>
      <c r="AH746" s="166"/>
      <c r="AI746" s="166"/>
    </row>
    <row r="747" spans="1:35" x14ac:dyDescent="0.2">
      <c r="A747" s="167" t="s">
        <v>289</v>
      </c>
      <c r="B747" s="162">
        <v>9</v>
      </c>
      <c r="C747" s="162">
        <f t="shared" si="22"/>
        <v>1733.75</v>
      </c>
      <c r="D747" s="162" t="s">
        <v>157</v>
      </c>
      <c r="E747" s="168">
        <v>800700.97889999999</v>
      </c>
      <c r="F747" s="168">
        <v>800.7009789</v>
      </c>
      <c r="G747" s="168">
        <v>0.80070097890000003</v>
      </c>
      <c r="H747" s="168">
        <v>8.0070097890000001E-4</v>
      </c>
      <c r="I747" s="164" t="e">
        <f>H747*$O$9/0.1*INDEX(Country_details!$N$9:N897,MATCH(Solar_data!A747,Country_details!$A$9:$A$154,0))</f>
        <v>#N/A</v>
      </c>
      <c r="J747" s="164">
        <f t="shared" si="23"/>
        <v>1733.75</v>
      </c>
      <c r="K747" s="164"/>
      <c r="L747" s="164"/>
      <c r="M747" s="164"/>
      <c r="N747" s="164"/>
      <c r="O747" s="166"/>
      <c r="P747" s="166"/>
      <c r="Q747" s="166"/>
      <c r="R747" s="166"/>
      <c r="S747" s="166"/>
      <c r="T747" s="166"/>
      <c r="U747" s="166"/>
      <c r="V747" s="166"/>
      <c r="W747" s="166"/>
      <c r="X747" s="166"/>
      <c r="Y747" s="166"/>
      <c r="Z747" s="166"/>
      <c r="AA747" s="166"/>
      <c r="AB747" s="166"/>
      <c r="AC747" s="166"/>
      <c r="AD747" s="166"/>
      <c r="AE747" s="166"/>
      <c r="AF747" s="166"/>
      <c r="AG747" s="166"/>
      <c r="AH747" s="166"/>
      <c r="AI747" s="166"/>
    </row>
    <row r="748" spans="1:35" x14ac:dyDescent="0.2">
      <c r="A748" s="167" t="s">
        <v>290</v>
      </c>
      <c r="B748" s="162">
        <v>8</v>
      </c>
      <c r="C748" s="162">
        <f t="shared" si="22"/>
        <v>1551.25</v>
      </c>
      <c r="D748" s="162" t="s">
        <v>164</v>
      </c>
      <c r="E748" s="168">
        <v>31261490828.092999</v>
      </c>
      <c r="F748" s="168">
        <v>31261490.828093</v>
      </c>
      <c r="G748" s="168">
        <v>31261.490828092999</v>
      </c>
      <c r="H748" s="168">
        <v>31.261490828092999</v>
      </c>
      <c r="I748" s="164">
        <f>H748*$O$9/0.1*INDEX(Country_details!$N$9:N898,MATCH(Solar_data!A748,Country_details!$A$9:$A$154,0))</f>
        <v>75.0275779874232</v>
      </c>
      <c r="J748" s="164">
        <f t="shared" si="23"/>
        <v>1551.25</v>
      </c>
      <c r="K748" s="164"/>
      <c r="L748" s="164"/>
      <c r="M748" s="164"/>
      <c r="N748" s="164"/>
      <c r="O748" s="166"/>
      <c r="P748" s="166"/>
      <c r="Q748" s="166"/>
      <c r="R748" s="166"/>
      <c r="S748" s="166"/>
      <c r="T748" s="166"/>
      <c r="U748" s="166"/>
      <c r="V748" s="166"/>
      <c r="W748" s="166"/>
      <c r="X748" s="166"/>
      <c r="Y748" s="166"/>
      <c r="Z748" s="166"/>
      <c r="AA748" s="166"/>
      <c r="AB748" s="166"/>
      <c r="AC748" s="166"/>
      <c r="AD748" s="166"/>
      <c r="AE748" s="166"/>
      <c r="AF748" s="166"/>
      <c r="AG748" s="166"/>
      <c r="AH748" s="166"/>
      <c r="AI748" s="166"/>
    </row>
    <row r="749" spans="1:35" x14ac:dyDescent="0.2">
      <c r="A749" s="167" t="s">
        <v>290</v>
      </c>
      <c r="B749" s="162">
        <v>9</v>
      </c>
      <c r="C749" s="162">
        <f t="shared" si="22"/>
        <v>1733.75</v>
      </c>
      <c r="D749" s="162" t="s">
        <v>157</v>
      </c>
      <c r="E749" s="168">
        <v>502032081375.47589</v>
      </c>
      <c r="F749" s="168">
        <v>502032081.37547588</v>
      </c>
      <c r="G749" s="168">
        <v>502032.08137547591</v>
      </c>
      <c r="H749" s="168">
        <v>502.03208137547591</v>
      </c>
      <c r="I749" s="164">
        <f>H749*$O$9/0.1*INDEX(Country_details!$N$9:N899,MATCH(Solar_data!A749,Country_details!$A$9:$A$154,0))</f>
        <v>1204.8769953011422</v>
      </c>
      <c r="J749" s="164">
        <f t="shared" si="23"/>
        <v>1733.75</v>
      </c>
      <c r="K749" s="164"/>
      <c r="L749" s="164"/>
      <c r="M749" s="164"/>
      <c r="N749" s="164"/>
      <c r="O749" s="166"/>
      <c r="P749" s="166"/>
      <c r="Q749" s="166"/>
      <c r="R749" s="166"/>
      <c r="S749" s="166"/>
      <c r="T749" s="166"/>
      <c r="U749" s="166"/>
      <c r="V749" s="166"/>
      <c r="W749" s="166"/>
      <c r="X749" s="166"/>
      <c r="Y749" s="166"/>
      <c r="Z749" s="166"/>
      <c r="AA749" s="166"/>
      <c r="AB749" s="166"/>
      <c r="AC749" s="166"/>
      <c r="AD749" s="166"/>
      <c r="AE749" s="166"/>
      <c r="AF749" s="166"/>
      <c r="AG749" s="166"/>
      <c r="AH749" s="166"/>
      <c r="AI749" s="166"/>
    </row>
    <row r="750" spans="1:35" x14ac:dyDescent="0.2">
      <c r="A750" s="167" t="s">
        <v>290</v>
      </c>
      <c r="B750" s="162">
        <v>10</v>
      </c>
      <c r="C750" s="162">
        <f t="shared" si="22"/>
        <v>1916.25</v>
      </c>
      <c r="D750" s="162" t="s">
        <v>159</v>
      </c>
      <c r="E750" s="168">
        <v>1867838590081.9502</v>
      </c>
      <c r="F750" s="168">
        <v>1867838590.0819502</v>
      </c>
      <c r="G750" s="168">
        <v>1867838.5900819502</v>
      </c>
      <c r="H750" s="168">
        <v>1867.8385900819503</v>
      </c>
      <c r="I750" s="164">
        <f>H750*$O$9/0.1*INDEX(Country_details!$N$9:N900,MATCH(Solar_data!A750,Country_details!$A$9:$A$154,0))</f>
        <v>4482.8126161966802</v>
      </c>
      <c r="J750" s="164">
        <f t="shared" si="23"/>
        <v>1916.25</v>
      </c>
      <c r="K750" s="164"/>
      <c r="L750" s="164"/>
      <c r="M750" s="164"/>
      <c r="N750" s="164"/>
      <c r="O750" s="166"/>
      <c r="P750" s="166"/>
      <c r="Q750" s="166"/>
      <c r="R750" s="166"/>
      <c r="S750" s="166"/>
      <c r="T750" s="166"/>
      <c r="U750" s="166"/>
      <c r="V750" s="166"/>
      <c r="W750" s="166"/>
      <c r="X750" s="166"/>
      <c r="Y750" s="166"/>
      <c r="Z750" s="166"/>
      <c r="AA750" s="166"/>
      <c r="AB750" s="166"/>
      <c r="AC750" s="166"/>
      <c r="AD750" s="166"/>
      <c r="AE750" s="166"/>
      <c r="AF750" s="166"/>
      <c r="AG750" s="166"/>
      <c r="AH750" s="166"/>
      <c r="AI750" s="166"/>
    </row>
    <row r="751" spans="1:35" x14ac:dyDescent="0.2">
      <c r="A751" s="167" t="s">
        <v>290</v>
      </c>
      <c r="B751" s="162">
        <v>11</v>
      </c>
      <c r="C751" s="162">
        <f t="shared" si="22"/>
        <v>2098.75</v>
      </c>
      <c r="D751" s="162" t="s">
        <v>161</v>
      </c>
      <c r="E751" s="168">
        <v>132150915614.9416</v>
      </c>
      <c r="F751" s="168">
        <v>132150915.61494161</v>
      </c>
      <c r="G751" s="168">
        <v>132150.91561494162</v>
      </c>
      <c r="H751" s="168">
        <v>132.15091561494162</v>
      </c>
      <c r="I751" s="164">
        <f>H751*$O$9/0.1*INDEX(Country_details!$N$9:N901,MATCH(Solar_data!A751,Country_details!$A$9:$A$154,0))</f>
        <v>317.1621974758599</v>
      </c>
      <c r="J751" s="164">
        <f t="shared" si="23"/>
        <v>2098.75</v>
      </c>
      <c r="K751" s="164"/>
      <c r="L751" s="164"/>
      <c r="M751" s="164"/>
      <c r="N751" s="164"/>
      <c r="O751" s="166"/>
      <c r="P751" s="166"/>
      <c r="Q751" s="166"/>
      <c r="R751" s="166"/>
      <c r="S751" s="166"/>
      <c r="T751" s="166"/>
      <c r="U751" s="166"/>
      <c r="V751" s="166"/>
      <c r="W751" s="166"/>
      <c r="X751" s="166"/>
      <c r="Y751" s="166"/>
      <c r="Z751" s="166"/>
      <c r="AA751" s="166"/>
      <c r="AB751" s="166"/>
      <c r="AC751" s="166"/>
      <c r="AD751" s="166"/>
      <c r="AE751" s="166"/>
      <c r="AF751" s="166"/>
      <c r="AG751" s="166"/>
      <c r="AH751" s="166"/>
      <c r="AI751" s="166"/>
    </row>
    <row r="752" spans="1:35" x14ac:dyDescent="0.2">
      <c r="A752" s="167" t="s">
        <v>290</v>
      </c>
      <c r="B752" s="162">
        <v>12</v>
      </c>
      <c r="C752" s="162">
        <f t="shared" si="22"/>
        <v>2281.25</v>
      </c>
      <c r="D752" s="162" t="s">
        <v>162</v>
      </c>
      <c r="E752" s="168">
        <v>15759926647.780001</v>
      </c>
      <c r="F752" s="168">
        <v>15759926.647780001</v>
      </c>
      <c r="G752" s="168">
        <v>15759.926647780001</v>
      </c>
      <c r="H752" s="168">
        <v>15.759926647780002</v>
      </c>
      <c r="I752" s="164">
        <f>H752*$O$9/0.1*INDEX(Country_details!$N$9:N902,MATCH(Solar_data!A752,Country_details!$A$9:$A$154,0))</f>
        <v>37.823823954672001</v>
      </c>
      <c r="J752" s="164">
        <f t="shared" si="23"/>
        <v>2281.25</v>
      </c>
      <c r="K752" s="164"/>
      <c r="L752" s="164"/>
      <c r="M752" s="164"/>
      <c r="N752" s="164"/>
      <c r="O752" s="166"/>
      <c r="P752" s="166"/>
      <c r="Q752" s="166"/>
      <c r="R752" s="166"/>
      <c r="S752" s="166"/>
      <c r="T752" s="166"/>
      <c r="U752" s="166"/>
      <c r="V752" s="166"/>
      <c r="W752" s="166"/>
      <c r="X752" s="166"/>
      <c r="Y752" s="166"/>
      <c r="Z752" s="166"/>
      <c r="AA752" s="166"/>
      <c r="AB752" s="166"/>
      <c r="AC752" s="166"/>
      <c r="AD752" s="166"/>
      <c r="AE752" s="166"/>
      <c r="AF752" s="166"/>
      <c r="AG752" s="166"/>
      <c r="AH752" s="166"/>
      <c r="AI752" s="166"/>
    </row>
    <row r="753" spans="1:35" x14ac:dyDescent="0.2">
      <c r="A753" s="167" t="s">
        <v>290</v>
      </c>
      <c r="B753" s="162">
        <v>13</v>
      </c>
      <c r="C753" s="162">
        <f t="shared" si="22"/>
        <v>2463.75</v>
      </c>
      <c r="D753" s="162" t="s">
        <v>163</v>
      </c>
      <c r="E753" s="168">
        <v>37817116176.769997</v>
      </c>
      <c r="F753" s="168">
        <v>37817116.176769994</v>
      </c>
      <c r="G753" s="168">
        <v>37817.116176769996</v>
      </c>
      <c r="H753" s="168">
        <v>37.81711617677</v>
      </c>
      <c r="I753" s="164">
        <f>H753*$O$9/0.1*INDEX(Country_details!$N$9:N903,MATCH(Solar_data!A753,Country_details!$A$9:$A$154,0))</f>
        <v>90.761078824248003</v>
      </c>
      <c r="J753" s="164">
        <f t="shared" si="23"/>
        <v>2463.75</v>
      </c>
      <c r="K753" s="164"/>
      <c r="L753" s="164"/>
      <c r="M753" s="164"/>
      <c r="N753" s="164"/>
      <c r="O753" s="166"/>
      <c r="P753" s="166"/>
      <c r="Q753" s="166"/>
      <c r="R753" s="166"/>
      <c r="S753" s="166"/>
      <c r="T753" s="166"/>
      <c r="U753" s="166"/>
      <c r="V753" s="166"/>
      <c r="W753" s="166"/>
      <c r="X753" s="166"/>
      <c r="Y753" s="166"/>
      <c r="Z753" s="166"/>
      <c r="AA753" s="166"/>
      <c r="AB753" s="166"/>
      <c r="AC753" s="166"/>
      <c r="AD753" s="166"/>
      <c r="AE753" s="166"/>
      <c r="AF753" s="166"/>
      <c r="AG753" s="166"/>
      <c r="AH753" s="166"/>
      <c r="AI753" s="166"/>
    </row>
    <row r="754" spans="1:35" x14ac:dyDescent="0.2">
      <c r="A754" s="167" t="s">
        <v>95</v>
      </c>
      <c r="B754" s="162">
        <v>7</v>
      </c>
      <c r="C754" s="162">
        <f t="shared" si="22"/>
        <v>1368.75</v>
      </c>
      <c r="D754" s="162" t="s">
        <v>174</v>
      </c>
      <c r="E754" s="168">
        <v>5222399101.1627998</v>
      </c>
      <c r="F754" s="168">
        <v>5222399.1011627996</v>
      </c>
      <c r="G754" s="168">
        <v>5222.3991011627995</v>
      </c>
      <c r="H754" s="168">
        <v>5.2223991011627993</v>
      </c>
      <c r="I754" s="164">
        <f>H754*$O$9/0.1*INDEX(Country_details!$N$9:N904,MATCH(Solar_data!A754,Country_details!$A$9:$A$154,0))</f>
        <v>14.100477573139557</v>
      </c>
      <c r="J754" s="164">
        <f t="shared" si="23"/>
        <v>1368.75</v>
      </c>
      <c r="K754" s="164"/>
      <c r="L754" s="164"/>
      <c r="M754" s="164"/>
      <c r="N754" s="164"/>
      <c r="O754" s="166"/>
      <c r="P754" s="166"/>
      <c r="Q754" s="166"/>
      <c r="R754" s="166"/>
      <c r="S754" s="166"/>
      <c r="T754" s="166"/>
      <c r="U754" s="166"/>
      <c r="V754" s="166"/>
      <c r="W754" s="166"/>
      <c r="X754" s="166"/>
      <c r="Y754" s="166"/>
      <c r="Z754" s="166"/>
      <c r="AA754" s="166"/>
      <c r="AB754" s="166"/>
      <c r="AC754" s="166"/>
      <c r="AD754" s="166"/>
      <c r="AE754" s="166"/>
      <c r="AF754" s="166"/>
      <c r="AG754" s="166"/>
      <c r="AH754" s="166"/>
      <c r="AI754" s="166"/>
    </row>
    <row r="755" spans="1:35" x14ac:dyDescent="0.2">
      <c r="A755" s="167" t="s">
        <v>95</v>
      </c>
      <c r="B755" s="162">
        <v>8</v>
      </c>
      <c r="C755" s="162">
        <f t="shared" si="22"/>
        <v>1551.25</v>
      </c>
      <c r="D755" s="162" t="s">
        <v>164</v>
      </c>
      <c r="E755" s="168">
        <v>225733662137.0983</v>
      </c>
      <c r="F755" s="168">
        <v>225733662.13709831</v>
      </c>
      <c r="G755" s="168">
        <v>225733.66213709832</v>
      </c>
      <c r="H755" s="168">
        <v>225.73366213709832</v>
      </c>
      <c r="I755" s="164">
        <f>H755*$O$9/0.1*INDEX(Country_details!$N$9:N905,MATCH(Solar_data!A755,Country_details!$A$9:$A$154,0))</f>
        <v>609.48088777016551</v>
      </c>
      <c r="J755" s="164">
        <f t="shared" si="23"/>
        <v>1551.25</v>
      </c>
      <c r="K755" s="164"/>
      <c r="L755" s="164"/>
      <c r="M755" s="164"/>
      <c r="N755" s="164"/>
      <c r="O755" s="166"/>
      <c r="P755" s="166"/>
      <c r="Q755" s="166"/>
      <c r="R755" s="166"/>
      <c r="S755" s="166"/>
      <c r="T755" s="166"/>
      <c r="U755" s="166"/>
      <c r="V755" s="166"/>
      <c r="W755" s="166"/>
      <c r="X755" s="166"/>
      <c r="Y755" s="166"/>
      <c r="Z755" s="166"/>
      <c r="AA755" s="166"/>
      <c r="AB755" s="166"/>
      <c r="AC755" s="166"/>
      <c r="AD755" s="166"/>
      <c r="AE755" s="166"/>
      <c r="AF755" s="166"/>
      <c r="AG755" s="166"/>
      <c r="AH755" s="166"/>
      <c r="AI755" s="166"/>
    </row>
    <row r="756" spans="1:35" x14ac:dyDescent="0.2">
      <c r="A756" s="167" t="s">
        <v>95</v>
      </c>
      <c r="B756" s="162">
        <v>9</v>
      </c>
      <c r="C756" s="162">
        <f t="shared" si="22"/>
        <v>1733.75</v>
      </c>
      <c r="D756" s="162" t="s">
        <v>157</v>
      </c>
      <c r="E756" s="168">
        <v>304804194224.59277</v>
      </c>
      <c r="F756" s="168">
        <v>304804194.2245928</v>
      </c>
      <c r="G756" s="168">
        <v>304804.19422459282</v>
      </c>
      <c r="H756" s="168">
        <v>304.80419422459283</v>
      </c>
      <c r="I756" s="164">
        <f>H756*$O$9/0.1*INDEX(Country_details!$N$9:N906,MATCH(Solar_data!A756,Country_details!$A$9:$A$154,0))</f>
        <v>822.97132440640053</v>
      </c>
      <c r="J756" s="164">
        <f t="shared" si="23"/>
        <v>1733.75</v>
      </c>
      <c r="K756" s="164"/>
      <c r="L756" s="164"/>
      <c r="M756" s="164"/>
      <c r="N756" s="164"/>
      <c r="O756" s="166"/>
      <c r="P756" s="166"/>
      <c r="Q756" s="166"/>
      <c r="R756" s="166"/>
      <c r="S756" s="166"/>
      <c r="T756" s="166"/>
      <c r="U756" s="166"/>
      <c r="V756" s="166"/>
      <c r="W756" s="166"/>
      <c r="X756" s="166"/>
      <c r="Y756" s="166"/>
      <c r="Z756" s="166"/>
      <c r="AA756" s="166"/>
      <c r="AB756" s="166"/>
      <c r="AC756" s="166"/>
      <c r="AD756" s="166"/>
      <c r="AE756" s="166"/>
      <c r="AF756" s="166"/>
      <c r="AG756" s="166"/>
      <c r="AH756" s="166"/>
      <c r="AI756" s="166"/>
    </row>
    <row r="757" spans="1:35" x14ac:dyDescent="0.2">
      <c r="A757" s="167" t="s">
        <v>95</v>
      </c>
      <c r="B757" s="162">
        <v>10</v>
      </c>
      <c r="C757" s="162">
        <f t="shared" si="22"/>
        <v>1916.25</v>
      </c>
      <c r="D757" s="162" t="s">
        <v>159</v>
      </c>
      <c r="E757" s="168">
        <v>306558547255.77008</v>
      </c>
      <c r="F757" s="168">
        <v>306558547.25577009</v>
      </c>
      <c r="G757" s="168">
        <v>306558.54725577007</v>
      </c>
      <c r="H757" s="168">
        <v>306.55854725577007</v>
      </c>
      <c r="I757" s="164">
        <f>H757*$O$9/0.1*INDEX(Country_details!$N$9:N907,MATCH(Solar_data!A757,Country_details!$A$9:$A$154,0))</f>
        <v>827.70807759057914</v>
      </c>
      <c r="J757" s="164">
        <f t="shared" si="23"/>
        <v>1916.25</v>
      </c>
      <c r="K757" s="164"/>
      <c r="L757" s="164"/>
      <c r="M757" s="164"/>
      <c r="N757" s="164"/>
      <c r="O757" s="166"/>
      <c r="P757" s="166"/>
      <c r="Q757" s="166"/>
      <c r="R757" s="166"/>
      <c r="S757" s="166"/>
      <c r="T757" s="166"/>
      <c r="U757" s="166"/>
      <c r="V757" s="166"/>
      <c r="W757" s="166"/>
      <c r="X757" s="166"/>
      <c r="Y757" s="166"/>
      <c r="Z757" s="166"/>
      <c r="AA757" s="166"/>
      <c r="AB757" s="166"/>
      <c r="AC757" s="166"/>
      <c r="AD757" s="166"/>
      <c r="AE757" s="166"/>
      <c r="AF757" s="166"/>
      <c r="AG757" s="166"/>
      <c r="AH757" s="166"/>
      <c r="AI757" s="166"/>
    </row>
    <row r="758" spans="1:35" x14ac:dyDescent="0.2">
      <c r="A758" s="167" t="s">
        <v>95</v>
      </c>
      <c r="B758" s="162">
        <v>11</v>
      </c>
      <c r="C758" s="162">
        <f t="shared" si="22"/>
        <v>2098.75</v>
      </c>
      <c r="D758" s="162" t="s">
        <v>161</v>
      </c>
      <c r="E758" s="168">
        <v>75402899.858799994</v>
      </c>
      <c r="F758" s="168">
        <v>75402.899858799996</v>
      </c>
      <c r="G758" s="168">
        <v>75.402899858799998</v>
      </c>
      <c r="H758" s="168">
        <v>7.5402899858799999E-2</v>
      </c>
      <c r="I758" s="164">
        <f>H758*$O$9/0.1*INDEX(Country_details!$N$9:N908,MATCH(Solar_data!A758,Country_details!$A$9:$A$154,0))</f>
        <v>0.20358782961876001</v>
      </c>
      <c r="J758" s="164">
        <f t="shared" si="23"/>
        <v>2098.75</v>
      </c>
      <c r="K758" s="164"/>
      <c r="L758" s="164"/>
      <c r="M758" s="164"/>
      <c r="N758" s="164"/>
      <c r="O758" s="166"/>
      <c r="P758" s="166"/>
      <c r="Q758" s="166"/>
      <c r="R758" s="166"/>
      <c r="S758" s="166"/>
      <c r="T758" s="166"/>
      <c r="U758" s="166"/>
      <c r="V758" s="166"/>
      <c r="W758" s="166"/>
      <c r="X758" s="166"/>
      <c r="Y758" s="166"/>
      <c r="Z758" s="166"/>
      <c r="AA758" s="166"/>
      <c r="AB758" s="166"/>
      <c r="AC758" s="166"/>
      <c r="AD758" s="166"/>
      <c r="AE758" s="166"/>
      <c r="AF758" s="166"/>
      <c r="AG758" s="166"/>
      <c r="AH758" s="166"/>
      <c r="AI758" s="166"/>
    </row>
    <row r="759" spans="1:35" x14ac:dyDescent="0.2">
      <c r="A759" s="167" t="s">
        <v>291</v>
      </c>
      <c r="B759" s="162">
        <v>11</v>
      </c>
      <c r="C759" s="162">
        <f t="shared" si="22"/>
        <v>2098.75</v>
      </c>
      <c r="D759" s="162" t="s">
        <v>161</v>
      </c>
      <c r="E759" s="168">
        <v>538894774.3132</v>
      </c>
      <c r="F759" s="168">
        <v>538894.77431320003</v>
      </c>
      <c r="G759" s="168">
        <v>538.89477431320006</v>
      </c>
      <c r="H759" s="168">
        <v>0.5388947743132001</v>
      </c>
      <c r="I759" s="164" t="e">
        <f>H759*$O$9/0.1*INDEX(Country_details!$N$9:N909,MATCH(Solar_data!A759,Country_details!$A$9:$A$154,0))</f>
        <v>#N/A</v>
      </c>
      <c r="J759" s="164">
        <f t="shared" si="23"/>
        <v>2098.75</v>
      </c>
      <c r="K759" s="164"/>
      <c r="L759" s="164"/>
      <c r="M759" s="164"/>
      <c r="N759" s="164"/>
      <c r="O759" s="166"/>
      <c r="P759" s="166"/>
      <c r="Q759" s="166"/>
      <c r="R759" s="166"/>
      <c r="S759" s="166"/>
      <c r="T759" s="166"/>
      <c r="U759" s="166"/>
      <c r="V759" s="166"/>
      <c r="W759" s="166"/>
      <c r="X759" s="166"/>
      <c r="Y759" s="166"/>
      <c r="Z759" s="166"/>
      <c r="AA759" s="166"/>
      <c r="AB759" s="166"/>
      <c r="AC759" s="166"/>
      <c r="AD759" s="166"/>
      <c r="AE759" s="166"/>
      <c r="AF759" s="166"/>
      <c r="AG759" s="166"/>
      <c r="AH759" s="166"/>
      <c r="AI759" s="166"/>
    </row>
    <row r="760" spans="1:35" x14ac:dyDescent="0.2">
      <c r="A760" s="167" t="s">
        <v>292</v>
      </c>
      <c r="B760" s="162">
        <v>12</v>
      </c>
      <c r="C760" s="162">
        <f t="shared" si="22"/>
        <v>2281.25</v>
      </c>
      <c r="D760" s="162" t="s">
        <v>162</v>
      </c>
      <c r="E760" s="168">
        <v>46186371.6021</v>
      </c>
      <c r="F760" s="168">
        <v>46186.3716021</v>
      </c>
      <c r="G760" s="168">
        <v>46.186371602100003</v>
      </c>
      <c r="H760" s="168">
        <v>4.6186371602100006E-2</v>
      </c>
      <c r="I760" s="164" t="e">
        <f>H760*$O$9/0.1*INDEX(Country_details!$N$9:N910,MATCH(Solar_data!A760,Country_details!$A$9:$A$154,0))</f>
        <v>#N/A</v>
      </c>
      <c r="J760" s="164">
        <f t="shared" si="23"/>
        <v>2281.25</v>
      </c>
      <c r="K760" s="164"/>
      <c r="L760" s="164"/>
      <c r="M760" s="164"/>
      <c r="N760" s="164"/>
      <c r="O760" s="166"/>
      <c r="P760" s="166"/>
      <c r="Q760" s="166"/>
      <c r="R760" s="166"/>
      <c r="S760" s="166"/>
      <c r="T760" s="166"/>
      <c r="U760" s="166"/>
      <c r="V760" s="166"/>
      <c r="W760" s="166"/>
      <c r="X760" s="166"/>
      <c r="Y760" s="166"/>
      <c r="Z760" s="166"/>
      <c r="AA760" s="166"/>
      <c r="AB760" s="166"/>
      <c r="AC760" s="166"/>
      <c r="AD760" s="166"/>
      <c r="AE760" s="166"/>
      <c r="AF760" s="166"/>
      <c r="AG760" s="166"/>
      <c r="AH760" s="166"/>
      <c r="AI760" s="166"/>
    </row>
    <row r="761" spans="1:35" x14ac:dyDescent="0.2">
      <c r="A761" s="167" t="s">
        <v>293</v>
      </c>
      <c r="B761" s="162">
        <v>11</v>
      </c>
      <c r="C761" s="162">
        <f t="shared" si="22"/>
        <v>2098.75</v>
      </c>
      <c r="D761" s="162" t="s">
        <v>161</v>
      </c>
      <c r="E761" s="168">
        <v>167101247.016</v>
      </c>
      <c r="F761" s="168">
        <v>167101.24701600001</v>
      </c>
      <c r="G761" s="168">
        <v>167.101247016</v>
      </c>
      <c r="H761" s="168">
        <v>0.16710124701600002</v>
      </c>
      <c r="I761" s="164" t="e">
        <f>H761*$O$9/0.1*INDEX(Country_details!$N$9:N911,MATCH(Solar_data!A761,Country_details!$A$9:$A$154,0))</f>
        <v>#N/A</v>
      </c>
      <c r="J761" s="164">
        <f t="shared" si="23"/>
        <v>2098.75</v>
      </c>
      <c r="K761" s="164"/>
      <c r="L761" s="164"/>
      <c r="M761" s="164"/>
      <c r="N761" s="164"/>
      <c r="O761" s="166"/>
      <c r="P761" s="166"/>
      <c r="Q761" s="166"/>
      <c r="R761" s="166"/>
      <c r="S761" s="166"/>
      <c r="T761" s="166"/>
      <c r="U761" s="166"/>
      <c r="V761" s="166"/>
      <c r="W761" s="166"/>
      <c r="X761" s="166"/>
      <c r="Y761" s="166"/>
      <c r="Z761" s="166"/>
      <c r="AA761" s="166"/>
      <c r="AB761" s="166"/>
      <c r="AC761" s="166"/>
      <c r="AD761" s="166"/>
      <c r="AE761" s="166"/>
      <c r="AF761" s="166"/>
      <c r="AG761" s="166"/>
      <c r="AH761" s="166"/>
      <c r="AI761" s="166"/>
    </row>
    <row r="762" spans="1:35" x14ac:dyDescent="0.2">
      <c r="A762" s="167" t="s">
        <v>294</v>
      </c>
      <c r="B762" s="162">
        <v>11</v>
      </c>
      <c r="C762" s="162">
        <f t="shared" si="22"/>
        <v>2098.75</v>
      </c>
      <c r="D762" s="162" t="s">
        <v>161</v>
      </c>
      <c r="E762" s="168">
        <v>165033301.1868</v>
      </c>
      <c r="F762" s="168">
        <v>165033.3011868</v>
      </c>
      <c r="G762" s="168">
        <v>165.0333011868</v>
      </c>
      <c r="H762" s="168">
        <v>0.16503330118680001</v>
      </c>
      <c r="I762" s="164">
        <f>H762*$O$9/0.1*INDEX(Country_details!$N$9:N912,MATCH(Solar_data!A762,Country_details!$A$9:$A$154,0))</f>
        <v>0.42083491802633993</v>
      </c>
      <c r="J762" s="164">
        <f t="shared" si="23"/>
        <v>2098.75</v>
      </c>
      <c r="K762" s="164"/>
      <c r="L762" s="164"/>
      <c r="M762" s="164"/>
      <c r="N762" s="164"/>
      <c r="O762" s="166"/>
      <c r="P762" s="166"/>
      <c r="Q762" s="166"/>
      <c r="R762" s="166"/>
      <c r="S762" s="166"/>
      <c r="T762" s="166"/>
      <c r="U762" s="166"/>
      <c r="V762" s="166"/>
      <c r="W762" s="166"/>
      <c r="X762" s="166"/>
      <c r="Y762" s="166"/>
      <c r="Z762" s="166"/>
      <c r="AA762" s="166"/>
      <c r="AB762" s="166"/>
      <c r="AC762" s="166"/>
      <c r="AD762" s="166"/>
      <c r="AE762" s="166"/>
      <c r="AF762" s="166"/>
      <c r="AG762" s="166"/>
      <c r="AH762" s="166"/>
      <c r="AI762" s="166"/>
    </row>
    <row r="763" spans="1:35" x14ac:dyDescent="0.2">
      <c r="A763" s="167" t="s">
        <v>294</v>
      </c>
      <c r="B763" s="162">
        <v>12</v>
      </c>
      <c r="C763" s="162">
        <f t="shared" si="22"/>
        <v>2281.25</v>
      </c>
      <c r="D763" s="162" t="s">
        <v>162</v>
      </c>
      <c r="E763" s="168">
        <v>15996140665.499399</v>
      </c>
      <c r="F763" s="168">
        <v>15996140.6654994</v>
      </c>
      <c r="G763" s="168">
        <v>15996.140665499401</v>
      </c>
      <c r="H763" s="168">
        <v>15.996140665499402</v>
      </c>
      <c r="I763" s="164">
        <f>H763*$O$9/0.1*INDEX(Country_details!$N$9:N913,MATCH(Solar_data!A763,Country_details!$A$9:$A$154,0))</f>
        <v>40.790158697023472</v>
      </c>
      <c r="J763" s="164">
        <f t="shared" si="23"/>
        <v>2281.25</v>
      </c>
      <c r="K763" s="164"/>
      <c r="L763" s="164"/>
      <c r="M763" s="164"/>
      <c r="N763" s="164"/>
      <c r="O763" s="166"/>
      <c r="P763" s="166"/>
      <c r="Q763" s="166"/>
      <c r="R763" s="166"/>
      <c r="S763" s="166"/>
      <c r="T763" s="166"/>
      <c r="U763" s="166"/>
      <c r="V763" s="166"/>
      <c r="W763" s="166"/>
      <c r="X763" s="166"/>
      <c r="Y763" s="166"/>
      <c r="Z763" s="166"/>
      <c r="AA763" s="166"/>
      <c r="AB763" s="166"/>
      <c r="AC763" s="166"/>
      <c r="AD763" s="166"/>
      <c r="AE763" s="166"/>
      <c r="AF763" s="166"/>
      <c r="AG763" s="166"/>
      <c r="AH763" s="166"/>
      <c r="AI763" s="166"/>
    </row>
    <row r="764" spans="1:35" x14ac:dyDescent="0.2">
      <c r="A764" s="167" t="s">
        <v>295</v>
      </c>
      <c r="B764" s="162">
        <v>10</v>
      </c>
      <c r="C764" s="162">
        <f t="shared" si="22"/>
        <v>1916.25</v>
      </c>
      <c r="D764" s="162" t="s">
        <v>159</v>
      </c>
      <c r="E764" s="168">
        <v>263285648.4474</v>
      </c>
      <c r="F764" s="168">
        <v>263285.64844740002</v>
      </c>
      <c r="G764" s="168">
        <v>263.28564844740004</v>
      </c>
      <c r="H764" s="168">
        <v>0.26328564844740004</v>
      </c>
      <c r="I764" s="164" t="e">
        <f>H764*$O$9/0.1*INDEX(Country_details!$N$9:N914,MATCH(Solar_data!A764,Country_details!$A$9:$A$154,0))</f>
        <v>#N/A</v>
      </c>
      <c r="J764" s="164">
        <f t="shared" si="23"/>
        <v>1916.25</v>
      </c>
      <c r="K764" s="164"/>
      <c r="L764" s="164"/>
      <c r="M764" s="164"/>
      <c r="N764" s="164"/>
      <c r="O764" s="166"/>
      <c r="P764" s="166"/>
      <c r="Q764" s="166"/>
      <c r="R764" s="166"/>
      <c r="S764" s="166"/>
      <c r="T764" s="166"/>
      <c r="U764" s="166"/>
      <c r="V764" s="166"/>
      <c r="W764" s="166"/>
      <c r="X764" s="166"/>
      <c r="Y764" s="166"/>
      <c r="Z764" s="166"/>
      <c r="AA764" s="166"/>
      <c r="AB764" s="166"/>
      <c r="AC764" s="166"/>
      <c r="AD764" s="166"/>
      <c r="AE764" s="166"/>
      <c r="AF764" s="166"/>
      <c r="AG764" s="166"/>
      <c r="AH764" s="166"/>
      <c r="AI764" s="166"/>
    </row>
    <row r="765" spans="1:35" x14ac:dyDescent="0.2">
      <c r="A765" s="167" t="s">
        <v>295</v>
      </c>
      <c r="B765" s="162">
        <v>11</v>
      </c>
      <c r="C765" s="162">
        <f t="shared" si="22"/>
        <v>2098.75</v>
      </c>
      <c r="D765" s="162" t="s">
        <v>161</v>
      </c>
      <c r="E765" s="168">
        <v>33835289698.170502</v>
      </c>
      <c r="F765" s="168">
        <v>33835289.698170505</v>
      </c>
      <c r="G765" s="168">
        <v>33835.289698170505</v>
      </c>
      <c r="H765" s="168">
        <v>33.835289698170506</v>
      </c>
      <c r="I765" s="164" t="e">
        <f>H765*$O$9/0.1*INDEX(Country_details!$N$9:N915,MATCH(Solar_data!A765,Country_details!$A$9:$A$154,0))</f>
        <v>#N/A</v>
      </c>
      <c r="J765" s="164">
        <f t="shared" si="23"/>
        <v>2098.75</v>
      </c>
      <c r="K765" s="164"/>
      <c r="L765" s="164"/>
      <c r="M765" s="164"/>
      <c r="N765" s="164"/>
      <c r="O765" s="166"/>
      <c r="P765" s="166"/>
      <c r="Q765" s="166"/>
      <c r="R765" s="166"/>
      <c r="S765" s="166"/>
      <c r="T765" s="166"/>
      <c r="U765" s="166"/>
      <c r="V765" s="166"/>
      <c r="W765" s="166"/>
      <c r="X765" s="166"/>
      <c r="Y765" s="166"/>
      <c r="Z765" s="166"/>
      <c r="AA765" s="166"/>
      <c r="AB765" s="166"/>
      <c r="AC765" s="166"/>
      <c r="AD765" s="166"/>
      <c r="AE765" s="166"/>
      <c r="AF765" s="166"/>
      <c r="AG765" s="166"/>
      <c r="AH765" s="166"/>
      <c r="AI765" s="166"/>
    </row>
    <row r="766" spans="1:35" x14ac:dyDescent="0.2">
      <c r="A766" s="167" t="s">
        <v>295</v>
      </c>
      <c r="B766" s="162">
        <v>12</v>
      </c>
      <c r="C766" s="162">
        <f t="shared" si="22"/>
        <v>2281.25</v>
      </c>
      <c r="D766" s="162" t="s">
        <v>162</v>
      </c>
      <c r="E766" s="168">
        <v>518518754339.1861</v>
      </c>
      <c r="F766" s="168">
        <v>518518754.33918613</v>
      </c>
      <c r="G766" s="168">
        <v>518518.75433918613</v>
      </c>
      <c r="H766" s="168">
        <v>518.5187543391861</v>
      </c>
      <c r="I766" s="164" t="e">
        <f>H766*$O$9/0.1*INDEX(Country_details!$N$9:N916,MATCH(Solar_data!A766,Country_details!$A$9:$A$154,0))</f>
        <v>#N/A</v>
      </c>
      <c r="J766" s="164">
        <f t="shared" si="23"/>
        <v>2281.25</v>
      </c>
      <c r="K766" s="164"/>
      <c r="L766" s="164"/>
      <c r="M766" s="164"/>
      <c r="N766" s="164"/>
      <c r="O766" s="166"/>
      <c r="P766" s="166"/>
      <c r="Q766" s="166"/>
      <c r="R766" s="166"/>
      <c r="S766" s="166"/>
      <c r="T766" s="166"/>
      <c r="U766" s="166"/>
      <c r="V766" s="166"/>
      <c r="W766" s="166"/>
      <c r="X766" s="166"/>
      <c r="Y766" s="166"/>
      <c r="Z766" s="166"/>
      <c r="AA766" s="166"/>
      <c r="AB766" s="166"/>
      <c r="AC766" s="166"/>
      <c r="AD766" s="166"/>
      <c r="AE766" s="166"/>
      <c r="AF766" s="166"/>
      <c r="AG766" s="166"/>
      <c r="AH766" s="166"/>
      <c r="AI766" s="166"/>
    </row>
    <row r="767" spans="1:35" x14ac:dyDescent="0.2">
      <c r="A767" s="167" t="s">
        <v>295</v>
      </c>
      <c r="B767" s="162">
        <v>13</v>
      </c>
      <c r="C767" s="162">
        <f t="shared" si="22"/>
        <v>2463.75</v>
      </c>
      <c r="D767" s="162" t="s">
        <v>163</v>
      </c>
      <c r="E767" s="168">
        <v>388527204283.48718</v>
      </c>
      <c r="F767" s="168">
        <v>388527204.2834872</v>
      </c>
      <c r="G767" s="168">
        <v>388527.20428348723</v>
      </c>
      <c r="H767" s="168">
        <v>388.52720428348721</v>
      </c>
      <c r="I767" s="164" t="e">
        <f>H767*$O$9/0.1*INDEX(Country_details!$N$9:N917,MATCH(Solar_data!A767,Country_details!$A$9:$A$154,0))</f>
        <v>#N/A</v>
      </c>
      <c r="J767" s="164">
        <f t="shared" si="23"/>
        <v>2463.75</v>
      </c>
      <c r="K767" s="164"/>
      <c r="L767" s="164"/>
      <c r="M767" s="164"/>
      <c r="N767" s="164"/>
      <c r="O767" s="166"/>
      <c r="P767" s="166"/>
      <c r="Q767" s="166"/>
      <c r="R767" s="166"/>
      <c r="S767" s="166"/>
      <c r="T767" s="166"/>
      <c r="U767" s="166"/>
      <c r="V767" s="166"/>
      <c r="W767" s="166"/>
      <c r="X767" s="166"/>
      <c r="Y767" s="166"/>
      <c r="Z767" s="166"/>
      <c r="AA767" s="166"/>
      <c r="AB767" s="166"/>
      <c r="AC767" s="166"/>
      <c r="AD767" s="166"/>
      <c r="AE767" s="166"/>
      <c r="AF767" s="166"/>
      <c r="AG767" s="166"/>
      <c r="AH767" s="166"/>
      <c r="AI767" s="166"/>
    </row>
    <row r="768" spans="1:35" x14ac:dyDescent="0.2">
      <c r="A768" s="167" t="s">
        <v>296</v>
      </c>
      <c r="B768" s="162">
        <v>11</v>
      </c>
      <c r="C768" s="162">
        <f t="shared" si="22"/>
        <v>2098.75</v>
      </c>
      <c r="D768" s="162" t="s">
        <v>161</v>
      </c>
      <c r="E768" s="168">
        <v>13889029138.669001</v>
      </c>
      <c r="F768" s="168">
        <v>13889029.138669001</v>
      </c>
      <c r="G768" s="168">
        <v>13889.029138669001</v>
      </c>
      <c r="H768" s="168">
        <v>13.889029138669001</v>
      </c>
      <c r="I768" s="164">
        <f>H768*$O$9/0.1*INDEX(Country_details!$N$9:N918,MATCH(Solar_data!A768,Country_details!$A$9:$A$154,0))</f>
        <v>33.333669932805599</v>
      </c>
      <c r="J768" s="164">
        <f t="shared" si="23"/>
        <v>2098.75</v>
      </c>
      <c r="K768" s="164"/>
      <c r="L768" s="164"/>
      <c r="M768" s="164"/>
      <c r="N768" s="164"/>
      <c r="O768" s="166"/>
      <c r="P768" s="166"/>
      <c r="Q768" s="166"/>
      <c r="R768" s="166"/>
      <c r="S768" s="166"/>
      <c r="T768" s="166"/>
      <c r="U768" s="166"/>
      <c r="V768" s="166"/>
      <c r="W768" s="166"/>
      <c r="X768" s="166"/>
      <c r="Y768" s="166"/>
      <c r="Z768" s="166"/>
      <c r="AA768" s="166"/>
      <c r="AB768" s="166"/>
      <c r="AC768" s="166"/>
      <c r="AD768" s="166"/>
      <c r="AE768" s="166"/>
      <c r="AF768" s="166"/>
      <c r="AG768" s="166"/>
      <c r="AH768" s="166"/>
      <c r="AI768" s="166"/>
    </row>
    <row r="769" spans="1:35" x14ac:dyDescent="0.2">
      <c r="A769" s="167" t="s">
        <v>296</v>
      </c>
      <c r="B769" s="162">
        <v>12</v>
      </c>
      <c r="C769" s="162">
        <f t="shared" si="22"/>
        <v>2281.25</v>
      </c>
      <c r="D769" s="162" t="s">
        <v>162</v>
      </c>
      <c r="E769" s="168">
        <v>272127262292.39111</v>
      </c>
      <c r="F769" s="168">
        <v>272127262.29239112</v>
      </c>
      <c r="G769" s="168">
        <v>272127.26229239115</v>
      </c>
      <c r="H769" s="168">
        <v>272.12726229239115</v>
      </c>
      <c r="I769" s="164">
        <f>H769*$O$9/0.1*INDEX(Country_details!$N$9:N919,MATCH(Solar_data!A769,Country_details!$A$9:$A$154,0))</f>
        <v>653.10542950173874</v>
      </c>
      <c r="J769" s="164">
        <f t="shared" si="23"/>
        <v>2281.25</v>
      </c>
      <c r="K769" s="164"/>
      <c r="L769" s="164"/>
      <c r="M769" s="164"/>
      <c r="N769" s="164"/>
      <c r="O769" s="166"/>
      <c r="P769" s="166"/>
      <c r="Q769" s="166"/>
      <c r="R769" s="166"/>
      <c r="S769" s="166"/>
      <c r="T769" s="166"/>
      <c r="U769" s="166"/>
      <c r="V769" s="166"/>
      <c r="W769" s="166"/>
      <c r="X769" s="166"/>
      <c r="Y769" s="166"/>
      <c r="Z769" s="166"/>
      <c r="AA769" s="166"/>
      <c r="AB769" s="166"/>
      <c r="AC769" s="166"/>
      <c r="AD769" s="166"/>
      <c r="AE769" s="166"/>
      <c r="AF769" s="166"/>
      <c r="AG769" s="166"/>
      <c r="AH769" s="166"/>
      <c r="AI769" s="166"/>
    </row>
    <row r="770" spans="1:35" x14ac:dyDescent="0.2">
      <c r="A770" s="167" t="s">
        <v>296</v>
      </c>
      <c r="B770" s="162">
        <v>13</v>
      </c>
      <c r="C770" s="162">
        <f t="shared" si="22"/>
        <v>2463.75</v>
      </c>
      <c r="D770" s="162" t="s">
        <v>163</v>
      </c>
      <c r="E770" s="168">
        <v>1369019370105.7217</v>
      </c>
      <c r="F770" s="168">
        <v>1369019370.1057217</v>
      </c>
      <c r="G770" s="168">
        <v>1369019.3701057218</v>
      </c>
      <c r="H770" s="168">
        <v>1369.0193701057217</v>
      </c>
      <c r="I770" s="164">
        <f>H770*$O$9/0.1*INDEX(Country_details!$N$9:N920,MATCH(Solar_data!A770,Country_details!$A$9:$A$154,0))</f>
        <v>3285.6464882537316</v>
      </c>
      <c r="J770" s="164">
        <f t="shared" si="23"/>
        <v>2463.75</v>
      </c>
      <c r="K770" s="164"/>
      <c r="L770" s="164"/>
      <c r="M770" s="164"/>
      <c r="N770" s="164"/>
      <c r="O770" s="166"/>
      <c r="P770" s="166"/>
      <c r="Q770" s="166"/>
      <c r="R770" s="166"/>
      <c r="S770" s="166"/>
      <c r="T770" s="166"/>
      <c r="U770" s="166"/>
      <c r="V770" s="166"/>
      <c r="W770" s="166"/>
      <c r="X770" s="166"/>
      <c r="Y770" s="166"/>
      <c r="Z770" s="166"/>
      <c r="AA770" s="166"/>
      <c r="AB770" s="166"/>
      <c r="AC770" s="166"/>
      <c r="AD770" s="166"/>
      <c r="AE770" s="166"/>
      <c r="AF770" s="166"/>
      <c r="AG770" s="166"/>
      <c r="AH770" s="166"/>
      <c r="AI770" s="166"/>
    </row>
    <row r="771" spans="1:35" x14ac:dyDescent="0.2">
      <c r="A771" s="167" t="s">
        <v>29</v>
      </c>
      <c r="B771" s="162">
        <v>10</v>
      </c>
      <c r="C771" s="162">
        <f t="shared" si="22"/>
        <v>1916.25</v>
      </c>
      <c r="D771" s="162" t="s">
        <v>159</v>
      </c>
      <c r="E771" s="168">
        <v>40123436581.908699</v>
      </c>
      <c r="F771" s="168">
        <v>40123436.581908703</v>
      </c>
      <c r="G771" s="168">
        <v>40123.436581908703</v>
      </c>
      <c r="H771" s="168">
        <v>40.123436581908706</v>
      </c>
      <c r="I771" s="164">
        <f>H771*$O$9/0.1*INDEX(Country_details!$N$9:N921,MATCH(Solar_data!A771,Country_details!$A$9:$A$154,0))</f>
        <v>102.31476328386718</v>
      </c>
      <c r="J771" s="164">
        <f t="shared" si="23"/>
        <v>1916.25</v>
      </c>
      <c r="K771" s="164"/>
      <c r="L771" s="164"/>
      <c r="M771" s="164"/>
      <c r="N771" s="164"/>
      <c r="O771" s="166"/>
      <c r="P771" s="166"/>
      <c r="Q771" s="166"/>
      <c r="R771" s="166"/>
      <c r="S771" s="166"/>
      <c r="T771" s="166"/>
      <c r="U771" s="166"/>
      <c r="V771" s="166"/>
      <c r="W771" s="166"/>
      <c r="X771" s="166"/>
      <c r="Y771" s="166"/>
      <c r="Z771" s="166"/>
      <c r="AA771" s="166"/>
      <c r="AB771" s="166"/>
      <c r="AC771" s="166"/>
      <c r="AD771" s="166"/>
      <c r="AE771" s="166"/>
      <c r="AF771" s="166"/>
      <c r="AG771" s="166"/>
      <c r="AH771" s="166"/>
      <c r="AI771" s="166"/>
    </row>
    <row r="772" spans="1:35" x14ac:dyDescent="0.2">
      <c r="A772" s="167" t="s">
        <v>29</v>
      </c>
      <c r="B772" s="162">
        <v>11</v>
      </c>
      <c r="C772" s="162">
        <f t="shared" si="22"/>
        <v>2098.75</v>
      </c>
      <c r="D772" s="162" t="s">
        <v>161</v>
      </c>
      <c r="E772" s="168">
        <v>1713769674086.6943</v>
      </c>
      <c r="F772" s="168">
        <v>1713769674.0866945</v>
      </c>
      <c r="G772" s="168">
        <v>1713769.6740866946</v>
      </c>
      <c r="H772" s="168">
        <v>1713.7696740866947</v>
      </c>
      <c r="I772" s="164">
        <f>H772*$O$9/0.1*INDEX(Country_details!$N$9:N922,MATCH(Solar_data!A772,Country_details!$A$9:$A$154,0))</f>
        <v>4370.1126689210714</v>
      </c>
      <c r="J772" s="164">
        <f t="shared" si="23"/>
        <v>2098.75</v>
      </c>
      <c r="K772" s="164"/>
      <c r="L772" s="164"/>
      <c r="M772" s="164"/>
      <c r="N772" s="164"/>
      <c r="O772" s="166"/>
      <c r="P772" s="166"/>
      <c r="Q772" s="166"/>
      <c r="R772" s="166"/>
      <c r="S772" s="166"/>
      <c r="T772" s="166"/>
      <c r="U772" s="166"/>
      <c r="V772" s="166"/>
      <c r="W772" s="166"/>
      <c r="X772" s="166"/>
      <c r="Y772" s="166"/>
      <c r="Z772" s="166"/>
      <c r="AA772" s="166"/>
      <c r="AB772" s="166"/>
      <c r="AC772" s="166"/>
      <c r="AD772" s="166"/>
      <c r="AE772" s="166"/>
      <c r="AF772" s="166"/>
      <c r="AG772" s="166"/>
      <c r="AH772" s="166"/>
      <c r="AI772" s="166"/>
    </row>
    <row r="773" spans="1:35" x14ac:dyDescent="0.2">
      <c r="A773" s="167" t="s">
        <v>29</v>
      </c>
      <c r="B773" s="162">
        <v>12</v>
      </c>
      <c r="C773" s="162">
        <f>(0.5*B773+0.25)*365</f>
        <v>2281.25</v>
      </c>
      <c r="D773" s="162" t="s">
        <v>162</v>
      </c>
      <c r="E773" s="168">
        <v>671990171067.9812</v>
      </c>
      <c r="F773" s="168">
        <v>671990171.06798124</v>
      </c>
      <c r="G773" s="168">
        <v>671990.17106798128</v>
      </c>
      <c r="H773" s="168">
        <v>671.99017106798135</v>
      </c>
      <c r="I773" s="164">
        <f>H773*$O$9/0.1*INDEX(Country_details!$N$9:N923,MATCH(Solar_data!A773,Country_details!$A$9:$A$154,0))</f>
        <v>1713.5749362233523</v>
      </c>
      <c r="J773" s="164">
        <f t="shared" si="23"/>
        <v>2281.25</v>
      </c>
      <c r="K773" s="164"/>
      <c r="L773" s="164"/>
      <c r="M773" s="164"/>
      <c r="N773" s="164"/>
      <c r="O773" s="166"/>
      <c r="P773" s="166"/>
      <c r="Q773" s="166"/>
      <c r="R773" s="166"/>
      <c r="S773" s="166"/>
      <c r="T773" s="166"/>
      <c r="U773" s="166"/>
      <c r="V773" s="166"/>
      <c r="W773" s="166"/>
      <c r="X773" s="166"/>
      <c r="Y773" s="166"/>
      <c r="Z773" s="166"/>
      <c r="AA773" s="166"/>
      <c r="AB773" s="166"/>
      <c r="AC773" s="166"/>
      <c r="AD773" s="166"/>
      <c r="AE773" s="166"/>
      <c r="AF773" s="166"/>
      <c r="AG773" s="166"/>
      <c r="AH773" s="166"/>
      <c r="AI773" s="166"/>
    </row>
    <row r="774" spans="1:35" x14ac:dyDescent="0.2">
      <c r="A774" s="167" t="s">
        <v>141</v>
      </c>
      <c r="B774" s="162">
        <v>10</v>
      </c>
      <c r="C774" s="162">
        <f>(0.5*B774+0.25)*365</f>
        <v>1916.25</v>
      </c>
      <c r="D774" s="162" t="s">
        <v>159</v>
      </c>
      <c r="E774" s="168">
        <v>2305982664.52</v>
      </c>
      <c r="F774" s="168">
        <v>2305982.6645200001</v>
      </c>
      <c r="G774" s="168">
        <v>2305.9826645200001</v>
      </c>
      <c r="H774" s="168">
        <v>2.3059826645200001</v>
      </c>
      <c r="I774" s="164">
        <f>H774*$O$9/0.1*INDEX(Country_details!$N$9:N924,MATCH(Solar_data!A774,Country_details!$A$9:$A$154,0))</f>
        <v>5.5343583948479997</v>
      </c>
      <c r="J774" s="164">
        <f t="shared" si="23"/>
        <v>1916.25</v>
      </c>
      <c r="K774" s="164"/>
      <c r="L774" s="164"/>
      <c r="M774" s="164"/>
      <c r="N774" s="164"/>
      <c r="O774" s="166"/>
      <c r="P774" s="166"/>
      <c r="Q774" s="166"/>
      <c r="R774" s="166"/>
      <c r="S774" s="166"/>
      <c r="T774" s="166"/>
      <c r="U774" s="166"/>
      <c r="V774" s="166"/>
      <c r="W774" s="166"/>
      <c r="X774" s="166"/>
      <c r="Y774" s="166"/>
      <c r="Z774" s="166"/>
      <c r="AA774" s="166"/>
      <c r="AB774" s="166"/>
      <c r="AC774" s="166"/>
      <c r="AD774" s="166"/>
      <c r="AE774" s="166"/>
      <c r="AF774" s="166"/>
      <c r="AG774" s="166"/>
      <c r="AH774" s="166"/>
      <c r="AI774" s="166"/>
    </row>
    <row r="775" spans="1:35" x14ac:dyDescent="0.2">
      <c r="A775" s="167" t="s">
        <v>141</v>
      </c>
      <c r="B775" s="162">
        <v>11</v>
      </c>
      <c r="C775" s="162">
        <f>(0.5*B775+0.25)*365</f>
        <v>2098.75</v>
      </c>
      <c r="D775" s="162" t="s">
        <v>161</v>
      </c>
      <c r="E775" s="168">
        <v>365722650427.61877</v>
      </c>
      <c r="F775" s="168">
        <v>365722650.4276188</v>
      </c>
      <c r="G775" s="168">
        <v>365722.65042761882</v>
      </c>
      <c r="H775" s="168">
        <v>365.72265042761882</v>
      </c>
      <c r="I775" s="164">
        <f>H775*$O$9/0.1*INDEX(Country_details!$N$9:N925,MATCH(Solar_data!A775,Country_details!$A$9:$A$154,0))</f>
        <v>877.73436102628511</v>
      </c>
      <c r="J775" s="164">
        <f t="shared" si="23"/>
        <v>2098.75</v>
      </c>
      <c r="K775" s="164"/>
      <c r="L775" s="164"/>
      <c r="M775" s="164"/>
      <c r="N775" s="164"/>
      <c r="O775" s="166"/>
      <c r="P775" s="166"/>
      <c r="Q775" s="166"/>
      <c r="R775" s="166"/>
      <c r="S775" s="166"/>
      <c r="T775" s="166"/>
      <c r="U775" s="166"/>
      <c r="V775" s="166"/>
      <c r="W775" s="166"/>
      <c r="X775" s="166"/>
      <c r="Y775" s="166"/>
      <c r="Z775" s="166"/>
      <c r="AA775" s="166"/>
      <c r="AB775" s="166"/>
      <c r="AC775" s="166"/>
      <c r="AD775" s="166"/>
      <c r="AE775" s="166"/>
      <c r="AF775" s="166"/>
      <c r="AG775" s="166"/>
      <c r="AH775" s="166"/>
      <c r="AI775" s="166"/>
    </row>
    <row r="776" spans="1:35" x14ac:dyDescent="0.2">
      <c r="A776" s="167" t="s">
        <v>141</v>
      </c>
      <c r="B776" s="162">
        <v>12</v>
      </c>
      <c r="C776" s="162">
        <f>(0.5*B776+0.25)*365</f>
        <v>2281.25</v>
      </c>
      <c r="D776" s="162" t="s">
        <v>162</v>
      </c>
      <c r="E776" s="168">
        <v>895313766960.76208</v>
      </c>
      <c r="F776" s="168">
        <v>895313766.96076214</v>
      </c>
      <c r="G776" s="168">
        <v>895313.76696076221</v>
      </c>
      <c r="H776" s="168">
        <v>895.31376696076222</v>
      </c>
      <c r="I776" s="164">
        <f>H776*$O$9/0.1*INDEX(Country_details!$N$9:N926,MATCH(Solar_data!A776,Country_details!$A$9:$A$154,0))</f>
        <v>2148.7530407058293</v>
      </c>
      <c r="J776" s="164">
        <f t="shared" si="23"/>
        <v>2281.25</v>
      </c>
      <c r="K776" s="164"/>
      <c r="L776" s="164"/>
      <c r="M776" s="164"/>
      <c r="N776" s="164"/>
      <c r="O776" s="166"/>
      <c r="P776" s="166"/>
      <c r="Q776" s="166"/>
      <c r="R776" s="166"/>
      <c r="S776" s="166"/>
      <c r="T776" s="166"/>
      <c r="U776" s="166"/>
      <c r="V776" s="166"/>
      <c r="W776" s="166"/>
      <c r="X776" s="166"/>
      <c r="Y776" s="166"/>
      <c r="Z776" s="166"/>
      <c r="AA776" s="166"/>
      <c r="AB776" s="166"/>
      <c r="AC776" s="166"/>
      <c r="AD776" s="166"/>
      <c r="AE776" s="166"/>
      <c r="AF776" s="166"/>
      <c r="AG776" s="166"/>
      <c r="AH776" s="166"/>
      <c r="AI776" s="166"/>
    </row>
    <row r="777" spans="1:35" x14ac:dyDescent="0.2">
      <c r="A777" s="167" t="s">
        <v>141</v>
      </c>
      <c r="B777" s="162">
        <v>13</v>
      </c>
      <c r="C777" s="162">
        <f>(0.5*B777+0.25)*365</f>
        <v>2463.75</v>
      </c>
      <c r="D777" s="162" t="s">
        <v>163</v>
      </c>
      <c r="E777" s="168">
        <v>39522750647.998802</v>
      </c>
      <c r="F777" s="168">
        <v>39522750.647998802</v>
      </c>
      <c r="G777" s="168">
        <v>39522.750647998801</v>
      </c>
      <c r="H777" s="168">
        <v>39.522750647998798</v>
      </c>
      <c r="I777" s="164">
        <f>H777*$O$9/0.1*INDEX(Country_details!$N$9:N927,MATCH(Solar_data!A777,Country_details!$A$9:$A$154,0))</f>
        <v>94.854601555197107</v>
      </c>
      <c r="J777" s="164">
        <f>(0.5*B777+0.25)*365</f>
        <v>2463.75</v>
      </c>
      <c r="K777" s="164"/>
      <c r="L777" s="164"/>
      <c r="M777" s="164"/>
      <c r="N777" s="164"/>
      <c r="O777" s="166"/>
      <c r="P777" s="166"/>
      <c r="Q777" s="166"/>
      <c r="R777" s="166"/>
      <c r="S777" s="166"/>
      <c r="T777" s="166"/>
      <c r="U777" s="166"/>
      <c r="V777" s="166"/>
      <c r="W777" s="166"/>
      <c r="X777" s="166"/>
      <c r="Y777" s="166"/>
      <c r="Z777" s="166"/>
      <c r="AA777" s="166"/>
      <c r="AB777" s="166"/>
      <c r="AC777" s="166"/>
      <c r="AD777" s="166"/>
      <c r="AE777" s="166"/>
      <c r="AF777" s="166"/>
      <c r="AG777" s="166"/>
      <c r="AH777" s="166"/>
      <c r="AI777" s="166"/>
    </row>
    <row r="778" spans="1:35" x14ac:dyDescent="0.2">
      <c r="K778" s="166"/>
      <c r="L778" s="166"/>
      <c r="M778" s="166"/>
      <c r="N778" s="166"/>
      <c r="O778" s="166"/>
      <c r="P778" s="166"/>
      <c r="Q778" s="166"/>
      <c r="R778" s="166"/>
      <c r="S778" s="166"/>
      <c r="T778" s="166"/>
      <c r="U778" s="166"/>
      <c r="V778" s="166"/>
      <c r="W778" s="166"/>
      <c r="X778" s="166"/>
      <c r="Y778" s="166"/>
      <c r="Z778" s="166"/>
      <c r="AA778" s="166"/>
      <c r="AB778" s="166"/>
      <c r="AC778" s="166"/>
      <c r="AD778" s="166"/>
      <c r="AE778" s="166"/>
      <c r="AF778" s="166"/>
      <c r="AG778" s="166"/>
      <c r="AH778" s="166"/>
      <c r="AI778" s="166"/>
    </row>
    <row r="779" spans="1:35" x14ac:dyDescent="0.2">
      <c r="K779" s="166"/>
      <c r="L779" s="166"/>
      <c r="M779" s="166"/>
      <c r="N779" s="166"/>
      <c r="O779" s="166"/>
      <c r="P779" s="166"/>
      <c r="Q779" s="166"/>
      <c r="R779" s="166"/>
      <c r="S779" s="166"/>
      <c r="T779" s="166"/>
      <c r="U779" s="166"/>
      <c r="V779" s="166"/>
      <c r="W779" s="166"/>
      <c r="X779" s="166"/>
      <c r="Y779" s="166"/>
      <c r="Z779" s="166"/>
      <c r="AA779" s="166"/>
      <c r="AB779" s="166"/>
      <c r="AC779" s="166"/>
      <c r="AD779" s="166"/>
      <c r="AE779" s="166"/>
      <c r="AF779" s="166"/>
      <c r="AG779" s="166"/>
      <c r="AH779" s="166"/>
      <c r="AI779" s="166"/>
    </row>
    <row r="780" spans="1:35" x14ac:dyDescent="0.2">
      <c r="K780" s="166"/>
      <c r="L780" s="166"/>
      <c r="M780" s="166"/>
      <c r="N780" s="166"/>
      <c r="O780" s="166"/>
      <c r="P780" s="166"/>
      <c r="Q780" s="166"/>
      <c r="R780" s="166"/>
      <c r="S780" s="166"/>
      <c r="T780" s="166"/>
      <c r="U780" s="166"/>
      <c r="V780" s="166"/>
      <c r="W780" s="166"/>
      <c r="X780" s="166"/>
      <c r="Y780" s="166"/>
      <c r="Z780" s="166"/>
      <c r="AA780" s="166"/>
      <c r="AB780" s="166"/>
      <c r="AC780" s="166"/>
      <c r="AD780" s="166"/>
      <c r="AE780" s="166"/>
      <c r="AF780" s="166"/>
      <c r="AG780" s="166"/>
      <c r="AH780" s="166"/>
      <c r="AI780" s="166"/>
    </row>
    <row r="781" spans="1:35" x14ac:dyDescent="0.2">
      <c r="K781" s="166"/>
      <c r="L781" s="166"/>
      <c r="M781" s="166"/>
      <c r="N781" s="166"/>
      <c r="O781" s="166"/>
      <c r="P781" s="166"/>
      <c r="Q781" s="166"/>
      <c r="R781" s="166"/>
      <c r="S781" s="166"/>
      <c r="T781" s="166"/>
      <c r="U781" s="166"/>
      <c r="V781" s="166"/>
      <c r="W781" s="166"/>
      <c r="X781" s="166"/>
      <c r="Y781" s="166"/>
      <c r="Z781" s="166"/>
      <c r="AA781" s="166"/>
      <c r="AB781" s="166"/>
      <c r="AC781" s="166"/>
      <c r="AD781" s="166"/>
      <c r="AE781" s="166"/>
      <c r="AF781" s="166"/>
      <c r="AG781" s="166"/>
      <c r="AH781" s="166"/>
      <c r="AI781" s="166"/>
    </row>
    <row r="782" spans="1:35" x14ac:dyDescent="0.2">
      <c r="K782" s="166"/>
      <c r="L782" s="166"/>
      <c r="M782" s="166"/>
      <c r="N782" s="166"/>
      <c r="O782" s="166"/>
      <c r="P782" s="166"/>
      <c r="Q782" s="166"/>
      <c r="R782" s="166"/>
      <c r="S782" s="166"/>
      <c r="T782" s="166"/>
      <c r="U782" s="166"/>
      <c r="V782" s="166"/>
      <c r="W782" s="166"/>
      <c r="X782" s="166"/>
      <c r="Y782" s="166"/>
      <c r="Z782" s="166"/>
      <c r="AA782" s="166"/>
      <c r="AB782" s="166"/>
      <c r="AC782" s="166"/>
      <c r="AD782" s="166"/>
      <c r="AE782" s="166"/>
      <c r="AF782" s="166"/>
      <c r="AG782" s="166"/>
      <c r="AH782" s="166"/>
      <c r="AI782" s="166"/>
    </row>
    <row r="783" spans="1:35" x14ac:dyDescent="0.2">
      <c r="K783" s="166"/>
      <c r="L783" s="166"/>
      <c r="M783" s="166"/>
      <c r="N783" s="166"/>
      <c r="O783" s="166"/>
      <c r="P783" s="166"/>
      <c r="Q783" s="166"/>
      <c r="R783" s="166"/>
      <c r="S783" s="166"/>
      <c r="T783" s="166"/>
      <c r="U783" s="166"/>
      <c r="V783" s="166"/>
      <c r="W783" s="166"/>
      <c r="X783" s="166"/>
      <c r="Y783" s="166"/>
      <c r="Z783" s="166"/>
      <c r="AA783" s="166"/>
      <c r="AB783" s="166"/>
      <c r="AC783" s="166"/>
      <c r="AD783" s="166"/>
      <c r="AE783" s="166"/>
      <c r="AF783" s="166"/>
      <c r="AG783" s="166"/>
      <c r="AH783" s="166"/>
      <c r="AI783" s="166"/>
    </row>
    <row r="784" spans="1:35" x14ac:dyDescent="0.2">
      <c r="K784" s="166"/>
      <c r="L784" s="166"/>
      <c r="M784" s="166"/>
      <c r="N784" s="166"/>
      <c r="O784" s="166"/>
      <c r="P784" s="166"/>
      <c r="Q784" s="166"/>
      <c r="R784" s="166"/>
      <c r="S784" s="166"/>
      <c r="T784" s="166"/>
      <c r="U784" s="166"/>
      <c r="V784" s="166"/>
      <c r="W784" s="166"/>
      <c r="X784" s="166"/>
      <c r="Y784" s="166"/>
      <c r="Z784" s="166"/>
      <c r="AA784" s="166"/>
      <c r="AB784" s="166"/>
      <c r="AC784" s="166"/>
      <c r="AD784" s="166"/>
      <c r="AE784" s="166"/>
      <c r="AF784" s="166"/>
      <c r="AG784" s="166"/>
      <c r="AH784" s="166"/>
      <c r="AI784" s="166"/>
    </row>
    <row r="785" spans="11:35" x14ac:dyDescent="0.2">
      <c r="K785" s="166"/>
      <c r="L785" s="166"/>
      <c r="M785" s="166"/>
      <c r="N785" s="166"/>
      <c r="O785" s="166"/>
      <c r="P785" s="166"/>
      <c r="Q785" s="166"/>
      <c r="R785" s="166"/>
      <c r="S785" s="166"/>
      <c r="T785" s="166"/>
      <c r="U785" s="166"/>
      <c r="V785" s="166"/>
      <c r="W785" s="166"/>
      <c r="X785" s="166"/>
      <c r="Y785" s="166"/>
      <c r="Z785" s="166"/>
      <c r="AA785" s="166"/>
      <c r="AB785" s="166"/>
      <c r="AC785" s="166"/>
      <c r="AD785" s="166"/>
      <c r="AE785" s="166"/>
      <c r="AF785" s="166"/>
      <c r="AG785" s="166"/>
      <c r="AH785" s="166"/>
      <c r="AI785" s="166"/>
    </row>
    <row r="786" spans="11:35" x14ac:dyDescent="0.2"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  <c r="V786" s="166"/>
      <c r="W786" s="166"/>
      <c r="X786" s="166"/>
      <c r="Y786" s="166"/>
      <c r="Z786" s="166"/>
      <c r="AA786" s="166"/>
      <c r="AB786" s="166"/>
      <c r="AC786" s="166"/>
      <c r="AD786" s="166"/>
      <c r="AE786" s="166"/>
      <c r="AF786" s="166"/>
      <c r="AG786" s="166"/>
      <c r="AH786" s="166"/>
      <c r="AI786" s="166"/>
    </row>
    <row r="787" spans="11:35" x14ac:dyDescent="0.2"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  <c r="V787" s="166"/>
      <c r="W787" s="166"/>
      <c r="X787" s="166"/>
      <c r="Y787" s="166"/>
      <c r="Z787" s="166"/>
      <c r="AA787" s="166"/>
      <c r="AB787" s="166"/>
      <c r="AC787" s="166"/>
      <c r="AD787" s="166"/>
      <c r="AE787" s="166"/>
      <c r="AF787" s="166"/>
      <c r="AG787" s="166"/>
      <c r="AH787" s="166"/>
      <c r="AI787" s="166"/>
    </row>
    <row r="788" spans="11:35" x14ac:dyDescent="0.2"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  <c r="V788" s="166"/>
      <c r="W788" s="166"/>
      <c r="X788" s="166"/>
      <c r="Y788" s="166"/>
      <c r="Z788" s="166"/>
      <c r="AA788" s="166"/>
      <c r="AB788" s="166"/>
      <c r="AC788" s="166"/>
      <c r="AD788" s="166"/>
      <c r="AE788" s="166"/>
      <c r="AF788" s="166"/>
      <c r="AG788" s="166"/>
      <c r="AH788" s="166"/>
      <c r="AI788" s="166"/>
    </row>
    <row r="789" spans="11:35" x14ac:dyDescent="0.2"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  <c r="V789" s="166"/>
      <c r="W789" s="166"/>
      <c r="X789" s="166"/>
      <c r="Y789" s="166"/>
      <c r="Z789" s="166"/>
      <c r="AA789" s="166"/>
      <c r="AB789" s="166"/>
      <c r="AC789" s="166"/>
      <c r="AD789" s="166"/>
      <c r="AE789" s="166"/>
      <c r="AF789" s="166"/>
      <c r="AG789" s="166"/>
      <c r="AH789" s="166"/>
      <c r="AI789" s="166"/>
    </row>
    <row r="790" spans="11:35" x14ac:dyDescent="0.2">
      <c r="K790" s="166"/>
      <c r="L790" s="166"/>
      <c r="M790" s="166"/>
      <c r="N790" s="166"/>
      <c r="O790" s="166"/>
      <c r="P790" s="166"/>
      <c r="Q790" s="166"/>
      <c r="R790" s="166"/>
      <c r="S790" s="166"/>
      <c r="T790" s="166"/>
      <c r="U790" s="166"/>
      <c r="V790" s="166"/>
      <c r="W790" s="166"/>
      <c r="X790" s="166"/>
      <c r="Y790" s="166"/>
      <c r="Z790" s="166"/>
      <c r="AA790" s="166"/>
      <c r="AB790" s="166"/>
      <c r="AC790" s="166"/>
      <c r="AD790" s="166"/>
      <c r="AE790" s="166"/>
      <c r="AF790" s="166"/>
      <c r="AG790" s="166"/>
      <c r="AH790" s="166"/>
      <c r="AI790" s="166"/>
    </row>
    <row r="791" spans="11:35" x14ac:dyDescent="0.2">
      <c r="K791" s="166"/>
      <c r="L791" s="166"/>
      <c r="M791" s="166"/>
      <c r="N791" s="166"/>
      <c r="O791" s="166"/>
      <c r="P791" s="166"/>
      <c r="Q791" s="166"/>
      <c r="R791" s="166"/>
      <c r="S791" s="166"/>
      <c r="T791" s="166"/>
      <c r="U791" s="166"/>
      <c r="V791" s="166"/>
      <c r="W791" s="166"/>
      <c r="X791" s="166"/>
      <c r="Y791" s="166"/>
      <c r="Z791" s="166"/>
      <c r="AA791" s="166"/>
      <c r="AB791" s="166"/>
      <c r="AC791" s="166"/>
      <c r="AD791" s="166"/>
      <c r="AE791" s="166"/>
      <c r="AF791" s="166"/>
      <c r="AG791" s="166"/>
      <c r="AH791" s="166"/>
      <c r="AI791" s="166"/>
    </row>
    <row r="792" spans="11:35" x14ac:dyDescent="0.2">
      <c r="K792" s="166"/>
      <c r="L792" s="166"/>
      <c r="M792" s="166"/>
      <c r="N792" s="166"/>
      <c r="O792" s="166"/>
      <c r="P792" s="166"/>
      <c r="Q792" s="166"/>
      <c r="R792" s="166"/>
      <c r="S792" s="166"/>
      <c r="T792" s="166"/>
      <c r="U792" s="166"/>
      <c r="V792" s="166"/>
      <c r="W792" s="166"/>
      <c r="X792" s="166"/>
      <c r="Y792" s="166"/>
      <c r="Z792" s="166"/>
      <c r="AA792" s="166"/>
      <c r="AB792" s="166"/>
      <c r="AC792" s="166"/>
      <c r="AD792" s="166"/>
      <c r="AE792" s="166"/>
      <c r="AF792" s="166"/>
      <c r="AG792" s="166"/>
      <c r="AH792" s="166"/>
      <c r="AI792" s="166"/>
    </row>
    <row r="793" spans="11:35" x14ac:dyDescent="0.2">
      <c r="K793" s="166"/>
      <c r="L793" s="166"/>
      <c r="M793" s="166"/>
      <c r="N793" s="166"/>
      <c r="O793" s="166"/>
      <c r="P793" s="166"/>
      <c r="Q793" s="166"/>
      <c r="R793" s="166"/>
      <c r="S793" s="166"/>
      <c r="T793" s="166"/>
      <c r="U793" s="166"/>
      <c r="V793" s="166"/>
      <c r="W793" s="166"/>
      <c r="X793" s="166"/>
      <c r="Y793" s="166"/>
      <c r="Z793" s="166"/>
      <c r="AA793" s="166"/>
      <c r="AB793" s="166"/>
      <c r="AC793" s="166"/>
      <c r="AD793" s="166"/>
      <c r="AE793" s="166"/>
      <c r="AF793" s="166"/>
      <c r="AG793" s="166"/>
      <c r="AH793" s="166"/>
      <c r="AI793" s="166"/>
    </row>
    <row r="794" spans="11:35" x14ac:dyDescent="0.2">
      <c r="K794" s="166"/>
      <c r="L794" s="166"/>
      <c r="M794" s="166"/>
      <c r="N794" s="166"/>
      <c r="O794" s="166"/>
      <c r="P794" s="166"/>
      <c r="Q794" s="166"/>
      <c r="R794" s="166"/>
      <c r="S794" s="166"/>
      <c r="T794" s="166"/>
      <c r="U794" s="166"/>
      <c r="V794" s="166"/>
      <c r="W794" s="166"/>
      <c r="X794" s="166"/>
      <c r="Y794" s="166"/>
      <c r="Z794" s="166"/>
      <c r="AA794" s="166"/>
      <c r="AB794" s="166"/>
      <c r="AC794" s="166"/>
      <c r="AD794" s="166"/>
      <c r="AE794" s="166"/>
      <c r="AF794" s="166"/>
      <c r="AG794" s="166"/>
      <c r="AH794" s="166"/>
      <c r="AI794" s="166"/>
    </row>
    <row r="795" spans="11:35" x14ac:dyDescent="0.2">
      <c r="K795" s="166"/>
      <c r="L795" s="166"/>
      <c r="M795" s="166"/>
      <c r="N795" s="166"/>
      <c r="O795" s="166"/>
      <c r="P795" s="166"/>
      <c r="Q795" s="166"/>
      <c r="R795" s="166"/>
      <c r="S795" s="166"/>
      <c r="T795" s="166"/>
      <c r="U795" s="166"/>
      <c r="V795" s="166"/>
      <c r="W795" s="166"/>
      <c r="X795" s="166"/>
      <c r="Y795" s="166"/>
      <c r="Z795" s="166"/>
      <c r="AA795" s="166"/>
      <c r="AB795" s="166"/>
      <c r="AC795" s="166"/>
      <c r="AD795" s="166"/>
      <c r="AE795" s="166"/>
      <c r="AF795" s="166"/>
      <c r="AG795" s="166"/>
      <c r="AH795" s="166"/>
      <c r="AI795" s="166"/>
    </row>
    <row r="796" spans="11:35" x14ac:dyDescent="0.2">
      <c r="K796" s="166"/>
      <c r="L796" s="166"/>
      <c r="M796" s="166"/>
      <c r="N796" s="166"/>
      <c r="O796" s="166"/>
      <c r="P796" s="166"/>
      <c r="Q796" s="166"/>
      <c r="R796" s="166"/>
      <c r="S796" s="166"/>
      <c r="T796" s="166"/>
      <c r="U796" s="166"/>
      <c r="V796" s="166"/>
      <c r="W796" s="166"/>
      <c r="X796" s="166"/>
      <c r="Y796" s="166"/>
      <c r="Z796" s="166"/>
      <c r="AA796" s="166"/>
      <c r="AB796" s="166"/>
      <c r="AC796" s="166"/>
      <c r="AD796" s="166"/>
      <c r="AE796" s="166"/>
      <c r="AF796" s="166"/>
      <c r="AG796" s="166"/>
      <c r="AH796" s="166"/>
      <c r="AI796" s="166"/>
    </row>
    <row r="797" spans="11:35" x14ac:dyDescent="0.2">
      <c r="K797" s="166"/>
      <c r="L797" s="166"/>
      <c r="M797" s="166"/>
      <c r="N797" s="166"/>
      <c r="O797" s="166"/>
      <c r="P797" s="166"/>
      <c r="Q797" s="166"/>
      <c r="R797" s="166"/>
      <c r="S797" s="166"/>
      <c r="T797" s="166"/>
      <c r="U797" s="166"/>
      <c r="V797" s="166"/>
      <c r="W797" s="166"/>
      <c r="X797" s="166"/>
      <c r="Y797" s="166"/>
      <c r="Z797" s="166"/>
      <c r="AA797" s="166"/>
      <c r="AB797" s="166"/>
      <c r="AC797" s="166"/>
      <c r="AD797" s="166"/>
      <c r="AE797" s="166"/>
      <c r="AF797" s="166"/>
      <c r="AG797" s="166"/>
      <c r="AH797" s="166"/>
      <c r="AI797" s="166"/>
    </row>
    <row r="798" spans="11:35" x14ac:dyDescent="0.2">
      <c r="K798" s="166"/>
      <c r="L798" s="166"/>
      <c r="M798" s="166"/>
      <c r="N798" s="166"/>
      <c r="O798" s="166"/>
      <c r="P798" s="166"/>
      <c r="Q798" s="166"/>
      <c r="R798" s="166"/>
      <c r="S798" s="166"/>
      <c r="T798" s="166"/>
      <c r="U798" s="166"/>
      <c r="V798" s="166"/>
      <c r="W798" s="166"/>
      <c r="X798" s="166"/>
      <c r="Y798" s="166"/>
      <c r="Z798" s="166"/>
      <c r="AA798" s="166"/>
      <c r="AB798" s="166"/>
      <c r="AC798" s="166"/>
      <c r="AD798" s="166"/>
      <c r="AE798" s="166"/>
      <c r="AF798" s="166"/>
      <c r="AG798" s="166"/>
      <c r="AH798" s="166"/>
      <c r="AI798" s="166"/>
    </row>
    <row r="799" spans="11:35" x14ac:dyDescent="0.2">
      <c r="K799" s="166"/>
      <c r="L799" s="166"/>
      <c r="M799" s="166"/>
      <c r="N799" s="166"/>
      <c r="O799" s="166"/>
      <c r="P799" s="166"/>
      <c r="Q799" s="166"/>
      <c r="R799" s="166"/>
      <c r="S799" s="166"/>
      <c r="T799" s="166"/>
      <c r="U799" s="166"/>
      <c r="V799" s="166"/>
      <c r="W799" s="166"/>
      <c r="X799" s="166"/>
      <c r="Y799" s="166"/>
      <c r="Z799" s="166"/>
      <c r="AA799" s="166"/>
      <c r="AB799" s="166"/>
      <c r="AC799" s="166"/>
      <c r="AD799" s="166"/>
      <c r="AE799" s="166"/>
      <c r="AF799" s="166"/>
      <c r="AG799" s="166"/>
      <c r="AH799" s="166"/>
      <c r="AI799" s="166"/>
    </row>
    <row r="800" spans="11:35" x14ac:dyDescent="0.2">
      <c r="K800" s="166"/>
      <c r="L800" s="166"/>
      <c r="M800" s="166"/>
      <c r="N800" s="166"/>
      <c r="O800" s="166"/>
      <c r="P800" s="166"/>
      <c r="Q800" s="166"/>
      <c r="R800" s="166"/>
      <c r="S800" s="166"/>
      <c r="T800" s="166"/>
      <c r="U800" s="166"/>
      <c r="V800" s="166"/>
      <c r="W800" s="166"/>
      <c r="X800" s="166"/>
      <c r="Y800" s="166"/>
      <c r="Z800" s="166"/>
      <c r="AA800" s="166"/>
      <c r="AB800" s="166"/>
      <c r="AC800" s="166"/>
      <c r="AD800" s="166"/>
      <c r="AE800" s="166"/>
      <c r="AF800" s="166"/>
      <c r="AG800" s="166"/>
      <c r="AH800" s="166"/>
      <c r="AI800" s="166"/>
    </row>
    <row r="801" spans="11:35" x14ac:dyDescent="0.2">
      <c r="K801" s="166"/>
      <c r="L801" s="166"/>
      <c r="M801" s="166"/>
      <c r="N801" s="166"/>
      <c r="O801" s="166"/>
      <c r="P801" s="166"/>
      <c r="Q801" s="166"/>
      <c r="R801" s="166"/>
      <c r="S801" s="166"/>
      <c r="T801" s="166"/>
      <c r="U801" s="166"/>
      <c r="V801" s="166"/>
      <c r="W801" s="166"/>
      <c r="X801" s="166"/>
      <c r="Y801" s="166"/>
      <c r="Z801" s="166"/>
      <c r="AA801" s="166"/>
      <c r="AB801" s="166"/>
      <c r="AC801" s="166"/>
      <c r="AD801" s="166"/>
      <c r="AE801" s="166"/>
      <c r="AF801" s="166"/>
      <c r="AG801" s="166"/>
      <c r="AH801" s="166"/>
      <c r="AI801" s="166"/>
    </row>
    <row r="802" spans="11:35" x14ac:dyDescent="0.2">
      <c r="K802" s="166"/>
      <c r="L802" s="166"/>
      <c r="M802" s="166"/>
      <c r="N802" s="166"/>
      <c r="O802" s="166"/>
      <c r="P802" s="166"/>
      <c r="Q802" s="166"/>
      <c r="R802" s="166"/>
      <c r="S802" s="166"/>
      <c r="T802" s="166"/>
      <c r="U802" s="166"/>
      <c r="V802" s="166"/>
      <c r="W802" s="166"/>
      <c r="X802" s="166"/>
      <c r="Y802" s="166"/>
      <c r="Z802" s="166"/>
      <c r="AA802" s="166"/>
      <c r="AB802" s="166"/>
      <c r="AC802" s="166"/>
      <c r="AD802" s="166"/>
      <c r="AE802" s="166"/>
      <c r="AF802" s="166"/>
      <c r="AG802" s="166"/>
      <c r="AH802" s="166"/>
      <c r="AI802" s="166"/>
    </row>
    <row r="803" spans="11:35" x14ac:dyDescent="0.2">
      <c r="K803" s="166"/>
      <c r="L803" s="166"/>
      <c r="M803" s="166"/>
      <c r="N803" s="166"/>
      <c r="O803" s="166"/>
      <c r="P803" s="166"/>
      <c r="Q803" s="166"/>
      <c r="R803" s="166"/>
      <c r="S803" s="166"/>
      <c r="T803" s="166"/>
      <c r="U803" s="166"/>
      <c r="V803" s="166"/>
      <c r="W803" s="166"/>
      <c r="X803" s="166"/>
      <c r="Y803" s="166"/>
      <c r="Z803" s="166"/>
      <c r="AA803" s="166"/>
      <c r="AB803" s="166"/>
      <c r="AC803" s="166"/>
      <c r="AD803" s="166"/>
      <c r="AE803" s="166"/>
      <c r="AF803" s="166"/>
      <c r="AG803" s="166"/>
      <c r="AH803" s="166"/>
      <c r="AI803" s="166"/>
    </row>
    <row r="804" spans="11:35" x14ac:dyDescent="0.2">
      <c r="K804" s="166"/>
      <c r="L804" s="166"/>
      <c r="M804" s="166"/>
      <c r="N804" s="166"/>
      <c r="O804" s="166"/>
      <c r="P804" s="166"/>
      <c r="Q804" s="166"/>
      <c r="R804" s="166"/>
      <c r="S804" s="166"/>
      <c r="T804" s="166"/>
      <c r="U804" s="166"/>
      <c r="V804" s="166"/>
      <c r="W804" s="166"/>
      <c r="X804" s="166"/>
      <c r="Y804" s="166"/>
      <c r="Z804" s="166"/>
      <c r="AA804" s="166"/>
      <c r="AB804" s="166"/>
      <c r="AC804" s="166"/>
      <c r="AD804" s="166"/>
      <c r="AE804" s="166"/>
      <c r="AF804" s="166"/>
      <c r="AG804" s="166"/>
      <c r="AH804" s="166"/>
      <c r="AI804" s="166"/>
    </row>
    <row r="805" spans="11:35" x14ac:dyDescent="0.2">
      <c r="K805" s="166"/>
      <c r="L805" s="166"/>
      <c r="M805" s="166"/>
      <c r="N805" s="166"/>
      <c r="O805" s="166"/>
      <c r="P805" s="166"/>
      <c r="Q805" s="166"/>
      <c r="R805" s="166"/>
      <c r="S805" s="166"/>
      <c r="T805" s="166"/>
      <c r="U805" s="166"/>
      <c r="V805" s="166"/>
      <c r="W805" s="166"/>
      <c r="X805" s="166"/>
      <c r="Y805" s="166"/>
      <c r="Z805" s="166"/>
      <c r="AA805" s="166"/>
      <c r="AB805" s="166"/>
      <c r="AC805" s="166"/>
      <c r="AD805" s="166"/>
      <c r="AE805" s="166"/>
      <c r="AF805" s="166"/>
      <c r="AG805" s="166"/>
      <c r="AH805" s="166"/>
      <c r="AI805" s="166"/>
    </row>
    <row r="806" spans="11:35" x14ac:dyDescent="0.2">
      <c r="K806" s="166"/>
      <c r="L806" s="166"/>
      <c r="M806" s="166"/>
      <c r="N806" s="166"/>
      <c r="O806" s="166"/>
      <c r="P806" s="166"/>
      <c r="Q806" s="166"/>
      <c r="R806" s="166"/>
      <c r="S806" s="166"/>
      <c r="T806" s="166"/>
      <c r="U806" s="166"/>
      <c r="V806" s="166"/>
      <c r="W806" s="166"/>
      <c r="X806" s="166"/>
      <c r="Y806" s="166"/>
      <c r="Z806" s="166"/>
      <c r="AA806" s="166"/>
      <c r="AB806" s="166"/>
      <c r="AC806" s="166"/>
      <c r="AD806" s="166"/>
      <c r="AE806" s="166"/>
      <c r="AF806" s="166"/>
      <c r="AG806" s="166"/>
      <c r="AH806" s="166"/>
      <c r="AI806" s="166"/>
    </row>
    <row r="807" spans="11:35" x14ac:dyDescent="0.2">
      <c r="K807" s="166"/>
      <c r="L807" s="166"/>
      <c r="M807" s="166"/>
      <c r="N807" s="166"/>
      <c r="O807" s="166"/>
      <c r="P807" s="166"/>
      <c r="Q807" s="166"/>
      <c r="R807" s="166"/>
      <c r="S807" s="166"/>
      <c r="T807" s="166"/>
      <c r="U807" s="166"/>
      <c r="V807" s="166"/>
      <c r="W807" s="166"/>
      <c r="X807" s="166"/>
      <c r="Y807" s="166"/>
      <c r="Z807" s="166"/>
      <c r="AA807" s="166"/>
      <c r="AB807" s="166"/>
      <c r="AC807" s="166"/>
      <c r="AD807" s="166"/>
      <c r="AE807" s="166"/>
      <c r="AF807" s="166"/>
      <c r="AG807" s="166"/>
      <c r="AH807" s="166"/>
      <c r="AI807" s="166"/>
    </row>
    <row r="808" spans="11:35" x14ac:dyDescent="0.2">
      <c r="K808" s="166"/>
      <c r="L808" s="166"/>
      <c r="M808" s="166"/>
      <c r="N808" s="166"/>
      <c r="O808" s="166"/>
      <c r="P808" s="166"/>
      <c r="Q808" s="166"/>
      <c r="R808" s="166"/>
      <c r="S808" s="166"/>
      <c r="T808" s="166"/>
      <c r="U808" s="166"/>
      <c r="V808" s="166"/>
      <c r="W808" s="166"/>
      <c r="X808" s="166"/>
      <c r="Y808" s="166"/>
      <c r="Z808" s="166"/>
      <c r="AA808" s="166"/>
      <c r="AB808" s="166"/>
      <c r="AC808" s="166"/>
      <c r="AD808" s="166"/>
      <c r="AE808" s="166"/>
      <c r="AF808" s="166"/>
      <c r="AG808" s="166"/>
      <c r="AH808" s="166"/>
      <c r="AI808" s="166"/>
    </row>
    <row r="809" spans="11:35" x14ac:dyDescent="0.2">
      <c r="K809" s="166"/>
      <c r="L809" s="166"/>
      <c r="M809" s="166"/>
      <c r="N809" s="166"/>
      <c r="O809" s="166"/>
      <c r="P809" s="166"/>
      <c r="Q809" s="166"/>
      <c r="R809" s="166"/>
      <c r="S809" s="166"/>
      <c r="T809" s="166"/>
      <c r="U809" s="166"/>
      <c r="V809" s="166"/>
      <c r="W809" s="166"/>
      <c r="X809" s="166"/>
      <c r="Y809" s="166"/>
      <c r="Z809" s="166"/>
      <c r="AA809" s="166"/>
      <c r="AB809" s="166"/>
      <c r="AC809" s="166"/>
      <c r="AD809" s="166"/>
      <c r="AE809" s="166"/>
      <c r="AF809" s="166"/>
      <c r="AG809" s="166"/>
      <c r="AH809" s="166"/>
      <c r="AI809" s="166"/>
    </row>
    <row r="810" spans="11:35" x14ac:dyDescent="0.2">
      <c r="K810" s="166"/>
      <c r="L810" s="166"/>
      <c r="M810" s="166"/>
      <c r="N810" s="166"/>
      <c r="O810" s="166"/>
      <c r="P810" s="166"/>
      <c r="Q810" s="166"/>
      <c r="R810" s="166"/>
      <c r="S810" s="166"/>
      <c r="T810" s="166"/>
      <c r="U810" s="166"/>
      <c r="V810" s="166"/>
      <c r="W810" s="166"/>
      <c r="X810" s="166"/>
      <c r="Y810" s="166"/>
      <c r="Z810" s="166"/>
      <c r="AA810" s="166"/>
      <c r="AB810" s="166"/>
      <c r="AC810" s="166"/>
      <c r="AD810" s="166"/>
      <c r="AE810" s="166"/>
      <c r="AF810" s="166"/>
      <c r="AG810" s="166"/>
      <c r="AH810" s="166"/>
      <c r="AI810" s="166"/>
    </row>
    <row r="811" spans="11:35" x14ac:dyDescent="0.2">
      <c r="K811" s="166"/>
      <c r="L811" s="166"/>
      <c r="M811" s="166"/>
      <c r="N811" s="166"/>
      <c r="O811" s="166"/>
      <c r="P811" s="166"/>
      <c r="Q811" s="166"/>
      <c r="R811" s="166"/>
      <c r="S811" s="166"/>
      <c r="T811" s="166"/>
      <c r="U811" s="166"/>
      <c r="V811" s="166"/>
      <c r="W811" s="166"/>
      <c r="X811" s="166"/>
      <c r="Y811" s="166"/>
      <c r="Z811" s="166"/>
      <c r="AA811" s="166"/>
      <c r="AB811" s="166"/>
      <c r="AC811" s="166"/>
      <c r="AD811" s="166"/>
      <c r="AE811" s="166"/>
      <c r="AF811" s="166"/>
      <c r="AG811" s="166"/>
      <c r="AH811" s="166"/>
      <c r="AI811" s="166"/>
    </row>
    <row r="812" spans="11:35" x14ac:dyDescent="0.2">
      <c r="K812" s="166"/>
      <c r="L812" s="166"/>
      <c r="M812" s="166"/>
      <c r="N812" s="166"/>
      <c r="O812" s="166"/>
      <c r="P812" s="166"/>
      <c r="Q812" s="166"/>
      <c r="R812" s="166"/>
      <c r="S812" s="166"/>
      <c r="T812" s="166"/>
      <c r="U812" s="166"/>
      <c r="V812" s="166"/>
      <c r="W812" s="166"/>
      <c r="X812" s="166"/>
      <c r="Y812" s="166"/>
      <c r="Z812" s="166"/>
      <c r="AA812" s="166"/>
      <c r="AB812" s="166"/>
      <c r="AC812" s="166"/>
      <c r="AD812" s="166"/>
      <c r="AE812" s="166"/>
      <c r="AF812" s="166"/>
      <c r="AG812" s="166"/>
      <c r="AH812" s="166"/>
      <c r="AI812" s="166"/>
    </row>
    <row r="813" spans="11:35" x14ac:dyDescent="0.2">
      <c r="K813" s="166"/>
      <c r="L813" s="166"/>
      <c r="M813" s="166"/>
      <c r="N813" s="166"/>
      <c r="O813" s="166"/>
      <c r="P813" s="166"/>
      <c r="Q813" s="166"/>
      <c r="R813" s="166"/>
      <c r="S813" s="166"/>
      <c r="T813" s="166"/>
      <c r="U813" s="166"/>
      <c r="V813" s="166"/>
      <c r="W813" s="166"/>
      <c r="X813" s="166"/>
      <c r="Y813" s="166"/>
      <c r="Z813" s="166"/>
      <c r="AA813" s="166"/>
      <c r="AB813" s="166"/>
      <c r="AC813" s="166"/>
      <c r="AD813" s="166"/>
      <c r="AE813" s="166"/>
      <c r="AF813" s="166"/>
      <c r="AG813" s="166"/>
      <c r="AH813" s="166"/>
      <c r="AI813" s="166"/>
    </row>
    <row r="814" spans="11:35" x14ac:dyDescent="0.2">
      <c r="K814" s="166"/>
      <c r="L814" s="166"/>
      <c r="M814" s="166"/>
      <c r="N814" s="166"/>
      <c r="O814" s="166"/>
      <c r="P814" s="166"/>
      <c r="Q814" s="166"/>
      <c r="R814" s="166"/>
      <c r="S814" s="166"/>
      <c r="T814" s="166"/>
      <c r="U814" s="166"/>
      <c r="V814" s="166"/>
      <c r="W814" s="166"/>
      <c r="X814" s="166"/>
      <c r="Y814" s="166"/>
      <c r="Z814" s="166"/>
      <c r="AA814" s="166"/>
      <c r="AB814" s="166"/>
      <c r="AC814" s="166"/>
      <c r="AD814" s="166"/>
      <c r="AE814" s="166"/>
      <c r="AF814" s="166"/>
      <c r="AG814" s="166"/>
      <c r="AH814" s="166"/>
      <c r="AI814" s="166"/>
    </row>
    <row r="815" spans="11:35" x14ac:dyDescent="0.2">
      <c r="K815" s="166"/>
      <c r="L815" s="166"/>
      <c r="M815" s="166"/>
      <c r="N815" s="166"/>
      <c r="O815" s="166"/>
      <c r="P815" s="166"/>
      <c r="Q815" s="166"/>
      <c r="R815" s="166"/>
      <c r="S815" s="166"/>
      <c r="T815" s="166"/>
      <c r="U815" s="166"/>
      <c r="V815" s="166"/>
      <c r="W815" s="166"/>
      <c r="X815" s="166"/>
      <c r="Y815" s="166"/>
      <c r="Z815" s="166"/>
      <c r="AA815" s="166"/>
      <c r="AB815" s="166"/>
      <c r="AC815" s="166"/>
      <c r="AD815" s="166"/>
      <c r="AE815" s="166"/>
      <c r="AF815" s="166"/>
      <c r="AG815" s="166"/>
      <c r="AH815" s="166"/>
      <c r="AI815" s="166"/>
    </row>
    <row r="816" spans="11:35" x14ac:dyDescent="0.2">
      <c r="K816" s="166"/>
      <c r="L816" s="166"/>
      <c r="M816" s="166"/>
      <c r="N816" s="166"/>
      <c r="O816" s="166"/>
      <c r="P816" s="166"/>
      <c r="Q816" s="166"/>
      <c r="R816" s="166"/>
      <c r="S816" s="166"/>
      <c r="T816" s="166"/>
      <c r="U816" s="166"/>
      <c r="V816" s="166"/>
      <c r="W816" s="166"/>
      <c r="X816" s="166"/>
      <c r="Y816" s="166"/>
      <c r="Z816" s="166"/>
      <c r="AA816" s="166"/>
      <c r="AB816" s="166"/>
      <c r="AC816" s="166"/>
      <c r="AD816" s="166"/>
      <c r="AE816" s="166"/>
      <c r="AF816" s="166"/>
      <c r="AG816" s="166"/>
      <c r="AH816" s="166"/>
      <c r="AI816" s="166"/>
    </row>
    <row r="817" spans="11:35" x14ac:dyDescent="0.2">
      <c r="K817" s="166"/>
      <c r="L817" s="166"/>
      <c r="M817" s="166"/>
      <c r="N817" s="166"/>
      <c r="O817" s="166"/>
      <c r="P817" s="166"/>
      <c r="Q817" s="166"/>
      <c r="R817" s="166"/>
      <c r="S817" s="166"/>
      <c r="T817" s="166"/>
      <c r="U817" s="166"/>
      <c r="V817" s="166"/>
      <c r="W817" s="166"/>
      <c r="X817" s="166"/>
      <c r="Y817" s="166"/>
      <c r="Z817" s="166"/>
      <c r="AA817" s="166"/>
      <c r="AB817" s="166"/>
      <c r="AC817" s="166"/>
      <c r="AD817" s="166"/>
      <c r="AE817" s="166"/>
      <c r="AF817" s="166"/>
      <c r="AG817" s="166"/>
      <c r="AH817" s="166"/>
      <c r="AI817" s="166"/>
    </row>
    <row r="818" spans="11:35" x14ac:dyDescent="0.2">
      <c r="K818" s="166"/>
      <c r="L818" s="166"/>
      <c r="M818" s="166"/>
      <c r="N818" s="166"/>
      <c r="O818" s="166"/>
      <c r="P818" s="166"/>
      <c r="Q818" s="166"/>
      <c r="R818" s="166"/>
      <c r="S818" s="166"/>
      <c r="T818" s="166"/>
      <c r="U818" s="166"/>
      <c r="V818" s="166"/>
      <c r="W818" s="166"/>
      <c r="X818" s="166"/>
      <c r="Y818" s="166"/>
      <c r="Z818" s="166"/>
      <c r="AA818" s="166"/>
      <c r="AB818" s="166"/>
      <c r="AC818" s="166"/>
      <c r="AD818" s="166"/>
      <c r="AE818" s="166"/>
      <c r="AF818" s="166"/>
      <c r="AG818" s="166"/>
      <c r="AH818" s="166"/>
      <c r="AI818" s="166"/>
    </row>
    <row r="819" spans="11:35" x14ac:dyDescent="0.2">
      <c r="K819" s="166"/>
      <c r="L819" s="166"/>
      <c r="M819" s="166"/>
      <c r="N819" s="166"/>
      <c r="O819" s="166"/>
      <c r="P819" s="166"/>
      <c r="Q819" s="166"/>
      <c r="R819" s="166"/>
      <c r="S819" s="166"/>
      <c r="T819" s="166"/>
      <c r="U819" s="166"/>
      <c r="V819" s="166"/>
      <c r="W819" s="166"/>
      <c r="X819" s="166"/>
      <c r="Y819" s="166"/>
      <c r="Z819" s="166"/>
      <c r="AA819" s="166"/>
      <c r="AB819" s="166"/>
      <c r="AC819" s="166"/>
      <c r="AD819" s="166"/>
      <c r="AE819" s="166"/>
      <c r="AF819" s="166"/>
      <c r="AG819" s="166"/>
      <c r="AH819" s="166"/>
      <c r="AI819" s="166"/>
    </row>
    <row r="820" spans="11:35" x14ac:dyDescent="0.2">
      <c r="K820" s="166"/>
      <c r="L820" s="166"/>
      <c r="M820" s="166"/>
      <c r="N820" s="166"/>
      <c r="O820" s="166"/>
      <c r="P820" s="166"/>
      <c r="Q820" s="166"/>
      <c r="R820" s="166"/>
      <c r="S820" s="166"/>
      <c r="T820" s="166"/>
      <c r="U820" s="166"/>
      <c r="V820" s="166"/>
      <c r="W820" s="166"/>
      <c r="X820" s="166"/>
      <c r="Y820" s="166"/>
      <c r="Z820" s="166"/>
      <c r="AA820" s="166"/>
      <c r="AB820" s="166"/>
      <c r="AC820" s="166"/>
      <c r="AD820" s="166"/>
      <c r="AE820" s="166"/>
      <c r="AF820" s="166"/>
      <c r="AG820" s="166"/>
      <c r="AH820" s="166"/>
      <c r="AI820" s="166"/>
    </row>
    <row r="821" spans="11:35" x14ac:dyDescent="0.2">
      <c r="K821" s="166"/>
      <c r="L821" s="166"/>
      <c r="M821" s="166"/>
      <c r="N821" s="166"/>
      <c r="O821" s="166"/>
      <c r="P821" s="166"/>
      <c r="Q821" s="166"/>
      <c r="R821" s="166"/>
      <c r="S821" s="166"/>
      <c r="T821" s="166"/>
      <c r="U821" s="166"/>
      <c r="V821" s="166"/>
      <c r="W821" s="166"/>
      <c r="X821" s="166"/>
      <c r="Y821" s="166"/>
      <c r="Z821" s="166"/>
      <c r="AA821" s="166"/>
      <c r="AB821" s="166"/>
      <c r="AC821" s="166"/>
      <c r="AD821" s="166"/>
      <c r="AE821" s="166"/>
      <c r="AF821" s="166"/>
      <c r="AG821" s="166"/>
      <c r="AH821" s="166"/>
      <c r="AI821" s="166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21"/>
  <sheetViews>
    <sheetView topLeftCell="B1" zoomScaleNormal="100" workbookViewId="0">
      <pane xSplit="1" topLeftCell="C1" activePane="topRight" state="frozen"/>
      <selection activeCell="A5" sqref="A4:A5"/>
      <selection pane="topRight" activeCell="B2" sqref="A2:XFD2"/>
    </sheetView>
  </sheetViews>
  <sheetFormatPr defaultColWidth="8.875" defaultRowHeight="12.75" x14ac:dyDescent="0.2"/>
  <cols>
    <col min="1" max="1" width="9" style="162" hidden="1" customWidth="1"/>
    <col min="2" max="2" width="27" style="162" bestFit="1" customWidth="1"/>
    <col min="3" max="6" width="12.375" style="162" customWidth="1"/>
    <col min="7" max="14" width="10.625" style="162" customWidth="1"/>
    <col min="15" max="15" width="17.125" style="162" customWidth="1"/>
    <col min="16" max="19" width="10.625" style="162" customWidth="1"/>
    <col min="20" max="20" width="17.5" style="162" bestFit="1" customWidth="1"/>
    <col min="21" max="21" width="14.875" style="162" customWidth="1"/>
    <col min="22" max="22" width="11.125" style="162" customWidth="1"/>
    <col min="23" max="24" width="10.625" style="162" customWidth="1"/>
    <col min="25" max="25" width="8.875" style="162"/>
    <col min="26" max="26" width="7" style="162" customWidth="1"/>
    <col min="27" max="27" width="14.375" style="162" customWidth="1"/>
    <col min="28" max="28" width="10.5" style="162" bestFit="1" customWidth="1"/>
    <col min="29" max="16384" width="8.875" style="162"/>
  </cols>
  <sheetData>
    <row r="1" spans="1:24" s="208" customFormat="1" ht="23.25" x14ac:dyDescent="0.35">
      <c r="A1" s="208" t="s">
        <v>1571</v>
      </c>
      <c r="B1" s="207" t="s">
        <v>1608</v>
      </c>
    </row>
    <row r="2" spans="1:24" s="239" customFormat="1" ht="12.75" customHeight="1" x14ac:dyDescent="0.35">
      <c r="B2" s="7"/>
    </row>
    <row r="3" spans="1:24" x14ac:dyDescent="0.2">
      <c r="A3" s="162" t="s">
        <v>9</v>
      </c>
      <c r="B3" s="222" t="s">
        <v>9</v>
      </c>
      <c r="C3" s="161" t="s">
        <v>304</v>
      </c>
      <c r="D3" s="222"/>
      <c r="E3" s="222"/>
      <c r="F3" s="222"/>
      <c r="G3" s="222"/>
      <c r="H3" s="222" t="s">
        <v>685</v>
      </c>
      <c r="I3" s="222"/>
      <c r="J3" s="221" t="s">
        <v>684</v>
      </c>
      <c r="K3" s="222"/>
      <c r="L3" s="222"/>
      <c r="M3" s="222"/>
      <c r="N3" s="222"/>
      <c r="O3" s="222"/>
      <c r="P3" s="222"/>
      <c r="Q3" s="222"/>
      <c r="R3" s="222"/>
      <c r="S3" s="222"/>
      <c r="T3" s="222" t="s">
        <v>305</v>
      </c>
      <c r="U3" s="222" t="s">
        <v>306</v>
      </c>
      <c r="V3" s="222" t="s">
        <v>307</v>
      </c>
    </row>
    <row r="4" spans="1:24" ht="38.25" x14ac:dyDescent="0.2">
      <c r="A4" s="162" t="s">
        <v>308</v>
      </c>
      <c r="B4" s="222" t="s">
        <v>309</v>
      </c>
      <c r="C4" s="224" t="s">
        <v>310</v>
      </c>
      <c r="D4" s="224" t="s">
        <v>311</v>
      </c>
      <c r="E4" s="224" t="s">
        <v>312</v>
      </c>
      <c r="F4" s="224" t="s">
        <v>313</v>
      </c>
      <c r="G4" s="224" t="s">
        <v>314</v>
      </c>
      <c r="H4" s="224" t="s">
        <v>315</v>
      </c>
      <c r="I4" s="224" t="s">
        <v>316</v>
      </c>
      <c r="J4" s="224" t="s">
        <v>317</v>
      </c>
      <c r="K4" s="224" t="s">
        <v>145</v>
      </c>
      <c r="L4" s="224" t="s">
        <v>144</v>
      </c>
      <c r="M4" s="224"/>
      <c r="N4" s="224"/>
      <c r="O4" s="224"/>
      <c r="P4" s="224"/>
      <c r="Q4" s="224"/>
      <c r="R4" s="224"/>
      <c r="S4" s="222"/>
      <c r="T4" s="163" t="s">
        <v>318</v>
      </c>
      <c r="U4" s="163" t="s">
        <v>319</v>
      </c>
      <c r="V4" s="222"/>
    </row>
    <row r="5" spans="1:24" x14ac:dyDescent="0.2">
      <c r="A5" s="162" t="s">
        <v>320</v>
      </c>
      <c r="B5" s="174" t="s">
        <v>176</v>
      </c>
      <c r="C5" s="168">
        <v>79.59</v>
      </c>
      <c r="D5" s="168">
        <v>0</v>
      </c>
      <c r="E5" s="168">
        <v>0</v>
      </c>
      <c r="F5" s="168">
        <v>0</v>
      </c>
      <c r="G5" s="168">
        <f>SUM(C5:F5)</f>
        <v>79.59</v>
      </c>
      <c r="H5" s="168">
        <f>(C5*$Q$21+D5*$Q$22+E5*$Q$23+F5*$Q$24)/1000</f>
        <v>0.39795000000000003</v>
      </c>
      <c r="I5" s="168">
        <f>(C5*$Q$21*$V$10+D5*$Q$22*$V$11+E5*$Q$23*$V$12+F5*$Q$24*$V$13)/1000000</f>
        <v>1.1331626250000002</v>
      </c>
      <c r="J5" s="174">
        <f>IF(G5&gt;0,(C5*$V$10+D5*$V$11+E5*$V$12+F5*$V$13)/G5,"")</f>
        <v>2847.5</v>
      </c>
      <c r="K5" s="174">
        <f>IF(F5&gt;0,$V$13,IF(E5&gt;0,$V$12,IF(D5&gt;0,$V$11,IF(C5&gt;0,$V$10,""))))</f>
        <v>2847.5</v>
      </c>
      <c r="L5" s="174">
        <f>IF(H5=0,"",IF(C5&gt;0,$V$10,IF(D5&gt;0,$V$11,IF(E5&gt;0,$V$12,$V$13))))</f>
        <v>2847.5</v>
      </c>
      <c r="T5" s="173" t="s">
        <v>321</v>
      </c>
      <c r="U5" s="173" t="s">
        <v>322</v>
      </c>
    </row>
    <row r="6" spans="1:24" x14ac:dyDescent="0.2">
      <c r="A6" s="162" t="s">
        <v>323</v>
      </c>
      <c r="B6" s="174" t="s">
        <v>30</v>
      </c>
      <c r="C6" s="168">
        <v>44008.177311719999</v>
      </c>
      <c r="D6" s="168">
        <v>15193.383929159998</v>
      </c>
      <c r="E6" s="168">
        <v>6632.7417426400007</v>
      </c>
      <c r="F6" s="168">
        <v>9784.7863008800014</v>
      </c>
      <c r="G6" s="168">
        <f t="shared" ref="G6:G69" si="0">SUM(C6:F6)</f>
        <v>75619.089284400005</v>
      </c>
      <c r="H6" s="168">
        <f t="shared" ref="H6:H69" si="1">(C6*$Q$21+D6*$Q$22+E6*$Q$23+F6*$Q$24)/1000</f>
        <v>378.09544642200007</v>
      </c>
      <c r="I6" s="168">
        <f t="shared" ref="I6:I69" si="2">(C6*$Q$21*$V$10+D6*$Q$22*$V$11+E6*$Q$23*$V$12+F6*$Q$24*$V$13)/1000000</f>
        <v>1193.9177403694621</v>
      </c>
      <c r="J6" s="174">
        <f t="shared" ref="J6:J69" si="3">IF(G6&gt;0,(C6*$V$10+D6*$V$11+E6*$V$12+F6*$V$13)/G6,"")</f>
        <v>3157.7152056914911</v>
      </c>
      <c r="K6" s="174">
        <f t="shared" ref="K6:K69" si="4">IF(F6&gt;0,$V$13,IF(E6&gt;0,$V$12,IF(D6&gt;0,$V$11,IF(C6&gt;0,$V$10,""))))</f>
        <v>3971</v>
      </c>
      <c r="L6" s="174">
        <f t="shared" ref="L6:L69" si="5">IF(H6=0,"",IF(C6&gt;0,$V$10,IF(D6&gt;0,$V$11,IF(E6&gt;0,$V$12,$V$13))))</f>
        <v>2847.5</v>
      </c>
      <c r="T6" s="173" t="s">
        <v>324</v>
      </c>
      <c r="U6" s="173" t="s">
        <v>325</v>
      </c>
    </row>
    <row r="7" spans="1:24" x14ac:dyDescent="0.2">
      <c r="A7" s="162" t="s">
        <v>326</v>
      </c>
      <c r="B7" s="174" t="s">
        <v>33</v>
      </c>
      <c r="C7" s="168">
        <v>0</v>
      </c>
      <c r="D7" s="168">
        <v>0</v>
      </c>
      <c r="E7" s="168">
        <v>0</v>
      </c>
      <c r="F7" s="168">
        <v>0</v>
      </c>
      <c r="G7" s="168">
        <f t="shared" si="0"/>
        <v>0</v>
      </c>
      <c r="H7" s="168">
        <f t="shared" si="1"/>
        <v>0</v>
      </c>
      <c r="I7" s="168">
        <f t="shared" si="2"/>
        <v>0</v>
      </c>
      <c r="J7" s="174" t="str">
        <f t="shared" si="3"/>
        <v/>
      </c>
      <c r="K7" s="174" t="str">
        <f t="shared" si="4"/>
        <v/>
      </c>
      <c r="L7" s="174" t="str">
        <f t="shared" si="5"/>
        <v/>
      </c>
      <c r="T7" s="173" t="s">
        <v>327</v>
      </c>
      <c r="U7" s="173" t="s">
        <v>328</v>
      </c>
    </row>
    <row r="8" spans="1:24" x14ac:dyDescent="0.2">
      <c r="A8" s="162" t="s">
        <v>329</v>
      </c>
      <c r="B8" s="174" t="s">
        <v>168</v>
      </c>
      <c r="C8" s="168">
        <v>82.11</v>
      </c>
      <c r="D8" s="168">
        <v>0</v>
      </c>
      <c r="E8" s="168">
        <v>0</v>
      </c>
      <c r="F8" s="168">
        <v>0</v>
      </c>
      <c r="G8" s="168">
        <f t="shared" si="0"/>
        <v>82.11</v>
      </c>
      <c r="H8" s="168">
        <f t="shared" si="1"/>
        <v>0.41055000000000003</v>
      </c>
      <c r="I8" s="168">
        <f t="shared" si="2"/>
        <v>1.1690411249999999</v>
      </c>
      <c r="J8" s="174">
        <f t="shared" si="3"/>
        <v>2847.5</v>
      </c>
      <c r="K8" s="174">
        <f t="shared" si="4"/>
        <v>2847.5</v>
      </c>
      <c r="L8" s="174">
        <f t="shared" si="5"/>
        <v>2847.5</v>
      </c>
      <c r="T8" s="173" t="s">
        <v>330</v>
      </c>
      <c r="U8" s="173" t="s">
        <v>331</v>
      </c>
    </row>
    <row r="9" spans="1:24" x14ac:dyDescent="0.2">
      <c r="A9" s="162" t="s">
        <v>332</v>
      </c>
      <c r="B9" s="174" t="s">
        <v>31</v>
      </c>
      <c r="C9" s="168">
        <v>0</v>
      </c>
      <c r="D9" s="168">
        <v>0</v>
      </c>
      <c r="E9" s="168">
        <v>0</v>
      </c>
      <c r="F9" s="168">
        <v>0</v>
      </c>
      <c r="G9" s="168">
        <f t="shared" si="0"/>
        <v>0</v>
      </c>
      <c r="H9" s="168">
        <f t="shared" si="1"/>
        <v>0</v>
      </c>
      <c r="I9" s="168">
        <f t="shared" si="2"/>
        <v>0</v>
      </c>
      <c r="J9" s="174" t="str">
        <f t="shared" si="3"/>
        <v/>
      </c>
      <c r="K9" s="174" t="str">
        <f t="shared" si="4"/>
        <v/>
      </c>
      <c r="L9" s="174" t="str">
        <f t="shared" si="5"/>
        <v/>
      </c>
      <c r="T9" s="173" t="s">
        <v>333</v>
      </c>
      <c r="U9" s="173" t="s">
        <v>334</v>
      </c>
    </row>
    <row r="10" spans="1:24" x14ac:dyDescent="0.2">
      <c r="A10" s="162" t="s">
        <v>335</v>
      </c>
      <c r="B10" s="174" t="s">
        <v>167</v>
      </c>
      <c r="C10" s="168">
        <v>0</v>
      </c>
      <c r="D10" s="168">
        <v>0</v>
      </c>
      <c r="E10" s="168">
        <v>0</v>
      </c>
      <c r="F10" s="168">
        <v>0</v>
      </c>
      <c r="G10" s="168">
        <f t="shared" si="0"/>
        <v>0</v>
      </c>
      <c r="H10" s="168">
        <f t="shared" si="1"/>
        <v>0</v>
      </c>
      <c r="I10" s="168">
        <f t="shared" si="2"/>
        <v>0</v>
      </c>
      <c r="J10" s="174" t="str">
        <f t="shared" si="3"/>
        <v/>
      </c>
      <c r="K10" s="174" t="str">
        <f t="shared" si="4"/>
        <v/>
      </c>
      <c r="L10" s="174" t="str">
        <f t="shared" si="5"/>
        <v/>
      </c>
      <c r="T10" s="173" t="s">
        <v>336</v>
      </c>
      <c r="U10" s="173" t="s">
        <v>337</v>
      </c>
      <c r="V10" s="162">
        <f>2629+(3066-2629)/2</f>
        <v>2847.5</v>
      </c>
    </row>
    <row r="11" spans="1:24" x14ac:dyDescent="0.2">
      <c r="A11" s="162" t="s">
        <v>338</v>
      </c>
      <c r="B11" s="174" t="s">
        <v>248</v>
      </c>
      <c r="C11" s="168">
        <v>587.66999999999996</v>
      </c>
      <c r="D11" s="168">
        <v>0</v>
      </c>
      <c r="E11" s="168">
        <v>0</v>
      </c>
      <c r="F11" s="168">
        <v>0</v>
      </c>
      <c r="G11" s="168">
        <f t="shared" si="0"/>
        <v>587.66999999999996</v>
      </c>
      <c r="H11" s="168">
        <f t="shared" si="1"/>
        <v>2.9383499999999998</v>
      </c>
      <c r="I11" s="168">
        <f t="shared" si="2"/>
        <v>8.3669516250000004</v>
      </c>
      <c r="J11" s="174">
        <f t="shared" si="3"/>
        <v>2847.5</v>
      </c>
      <c r="K11" s="174">
        <f t="shared" si="4"/>
        <v>2847.5</v>
      </c>
      <c r="L11" s="174">
        <f t="shared" si="5"/>
        <v>2847.5</v>
      </c>
      <c r="T11" s="173" t="s">
        <v>339</v>
      </c>
      <c r="U11" s="173" t="s">
        <v>340</v>
      </c>
      <c r="V11" s="162">
        <f>3067+(3504-3067)/2</f>
        <v>3285.5</v>
      </c>
    </row>
    <row r="12" spans="1:24" x14ac:dyDescent="0.2">
      <c r="A12" s="162" t="s">
        <v>341</v>
      </c>
      <c r="B12" s="174" t="s">
        <v>92</v>
      </c>
      <c r="C12" s="168">
        <v>540.24009999999998</v>
      </c>
      <c r="D12" s="168">
        <v>178.75839999999999</v>
      </c>
      <c r="E12" s="168">
        <v>60.9636</v>
      </c>
      <c r="F12" s="168">
        <v>33.073999999999998</v>
      </c>
      <c r="G12" s="168">
        <f t="shared" si="0"/>
        <v>813.03609999999992</v>
      </c>
      <c r="H12" s="168">
        <f t="shared" si="1"/>
        <v>4.0651804999999994</v>
      </c>
      <c r="I12" s="168">
        <f t="shared" si="2"/>
        <v>12.419896132750001</v>
      </c>
      <c r="J12" s="174">
        <f t="shared" si="3"/>
        <v>3055.1893409776026</v>
      </c>
      <c r="K12" s="174">
        <f t="shared" si="4"/>
        <v>3971</v>
      </c>
      <c r="L12" s="174">
        <f t="shared" si="5"/>
        <v>2847.5</v>
      </c>
      <c r="T12" s="173" t="s">
        <v>342</v>
      </c>
      <c r="U12" s="173" t="s">
        <v>343</v>
      </c>
      <c r="V12" s="162">
        <f>3505+(3942-3505)/2</f>
        <v>3723.5</v>
      </c>
    </row>
    <row r="13" spans="1:24" x14ac:dyDescent="0.2">
      <c r="A13" s="162" t="s">
        <v>344</v>
      </c>
      <c r="B13" s="174" t="s">
        <v>34</v>
      </c>
      <c r="C13" s="168">
        <v>142222.72</v>
      </c>
      <c r="D13" s="168">
        <v>173991.99</v>
      </c>
      <c r="E13" s="168">
        <v>89152.05</v>
      </c>
      <c r="F13" s="168">
        <v>12655.02</v>
      </c>
      <c r="G13" s="168">
        <f t="shared" si="0"/>
        <v>418021.77999999997</v>
      </c>
      <c r="H13" s="168">
        <f t="shared" si="1"/>
        <v>2090.1088999999997</v>
      </c>
      <c r="I13" s="168">
        <f t="shared" si="2"/>
        <v>6794.2031047000009</v>
      </c>
      <c r="J13" s="174">
        <f t="shared" si="3"/>
        <v>3250.6455068920095</v>
      </c>
      <c r="K13" s="174">
        <f t="shared" si="4"/>
        <v>3971</v>
      </c>
      <c r="L13" s="174">
        <f t="shared" si="5"/>
        <v>2847.5</v>
      </c>
      <c r="T13" s="173" t="s">
        <v>345</v>
      </c>
      <c r="U13" s="173" t="s">
        <v>346</v>
      </c>
      <c r="V13" s="162">
        <f>3942+(4000-3942)/2</f>
        <v>3971</v>
      </c>
      <c r="X13" s="162" t="s">
        <v>347</v>
      </c>
    </row>
    <row r="14" spans="1:24" x14ac:dyDescent="0.2">
      <c r="A14" s="162" t="s">
        <v>348</v>
      </c>
      <c r="B14" s="174" t="s">
        <v>35</v>
      </c>
      <c r="C14" s="168">
        <v>1381</v>
      </c>
      <c r="D14" s="168">
        <v>451</v>
      </c>
      <c r="E14" s="168">
        <v>207</v>
      </c>
      <c r="F14" s="168">
        <v>254</v>
      </c>
      <c r="G14" s="168">
        <f t="shared" si="0"/>
        <v>2293</v>
      </c>
      <c r="H14" s="168">
        <f t="shared" si="1"/>
        <v>11.465</v>
      </c>
      <c r="I14" s="168">
        <f t="shared" si="2"/>
        <v>35.967782499999998</v>
      </c>
      <c r="J14" s="174">
        <f t="shared" si="3"/>
        <v>3137.1812036633232</v>
      </c>
      <c r="K14" s="174">
        <f t="shared" si="4"/>
        <v>3971</v>
      </c>
      <c r="L14" s="174">
        <f t="shared" si="5"/>
        <v>2847.5</v>
      </c>
    </row>
    <row r="15" spans="1:24" x14ac:dyDescent="0.2">
      <c r="A15" s="162" t="s">
        <v>349</v>
      </c>
      <c r="B15" s="174" t="s">
        <v>166</v>
      </c>
      <c r="C15" s="168">
        <v>0</v>
      </c>
      <c r="D15" s="168">
        <v>0</v>
      </c>
      <c r="E15" s="168">
        <v>0</v>
      </c>
      <c r="F15" s="168">
        <v>0</v>
      </c>
      <c r="G15" s="168">
        <f t="shared" si="0"/>
        <v>0</v>
      </c>
      <c r="H15" s="168">
        <f t="shared" si="1"/>
        <v>0</v>
      </c>
      <c r="I15" s="168">
        <f t="shared" si="2"/>
        <v>0</v>
      </c>
      <c r="J15" s="174" t="str">
        <f t="shared" si="3"/>
        <v/>
      </c>
      <c r="K15" s="174" t="str">
        <f t="shared" si="4"/>
        <v/>
      </c>
      <c r="L15" s="174" t="str">
        <f t="shared" si="5"/>
        <v/>
      </c>
      <c r="T15" s="173" t="s">
        <v>350</v>
      </c>
      <c r="U15" s="173" t="s">
        <v>351</v>
      </c>
    </row>
    <row r="16" spans="1:24" x14ac:dyDescent="0.2">
      <c r="A16" s="162" t="s">
        <v>352</v>
      </c>
      <c r="B16" s="174" t="s">
        <v>175</v>
      </c>
      <c r="C16" s="168">
        <v>0</v>
      </c>
      <c r="D16" s="168">
        <v>0</v>
      </c>
      <c r="E16" s="168">
        <v>0</v>
      </c>
      <c r="F16" s="168">
        <v>0</v>
      </c>
      <c r="G16" s="168">
        <f t="shared" si="0"/>
        <v>0</v>
      </c>
      <c r="H16" s="168">
        <f t="shared" si="1"/>
        <v>0</v>
      </c>
      <c r="I16" s="168">
        <f t="shared" si="2"/>
        <v>0</v>
      </c>
      <c r="J16" s="174" t="str">
        <f t="shared" si="3"/>
        <v/>
      </c>
      <c r="K16" s="174" t="str">
        <f t="shared" si="4"/>
        <v/>
      </c>
      <c r="L16" s="174" t="str">
        <f t="shared" si="5"/>
        <v/>
      </c>
      <c r="T16" s="173" t="s">
        <v>353</v>
      </c>
      <c r="U16" s="173" t="s">
        <v>297</v>
      </c>
      <c r="V16" s="162" t="s">
        <v>354</v>
      </c>
    </row>
    <row r="17" spans="1:28" x14ac:dyDescent="0.2">
      <c r="A17" s="162" t="s">
        <v>355</v>
      </c>
      <c r="B17" s="174" t="s">
        <v>36</v>
      </c>
      <c r="C17" s="168">
        <v>339142.79</v>
      </c>
      <c r="D17" s="168">
        <v>78515.33</v>
      </c>
      <c r="E17" s="168">
        <v>0</v>
      </c>
      <c r="F17" s="168">
        <v>0</v>
      </c>
      <c r="G17" s="168">
        <f t="shared" si="0"/>
        <v>417658.12</v>
      </c>
      <c r="H17" s="168">
        <f t="shared" si="1"/>
        <v>2088.2906000000003</v>
      </c>
      <c r="I17" s="168">
        <f t="shared" si="2"/>
        <v>6118.3560562000002</v>
      </c>
      <c r="J17" s="174">
        <f t="shared" si="3"/>
        <v>2929.8393893072162</v>
      </c>
      <c r="K17" s="174">
        <f t="shared" si="4"/>
        <v>3285.5</v>
      </c>
      <c r="L17" s="174">
        <f t="shared" si="5"/>
        <v>2847.5</v>
      </c>
      <c r="T17" s="168">
        <v>3</v>
      </c>
      <c r="U17" s="168" t="s">
        <v>356</v>
      </c>
      <c r="V17" s="173" t="s">
        <v>336</v>
      </c>
      <c r="W17" s="173" t="s">
        <v>337</v>
      </c>
    </row>
    <row r="18" spans="1:28" x14ac:dyDescent="0.2">
      <c r="A18" s="162" t="s">
        <v>357</v>
      </c>
      <c r="B18" s="174" t="s">
        <v>177</v>
      </c>
      <c r="C18" s="168">
        <v>2074.73</v>
      </c>
      <c r="D18" s="168">
        <v>1138.45</v>
      </c>
      <c r="E18" s="168">
        <v>601.6</v>
      </c>
      <c r="F18" s="168">
        <v>0</v>
      </c>
      <c r="G18" s="168">
        <f t="shared" si="0"/>
        <v>3814.78</v>
      </c>
      <c r="H18" s="168">
        <f t="shared" si="1"/>
        <v>19.073900000000002</v>
      </c>
      <c r="I18" s="168">
        <f t="shared" si="2"/>
        <v>59.441143750000002</v>
      </c>
      <c r="J18" s="174">
        <f t="shared" si="3"/>
        <v>3116.3602488216879</v>
      </c>
      <c r="K18" s="174">
        <f t="shared" si="4"/>
        <v>3723.5</v>
      </c>
      <c r="L18" s="174">
        <f t="shared" si="5"/>
        <v>2847.5</v>
      </c>
      <c r="O18" s="162" t="s">
        <v>1171</v>
      </c>
      <c r="T18" s="168">
        <v>4</v>
      </c>
      <c r="U18" s="168" t="s">
        <v>358</v>
      </c>
      <c r="V18" s="173" t="s">
        <v>339</v>
      </c>
      <c r="W18" s="173" t="s">
        <v>340</v>
      </c>
    </row>
    <row r="19" spans="1:28" x14ac:dyDescent="0.2">
      <c r="A19" s="162" t="s">
        <v>359</v>
      </c>
      <c r="B19" s="174" t="s">
        <v>37</v>
      </c>
      <c r="C19" s="168">
        <v>0</v>
      </c>
      <c r="D19" s="168">
        <v>0</v>
      </c>
      <c r="E19" s="168">
        <v>0</v>
      </c>
      <c r="F19" s="168">
        <v>0</v>
      </c>
      <c r="G19" s="168">
        <f t="shared" si="0"/>
        <v>0</v>
      </c>
      <c r="H19" s="168">
        <f t="shared" si="1"/>
        <v>0</v>
      </c>
      <c r="I19" s="168">
        <f t="shared" si="2"/>
        <v>0</v>
      </c>
      <c r="J19" s="174" t="str">
        <f t="shared" si="3"/>
        <v/>
      </c>
      <c r="K19" s="174" t="str">
        <f t="shared" si="4"/>
        <v/>
      </c>
      <c r="L19" s="174" t="str">
        <f t="shared" si="5"/>
        <v/>
      </c>
      <c r="O19" s="162" t="s">
        <v>1172</v>
      </c>
      <c r="T19" s="168">
        <v>5</v>
      </c>
      <c r="U19" s="162" t="s">
        <v>360</v>
      </c>
      <c r="V19" s="173" t="s">
        <v>342</v>
      </c>
      <c r="W19" s="173" t="s">
        <v>343</v>
      </c>
    </row>
    <row r="20" spans="1:28" x14ac:dyDescent="0.2">
      <c r="A20" s="162" t="s">
        <v>361</v>
      </c>
      <c r="B20" s="174" t="s">
        <v>44</v>
      </c>
      <c r="C20" s="168">
        <v>0</v>
      </c>
      <c r="D20" s="168">
        <v>0</v>
      </c>
      <c r="E20" s="168">
        <v>0</v>
      </c>
      <c r="F20" s="168">
        <v>0</v>
      </c>
      <c r="G20" s="168">
        <f t="shared" si="0"/>
        <v>0</v>
      </c>
      <c r="H20" s="168">
        <f t="shared" si="1"/>
        <v>0</v>
      </c>
      <c r="I20" s="168">
        <f t="shared" si="2"/>
        <v>0</v>
      </c>
      <c r="J20" s="174" t="str">
        <f t="shared" si="3"/>
        <v/>
      </c>
      <c r="K20" s="174" t="str">
        <f t="shared" si="4"/>
        <v/>
      </c>
      <c r="L20" s="174" t="str">
        <f t="shared" si="5"/>
        <v/>
      </c>
      <c r="T20" s="168">
        <v>6</v>
      </c>
      <c r="U20" s="162" t="s">
        <v>362</v>
      </c>
      <c r="V20" s="173" t="s">
        <v>345</v>
      </c>
      <c r="W20" s="173" t="s">
        <v>346</v>
      </c>
    </row>
    <row r="21" spans="1:28" x14ac:dyDescent="0.2">
      <c r="A21" s="162" t="s">
        <v>363</v>
      </c>
      <c r="B21" s="174" t="s">
        <v>39</v>
      </c>
      <c r="C21" s="168">
        <v>2625</v>
      </c>
      <c r="D21" s="168">
        <v>1613.16</v>
      </c>
      <c r="E21" s="168">
        <v>0</v>
      </c>
      <c r="F21" s="168">
        <v>0</v>
      </c>
      <c r="G21" s="168">
        <f t="shared" si="0"/>
        <v>4238.16</v>
      </c>
      <c r="H21" s="168">
        <f t="shared" si="1"/>
        <v>21.190799999999999</v>
      </c>
      <c r="I21" s="168">
        <f t="shared" si="2"/>
        <v>63.873623400000007</v>
      </c>
      <c r="J21" s="174">
        <f t="shared" si="3"/>
        <v>3014.2148196387111</v>
      </c>
      <c r="K21" s="174">
        <f t="shared" si="4"/>
        <v>3285.5</v>
      </c>
      <c r="L21" s="174">
        <f t="shared" si="5"/>
        <v>2847.5</v>
      </c>
      <c r="O21" s="162" t="s">
        <v>364</v>
      </c>
      <c r="Q21" s="175">
        <v>5</v>
      </c>
      <c r="R21" s="162" t="s">
        <v>365</v>
      </c>
      <c r="T21" s="168">
        <v>7</v>
      </c>
      <c r="U21" s="162" t="s">
        <v>366</v>
      </c>
      <c r="V21" s="173" t="s">
        <v>345</v>
      </c>
      <c r="W21" s="173" t="s">
        <v>346</v>
      </c>
    </row>
    <row r="22" spans="1:28" x14ac:dyDescent="0.2">
      <c r="A22" s="162" t="s">
        <v>367</v>
      </c>
      <c r="B22" s="174" t="s">
        <v>41</v>
      </c>
      <c r="C22" s="168">
        <v>0</v>
      </c>
      <c r="D22" s="168">
        <v>0</v>
      </c>
      <c r="E22" s="168">
        <v>0</v>
      </c>
      <c r="F22" s="168">
        <v>0</v>
      </c>
      <c r="G22" s="168">
        <f t="shared" si="0"/>
        <v>0</v>
      </c>
      <c r="H22" s="168">
        <f t="shared" si="1"/>
        <v>0</v>
      </c>
      <c r="I22" s="168">
        <f t="shared" si="2"/>
        <v>0</v>
      </c>
      <c r="J22" s="174" t="str">
        <f t="shared" si="3"/>
        <v/>
      </c>
      <c r="K22" s="174" t="str">
        <f t="shared" si="4"/>
        <v/>
      </c>
      <c r="L22" s="174" t="str">
        <f t="shared" si="5"/>
        <v/>
      </c>
      <c r="O22" s="162" t="s">
        <v>368</v>
      </c>
      <c r="Q22" s="175">
        <v>5</v>
      </c>
      <c r="R22" s="162" t="s">
        <v>365</v>
      </c>
      <c r="T22" s="162" t="s">
        <v>369</v>
      </c>
    </row>
    <row r="23" spans="1:28" x14ac:dyDescent="0.2">
      <c r="A23" s="162" t="s">
        <v>370</v>
      </c>
      <c r="B23" s="174" t="s">
        <v>45</v>
      </c>
      <c r="C23" s="168">
        <v>0</v>
      </c>
      <c r="D23" s="168">
        <v>0</v>
      </c>
      <c r="E23" s="168">
        <v>0</v>
      </c>
      <c r="F23" s="168">
        <v>0</v>
      </c>
      <c r="G23" s="168">
        <f t="shared" si="0"/>
        <v>0</v>
      </c>
      <c r="H23" s="168">
        <f t="shared" si="1"/>
        <v>0</v>
      </c>
      <c r="I23" s="168">
        <f t="shared" si="2"/>
        <v>0</v>
      </c>
      <c r="J23" s="174" t="str">
        <f t="shared" si="3"/>
        <v/>
      </c>
      <c r="K23" s="174" t="str">
        <f t="shared" si="4"/>
        <v/>
      </c>
      <c r="L23" s="174" t="str">
        <f t="shared" si="5"/>
        <v/>
      </c>
      <c r="O23" s="162" t="s">
        <v>371</v>
      </c>
      <c r="Q23" s="175">
        <v>5</v>
      </c>
      <c r="R23" s="162" t="s">
        <v>365</v>
      </c>
    </row>
    <row r="24" spans="1:28" x14ac:dyDescent="0.2">
      <c r="A24" s="162" t="s">
        <v>372</v>
      </c>
      <c r="B24" s="174" t="s">
        <v>38</v>
      </c>
      <c r="C24" s="168">
        <v>0</v>
      </c>
      <c r="D24" s="168">
        <v>0</v>
      </c>
      <c r="E24" s="168">
        <v>0</v>
      </c>
      <c r="F24" s="168">
        <v>0</v>
      </c>
      <c r="G24" s="168">
        <f t="shared" si="0"/>
        <v>0</v>
      </c>
      <c r="H24" s="168">
        <f t="shared" si="1"/>
        <v>0</v>
      </c>
      <c r="I24" s="168">
        <f t="shared" si="2"/>
        <v>0</v>
      </c>
      <c r="J24" s="174" t="str">
        <f t="shared" si="3"/>
        <v/>
      </c>
      <c r="K24" s="174" t="str">
        <f t="shared" si="4"/>
        <v/>
      </c>
      <c r="L24" s="174" t="str">
        <f t="shared" si="5"/>
        <v/>
      </c>
      <c r="O24" s="162" t="s">
        <v>373</v>
      </c>
      <c r="Q24" s="175">
        <v>5</v>
      </c>
      <c r="R24" s="162" t="s">
        <v>365</v>
      </c>
      <c r="T24" s="162" t="s">
        <v>374</v>
      </c>
    </row>
    <row r="25" spans="1:28" x14ac:dyDescent="0.2">
      <c r="A25" s="162" t="s">
        <v>375</v>
      </c>
      <c r="B25" s="174" t="s">
        <v>191</v>
      </c>
      <c r="C25" s="168">
        <v>0</v>
      </c>
      <c r="D25" s="168">
        <v>0</v>
      </c>
      <c r="E25" s="168">
        <v>0</v>
      </c>
      <c r="F25" s="168">
        <v>0</v>
      </c>
      <c r="G25" s="168">
        <f t="shared" si="0"/>
        <v>0</v>
      </c>
      <c r="H25" s="168">
        <f t="shared" si="1"/>
        <v>0</v>
      </c>
      <c r="I25" s="168">
        <f t="shared" si="2"/>
        <v>0</v>
      </c>
      <c r="J25" s="174" t="str">
        <f t="shared" si="3"/>
        <v/>
      </c>
      <c r="K25" s="174" t="str">
        <f t="shared" si="4"/>
        <v/>
      </c>
      <c r="L25" s="174" t="str">
        <f t="shared" si="5"/>
        <v/>
      </c>
    </row>
    <row r="26" spans="1:28" x14ac:dyDescent="0.2">
      <c r="A26" s="162" t="s">
        <v>376</v>
      </c>
      <c r="B26" s="174" t="s">
        <v>178</v>
      </c>
      <c r="C26" s="168">
        <v>0</v>
      </c>
      <c r="D26" s="168">
        <v>0</v>
      </c>
      <c r="E26" s="168">
        <v>0</v>
      </c>
      <c r="F26" s="168">
        <v>0</v>
      </c>
      <c r="G26" s="168">
        <f t="shared" si="0"/>
        <v>0</v>
      </c>
      <c r="H26" s="168">
        <f t="shared" si="1"/>
        <v>0</v>
      </c>
      <c r="I26" s="168">
        <f t="shared" si="2"/>
        <v>0</v>
      </c>
      <c r="J26" s="174" t="str">
        <f t="shared" si="3"/>
        <v/>
      </c>
      <c r="K26" s="174" t="str">
        <f t="shared" si="4"/>
        <v/>
      </c>
      <c r="L26" s="174" t="str">
        <f t="shared" si="5"/>
        <v/>
      </c>
      <c r="O26" s="162" t="s">
        <v>679</v>
      </c>
    </row>
    <row r="27" spans="1:28" x14ac:dyDescent="0.2">
      <c r="A27" s="162" t="s">
        <v>377</v>
      </c>
      <c r="B27" s="174" t="s">
        <v>278</v>
      </c>
      <c r="C27" s="168">
        <v>0</v>
      </c>
      <c r="D27" s="168">
        <v>0</v>
      </c>
      <c r="E27" s="168">
        <v>0</v>
      </c>
      <c r="F27" s="168">
        <v>0</v>
      </c>
      <c r="G27" s="168">
        <f t="shared" si="0"/>
        <v>0</v>
      </c>
      <c r="H27" s="168">
        <f t="shared" si="1"/>
        <v>0</v>
      </c>
      <c r="I27" s="168">
        <f t="shared" si="2"/>
        <v>0</v>
      </c>
      <c r="J27" s="174" t="str">
        <f t="shared" si="3"/>
        <v/>
      </c>
      <c r="K27" s="174" t="str">
        <f t="shared" si="4"/>
        <v/>
      </c>
      <c r="L27" s="174" t="str">
        <f t="shared" si="5"/>
        <v/>
      </c>
      <c r="O27" s="162" t="s">
        <v>680</v>
      </c>
    </row>
    <row r="28" spans="1:28" x14ac:dyDescent="0.2">
      <c r="A28" s="162" t="s">
        <v>378</v>
      </c>
      <c r="B28" s="174" t="s">
        <v>184</v>
      </c>
      <c r="C28" s="168">
        <v>0</v>
      </c>
      <c r="D28" s="168">
        <v>0</v>
      </c>
      <c r="E28" s="168">
        <v>0</v>
      </c>
      <c r="F28" s="168">
        <v>0</v>
      </c>
      <c r="G28" s="168">
        <f t="shared" si="0"/>
        <v>0</v>
      </c>
      <c r="H28" s="168">
        <f t="shared" si="1"/>
        <v>0</v>
      </c>
      <c r="I28" s="168">
        <f t="shared" si="2"/>
        <v>0</v>
      </c>
      <c r="J28" s="174" t="str">
        <f t="shared" si="3"/>
        <v/>
      </c>
      <c r="K28" s="174" t="str">
        <f t="shared" si="4"/>
        <v/>
      </c>
      <c r="L28" s="174" t="str">
        <f t="shared" si="5"/>
        <v/>
      </c>
    </row>
    <row r="29" spans="1:28" x14ac:dyDescent="0.2">
      <c r="A29" s="162" t="s">
        <v>379</v>
      </c>
      <c r="B29" s="174" t="s">
        <v>181</v>
      </c>
      <c r="C29" s="168">
        <v>0</v>
      </c>
      <c r="D29" s="168">
        <v>0</v>
      </c>
      <c r="E29" s="168">
        <v>0</v>
      </c>
      <c r="F29" s="168">
        <v>0</v>
      </c>
      <c r="G29" s="168">
        <f t="shared" si="0"/>
        <v>0</v>
      </c>
      <c r="H29" s="168">
        <f t="shared" si="1"/>
        <v>0</v>
      </c>
      <c r="I29" s="168">
        <f t="shared" si="2"/>
        <v>0</v>
      </c>
      <c r="J29" s="174" t="str">
        <f t="shared" si="3"/>
        <v/>
      </c>
      <c r="K29" s="174" t="str">
        <f t="shared" si="4"/>
        <v/>
      </c>
      <c r="L29" s="174" t="str">
        <f t="shared" si="5"/>
        <v/>
      </c>
      <c r="O29" s="162" t="s">
        <v>681</v>
      </c>
    </row>
    <row r="30" spans="1:28" x14ac:dyDescent="0.2">
      <c r="A30" s="162" t="s">
        <v>380</v>
      </c>
      <c r="B30" s="174" t="s">
        <v>40</v>
      </c>
      <c r="C30" s="168">
        <v>497</v>
      </c>
      <c r="D30" s="168">
        <v>234</v>
      </c>
      <c r="E30" s="168">
        <v>6</v>
      </c>
      <c r="F30" s="168">
        <v>0</v>
      </c>
      <c r="G30" s="168">
        <f t="shared" si="0"/>
        <v>737</v>
      </c>
      <c r="H30" s="168">
        <f t="shared" si="1"/>
        <v>3.6850000000000001</v>
      </c>
      <c r="I30" s="168">
        <f t="shared" si="2"/>
        <v>11.0317775</v>
      </c>
      <c r="J30" s="174">
        <f t="shared" si="3"/>
        <v>2993.6981004070558</v>
      </c>
      <c r="K30" s="174">
        <f t="shared" si="4"/>
        <v>3723.5</v>
      </c>
      <c r="L30" s="174">
        <f t="shared" si="5"/>
        <v>2847.5</v>
      </c>
    </row>
    <row r="31" spans="1:28" x14ac:dyDescent="0.2">
      <c r="A31" s="174" t="s">
        <v>381</v>
      </c>
      <c r="B31" s="174" t="s">
        <v>182</v>
      </c>
      <c r="C31" s="168" t="s">
        <v>382</v>
      </c>
      <c r="D31" s="168" t="s">
        <v>382</v>
      </c>
      <c r="E31" s="168" t="s">
        <v>382</v>
      </c>
      <c r="F31" s="168" t="s">
        <v>382</v>
      </c>
      <c r="G31" s="168">
        <f t="shared" si="0"/>
        <v>0</v>
      </c>
      <c r="H31" s="168" t="e">
        <f t="shared" si="1"/>
        <v>#VALUE!</v>
      </c>
      <c r="I31" s="168" t="e">
        <f t="shared" si="2"/>
        <v>#VALUE!</v>
      </c>
      <c r="J31" s="174" t="str">
        <f t="shared" si="3"/>
        <v/>
      </c>
      <c r="K31" s="174">
        <f t="shared" si="4"/>
        <v>3971</v>
      </c>
      <c r="L31" s="174" t="e">
        <f t="shared" si="5"/>
        <v>#VALUE!</v>
      </c>
      <c r="O31" s="162" t="s">
        <v>683</v>
      </c>
    </row>
    <row r="32" spans="1:28" x14ac:dyDescent="0.2">
      <c r="A32" s="162" t="s">
        <v>383</v>
      </c>
      <c r="B32" s="174" t="s">
        <v>16</v>
      </c>
      <c r="C32" s="168">
        <v>20736.169999999998</v>
      </c>
      <c r="D32" s="168">
        <v>5875.27</v>
      </c>
      <c r="E32" s="168">
        <v>0</v>
      </c>
      <c r="F32" s="168">
        <v>0</v>
      </c>
      <c r="G32" s="168">
        <f t="shared" si="0"/>
        <v>26611.439999999999</v>
      </c>
      <c r="H32" s="168">
        <f t="shared" si="1"/>
        <v>133.05719999999999</v>
      </c>
      <c r="I32" s="168">
        <f t="shared" si="2"/>
        <v>391.74721829999999</v>
      </c>
      <c r="J32" s="174">
        <f t="shared" si="3"/>
        <v>2944.2015787195282</v>
      </c>
      <c r="K32" s="174">
        <f t="shared" si="4"/>
        <v>3285.5</v>
      </c>
      <c r="L32" s="174">
        <f t="shared" si="5"/>
        <v>2847.5</v>
      </c>
      <c r="O32" s="162" t="s">
        <v>682</v>
      </c>
      <c r="U32" s="168"/>
      <c r="AB32" s="176"/>
    </row>
    <row r="33" spans="1:28" x14ac:dyDescent="0.2">
      <c r="A33" s="162" t="s">
        <v>384</v>
      </c>
      <c r="B33" s="174" t="s">
        <v>17</v>
      </c>
      <c r="C33" s="168">
        <v>1225288.7013000001</v>
      </c>
      <c r="D33" s="168">
        <v>754534.29839999997</v>
      </c>
      <c r="E33" s="168">
        <v>517807.05969999998</v>
      </c>
      <c r="F33" s="168">
        <v>727712.05370000005</v>
      </c>
      <c r="G33" s="168">
        <f t="shared" si="0"/>
        <v>3225342.1131000002</v>
      </c>
      <c r="H33" s="168">
        <f t="shared" si="1"/>
        <v>16126.710565500001</v>
      </c>
      <c r="I33" s="168">
        <f t="shared" si="2"/>
        <v>53929.155831903001</v>
      </c>
      <c r="J33" s="174">
        <f t="shared" si="3"/>
        <v>3344.0890262688827</v>
      </c>
      <c r="K33" s="174">
        <f t="shared" si="4"/>
        <v>3971</v>
      </c>
      <c r="L33" s="174">
        <f t="shared" si="5"/>
        <v>2847.5</v>
      </c>
      <c r="U33" s="168"/>
      <c r="AB33" s="176"/>
    </row>
    <row r="34" spans="1:28" x14ac:dyDescent="0.2">
      <c r="A34" s="162" t="s">
        <v>385</v>
      </c>
      <c r="B34" s="174" t="s">
        <v>180</v>
      </c>
      <c r="C34" s="168">
        <v>0</v>
      </c>
      <c r="D34" s="168">
        <v>0</v>
      </c>
      <c r="E34" s="168">
        <v>0</v>
      </c>
      <c r="F34" s="168">
        <v>0</v>
      </c>
      <c r="G34" s="168">
        <f t="shared" si="0"/>
        <v>0</v>
      </c>
      <c r="H34" s="168">
        <f t="shared" si="1"/>
        <v>0</v>
      </c>
      <c r="I34" s="168">
        <f t="shared" si="2"/>
        <v>0</v>
      </c>
      <c r="J34" s="174" t="str">
        <f t="shared" si="3"/>
        <v/>
      </c>
      <c r="K34" s="174" t="str">
        <f t="shared" si="4"/>
        <v/>
      </c>
      <c r="L34" s="174" t="str">
        <f t="shared" si="5"/>
        <v/>
      </c>
      <c r="O34" s="162" t="s">
        <v>1245</v>
      </c>
      <c r="U34" s="168"/>
      <c r="AB34" s="176"/>
    </row>
    <row r="35" spans="1:28" x14ac:dyDescent="0.2">
      <c r="A35" s="162" t="s">
        <v>386</v>
      </c>
      <c r="B35" s="174" t="s">
        <v>18</v>
      </c>
      <c r="C35" s="168">
        <v>0</v>
      </c>
      <c r="D35" s="168">
        <v>0</v>
      </c>
      <c r="E35" s="168">
        <v>0</v>
      </c>
      <c r="F35" s="168">
        <v>0</v>
      </c>
      <c r="G35" s="168">
        <f t="shared" si="0"/>
        <v>0</v>
      </c>
      <c r="H35" s="168">
        <f t="shared" si="1"/>
        <v>0</v>
      </c>
      <c r="I35" s="168">
        <f t="shared" si="2"/>
        <v>0</v>
      </c>
      <c r="J35" s="174" t="str">
        <f t="shared" si="3"/>
        <v/>
      </c>
      <c r="K35" s="174" t="str">
        <f t="shared" si="4"/>
        <v/>
      </c>
      <c r="L35" s="174" t="str">
        <f t="shared" si="5"/>
        <v/>
      </c>
      <c r="O35" s="162" t="s">
        <v>1244</v>
      </c>
      <c r="U35" s="168"/>
      <c r="AB35" s="176"/>
    </row>
    <row r="36" spans="1:28" x14ac:dyDescent="0.2">
      <c r="A36" s="162" t="s">
        <v>387</v>
      </c>
      <c r="B36" s="174" t="s">
        <v>183</v>
      </c>
      <c r="C36" s="168">
        <v>784.03510000000006</v>
      </c>
      <c r="D36" s="168">
        <v>146.5659</v>
      </c>
      <c r="E36" s="168">
        <v>16.0608</v>
      </c>
      <c r="F36" s="168">
        <v>16.060099999999998</v>
      </c>
      <c r="G36" s="168">
        <f t="shared" si="0"/>
        <v>962.72190000000012</v>
      </c>
      <c r="H36" s="168">
        <f t="shared" si="1"/>
        <v>4.8136095000000001</v>
      </c>
      <c r="I36" s="168">
        <f t="shared" si="2"/>
        <v>14.188296287999998</v>
      </c>
      <c r="J36" s="174">
        <f t="shared" si="3"/>
        <v>2947.5378690356997</v>
      </c>
      <c r="K36" s="174">
        <f t="shared" si="4"/>
        <v>3971</v>
      </c>
      <c r="L36" s="174">
        <f t="shared" si="5"/>
        <v>2847.5</v>
      </c>
      <c r="O36" s="162" t="s">
        <v>1169</v>
      </c>
      <c r="AB36" s="176"/>
    </row>
    <row r="37" spans="1:28" x14ac:dyDescent="0.2">
      <c r="A37" s="162" t="s">
        <v>388</v>
      </c>
      <c r="B37" s="174" t="s">
        <v>43</v>
      </c>
      <c r="C37" s="168">
        <v>0</v>
      </c>
      <c r="D37" s="168">
        <v>0</v>
      </c>
      <c r="E37" s="168">
        <v>0</v>
      </c>
      <c r="F37" s="168">
        <v>0</v>
      </c>
      <c r="G37" s="168">
        <f t="shared" si="0"/>
        <v>0</v>
      </c>
      <c r="H37" s="168">
        <f t="shared" si="1"/>
        <v>0</v>
      </c>
      <c r="I37" s="168">
        <f t="shared" si="2"/>
        <v>0</v>
      </c>
      <c r="J37" s="174" t="str">
        <f t="shared" si="3"/>
        <v/>
      </c>
      <c r="K37" s="174" t="str">
        <f t="shared" si="4"/>
        <v/>
      </c>
      <c r="L37" s="174" t="str">
        <f t="shared" si="5"/>
        <v/>
      </c>
      <c r="AB37" s="176"/>
    </row>
    <row r="38" spans="1:28" x14ac:dyDescent="0.2">
      <c r="A38" s="162" t="s">
        <v>389</v>
      </c>
      <c r="B38" s="174" t="s">
        <v>194</v>
      </c>
      <c r="C38" s="168">
        <v>0</v>
      </c>
      <c r="D38" s="168">
        <v>0</v>
      </c>
      <c r="E38" s="168">
        <v>0</v>
      </c>
      <c r="F38" s="168">
        <v>0</v>
      </c>
      <c r="G38" s="168">
        <f t="shared" si="0"/>
        <v>0</v>
      </c>
      <c r="H38" s="168">
        <f t="shared" si="1"/>
        <v>0</v>
      </c>
      <c r="I38" s="168">
        <f t="shared" si="2"/>
        <v>0</v>
      </c>
      <c r="J38" s="174" t="str">
        <f t="shared" si="3"/>
        <v/>
      </c>
      <c r="K38" s="174" t="str">
        <f t="shared" si="4"/>
        <v/>
      </c>
      <c r="L38" s="174" t="str">
        <f t="shared" si="5"/>
        <v/>
      </c>
      <c r="O38" s="162" t="s">
        <v>1168</v>
      </c>
      <c r="AB38" s="176"/>
    </row>
    <row r="39" spans="1:28" x14ac:dyDescent="0.2">
      <c r="A39" s="162" t="s">
        <v>390</v>
      </c>
      <c r="B39" s="174" t="s">
        <v>19</v>
      </c>
      <c r="C39" s="168">
        <v>1357662.4491999999</v>
      </c>
      <c r="D39" s="168">
        <v>635789.2156</v>
      </c>
      <c r="E39" s="168">
        <v>294429.55680000002</v>
      </c>
      <c r="F39" s="168">
        <v>424535.51659999997</v>
      </c>
      <c r="G39" s="168">
        <f t="shared" si="0"/>
        <v>2712416.7381999996</v>
      </c>
      <c r="H39" s="168">
        <f t="shared" si="1"/>
        <v>13562.083691</v>
      </c>
      <c r="I39" s="168">
        <f t="shared" si="2"/>
        <v>43684.841415570998</v>
      </c>
      <c r="J39" s="174">
        <f t="shared" si="3"/>
        <v>3221.1010056338851</v>
      </c>
      <c r="K39" s="174">
        <f t="shared" si="4"/>
        <v>3971</v>
      </c>
      <c r="L39" s="174">
        <f t="shared" si="5"/>
        <v>2847.5</v>
      </c>
      <c r="O39" s="162" t="s">
        <v>1167</v>
      </c>
      <c r="AB39" s="176"/>
    </row>
    <row r="40" spans="1:28" x14ac:dyDescent="0.2">
      <c r="A40" s="162" t="s">
        <v>391</v>
      </c>
      <c r="B40" s="174" t="s">
        <v>133</v>
      </c>
      <c r="C40" s="168">
        <v>2141.79</v>
      </c>
      <c r="D40" s="168">
        <v>2338.7600000000002</v>
      </c>
      <c r="E40" s="168">
        <v>0</v>
      </c>
      <c r="F40" s="168">
        <v>0</v>
      </c>
      <c r="G40" s="168">
        <f t="shared" si="0"/>
        <v>4480.55</v>
      </c>
      <c r="H40" s="168">
        <f t="shared" si="1"/>
        <v>22.402750000000001</v>
      </c>
      <c r="I40" s="168">
        <f t="shared" si="2"/>
        <v>68.913715025000002</v>
      </c>
      <c r="J40" s="174">
        <f t="shared" si="3"/>
        <v>3076.1274854649537</v>
      </c>
      <c r="K40" s="174">
        <f t="shared" si="4"/>
        <v>3285.5</v>
      </c>
      <c r="L40" s="174">
        <f t="shared" si="5"/>
        <v>2847.5</v>
      </c>
      <c r="O40" s="177">
        <f>8/(0.164*7*0.164*4)</f>
        <v>10.622928528936857</v>
      </c>
      <c r="P40" s="162" t="s">
        <v>365</v>
      </c>
      <c r="AB40" s="176"/>
    </row>
    <row r="41" spans="1:28" x14ac:dyDescent="0.2">
      <c r="A41" s="162" t="s">
        <v>392</v>
      </c>
      <c r="B41" s="174" t="s">
        <v>20</v>
      </c>
      <c r="C41" s="168">
        <v>61670.31</v>
      </c>
      <c r="D41" s="168">
        <v>42731.56</v>
      </c>
      <c r="E41" s="168">
        <v>19103.48</v>
      </c>
      <c r="F41" s="168">
        <v>10704.17</v>
      </c>
      <c r="G41" s="168">
        <f t="shared" si="0"/>
        <v>134209.51999999999</v>
      </c>
      <c r="H41" s="168">
        <f t="shared" si="1"/>
        <v>671.04759999999999</v>
      </c>
      <c r="I41" s="168">
        <f t="shared" si="2"/>
        <v>2148.194074775</v>
      </c>
      <c r="J41" s="174">
        <f t="shared" si="3"/>
        <v>3201.2543890701645</v>
      </c>
      <c r="K41" s="174">
        <f t="shared" si="4"/>
        <v>3971</v>
      </c>
      <c r="L41" s="174">
        <f t="shared" si="5"/>
        <v>2847.5</v>
      </c>
    </row>
    <row r="42" spans="1:28" x14ac:dyDescent="0.2">
      <c r="A42" s="162" t="s">
        <v>393</v>
      </c>
      <c r="B42" s="174" t="s">
        <v>21</v>
      </c>
      <c r="C42" s="168">
        <v>366922</v>
      </c>
      <c r="D42" s="168">
        <v>167383</v>
      </c>
      <c r="E42" s="168">
        <v>66893</v>
      </c>
      <c r="F42" s="168">
        <v>49684</v>
      </c>
      <c r="G42" s="168">
        <f t="shared" si="0"/>
        <v>650882</v>
      </c>
      <c r="H42" s="168">
        <f t="shared" si="1"/>
        <v>3254.41</v>
      </c>
      <c r="I42" s="168">
        <f t="shared" si="2"/>
        <v>10205.592455</v>
      </c>
      <c r="J42" s="174">
        <f t="shared" si="3"/>
        <v>3135.9270820210113</v>
      </c>
      <c r="K42" s="174">
        <f t="shared" si="4"/>
        <v>3971</v>
      </c>
      <c r="L42" s="174">
        <f t="shared" si="5"/>
        <v>2847.5</v>
      </c>
      <c r="T42" s="168"/>
      <c r="U42" s="168"/>
      <c r="V42" s="168"/>
      <c r="W42" s="168"/>
    </row>
    <row r="43" spans="1:28" x14ac:dyDescent="0.2">
      <c r="A43" s="162" t="s">
        <v>394</v>
      </c>
      <c r="B43" s="174" t="s">
        <v>24</v>
      </c>
      <c r="C43" s="168">
        <v>0</v>
      </c>
      <c r="D43" s="168">
        <v>0</v>
      </c>
      <c r="E43" s="168">
        <v>0</v>
      </c>
      <c r="F43" s="168">
        <v>0</v>
      </c>
      <c r="G43" s="168">
        <f t="shared" si="0"/>
        <v>0</v>
      </c>
      <c r="H43" s="168">
        <f t="shared" si="1"/>
        <v>0</v>
      </c>
      <c r="I43" s="168">
        <f t="shared" si="2"/>
        <v>0</v>
      </c>
      <c r="J43" s="174" t="str">
        <f t="shared" si="3"/>
        <v/>
      </c>
      <c r="K43" s="174" t="str">
        <f t="shared" si="4"/>
        <v/>
      </c>
      <c r="L43" s="174" t="str">
        <f t="shared" si="5"/>
        <v/>
      </c>
    </row>
    <row r="44" spans="1:28" x14ac:dyDescent="0.2">
      <c r="A44" s="162" t="s">
        <v>395</v>
      </c>
      <c r="B44" s="174" t="s">
        <v>47</v>
      </c>
      <c r="C44" s="168">
        <v>0</v>
      </c>
      <c r="D44" s="168">
        <v>0</v>
      </c>
      <c r="E44" s="168">
        <v>0</v>
      </c>
      <c r="F44" s="168">
        <v>0</v>
      </c>
      <c r="G44" s="168">
        <f t="shared" si="0"/>
        <v>0</v>
      </c>
      <c r="H44" s="168">
        <f t="shared" si="1"/>
        <v>0</v>
      </c>
      <c r="I44" s="168">
        <f t="shared" si="2"/>
        <v>0</v>
      </c>
      <c r="J44" s="174" t="str">
        <f t="shared" si="3"/>
        <v/>
      </c>
      <c r="K44" s="174" t="str">
        <f t="shared" si="4"/>
        <v/>
      </c>
      <c r="L44" s="174" t="str">
        <f t="shared" si="5"/>
        <v/>
      </c>
    </row>
    <row r="45" spans="1:28" x14ac:dyDescent="0.2">
      <c r="A45" s="162" t="s">
        <v>396</v>
      </c>
      <c r="B45" s="174" t="s">
        <v>198</v>
      </c>
      <c r="C45" s="168">
        <v>0</v>
      </c>
      <c r="D45" s="168">
        <v>0</v>
      </c>
      <c r="E45" s="168">
        <v>0</v>
      </c>
      <c r="F45" s="168">
        <v>0</v>
      </c>
      <c r="G45" s="168">
        <f t="shared" si="0"/>
        <v>0</v>
      </c>
      <c r="H45" s="168">
        <f t="shared" si="1"/>
        <v>0</v>
      </c>
      <c r="I45" s="168">
        <f t="shared" si="2"/>
        <v>0</v>
      </c>
      <c r="J45" s="174" t="str">
        <f t="shared" si="3"/>
        <v/>
      </c>
      <c r="K45" s="174" t="str">
        <f t="shared" si="4"/>
        <v/>
      </c>
      <c r="L45" s="174" t="str">
        <f t="shared" si="5"/>
        <v/>
      </c>
    </row>
    <row r="46" spans="1:28" x14ac:dyDescent="0.2">
      <c r="A46" s="162" t="s">
        <v>397</v>
      </c>
      <c r="B46" s="174" t="s">
        <v>22</v>
      </c>
      <c r="C46" s="168">
        <v>17359.77</v>
      </c>
      <c r="D46" s="168">
        <v>12074.99</v>
      </c>
      <c r="E46" s="168">
        <v>25393.07</v>
      </c>
      <c r="F46" s="168">
        <v>3167.56</v>
      </c>
      <c r="G46" s="168">
        <f t="shared" si="0"/>
        <v>57995.39</v>
      </c>
      <c r="H46" s="168">
        <f t="shared" si="1"/>
        <v>289.97694999999999</v>
      </c>
      <c r="I46" s="168">
        <f t="shared" si="2"/>
        <v>981.169008125</v>
      </c>
      <c r="J46" s="174">
        <f t="shared" si="3"/>
        <v>3383.6103460119848</v>
      </c>
      <c r="K46" s="174">
        <f t="shared" si="4"/>
        <v>3971</v>
      </c>
      <c r="L46" s="174">
        <f t="shared" si="5"/>
        <v>2847.5</v>
      </c>
    </row>
    <row r="47" spans="1:28" x14ac:dyDescent="0.2">
      <c r="A47" s="162" t="s">
        <v>398</v>
      </c>
      <c r="B47" s="174" t="s">
        <v>197</v>
      </c>
      <c r="C47" s="168">
        <v>0</v>
      </c>
      <c r="D47" s="168">
        <v>0</v>
      </c>
      <c r="E47" s="168">
        <v>0</v>
      </c>
      <c r="F47" s="168">
        <v>0</v>
      </c>
      <c r="G47" s="168">
        <f t="shared" si="0"/>
        <v>0</v>
      </c>
      <c r="H47" s="168">
        <f t="shared" si="1"/>
        <v>0</v>
      </c>
      <c r="I47" s="168">
        <f t="shared" si="2"/>
        <v>0</v>
      </c>
      <c r="J47" s="174" t="str">
        <f t="shared" si="3"/>
        <v/>
      </c>
      <c r="K47" s="174" t="str">
        <f t="shared" si="4"/>
        <v/>
      </c>
      <c r="L47" s="174" t="str">
        <f t="shared" si="5"/>
        <v/>
      </c>
    </row>
    <row r="48" spans="1:28" x14ac:dyDescent="0.2">
      <c r="A48" s="162" t="s">
        <v>399</v>
      </c>
      <c r="B48" s="174" t="s">
        <v>192</v>
      </c>
      <c r="C48" s="168">
        <v>0</v>
      </c>
      <c r="D48" s="168">
        <v>0</v>
      </c>
      <c r="E48" s="168">
        <v>0</v>
      </c>
      <c r="F48" s="168">
        <v>0</v>
      </c>
      <c r="G48" s="168">
        <f t="shared" si="0"/>
        <v>0</v>
      </c>
      <c r="H48" s="168">
        <f t="shared" si="1"/>
        <v>0</v>
      </c>
      <c r="I48" s="168">
        <f t="shared" si="2"/>
        <v>0</v>
      </c>
      <c r="J48" s="174" t="str">
        <f t="shared" si="3"/>
        <v/>
      </c>
      <c r="K48" s="174" t="str">
        <f t="shared" si="4"/>
        <v/>
      </c>
      <c r="L48" s="174" t="str">
        <f t="shared" si="5"/>
        <v/>
      </c>
    </row>
    <row r="49" spans="1:12" x14ac:dyDescent="0.2">
      <c r="A49" s="162" t="s">
        <v>400</v>
      </c>
      <c r="B49" s="174" t="s">
        <v>23</v>
      </c>
      <c r="C49" s="168">
        <v>446</v>
      </c>
      <c r="D49" s="168">
        <v>348</v>
      </c>
      <c r="E49" s="168">
        <v>328</v>
      </c>
      <c r="F49" s="168">
        <v>525</v>
      </c>
      <c r="G49" s="168">
        <f t="shared" si="0"/>
        <v>1647</v>
      </c>
      <c r="H49" s="168">
        <f t="shared" si="1"/>
        <v>8.2349999999999994</v>
      </c>
      <c r="I49" s="168">
        <f t="shared" si="2"/>
        <v>28.597110000000001</v>
      </c>
      <c r="J49" s="174">
        <f t="shared" si="3"/>
        <v>3472.6302367941712</v>
      </c>
      <c r="K49" s="174">
        <f t="shared" si="4"/>
        <v>3971</v>
      </c>
      <c r="L49" s="174">
        <f t="shared" si="5"/>
        <v>2847.5</v>
      </c>
    </row>
    <row r="50" spans="1:12" x14ac:dyDescent="0.2">
      <c r="A50" s="162" t="s">
        <v>401</v>
      </c>
      <c r="B50" s="174" t="s">
        <v>25</v>
      </c>
      <c r="C50" s="168">
        <v>3770</v>
      </c>
      <c r="D50" s="168">
        <v>448</v>
      </c>
      <c r="E50" s="168">
        <v>63</v>
      </c>
      <c r="F50" s="168">
        <v>0</v>
      </c>
      <c r="G50" s="168">
        <f t="shared" si="0"/>
        <v>4281</v>
      </c>
      <c r="H50" s="168">
        <f t="shared" si="1"/>
        <v>21.405000000000001</v>
      </c>
      <c r="I50" s="168">
        <f t="shared" si="2"/>
        <v>62.207797499999998</v>
      </c>
      <c r="J50" s="174">
        <f t="shared" si="3"/>
        <v>2906.2274001401543</v>
      </c>
      <c r="K50" s="174">
        <f t="shared" si="4"/>
        <v>3723.5</v>
      </c>
      <c r="L50" s="174">
        <f t="shared" si="5"/>
        <v>2847.5</v>
      </c>
    </row>
    <row r="51" spans="1:12" x14ac:dyDescent="0.2">
      <c r="A51" s="162" t="s">
        <v>402</v>
      </c>
      <c r="B51" s="174" t="s">
        <v>42</v>
      </c>
      <c r="C51" s="168">
        <v>0</v>
      </c>
      <c r="D51" s="168">
        <v>0</v>
      </c>
      <c r="E51" s="168">
        <v>0</v>
      </c>
      <c r="F51" s="168">
        <v>0</v>
      </c>
      <c r="G51" s="168">
        <f t="shared" si="0"/>
        <v>0</v>
      </c>
      <c r="H51" s="168">
        <f t="shared" si="1"/>
        <v>0</v>
      </c>
      <c r="I51" s="168">
        <f t="shared" si="2"/>
        <v>0</v>
      </c>
      <c r="J51" s="174" t="str">
        <f t="shared" si="3"/>
        <v/>
      </c>
      <c r="K51" s="174" t="str">
        <f t="shared" si="4"/>
        <v/>
      </c>
      <c r="L51" s="174" t="str">
        <f t="shared" si="5"/>
        <v/>
      </c>
    </row>
    <row r="52" spans="1:12" x14ac:dyDescent="0.2">
      <c r="A52" s="162" t="s">
        <v>403</v>
      </c>
      <c r="B52" s="174" t="s">
        <v>201</v>
      </c>
      <c r="C52" s="168">
        <v>2001.67</v>
      </c>
      <c r="D52" s="168">
        <v>6254.04</v>
      </c>
      <c r="E52" s="168">
        <v>2529.06</v>
      </c>
      <c r="F52" s="168">
        <v>0</v>
      </c>
      <c r="G52" s="168">
        <f t="shared" si="0"/>
        <v>10784.769999999999</v>
      </c>
      <c r="H52" s="168">
        <f t="shared" si="1"/>
        <v>53.923850000000009</v>
      </c>
      <c r="I52" s="168">
        <f t="shared" si="2"/>
        <v>178.321793275</v>
      </c>
      <c r="J52" s="174">
        <f t="shared" si="3"/>
        <v>3306.9187989173629</v>
      </c>
      <c r="K52" s="174">
        <f t="shared" si="4"/>
        <v>3723.5</v>
      </c>
      <c r="L52" s="174">
        <f t="shared" si="5"/>
        <v>2847.5</v>
      </c>
    </row>
    <row r="53" spans="1:12" x14ac:dyDescent="0.2">
      <c r="A53" s="162" t="s">
        <v>404</v>
      </c>
      <c r="B53" s="174" t="s">
        <v>62</v>
      </c>
      <c r="C53" s="168">
        <v>7811.4</v>
      </c>
      <c r="D53" s="168">
        <v>6150.87</v>
      </c>
      <c r="E53" s="168">
        <v>1391.47</v>
      </c>
      <c r="F53" s="168">
        <v>23.41</v>
      </c>
      <c r="G53" s="168">
        <f t="shared" si="0"/>
        <v>15377.15</v>
      </c>
      <c r="H53" s="168">
        <f t="shared" si="1"/>
        <v>76.885750000000016</v>
      </c>
      <c r="I53" s="168">
        <f t="shared" si="2"/>
        <v>238.62872270000003</v>
      </c>
      <c r="J53" s="174">
        <f t="shared" si="3"/>
        <v>3103.6794555558085</v>
      </c>
      <c r="K53" s="174">
        <f t="shared" si="4"/>
        <v>3971</v>
      </c>
      <c r="L53" s="174">
        <f t="shared" si="5"/>
        <v>2847.5</v>
      </c>
    </row>
    <row r="54" spans="1:12" x14ac:dyDescent="0.2">
      <c r="A54" s="162" t="s">
        <v>405</v>
      </c>
      <c r="B54" s="174" t="s">
        <v>50</v>
      </c>
      <c r="C54" s="168">
        <v>0</v>
      </c>
      <c r="D54" s="168">
        <v>0</v>
      </c>
      <c r="E54" s="168">
        <v>0</v>
      </c>
      <c r="F54" s="168">
        <v>0</v>
      </c>
      <c r="G54" s="168">
        <f t="shared" si="0"/>
        <v>0</v>
      </c>
      <c r="H54" s="168">
        <f t="shared" si="1"/>
        <v>0</v>
      </c>
      <c r="I54" s="168">
        <f t="shared" si="2"/>
        <v>0</v>
      </c>
      <c r="J54" s="174" t="str">
        <f t="shared" si="3"/>
        <v/>
      </c>
      <c r="K54" s="174" t="str">
        <f t="shared" si="4"/>
        <v/>
      </c>
      <c r="L54" s="174" t="str">
        <f t="shared" si="5"/>
        <v/>
      </c>
    </row>
    <row r="55" spans="1:12" x14ac:dyDescent="0.2">
      <c r="A55" s="162" t="s">
        <v>406</v>
      </c>
      <c r="B55" s="174" t="s">
        <v>202</v>
      </c>
      <c r="C55" s="168">
        <v>0</v>
      </c>
      <c r="D55" s="168">
        <v>0</v>
      </c>
      <c r="E55" s="168">
        <v>0</v>
      </c>
      <c r="F55" s="168">
        <v>0</v>
      </c>
      <c r="G55" s="168">
        <f t="shared" si="0"/>
        <v>0</v>
      </c>
      <c r="H55" s="168">
        <f t="shared" si="1"/>
        <v>0</v>
      </c>
      <c r="I55" s="168">
        <f t="shared" si="2"/>
        <v>0</v>
      </c>
      <c r="J55" s="174" t="str">
        <f t="shared" si="3"/>
        <v/>
      </c>
      <c r="K55" s="174" t="str">
        <f t="shared" si="4"/>
        <v/>
      </c>
      <c r="L55" s="174" t="str">
        <f t="shared" si="5"/>
        <v/>
      </c>
    </row>
    <row r="56" spans="1:12" x14ac:dyDescent="0.2">
      <c r="A56" s="162" t="s">
        <v>407</v>
      </c>
      <c r="B56" s="174" t="s">
        <v>49</v>
      </c>
      <c r="C56" s="168">
        <v>7604.26</v>
      </c>
      <c r="D56" s="168">
        <v>11716.53</v>
      </c>
      <c r="E56" s="168">
        <v>12678.07</v>
      </c>
      <c r="F56" s="168">
        <v>6465.09</v>
      </c>
      <c r="G56" s="168">
        <f t="shared" si="0"/>
        <v>38463.949999999997</v>
      </c>
      <c r="H56" s="168">
        <f t="shared" si="1"/>
        <v>192.31975000000003</v>
      </c>
      <c r="I56" s="168">
        <f t="shared" si="2"/>
        <v>665.13727850000009</v>
      </c>
      <c r="J56" s="174">
        <f t="shared" si="3"/>
        <v>3458.497000438073</v>
      </c>
      <c r="K56" s="174">
        <f t="shared" si="4"/>
        <v>3971</v>
      </c>
      <c r="L56" s="174">
        <f t="shared" si="5"/>
        <v>2847.5</v>
      </c>
    </row>
    <row r="57" spans="1:12" x14ac:dyDescent="0.2">
      <c r="A57" s="162" t="s">
        <v>408</v>
      </c>
      <c r="B57" s="174" t="s">
        <v>51</v>
      </c>
      <c r="C57" s="168">
        <v>1025</v>
      </c>
      <c r="D57" s="168">
        <v>300</v>
      </c>
      <c r="E57" s="168">
        <v>82</v>
      </c>
      <c r="F57" s="168">
        <v>85</v>
      </c>
      <c r="G57" s="168">
        <f t="shared" si="0"/>
        <v>1492</v>
      </c>
      <c r="H57" s="168">
        <f t="shared" si="1"/>
        <v>7.46</v>
      </c>
      <c r="I57" s="168">
        <f t="shared" si="2"/>
        <v>22.7359975</v>
      </c>
      <c r="J57" s="174">
        <f t="shared" si="3"/>
        <v>3047.7208445040214</v>
      </c>
      <c r="K57" s="174">
        <f t="shared" si="4"/>
        <v>3971</v>
      </c>
      <c r="L57" s="174">
        <f t="shared" si="5"/>
        <v>2847.5</v>
      </c>
    </row>
    <row r="58" spans="1:12" x14ac:dyDescent="0.2">
      <c r="A58" s="162" t="s">
        <v>409</v>
      </c>
      <c r="B58" s="174" t="s">
        <v>32</v>
      </c>
      <c r="C58" s="168">
        <v>0</v>
      </c>
      <c r="D58" s="168">
        <v>0</v>
      </c>
      <c r="E58" s="168">
        <v>0</v>
      </c>
      <c r="F58" s="168">
        <v>0</v>
      </c>
      <c r="G58" s="168">
        <f t="shared" si="0"/>
        <v>0</v>
      </c>
      <c r="H58" s="168">
        <f t="shared" si="1"/>
        <v>0</v>
      </c>
      <c r="I58" s="168">
        <f t="shared" si="2"/>
        <v>0</v>
      </c>
      <c r="J58" s="174" t="str">
        <f t="shared" si="3"/>
        <v/>
      </c>
      <c r="K58" s="174" t="str">
        <f t="shared" si="4"/>
        <v/>
      </c>
      <c r="L58" s="174" t="str">
        <f t="shared" si="5"/>
        <v/>
      </c>
    </row>
    <row r="59" spans="1:12" x14ac:dyDescent="0.2">
      <c r="A59" s="162" t="s">
        <v>410</v>
      </c>
      <c r="B59" s="174" t="s">
        <v>52</v>
      </c>
      <c r="C59" s="168">
        <v>35678.050000000003</v>
      </c>
      <c r="D59" s="168">
        <v>43593.440000000002</v>
      </c>
      <c r="E59" s="168">
        <v>62211.51</v>
      </c>
      <c r="F59" s="168">
        <v>87600.52</v>
      </c>
      <c r="G59" s="168">
        <f t="shared" si="0"/>
        <v>229083.52000000002</v>
      </c>
      <c r="H59" s="168">
        <f t="shared" si="1"/>
        <v>1145.4176</v>
      </c>
      <c r="I59" s="168">
        <f t="shared" si="2"/>
        <v>4121.6285845000002</v>
      </c>
      <c r="J59" s="174">
        <f t="shared" si="3"/>
        <v>3598.3632384381035</v>
      </c>
      <c r="K59" s="174">
        <f t="shared" si="4"/>
        <v>3971</v>
      </c>
      <c r="L59" s="174">
        <f t="shared" si="5"/>
        <v>2847.5</v>
      </c>
    </row>
    <row r="60" spans="1:12" x14ac:dyDescent="0.2">
      <c r="A60" s="162" t="s">
        <v>411</v>
      </c>
      <c r="B60" s="174" t="s">
        <v>53</v>
      </c>
      <c r="C60" s="168">
        <v>0</v>
      </c>
      <c r="D60" s="168">
        <v>0</v>
      </c>
      <c r="E60" s="168">
        <v>0</v>
      </c>
      <c r="F60" s="168">
        <v>0</v>
      </c>
      <c r="G60" s="168">
        <f t="shared" si="0"/>
        <v>0</v>
      </c>
      <c r="H60" s="168">
        <f t="shared" si="1"/>
        <v>0</v>
      </c>
      <c r="I60" s="168">
        <f t="shared" si="2"/>
        <v>0</v>
      </c>
      <c r="J60" s="174" t="str">
        <f t="shared" si="3"/>
        <v/>
      </c>
      <c r="K60" s="174" t="str">
        <f t="shared" si="4"/>
        <v/>
      </c>
      <c r="L60" s="174" t="str">
        <f t="shared" si="5"/>
        <v/>
      </c>
    </row>
    <row r="61" spans="1:12" x14ac:dyDescent="0.2">
      <c r="A61" s="162" t="s">
        <v>412</v>
      </c>
      <c r="B61" s="174" t="s">
        <v>55</v>
      </c>
      <c r="C61" s="168">
        <v>0</v>
      </c>
      <c r="D61" s="168">
        <v>0</v>
      </c>
      <c r="E61" s="168">
        <v>0</v>
      </c>
      <c r="F61" s="168">
        <v>0</v>
      </c>
      <c r="G61" s="168">
        <f t="shared" si="0"/>
        <v>0</v>
      </c>
      <c r="H61" s="168">
        <f t="shared" si="1"/>
        <v>0</v>
      </c>
      <c r="I61" s="168">
        <f t="shared" si="2"/>
        <v>0</v>
      </c>
      <c r="J61" s="174" t="str">
        <f t="shared" si="3"/>
        <v/>
      </c>
      <c r="K61" s="174" t="str">
        <f t="shared" si="4"/>
        <v/>
      </c>
      <c r="L61" s="174" t="str">
        <f t="shared" si="5"/>
        <v/>
      </c>
    </row>
    <row r="62" spans="1:12" x14ac:dyDescent="0.2">
      <c r="A62" s="162" t="s">
        <v>413</v>
      </c>
      <c r="B62" s="174" t="s">
        <v>295</v>
      </c>
      <c r="C62" s="168">
        <v>0</v>
      </c>
      <c r="D62" s="168">
        <v>0</v>
      </c>
      <c r="E62" s="168">
        <v>0</v>
      </c>
      <c r="F62" s="168">
        <v>0</v>
      </c>
      <c r="G62" s="168">
        <f t="shared" si="0"/>
        <v>0</v>
      </c>
      <c r="H62" s="168">
        <f t="shared" si="1"/>
        <v>0</v>
      </c>
      <c r="I62" s="168">
        <f t="shared" si="2"/>
        <v>0</v>
      </c>
      <c r="J62" s="174" t="str">
        <f t="shared" si="3"/>
        <v/>
      </c>
      <c r="K62" s="174" t="str">
        <f t="shared" si="4"/>
        <v/>
      </c>
      <c r="L62" s="174" t="str">
        <f t="shared" si="5"/>
        <v/>
      </c>
    </row>
    <row r="63" spans="1:12" x14ac:dyDescent="0.2">
      <c r="A63" s="162" t="s">
        <v>414</v>
      </c>
      <c r="B63" s="174" t="s">
        <v>127</v>
      </c>
      <c r="C63" s="168">
        <v>10286.57</v>
      </c>
      <c r="D63" s="168">
        <v>13500.05</v>
      </c>
      <c r="E63" s="168">
        <v>0</v>
      </c>
      <c r="F63" s="168">
        <v>0</v>
      </c>
      <c r="G63" s="168">
        <f t="shared" si="0"/>
        <v>23786.62</v>
      </c>
      <c r="H63" s="168">
        <f t="shared" si="1"/>
        <v>118.93310000000001</v>
      </c>
      <c r="I63" s="168">
        <f t="shared" si="2"/>
        <v>368.22711175000001</v>
      </c>
      <c r="J63" s="174">
        <f t="shared" si="3"/>
        <v>3096.086049636308</v>
      </c>
      <c r="K63" s="174">
        <f t="shared" si="4"/>
        <v>3285.5</v>
      </c>
      <c r="L63" s="174">
        <f t="shared" si="5"/>
        <v>2847.5</v>
      </c>
    </row>
    <row r="64" spans="1:12" x14ac:dyDescent="0.2">
      <c r="A64" s="162" t="s">
        <v>415</v>
      </c>
      <c r="B64" s="174" t="s">
        <v>204</v>
      </c>
      <c r="C64" s="168">
        <v>5072.2700000000004</v>
      </c>
      <c r="D64" s="168">
        <v>1607.14</v>
      </c>
      <c r="E64" s="168">
        <v>0</v>
      </c>
      <c r="F64" s="168">
        <v>0</v>
      </c>
      <c r="G64" s="168">
        <f t="shared" si="0"/>
        <v>6679.4100000000008</v>
      </c>
      <c r="H64" s="168">
        <f t="shared" si="1"/>
        <v>33.39705</v>
      </c>
      <c r="I64" s="168">
        <f t="shared" si="2"/>
        <v>98.617736475000001</v>
      </c>
      <c r="J64" s="174">
        <f t="shared" si="3"/>
        <v>2952.8876495079653</v>
      </c>
      <c r="K64" s="174">
        <f t="shared" si="4"/>
        <v>3285.5</v>
      </c>
      <c r="L64" s="174">
        <f t="shared" si="5"/>
        <v>2847.5</v>
      </c>
    </row>
    <row r="65" spans="1:12" x14ac:dyDescent="0.2">
      <c r="A65" s="162" t="s">
        <v>416</v>
      </c>
      <c r="B65" s="174" t="s">
        <v>56</v>
      </c>
      <c r="C65" s="168">
        <v>0</v>
      </c>
      <c r="D65" s="168">
        <v>0</v>
      </c>
      <c r="E65" s="168">
        <v>0</v>
      </c>
      <c r="F65" s="168">
        <v>0</v>
      </c>
      <c r="G65" s="168">
        <f t="shared" si="0"/>
        <v>0</v>
      </c>
      <c r="H65" s="168">
        <f t="shared" si="1"/>
        <v>0</v>
      </c>
      <c r="I65" s="168">
        <f t="shared" si="2"/>
        <v>0</v>
      </c>
      <c r="J65" s="174" t="str">
        <f t="shared" si="3"/>
        <v/>
      </c>
      <c r="K65" s="174" t="str">
        <f t="shared" si="4"/>
        <v/>
      </c>
      <c r="L65" s="174" t="str">
        <f t="shared" si="5"/>
        <v/>
      </c>
    </row>
    <row r="66" spans="1:12" x14ac:dyDescent="0.2">
      <c r="A66" s="162" t="s">
        <v>417</v>
      </c>
      <c r="B66" s="174" t="s">
        <v>58</v>
      </c>
      <c r="C66" s="168">
        <v>3200.03</v>
      </c>
      <c r="D66" s="168">
        <v>2271.54</v>
      </c>
      <c r="E66" s="168">
        <v>0</v>
      </c>
      <c r="F66" s="168">
        <v>0</v>
      </c>
      <c r="G66" s="168">
        <f t="shared" si="0"/>
        <v>5471.57</v>
      </c>
      <c r="H66" s="168">
        <f t="shared" si="1"/>
        <v>27.357850000000003</v>
      </c>
      <c r="I66" s="168">
        <f t="shared" si="2"/>
        <v>82.876150475000003</v>
      </c>
      <c r="J66" s="174">
        <f t="shared" si="3"/>
        <v>3029.337118048385</v>
      </c>
      <c r="K66" s="174">
        <f t="shared" si="4"/>
        <v>3285.5</v>
      </c>
      <c r="L66" s="174">
        <f t="shared" si="5"/>
        <v>2847.5</v>
      </c>
    </row>
    <row r="67" spans="1:12" x14ac:dyDescent="0.2">
      <c r="A67" s="162" t="s">
        <v>418</v>
      </c>
      <c r="B67" s="174" t="s">
        <v>57</v>
      </c>
      <c r="C67" s="168">
        <v>0</v>
      </c>
      <c r="D67" s="168">
        <v>0</v>
      </c>
      <c r="E67" s="168">
        <v>0</v>
      </c>
      <c r="F67" s="168">
        <v>0</v>
      </c>
      <c r="G67" s="168">
        <f t="shared" si="0"/>
        <v>0</v>
      </c>
      <c r="H67" s="168">
        <f t="shared" si="1"/>
        <v>0</v>
      </c>
      <c r="I67" s="168">
        <f t="shared" si="2"/>
        <v>0</v>
      </c>
      <c r="J67" s="174" t="str">
        <f t="shared" si="3"/>
        <v/>
      </c>
      <c r="K67" s="174" t="str">
        <f t="shared" si="4"/>
        <v/>
      </c>
      <c r="L67" s="174" t="str">
        <f t="shared" si="5"/>
        <v/>
      </c>
    </row>
    <row r="68" spans="1:12" x14ac:dyDescent="0.2">
      <c r="A68" s="162" t="s">
        <v>419</v>
      </c>
      <c r="B68" s="174" t="s">
        <v>205</v>
      </c>
      <c r="C68" s="168">
        <v>0</v>
      </c>
      <c r="D68" s="168">
        <v>0</v>
      </c>
      <c r="E68" s="168">
        <v>0</v>
      </c>
      <c r="F68" s="168">
        <v>0</v>
      </c>
      <c r="G68" s="168">
        <f t="shared" si="0"/>
        <v>0</v>
      </c>
      <c r="H68" s="168">
        <f t="shared" si="1"/>
        <v>0</v>
      </c>
      <c r="I68" s="168">
        <f t="shared" si="2"/>
        <v>0</v>
      </c>
      <c r="J68" s="174" t="str">
        <f t="shared" si="3"/>
        <v/>
      </c>
      <c r="K68" s="174" t="str">
        <f t="shared" si="4"/>
        <v/>
      </c>
      <c r="L68" s="174" t="str">
        <f t="shared" si="5"/>
        <v/>
      </c>
    </row>
    <row r="69" spans="1:12" x14ac:dyDescent="0.2">
      <c r="A69" s="162" t="s">
        <v>420</v>
      </c>
      <c r="B69" s="174" t="s">
        <v>59</v>
      </c>
      <c r="C69" s="168">
        <v>9862.39</v>
      </c>
      <c r="D69" s="168">
        <v>16815.43</v>
      </c>
      <c r="E69" s="168">
        <v>0</v>
      </c>
      <c r="F69" s="168">
        <v>0</v>
      </c>
      <c r="G69" s="168">
        <f t="shared" si="0"/>
        <v>26677.82</v>
      </c>
      <c r="H69" s="168">
        <f t="shared" si="1"/>
        <v>133.38909999999998</v>
      </c>
      <c r="I69" s="168">
        <f t="shared" si="2"/>
        <v>416.65125395000001</v>
      </c>
      <c r="J69" s="174">
        <f t="shared" si="3"/>
        <v>3123.5779681398253</v>
      </c>
      <c r="K69" s="174">
        <f t="shared" si="4"/>
        <v>3285.5</v>
      </c>
      <c r="L69" s="174">
        <f t="shared" si="5"/>
        <v>2847.5</v>
      </c>
    </row>
    <row r="70" spans="1:12" x14ac:dyDescent="0.2">
      <c r="A70" s="162" t="s">
        <v>421</v>
      </c>
      <c r="B70" s="174" t="s">
        <v>206</v>
      </c>
      <c r="C70" s="168">
        <v>0</v>
      </c>
      <c r="D70" s="168">
        <v>0</v>
      </c>
      <c r="E70" s="168">
        <v>0</v>
      </c>
      <c r="F70" s="168">
        <v>1422.51</v>
      </c>
      <c r="G70" s="168">
        <f t="shared" ref="G70:G133" si="6">SUM(C70:F70)</f>
        <v>1422.51</v>
      </c>
      <c r="H70" s="168">
        <f t="shared" ref="H70:H133" si="7">(C70*$Q$21+D70*$Q$22+E70*$Q$23+F70*$Q$24)/1000</f>
        <v>7.1125500000000006</v>
      </c>
      <c r="I70" s="168">
        <f t="shared" ref="I70:I133" si="8">(C70*$Q$21*$V$10+D70*$Q$22*$V$11+E70*$Q$23*$V$12+F70*$Q$24*$V$13)/1000000</f>
        <v>28.243936050000002</v>
      </c>
      <c r="J70" s="174">
        <f t="shared" ref="J70:J133" si="9">IF(G70&gt;0,(C70*$V$10+D70*$V$11+E70*$V$12+F70*$V$13)/G70,"")</f>
        <v>3971</v>
      </c>
      <c r="K70" s="174">
        <f t="shared" ref="K70:K133" si="10">IF(F70&gt;0,$V$13,IF(E70&gt;0,$V$12,IF(D70&gt;0,$V$11,IF(C70&gt;0,$V$10,""))))</f>
        <v>3971</v>
      </c>
      <c r="L70" s="174">
        <f t="shared" ref="L70:L133" si="11">IF(H70=0,"",IF(C70&gt;0,$V$10,IF(D70&gt;0,$V$11,IF(E70&gt;0,$V$12,$V$13))))</f>
        <v>3971</v>
      </c>
    </row>
    <row r="71" spans="1:12" x14ac:dyDescent="0.2">
      <c r="A71" s="162" t="s">
        <v>422</v>
      </c>
      <c r="B71" s="174" t="s">
        <v>242</v>
      </c>
      <c r="C71" s="168" t="s">
        <v>382</v>
      </c>
      <c r="D71" s="168" t="s">
        <v>382</v>
      </c>
      <c r="E71" s="168" t="s">
        <v>382</v>
      </c>
      <c r="F71" s="168" t="s">
        <v>382</v>
      </c>
      <c r="G71" s="168">
        <f t="shared" si="6"/>
        <v>0</v>
      </c>
      <c r="H71" s="168" t="e">
        <f t="shared" si="7"/>
        <v>#VALUE!</v>
      </c>
      <c r="I71" s="168" t="e">
        <f t="shared" si="8"/>
        <v>#VALUE!</v>
      </c>
      <c r="J71" s="174" t="str">
        <f t="shared" si="9"/>
        <v/>
      </c>
      <c r="K71" s="174">
        <f t="shared" si="10"/>
        <v>3971</v>
      </c>
      <c r="L71" s="174" t="e">
        <f t="shared" si="11"/>
        <v>#VALUE!</v>
      </c>
    </row>
    <row r="72" spans="1:12" x14ac:dyDescent="0.2">
      <c r="A72" s="162" t="s">
        <v>423</v>
      </c>
      <c r="B72" s="174" t="s">
        <v>60</v>
      </c>
      <c r="C72" s="168">
        <v>0</v>
      </c>
      <c r="D72" s="168">
        <v>0</v>
      </c>
      <c r="E72" s="168">
        <v>0</v>
      </c>
      <c r="F72" s="168">
        <v>0</v>
      </c>
      <c r="G72" s="168">
        <f t="shared" si="6"/>
        <v>0</v>
      </c>
      <c r="H72" s="168">
        <f t="shared" si="7"/>
        <v>0</v>
      </c>
      <c r="I72" s="168">
        <f t="shared" si="8"/>
        <v>0</v>
      </c>
      <c r="J72" s="174" t="str">
        <f t="shared" si="9"/>
        <v/>
      </c>
      <c r="K72" s="174" t="str">
        <f t="shared" si="10"/>
        <v/>
      </c>
      <c r="L72" s="174" t="str">
        <f t="shared" si="11"/>
        <v/>
      </c>
    </row>
    <row r="73" spans="1:12" x14ac:dyDescent="0.2">
      <c r="A73" s="162" t="s">
        <v>424</v>
      </c>
      <c r="B73" s="174" t="s">
        <v>140</v>
      </c>
      <c r="C73" s="168">
        <v>32207.69</v>
      </c>
      <c r="D73" s="168">
        <v>34405</v>
      </c>
      <c r="E73" s="168">
        <v>56567.49</v>
      </c>
      <c r="F73" s="168">
        <v>23755.33</v>
      </c>
      <c r="G73" s="168">
        <f t="shared" si="6"/>
        <v>146935.51</v>
      </c>
      <c r="H73" s="168">
        <f t="shared" si="7"/>
        <v>734.67754999999988</v>
      </c>
      <c r="I73" s="168">
        <f t="shared" si="8"/>
        <v>2548.5524461</v>
      </c>
      <c r="J73" s="174">
        <f t="shared" si="9"/>
        <v>3468.940144012839</v>
      </c>
      <c r="K73" s="174">
        <f t="shared" si="10"/>
        <v>3971</v>
      </c>
      <c r="L73" s="174">
        <f t="shared" si="11"/>
        <v>2847.5</v>
      </c>
    </row>
    <row r="74" spans="1:12" x14ac:dyDescent="0.2">
      <c r="A74" s="162" t="s">
        <v>425</v>
      </c>
      <c r="B74" s="174" t="s">
        <v>61</v>
      </c>
      <c r="C74" s="168">
        <v>0</v>
      </c>
      <c r="D74" s="168">
        <v>0</v>
      </c>
      <c r="E74" s="168">
        <v>0</v>
      </c>
      <c r="F74" s="168">
        <v>0</v>
      </c>
      <c r="G74" s="168">
        <f t="shared" si="6"/>
        <v>0</v>
      </c>
      <c r="H74" s="168">
        <f t="shared" si="7"/>
        <v>0</v>
      </c>
      <c r="I74" s="168">
        <f t="shared" si="8"/>
        <v>0</v>
      </c>
      <c r="J74" s="174" t="str">
        <f t="shared" si="9"/>
        <v/>
      </c>
      <c r="K74" s="174" t="str">
        <f t="shared" si="10"/>
        <v/>
      </c>
      <c r="L74" s="174" t="str">
        <f t="shared" si="11"/>
        <v/>
      </c>
    </row>
    <row r="75" spans="1:12" x14ac:dyDescent="0.2">
      <c r="A75" s="162" t="s">
        <v>426</v>
      </c>
      <c r="B75" s="174" t="s">
        <v>63</v>
      </c>
      <c r="C75" s="168">
        <v>715</v>
      </c>
      <c r="D75" s="168">
        <v>268</v>
      </c>
      <c r="E75" s="168">
        <v>82</v>
      </c>
      <c r="F75" s="168">
        <v>63</v>
      </c>
      <c r="G75" s="168">
        <f t="shared" si="6"/>
        <v>1128</v>
      </c>
      <c r="H75" s="168">
        <f t="shared" si="7"/>
        <v>5.64</v>
      </c>
      <c r="I75" s="168">
        <f t="shared" si="8"/>
        <v>17.359882500000001</v>
      </c>
      <c r="J75" s="174">
        <f t="shared" si="9"/>
        <v>3077.9933510638298</v>
      </c>
      <c r="K75" s="174">
        <f t="shared" si="10"/>
        <v>3971</v>
      </c>
      <c r="L75" s="174">
        <f t="shared" si="11"/>
        <v>2847.5</v>
      </c>
    </row>
    <row r="76" spans="1:12" x14ac:dyDescent="0.2">
      <c r="A76" s="162" t="s">
        <v>427</v>
      </c>
      <c r="B76" s="174" t="s">
        <v>211</v>
      </c>
      <c r="C76" s="168">
        <v>7.88</v>
      </c>
      <c r="D76" s="168">
        <v>0</v>
      </c>
      <c r="E76" s="168">
        <v>0</v>
      </c>
      <c r="F76" s="168">
        <v>0</v>
      </c>
      <c r="G76" s="168">
        <f t="shared" si="6"/>
        <v>7.88</v>
      </c>
      <c r="H76" s="168">
        <f t="shared" si="7"/>
        <v>3.9399999999999998E-2</v>
      </c>
      <c r="I76" s="168">
        <f t="shared" si="8"/>
        <v>0.1121915</v>
      </c>
      <c r="J76" s="174">
        <f t="shared" si="9"/>
        <v>2847.5</v>
      </c>
      <c r="K76" s="174">
        <f t="shared" si="10"/>
        <v>2847.5</v>
      </c>
      <c r="L76" s="174">
        <f t="shared" si="11"/>
        <v>2847.5</v>
      </c>
    </row>
    <row r="77" spans="1:12" x14ac:dyDescent="0.2">
      <c r="A77" s="162" t="s">
        <v>428</v>
      </c>
      <c r="B77" s="174" t="s">
        <v>66</v>
      </c>
      <c r="C77" s="168">
        <v>0</v>
      </c>
      <c r="D77" s="168">
        <v>0</v>
      </c>
      <c r="E77" s="168">
        <v>0</v>
      </c>
      <c r="F77" s="168">
        <v>0</v>
      </c>
      <c r="G77" s="168">
        <f t="shared" si="6"/>
        <v>0</v>
      </c>
      <c r="H77" s="168">
        <f t="shared" si="7"/>
        <v>0</v>
      </c>
      <c r="I77" s="168">
        <f t="shared" si="8"/>
        <v>0</v>
      </c>
      <c r="J77" s="174" t="str">
        <f t="shared" si="9"/>
        <v/>
      </c>
      <c r="K77" s="174" t="str">
        <f t="shared" si="10"/>
        <v/>
      </c>
      <c r="L77" s="174" t="str">
        <f t="shared" si="11"/>
        <v/>
      </c>
    </row>
    <row r="78" spans="1:12" x14ac:dyDescent="0.2">
      <c r="A78" s="162" t="s">
        <v>429</v>
      </c>
      <c r="B78" s="174" t="s">
        <v>215</v>
      </c>
      <c r="C78" s="168">
        <v>0</v>
      </c>
      <c r="D78" s="168">
        <v>0</v>
      </c>
      <c r="E78" s="168">
        <v>0</v>
      </c>
      <c r="F78" s="168">
        <v>0</v>
      </c>
      <c r="G78" s="168">
        <f t="shared" si="6"/>
        <v>0</v>
      </c>
      <c r="H78" s="168">
        <f t="shared" si="7"/>
        <v>0</v>
      </c>
      <c r="I78" s="168">
        <f t="shared" si="8"/>
        <v>0</v>
      </c>
      <c r="J78" s="174" t="str">
        <f t="shared" si="9"/>
        <v/>
      </c>
      <c r="K78" s="174" t="str">
        <f t="shared" si="10"/>
        <v/>
      </c>
      <c r="L78" s="174" t="str">
        <f t="shared" si="11"/>
        <v/>
      </c>
    </row>
    <row r="79" spans="1:12" x14ac:dyDescent="0.2">
      <c r="A79" s="162" t="s">
        <v>430</v>
      </c>
      <c r="B79" s="174" t="s">
        <v>279</v>
      </c>
      <c r="C79" s="168">
        <v>0</v>
      </c>
      <c r="D79" s="168">
        <v>0</v>
      </c>
      <c r="E79" s="168">
        <v>0</v>
      </c>
      <c r="F79" s="168">
        <v>0</v>
      </c>
      <c r="G79" s="168">
        <f t="shared" si="6"/>
        <v>0</v>
      </c>
      <c r="H79" s="168">
        <f t="shared" si="7"/>
        <v>0</v>
      </c>
      <c r="I79" s="168">
        <f t="shared" si="8"/>
        <v>0</v>
      </c>
      <c r="J79" s="174" t="str">
        <f t="shared" si="9"/>
        <v/>
      </c>
      <c r="K79" s="174" t="str">
        <f t="shared" si="10"/>
        <v/>
      </c>
      <c r="L79" s="174" t="str">
        <f t="shared" si="11"/>
        <v/>
      </c>
    </row>
    <row r="80" spans="1:12" x14ac:dyDescent="0.2">
      <c r="A80" s="162" t="s">
        <v>431</v>
      </c>
      <c r="B80" s="174" t="s">
        <v>218</v>
      </c>
      <c r="C80" s="168">
        <v>0</v>
      </c>
      <c r="D80" s="168">
        <v>0</v>
      </c>
      <c r="E80" s="168">
        <v>0</v>
      </c>
      <c r="F80" s="168">
        <v>0</v>
      </c>
      <c r="G80" s="168">
        <f t="shared" si="6"/>
        <v>0</v>
      </c>
      <c r="H80" s="168">
        <f t="shared" si="7"/>
        <v>0</v>
      </c>
      <c r="I80" s="168">
        <f t="shared" si="8"/>
        <v>0</v>
      </c>
      <c r="J80" s="174" t="str">
        <f t="shared" si="9"/>
        <v/>
      </c>
      <c r="K80" s="174" t="str">
        <f t="shared" si="10"/>
        <v/>
      </c>
      <c r="L80" s="174" t="str">
        <f t="shared" si="11"/>
        <v/>
      </c>
    </row>
    <row r="81" spans="1:12" x14ac:dyDescent="0.2">
      <c r="A81" s="162" t="s">
        <v>432</v>
      </c>
      <c r="B81" s="174" t="s">
        <v>203</v>
      </c>
      <c r="C81" s="168">
        <v>0</v>
      </c>
      <c r="D81" s="168">
        <v>0</v>
      </c>
      <c r="E81" s="168">
        <v>0</v>
      </c>
      <c r="F81" s="168">
        <v>0</v>
      </c>
      <c r="G81" s="168">
        <f t="shared" si="6"/>
        <v>0</v>
      </c>
      <c r="H81" s="168">
        <f t="shared" si="7"/>
        <v>0</v>
      </c>
      <c r="I81" s="168">
        <f t="shared" si="8"/>
        <v>0</v>
      </c>
      <c r="J81" s="174" t="str">
        <f t="shared" si="9"/>
        <v/>
      </c>
      <c r="K81" s="174" t="str">
        <f t="shared" si="10"/>
        <v/>
      </c>
      <c r="L81" s="174" t="str">
        <f t="shared" si="11"/>
        <v/>
      </c>
    </row>
    <row r="82" spans="1:12" x14ac:dyDescent="0.2">
      <c r="A82" s="162" t="s">
        <v>433</v>
      </c>
      <c r="B82" s="174" t="s">
        <v>213</v>
      </c>
      <c r="C82" s="168">
        <v>1907.46</v>
      </c>
      <c r="D82" s="168">
        <v>0</v>
      </c>
      <c r="E82" s="168">
        <v>0</v>
      </c>
      <c r="F82" s="168">
        <v>0</v>
      </c>
      <c r="G82" s="168">
        <f t="shared" si="6"/>
        <v>1907.46</v>
      </c>
      <c r="H82" s="168">
        <f t="shared" si="7"/>
        <v>9.5373000000000001</v>
      </c>
      <c r="I82" s="168">
        <f t="shared" si="8"/>
        <v>27.157461749999996</v>
      </c>
      <c r="J82" s="174">
        <f t="shared" si="9"/>
        <v>2847.5000000000005</v>
      </c>
      <c r="K82" s="174">
        <f t="shared" si="10"/>
        <v>2847.5</v>
      </c>
      <c r="L82" s="174">
        <f t="shared" si="11"/>
        <v>2847.5</v>
      </c>
    </row>
    <row r="83" spans="1:12" x14ac:dyDescent="0.2">
      <c r="A83" s="162" t="s">
        <v>434</v>
      </c>
      <c r="B83" s="174" t="s">
        <v>64</v>
      </c>
      <c r="C83" s="168">
        <v>0</v>
      </c>
      <c r="D83" s="168">
        <v>0</v>
      </c>
      <c r="E83" s="168">
        <v>0</v>
      </c>
      <c r="F83" s="168">
        <v>0</v>
      </c>
      <c r="G83" s="168">
        <f t="shared" si="6"/>
        <v>0</v>
      </c>
      <c r="H83" s="168">
        <f t="shared" si="7"/>
        <v>0</v>
      </c>
      <c r="I83" s="168">
        <f t="shared" si="8"/>
        <v>0</v>
      </c>
      <c r="J83" s="174" t="str">
        <f t="shared" si="9"/>
        <v/>
      </c>
      <c r="K83" s="174" t="str">
        <f t="shared" si="10"/>
        <v/>
      </c>
      <c r="L83" s="174" t="str">
        <f t="shared" si="11"/>
        <v/>
      </c>
    </row>
    <row r="84" spans="1:12" x14ac:dyDescent="0.2">
      <c r="A84" s="162" t="s">
        <v>435</v>
      </c>
      <c r="B84" s="174" t="s">
        <v>214</v>
      </c>
      <c r="C84" s="168">
        <v>146771.22</v>
      </c>
      <c r="D84" s="168">
        <v>4257.07</v>
      </c>
      <c r="E84" s="168">
        <v>0</v>
      </c>
      <c r="F84" s="168">
        <v>0</v>
      </c>
      <c r="G84" s="168">
        <f t="shared" si="6"/>
        <v>151028.29</v>
      </c>
      <c r="H84" s="168">
        <f t="shared" si="7"/>
        <v>755.14144999999996</v>
      </c>
      <c r="I84" s="168">
        <f t="shared" si="8"/>
        <v>2159.5882621750002</v>
      </c>
      <c r="J84" s="174">
        <f t="shared" si="9"/>
        <v>2859.8460092145647</v>
      </c>
      <c r="K84" s="174">
        <f t="shared" si="10"/>
        <v>3285.5</v>
      </c>
      <c r="L84" s="174">
        <f t="shared" si="11"/>
        <v>2847.5</v>
      </c>
    </row>
    <row r="85" spans="1:12" x14ac:dyDescent="0.2">
      <c r="A85" s="162" t="s">
        <v>436</v>
      </c>
      <c r="B85" s="174" t="s">
        <v>65</v>
      </c>
      <c r="C85" s="168">
        <v>1877</v>
      </c>
      <c r="D85" s="168">
        <v>1003</v>
      </c>
      <c r="E85" s="168">
        <v>320</v>
      </c>
      <c r="F85" s="168">
        <v>245</v>
      </c>
      <c r="G85" s="168">
        <f t="shared" si="6"/>
        <v>3445</v>
      </c>
      <c r="H85" s="168">
        <f t="shared" si="7"/>
        <v>17.225000000000001</v>
      </c>
      <c r="I85" s="168">
        <f t="shared" si="8"/>
        <v>54.022644999999997</v>
      </c>
      <c r="J85" s="174">
        <f t="shared" si="9"/>
        <v>3136.2928882438318</v>
      </c>
      <c r="K85" s="174">
        <f t="shared" si="10"/>
        <v>3971</v>
      </c>
      <c r="L85" s="174">
        <f t="shared" si="11"/>
        <v>2847.5</v>
      </c>
    </row>
    <row r="86" spans="1:12" x14ac:dyDescent="0.2">
      <c r="A86" s="162" t="s">
        <v>437</v>
      </c>
      <c r="B86" s="174" t="s">
        <v>207</v>
      </c>
      <c r="C86" s="168">
        <v>0</v>
      </c>
      <c r="D86" s="168">
        <v>0</v>
      </c>
      <c r="E86" s="168">
        <v>0</v>
      </c>
      <c r="F86" s="168">
        <v>0</v>
      </c>
      <c r="G86" s="168">
        <f t="shared" si="6"/>
        <v>0</v>
      </c>
      <c r="H86" s="168">
        <f t="shared" si="7"/>
        <v>0</v>
      </c>
      <c r="I86" s="168">
        <f t="shared" si="8"/>
        <v>0</v>
      </c>
      <c r="J86" s="174" t="str">
        <f t="shared" si="9"/>
        <v/>
      </c>
      <c r="K86" s="174" t="str">
        <f t="shared" si="10"/>
        <v/>
      </c>
      <c r="L86" s="174" t="str">
        <f t="shared" si="11"/>
        <v/>
      </c>
    </row>
    <row r="87" spans="1:12" x14ac:dyDescent="0.2">
      <c r="A87" s="162" t="s">
        <v>438</v>
      </c>
      <c r="B87" s="174" t="s">
        <v>216</v>
      </c>
      <c r="C87" s="168" t="s">
        <v>382</v>
      </c>
      <c r="D87" s="168" t="s">
        <v>382</v>
      </c>
      <c r="E87" s="168" t="s">
        <v>382</v>
      </c>
      <c r="F87" s="168" t="s">
        <v>382</v>
      </c>
      <c r="G87" s="168">
        <f t="shared" si="6"/>
        <v>0</v>
      </c>
      <c r="H87" s="168" t="e">
        <f t="shared" si="7"/>
        <v>#VALUE!</v>
      </c>
      <c r="I87" s="168" t="e">
        <f t="shared" si="8"/>
        <v>#VALUE!</v>
      </c>
      <c r="J87" s="174" t="str">
        <f t="shared" si="9"/>
        <v/>
      </c>
      <c r="K87" s="174">
        <f t="shared" si="10"/>
        <v>3971</v>
      </c>
      <c r="L87" s="174" t="e">
        <f t="shared" si="11"/>
        <v>#VALUE!</v>
      </c>
    </row>
    <row r="88" spans="1:12" x14ac:dyDescent="0.2">
      <c r="A88" s="162" t="s">
        <v>439</v>
      </c>
      <c r="B88" s="174" t="s">
        <v>67</v>
      </c>
      <c r="C88" s="168">
        <v>0</v>
      </c>
      <c r="D88" s="168">
        <v>0</v>
      </c>
      <c r="E88" s="168">
        <v>0</v>
      </c>
      <c r="F88" s="168">
        <v>0</v>
      </c>
      <c r="G88" s="168">
        <f t="shared" si="6"/>
        <v>0</v>
      </c>
      <c r="H88" s="168">
        <f t="shared" si="7"/>
        <v>0</v>
      </c>
      <c r="I88" s="168">
        <f t="shared" si="8"/>
        <v>0</v>
      </c>
      <c r="J88" s="174" t="str">
        <f t="shared" si="9"/>
        <v/>
      </c>
      <c r="K88" s="174" t="str">
        <f t="shared" si="10"/>
        <v/>
      </c>
      <c r="L88" s="174" t="str">
        <f t="shared" si="11"/>
        <v/>
      </c>
    </row>
    <row r="89" spans="1:12" x14ac:dyDescent="0.2">
      <c r="A89" s="162" t="s">
        <v>440</v>
      </c>
      <c r="B89" s="174" t="s">
        <v>69</v>
      </c>
      <c r="C89" s="168">
        <v>2880</v>
      </c>
      <c r="D89" s="168">
        <v>1211</v>
      </c>
      <c r="E89" s="168">
        <v>485</v>
      </c>
      <c r="F89" s="168">
        <v>476</v>
      </c>
      <c r="G89" s="168">
        <f t="shared" si="6"/>
        <v>5052</v>
      </c>
      <c r="H89" s="168">
        <f t="shared" si="7"/>
        <v>25.26</v>
      </c>
      <c r="I89" s="168">
        <f t="shared" si="8"/>
        <v>79.378169999999997</v>
      </c>
      <c r="J89" s="174">
        <f t="shared" si="9"/>
        <v>3142.4453681710215</v>
      </c>
      <c r="K89" s="174">
        <f t="shared" si="10"/>
        <v>3971</v>
      </c>
      <c r="L89" s="174">
        <f t="shared" si="11"/>
        <v>2847.5</v>
      </c>
    </row>
    <row r="90" spans="1:12" x14ac:dyDescent="0.2">
      <c r="A90" s="162" t="s">
        <v>441</v>
      </c>
      <c r="B90" s="174" t="s">
        <v>200</v>
      </c>
      <c r="C90" s="168">
        <v>0</v>
      </c>
      <c r="D90" s="168">
        <v>0</v>
      </c>
      <c r="E90" s="168">
        <v>0</v>
      </c>
      <c r="F90" s="168">
        <v>0</v>
      </c>
      <c r="G90" s="168">
        <f t="shared" si="6"/>
        <v>0</v>
      </c>
      <c r="H90" s="168">
        <f t="shared" si="7"/>
        <v>0</v>
      </c>
      <c r="I90" s="168">
        <f t="shared" si="8"/>
        <v>0</v>
      </c>
      <c r="J90" s="174" t="str">
        <f t="shared" si="9"/>
        <v/>
      </c>
      <c r="K90" s="174" t="str">
        <f t="shared" si="10"/>
        <v/>
      </c>
      <c r="L90" s="174" t="str">
        <f t="shared" si="11"/>
        <v/>
      </c>
    </row>
    <row r="91" spans="1:12" x14ac:dyDescent="0.2">
      <c r="A91" s="162" t="s">
        <v>442</v>
      </c>
      <c r="B91" s="174" t="s">
        <v>68</v>
      </c>
      <c r="C91" s="168">
        <v>0</v>
      </c>
      <c r="D91" s="168">
        <v>0</v>
      </c>
      <c r="E91" s="168">
        <v>0</v>
      </c>
      <c r="F91" s="168">
        <v>0</v>
      </c>
      <c r="G91" s="168">
        <f t="shared" si="6"/>
        <v>0</v>
      </c>
      <c r="H91" s="168">
        <f t="shared" si="7"/>
        <v>0</v>
      </c>
      <c r="I91" s="168">
        <f t="shared" si="8"/>
        <v>0</v>
      </c>
      <c r="J91" s="174" t="str">
        <f t="shared" si="9"/>
        <v/>
      </c>
      <c r="K91" s="174" t="str">
        <f t="shared" si="10"/>
        <v/>
      </c>
      <c r="L91" s="174" t="str">
        <f t="shared" si="11"/>
        <v/>
      </c>
    </row>
    <row r="92" spans="1:12" x14ac:dyDescent="0.2">
      <c r="A92" s="162" t="s">
        <v>443</v>
      </c>
      <c r="B92" s="174" t="s">
        <v>221</v>
      </c>
      <c r="C92" s="168">
        <v>0</v>
      </c>
      <c r="D92" s="168">
        <v>0</v>
      </c>
      <c r="E92" s="168">
        <v>0</v>
      </c>
      <c r="F92" s="168">
        <v>0</v>
      </c>
      <c r="G92" s="168">
        <f t="shared" si="6"/>
        <v>0</v>
      </c>
      <c r="H92" s="168">
        <f t="shared" si="7"/>
        <v>0</v>
      </c>
      <c r="I92" s="168">
        <f t="shared" si="8"/>
        <v>0</v>
      </c>
      <c r="J92" s="174" t="str">
        <f t="shared" si="9"/>
        <v/>
      </c>
      <c r="K92" s="174" t="str">
        <f t="shared" si="10"/>
        <v/>
      </c>
      <c r="L92" s="174" t="str">
        <f t="shared" si="11"/>
        <v/>
      </c>
    </row>
    <row r="93" spans="1:12" x14ac:dyDescent="0.2">
      <c r="A93" s="162" t="s">
        <v>444</v>
      </c>
      <c r="B93" s="174" t="s">
        <v>71</v>
      </c>
      <c r="C93" s="168">
        <v>875.5675</v>
      </c>
      <c r="D93" s="168">
        <v>470.1952</v>
      </c>
      <c r="E93" s="168">
        <v>255.63929999999999</v>
      </c>
      <c r="F93" s="168">
        <v>316.01830000000001</v>
      </c>
      <c r="G93" s="168">
        <f t="shared" si="6"/>
        <v>1917.4203</v>
      </c>
      <c r="H93" s="168">
        <f t="shared" si="7"/>
        <v>9.5871015000000011</v>
      </c>
      <c r="I93" s="168">
        <f t="shared" si="8"/>
        <v>31.223931943499998</v>
      </c>
      <c r="J93" s="174">
        <f t="shared" si="9"/>
        <v>3256.8688193715275</v>
      </c>
      <c r="K93" s="174">
        <f t="shared" si="10"/>
        <v>3971</v>
      </c>
      <c r="L93" s="174">
        <f t="shared" si="11"/>
        <v>2847.5</v>
      </c>
    </row>
    <row r="94" spans="1:12" x14ac:dyDescent="0.2">
      <c r="A94" s="162" t="s">
        <v>445</v>
      </c>
      <c r="B94" s="174" t="s">
        <v>70</v>
      </c>
      <c r="C94" s="168">
        <v>0</v>
      </c>
      <c r="D94" s="168">
        <v>0</v>
      </c>
      <c r="E94" s="168">
        <v>0</v>
      </c>
      <c r="F94" s="168">
        <v>0</v>
      </c>
      <c r="G94" s="168">
        <f t="shared" si="6"/>
        <v>0</v>
      </c>
      <c r="H94" s="168">
        <f t="shared" si="7"/>
        <v>0</v>
      </c>
      <c r="I94" s="168">
        <f t="shared" si="8"/>
        <v>0</v>
      </c>
      <c r="J94" s="174" t="str">
        <f t="shared" si="9"/>
        <v/>
      </c>
      <c r="K94" s="174" t="str">
        <f t="shared" si="10"/>
        <v/>
      </c>
      <c r="L94" s="174" t="str">
        <f t="shared" si="11"/>
        <v/>
      </c>
    </row>
    <row r="95" spans="1:12" x14ac:dyDescent="0.2">
      <c r="A95" s="162" t="s">
        <v>446</v>
      </c>
      <c r="B95" s="174" t="s">
        <v>74</v>
      </c>
      <c r="C95" s="168">
        <v>12945.24</v>
      </c>
      <c r="D95" s="168">
        <v>3997.78</v>
      </c>
      <c r="E95" s="168">
        <v>6719.66</v>
      </c>
      <c r="F95" s="168">
        <v>2590.35</v>
      </c>
      <c r="G95" s="168">
        <f t="shared" si="6"/>
        <v>26253.03</v>
      </c>
      <c r="H95" s="168">
        <f t="shared" si="7"/>
        <v>131.26515000000003</v>
      </c>
      <c r="I95" s="168">
        <f t="shared" si="8"/>
        <v>426.51605475000002</v>
      </c>
      <c r="J95" s="174">
        <f t="shared" si="9"/>
        <v>3249.2710727104641</v>
      </c>
      <c r="K95" s="174">
        <f t="shared" si="10"/>
        <v>3971</v>
      </c>
      <c r="L95" s="174">
        <f t="shared" si="11"/>
        <v>2847.5</v>
      </c>
    </row>
    <row r="96" spans="1:12" x14ac:dyDescent="0.2">
      <c r="A96" s="162" t="s">
        <v>447</v>
      </c>
      <c r="B96" s="174" t="s">
        <v>72</v>
      </c>
      <c r="C96" s="168">
        <v>0</v>
      </c>
      <c r="D96" s="168">
        <v>0</v>
      </c>
      <c r="E96" s="168">
        <v>0</v>
      </c>
      <c r="F96" s="168">
        <v>0</v>
      </c>
      <c r="G96" s="168">
        <f t="shared" si="6"/>
        <v>0</v>
      </c>
      <c r="H96" s="168">
        <f t="shared" si="7"/>
        <v>0</v>
      </c>
      <c r="I96" s="168">
        <f t="shared" si="8"/>
        <v>0</v>
      </c>
      <c r="J96" s="174" t="str">
        <f t="shared" si="9"/>
        <v/>
      </c>
      <c r="K96" s="174" t="str">
        <f t="shared" si="10"/>
        <v/>
      </c>
      <c r="L96" s="174" t="str">
        <f t="shared" si="11"/>
        <v/>
      </c>
    </row>
    <row r="97" spans="1:12" x14ac:dyDescent="0.2">
      <c r="A97" s="162" t="s">
        <v>448</v>
      </c>
      <c r="B97" s="174" t="s">
        <v>73</v>
      </c>
      <c r="C97" s="168">
        <v>0</v>
      </c>
      <c r="D97" s="168">
        <v>0</v>
      </c>
      <c r="E97" s="168">
        <v>0</v>
      </c>
      <c r="F97" s="168">
        <v>0</v>
      </c>
      <c r="G97" s="168">
        <f t="shared" si="6"/>
        <v>0</v>
      </c>
      <c r="H97" s="168">
        <f t="shared" si="7"/>
        <v>0</v>
      </c>
      <c r="I97" s="168">
        <f t="shared" si="8"/>
        <v>0</v>
      </c>
      <c r="J97" s="174" t="str">
        <f t="shared" si="9"/>
        <v/>
      </c>
      <c r="K97" s="174" t="str">
        <f t="shared" si="10"/>
        <v/>
      </c>
      <c r="L97" s="174" t="str">
        <f t="shared" si="11"/>
        <v/>
      </c>
    </row>
    <row r="98" spans="1:12" x14ac:dyDescent="0.2">
      <c r="A98" s="162" t="s">
        <v>449</v>
      </c>
      <c r="B98" s="174" t="s">
        <v>222</v>
      </c>
      <c r="C98" s="168">
        <v>29968.880000000001</v>
      </c>
      <c r="D98" s="168">
        <v>14183.5</v>
      </c>
      <c r="E98" s="168">
        <v>15466.69</v>
      </c>
      <c r="F98" s="168">
        <v>580.15</v>
      </c>
      <c r="G98" s="168">
        <f t="shared" si="6"/>
        <v>60199.220000000008</v>
      </c>
      <c r="H98" s="168">
        <f t="shared" si="7"/>
        <v>300.99609999999996</v>
      </c>
      <c r="I98" s="168">
        <f t="shared" si="8"/>
        <v>959.15135457500003</v>
      </c>
      <c r="J98" s="174">
        <f t="shared" si="9"/>
        <v>3186.5906387989739</v>
      </c>
      <c r="K98" s="174">
        <f t="shared" si="10"/>
        <v>3971</v>
      </c>
      <c r="L98" s="174">
        <f t="shared" si="11"/>
        <v>2847.5</v>
      </c>
    </row>
    <row r="99" spans="1:12" x14ac:dyDescent="0.2">
      <c r="A99" s="162" t="s">
        <v>450</v>
      </c>
      <c r="B99" s="174" t="s">
        <v>75</v>
      </c>
      <c r="C99" s="168">
        <v>0</v>
      </c>
      <c r="D99" s="168">
        <v>0</v>
      </c>
      <c r="E99" s="168">
        <v>0</v>
      </c>
      <c r="F99" s="168">
        <v>0</v>
      </c>
      <c r="G99" s="168">
        <f t="shared" si="6"/>
        <v>0</v>
      </c>
      <c r="H99" s="168">
        <f t="shared" si="7"/>
        <v>0</v>
      </c>
      <c r="I99" s="168">
        <f t="shared" si="8"/>
        <v>0</v>
      </c>
      <c r="J99" s="174" t="str">
        <f t="shared" si="9"/>
        <v/>
      </c>
      <c r="K99" s="174" t="str">
        <f t="shared" si="10"/>
        <v/>
      </c>
      <c r="L99" s="174" t="str">
        <f t="shared" si="11"/>
        <v/>
      </c>
    </row>
    <row r="100" spans="1:12" x14ac:dyDescent="0.2">
      <c r="A100" s="162" t="s">
        <v>451</v>
      </c>
      <c r="B100" s="174" t="s">
        <v>76</v>
      </c>
      <c r="C100" s="168">
        <v>4751.7299999999996</v>
      </c>
      <c r="D100" s="168">
        <v>5723.91</v>
      </c>
      <c r="E100" s="168">
        <v>3662.98</v>
      </c>
      <c r="F100" s="168">
        <v>0</v>
      </c>
      <c r="G100" s="168">
        <f t="shared" si="6"/>
        <v>14138.619999999999</v>
      </c>
      <c r="H100" s="168">
        <f t="shared" si="7"/>
        <v>70.693100000000001</v>
      </c>
      <c r="I100" s="168">
        <f t="shared" si="8"/>
        <v>229.87781754999997</v>
      </c>
      <c r="J100" s="174">
        <f t="shared" si="9"/>
        <v>3251.7716375431264</v>
      </c>
      <c r="K100" s="174">
        <f t="shared" si="10"/>
        <v>3723.5</v>
      </c>
      <c r="L100" s="174">
        <f t="shared" si="11"/>
        <v>2847.5</v>
      </c>
    </row>
    <row r="101" spans="1:12" x14ac:dyDescent="0.2">
      <c r="A101" s="162" t="s">
        <v>452</v>
      </c>
      <c r="B101" s="174" t="s">
        <v>77</v>
      </c>
      <c r="C101" s="168">
        <v>0</v>
      </c>
      <c r="D101" s="168">
        <v>0</v>
      </c>
      <c r="E101" s="168">
        <v>0</v>
      </c>
      <c r="F101" s="168">
        <v>0</v>
      </c>
      <c r="G101" s="168">
        <f t="shared" si="6"/>
        <v>0</v>
      </c>
      <c r="H101" s="168">
        <f t="shared" si="7"/>
        <v>0</v>
      </c>
      <c r="I101" s="168">
        <f t="shared" si="8"/>
        <v>0</v>
      </c>
      <c r="J101" s="174" t="str">
        <f t="shared" si="9"/>
        <v/>
      </c>
      <c r="K101" s="174" t="str">
        <f t="shared" si="10"/>
        <v/>
      </c>
      <c r="L101" s="174" t="str">
        <f t="shared" si="11"/>
        <v/>
      </c>
    </row>
    <row r="102" spans="1:12" x14ac:dyDescent="0.2">
      <c r="A102" s="162" t="s">
        <v>453</v>
      </c>
      <c r="B102" s="174" t="s">
        <v>79</v>
      </c>
      <c r="C102" s="168">
        <v>0</v>
      </c>
      <c r="D102" s="168">
        <v>0</v>
      </c>
      <c r="E102" s="168">
        <v>0</v>
      </c>
      <c r="F102" s="168">
        <v>0</v>
      </c>
      <c r="G102" s="168">
        <f t="shared" si="6"/>
        <v>0</v>
      </c>
      <c r="H102" s="168">
        <f t="shared" si="7"/>
        <v>0</v>
      </c>
      <c r="I102" s="168">
        <f t="shared" si="8"/>
        <v>0</v>
      </c>
      <c r="J102" s="174" t="str">
        <f t="shared" si="9"/>
        <v/>
      </c>
      <c r="K102" s="174" t="str">
        <f t="shared" si="10"/>
        <v/>
      </c>
      <c r="L102" s="174" t="str">
        <f t="shared" si="11"/>
        <v/>
      </c>
    </row>
    <row r="103" spans="1:12" x14ac:dyDescent="0.2">
      <c r="A103" s="162" t="s">
        <v>454</v>
      </c>
      <c r="B103" s="174" t="s">
        <v>78</v>
      </c>
      <c r="C103" s="168">
        <v>3032.66</v>
      </c>
      <c r="D103" s="168">
        <v>2781.02</v>
      </c>
      <c r="E103" s="168">
        <v>0</v>
      </c>
      <c r="F103" s="168">
        <v>0</v>
      </c>
      <c r="G103" s="168">
        <f t="shared" si="6"/>
        <v>5813.68</v>
      </c>
      <c r="H103" s="168">
        <f t="shared" si="7"/>
        <v>29.0684</v>
      </c>
      <c r="I103" s="168">
        <f t="shared" si="8"/>
        <v>88.862702800000008</v>
      </c>
      <c r="J103" s="174">
        <f t="shared" si="9"/>
        <v>3057.0207785774237</v>
      </c>
      <c r="K103" s="174">
        <f t="shared" si="10"/>
        <v>3285.5</v>
      </c>
      <c r="L103" s="174">
        <f t="shared" si="11"/>
        <v>2847.5</v>
      </c>
    </row>
    <row r="104" spans="1:12" x14ac:dyDescent="0.2">
      <c r="A104" s="162" t="s">
        <v>455</v>
      </c>
      <c r="B104" s="174" t="s">
        <v>80</v>
      </c>
      <c r="C104" s="168">
        <v>0</v>
      </c>
      <c r="D104" s="168">
        <v>0</v>
      </c>
      <c r="E104" s="168">
        <v>0</v>
      </c>
      <c r="F104" s="168">
        <v>0</v>
      </c>
      <c r="G104" s="168">
        <f t="shared" si="6"/>
        <v>0</v>
      </c>
      <c r="H104" s="168">
        <f t="shared" si="7"/>
        <v>0</v>
      </c>
      <c r="I104" s="168">
        <f t="shared" si="8"/>
        <v>0</v>
      </c>
      <c r="J104" s="174" t="str">
        <f t="shared" si="9"/>
        <v/>
      </c>
      <c r="K104" s="174" t="str">
        <f t="shared" si="10"/>
        <v/>
      </c>
      <c r="L104" s="174" t="str">
        <f t="shared" si="11"/>
        <v/>
      </c>
    </row>
    <row r="105" spans="1:12" x14ac:dyDescent="0.2">
      <c r="A105" s="162" t="s">
        <v>456</v>
      </c>
      <c r="B105" s="174" t="s">
        <v>81</v>
      </c>
      <c r="C105" s="168">
        <v>0</v>
      </c>
      <c r="D105" s="168">
        <v>0</v>
      </c>
      <c r="E105" s="168">
        <v>0</v>
      </c>
      <c r="F105" s="168">
        <v>0</v>
      </c>
      <c r="G105" s="168">
        <f t="shared" si="6"/>
        <v>0</v>
      </c>
      <c r="H105" s="168">
        <f t="shared" si="7"/>
        <v>0</v>
      </c>
      <c r="I105" s="168">
        <f t="shared" si="8"/>
        <v>0</v>
      </c>
      <c r="J105" s="174" t="str">
        <f t="shared" si="9"/>
        <v/>
      </c>
      <c r="K105" s="174" t="str">
        <f t="shared" si="10"/>
        <v/>
      </c>
      <c r="L105" s="174" t="str">
        <f t="shared" si="11"/>
        <v/>
      </c>
    </row>
    <row r="106" spans="1:12" x14ac:dyDescent="0.2">
      <c r="A106" s="162" t="s">
        <v>457</v>
      </c>
      <c r="B106" s="174" t="s">
        <v>230</v>
      </c>
      <c r="C106" s="168">
        <v>0</v>
      </c>
      <c r="D106" s="168">
        <v>0</v>
      </c>
      <c r="E106" s="168">
        <v>0</v>
      </c>
      <c r="F106" s="168">
        <v>0</v>
      </c>
      <c r="G106" s="168">
        <f t="shared" si="6"/>
        <v>0</v>
      </c>
      <c r="H106" s="168">
        <f t="shared" si="7"/>
        <v>0</v>
      </c>
      <c r="I106" s="168">
        <f t="shared" si="8"/>
        <v>0</v>
      </c>
      <c r="J106" s="174" t="str">
        <f t="shared" si="9"/>
        <v/>
      </c>
      <c r="K106" s="174" t="str">
        <f t="shared" si="10"/>
        <v/>
      </c>
      <c r="L106" s="174" t="str">
        <f t="shared" si="11"/>
        <v/>
      </c>
    </row>
    <row r="107" spans="1:12" x14ac:dyDescent="0.2">
      <c r="A107" s="162" t="s">
        <v>458</v>
      </c>
      <c r="B107" s="174" t="s">
        <v>46</v>
      </c>
      <c r="C107" s="168">
        <v>0</v>
      </c>
      <c r="D107" s="168">
        <v>0</v>
      </c>
      <c r="E107" s="168">
        <v>0</v>
      </c>
      <c r="F107" s="168">
        <v>0</v>
      </c>
      <c r="G107" s="168">
        <f t="shared" si="6"/>
        <v>0</v>
      </c>
      <c r="H107" s="168">
        <f t="shared" si="7"/>
        <v>0</v>
      </c>
      <c r="I107" s="168">
        <f t="shared" si="8"/>
        <v>0</v>
      </c>
      <c r="J107" s="174" t="str">
        <f t="shared" si="9"/>
        <v/>
      </c>
      <c r="K107" s="174" t="str">
        <f t="shared" si="10"/>
        <v/>
      </c>
      <c r="L107" s="174" t="str">
        <f t="shared" si="11"/>
        <v/>
      </c>
    </row>
    <row r="108" spans="1:12" x14ac:dyDescent="0.2">
      <c r="A108" s="162" t="s">
        <v>459</v>
      </c>
      <c r="B108" s="174" t="s">
        <v>272</v>
      </c>
      <c r="C108" s="168">
        <v>0</v>
      </c>
      <c r="D108" s="168">
        <v>0</v>
      </c>
      <c r="E108" s="168">
        <v>0</v>
      </c>
      <c r="F108" s="168">
        <v>0</v>
      </c>
      <c r="G108" s="168">
        <f t="shared" si="6"/>
        <v>0</v>
      </c>
      <c r="H108" s="168">
        <f t="shared" si="7"/>
        <v>0</v>
      </c>
      <c r="I108" s="168">
        <f t="shared" si="8"/>
        <v>0</v>
      </c>
      <c r="J108" s="174" t="str">
        <f t="shared" si="9"/>
        <v/>
      </c>
      <c r="K108" s="174" t="str">
        <f t="shared" si="10"/>
        <v/>
      </c>
      <c r="L108" s="174" t="str">
        <f t="shared" si="11"/>
        <v/>
      </c>
    </row>
    <row r="109" spans="1:12" x14ac:dyDescent="0.2">
      <c r="A109" s="162" t="s">
        <v>460</v>
      </c>
      <c r="B109" s="174" t="s">
        <v>270</v>
      </c>
      <c r="C109" s="168">
        <v>0</v>
      </c>
      <c r="D109" s="168">
        <v>0</v>
      </c>
      <c r="E109" s="168">
        <v>0</v>
      </c>
      <c r="F109" s="168">
        <v>0</v>
      </c>
      <c r="G109" s="168">
        <f t="shared" si="6"/>
        <v>0</v>
      </c>
      <c r="H109" s="168">
        <f t="shared" si="7"/>
        <v>0</v>
      </c>
      <c r="I109" s="168">
        <f t="shared" si="8"/>
        <v>0</v>
      </c>
      <c r="J109" s="174" t="str">
        <f t="shared" si="9"/>
        <v/>
      </c>
      <c r="K109" s="174" t="str">
        <f t="shared" si="10"/>
        <v/>
      </c>
      <c r="L109" s="174" t="str">
        <f t="shared" si="11"/>
        <v/>
      </c>
    </row>
    <row r="110" spans="1:12" x14ac:dyDescent="0.2">
      <c r="A110" s="162" t="s">
        <v>461</v>
      </c>
      <c r="B110" s="174" t="s">
        <v>82</v>
      </c>
      <c r="C110" s="168">
        <v>0</v>
      </c>
      <c r="D110" s="168">
        <v>0</v>
      </c>
      <c r="E110" s="168">
        <v>0</v>
      </c>
      <c r="F110" s="168">
        <v>0</v>
      </c>
      <c r="G110" s="168">
        <f t="shared" si="6"/>
        <v>0</v>
      </c>
      <c r="H110" s="168">
        <f t="shared" si="7"/>
        <v>0</v>
      </c>
      <c r="I110" s="168">
        <f t="shared" si="8"/>
        <v>0</v>
      </c>
      <c r="J110" s="174" t="str">
        <f t="shared" si="9"/>
        <v/>
      </c>
      <c r="K110" s="174" t="str">
        <f t="shared" si="10"/>
        <v/>
      </c>
      <c r="L110" s="174" t="str">
        <f t="shared" si="11"/>
        <v/>
      </c>
    </row>
    <row r="111" spans="1:12" x14ac:dyDescent="0.2">
      <c r="A111" s="162" t="s">
        <v>462</v>
      </c>
      <c r="B111" s="174" t="s">
        <v>231</v>
      </c>
      <c r="C111" s="168">
        <v>0</v>
      </c>
      <c r="D111" s="168">
        <v>0</v>
      </c>
      <c r="E111" s="168">
        <v>0</v>
      </c>
      <c r="F111" s="168">
        <v>0</v>
      </c>
      <c r="G111" s="168">
        <f t="shared" si="6"/>
        <v>0</v>
      </c>
      <c r="H111" s="168">
        <f t="shared" si="7"/>
        <v>0</v>
      </c>
      <c r="I111" s="168">
        <f t="shared" si="8"/>
        <v>0</v>
      </c>
      <c r="J111" s="174" t="str">
        <f t="shared" si="9"/>
        <v/>
      </c>
      <c r="K111" s="174" t="str">
        <f t="shared" si="10"/>
        <v/>
      </c>
      <c r="L111" s="174" t="str">
        <f t="shared" si="11"/>
        <v/>
      </c>
    </row>
    <row r="112" spans="1:12" x14ac:dyDescent="0.2">
      <c r="A112" s="162" t="s">
        <v>463</v>
      </c>
      <c r="B112" s="174" t="s">
        <v>83</v>
      </c>
      <c r="C112" s="168">
        <v>0</v>
      </c>
      <c r="D112" s="168">
        <v>0</v>
      </c>
      <c r="E112" s="168">
        <v>0</v>
      </c>
      <c r="F112" s="168">
        <v>0</v>
      </c>
      <c r="G112" s="168">
        <f t="shared" si="6"/>
        <v>0</v>
      </c>
      <c r="H112" s="168">
        <f t="shared" si="7"/>
        <v>0</v>
      </c>
      <c r="I112" s="168">
        <f t="shared" si="8"/>
        <v>0</v>
      </c>
      <c r="J112" s="174" t="str">
        <f t="shared" si="9"/>
        <v/>
      </c>
      <c r="K112" s="174" t="str">
        <f t="shared" si="10"/>
        <v/>
      </c>
      <c r="L112" s="174" t="str">
        <f t="shared" si="11"/>
        <v/>
      </c>
    </row>
    <row r="113" spans="1:20" x14ac:dyDescent="0.2">
      <c r="A113" s="162" t="s">
        <v>464</v>
      </c>
      <c r="B113" s="174" t="s">
        <v>84</v>
      </c>
      <c r="C113" s="168">
        <v>0</v>
      </c>
      <c r="D113" s="168">
        <v>0</v>
      </c>
      <c r="E113" s="168">
        <v>0</v>
      </c>
      <c r="F113" s="168">
        <v>0</v>
      </c>
      <c r="G113" s="168">
        <f t="shared" si="6"/>
        <v>0</v>
      </c>
      <c r="H113" s="168">
        <f t="shared" si="7"/>
        <v>0</v>
      </c>
      <c r="I113" s="168">
        <f t="shared" si="8"/>
        <v>0</v>
      </c>
      <c r="J113" s="174" t="str">
        <f t="shared" si="9"/>
        <v/>
      </c>
      <c r="K113" s="174" t="str">
        <f t="shared" si="10"/>
        <v/>
      </c>
      <c r="L113" s="174" t="str">
        <f t="shared" si="11"/>
        <v/>
      </c>
    </row>
    <row r="114" spans="1:20" x14ac:dyDescent="0.2">
      <c r="A114" s="162" t="s">
        <v>465</v>
      </c>
      <c r="B114" s="174" t="s">
        <v>85</v>
      </c>
      <c r="C114" s="168">
        <v>0</v>
      </c>
      <c r="D114" s="168">
        <v>0</v>
      </c>
      <c r="E114" s="168">
        <v>0</v>
      </c>
      <c r="F114" s="168">
        <v>0</v>
      </c>
      <c r="G114" s="168">
        <f t="shared" si="6"/>
        <v>0</v>
      </c>
      <c r="H114" s="168">
        <f t="shared" si="7"/>
        <v>0</v>
      </c>
      <c r="I114" s="168">
        <f t="shared" si="8"/>
        <v>0</v>
      </c>
      <c r="J114" s="174" t="str">
        <f t="shared" si="9"/>
        <v/>
      </c>
      <c r="K114" s="174" t="str">
        <f t="shared" si="10"/>
        <v/>
      </c>
      <c r="L114" s="174" t="str">
        <f t="shared" si="11"/>
        <v/>
      </c>
    </row>
    <row r="115" spans="1:20" x14ac:dyDescent="0.2">
      <c r="A115" s="162" t="s">
        <v>466</v>
      </c>
      <c r="B115" s="174" t="s">
        <v>273</v>
      </c>
      <c r="C115" s="168">
        <v>0</v>
      </c>
      <c r="D115" s="168">
        <v>0</v>
      </c>
      <c r="E115" s="168">
        <v>0</v>
      </c>
      <c r="F115" s="168">
        <v>0</v>
      </c>
      <c r="G115" s="168">
        <f t="shared" si="6"/>
        <v>0</v>
      </c>
      <c r="H115" s="168">
        <f t="shared" si="7"/>
        <v>0</v>
      </c>
      <c r="I115" s="168">
        <f t="shared" si="8"/>
        <v>0</v>
      </c>
      <c r="J115" s="174" t="str">
        <f t="shared" si="9"/>
        <v/>
      </c>
      <c r="K115" s="174" t="str">
        <f t="shared" si="10"/>
        <v/>
      </c>
      <c r="L115" s="174" t="str">
        <f t="shared" si="11"/>
        <v/>
      </c>
    </row>
    <row r="116" spans="1:20" x14ac:dyDescent="0.2">
      <c r="A116" s="162" t="s">
        <v>467</v>
      </c>
      <c r="B116" s="174" t="s">
        <v>234</v>
      </c>
      <c r="C116" s="168">
        <v>0</v>
      </c>
      <c r="D116" s="168">
        <v>0</v>
      </c>
      <c r="E116" s="168">
        <v>0</v>
      </c>
      <c r="F116" s="168">
        <v>0</v>
      </c>
      <c r="G116" s="168">
        <f t="shared" si="6"/>
        <v>0</v>
      </c>
      <c r="H116" s="168">
        <f t="shared" si="7"/>
        <v>0</v>
      </c>
      <c r="I116" s="168">
        <f t="shared" si="8"/>
        <v>0</v>
      </c>
      <c r="J116" s="174" t="str">
        <f t="shared" si="9"/>
        <v/>
      </c>
      <c r="K116" s="174" t="str">
        <f t="shared" si="10"/>
        <v/>
      </c>
      <c r="L116" s="174" t="str">
        <f t="shared" si="11"/>
        <v/>
      </c>
    </row>
    <row r="117" spans="1:20" x14ac:dyDescent="0.2">
      <c r="A117" s="162" t="s">
        <v>468</v>
      </c>
      <c r="B117" s="174" t="s">
        <v>128</v>
      </c>
      <c r="C117" s="168">
        <v>6119</v>
      </c>
      <c r="D117" s="168">
        <v>2341</v>
      </c>
      <c r="E117" s="168">
        <v>788</v>
      </c>
      <c r="F117" s="168">
        <v>1018</v>
      </c>
      <c r="G117" s="168">
        <f t="shared" si="6"/>
        <v>10266</v>
      </c>
      <c r="H117" s="168">
        <f t="shared" si="7"/>
        <v>51.33</v>
      </c>
      <c r="I117" s="168">
        <f t="shared" si="8"/>
        <v>160.45902000000001</v>
      </c>
      <c r="J117" s="174">
        <f t="shared" si="9"/>
        <v>3126.0280537697254</v>
      </c>
      <c r="K117" s="174">
        <f t="shared" si="10"/>
        <v>3971</v>
      </c>
      <c r="L117" s="174">
        <f t="shared" si="11"/>
        <v>2847.5</v>
      </c>
    </row>
    <row r="118" spans="1:20" x14ac:dyDescent="0.2">
      <c r="A118" s="162" t="s">
        <v>469</v>
      </c>
      <c r="B118" s="174" t="s">
        <v>233</v>
      </c>
      <c r="C118" s="168">
        <v>0</v>
      </c>
      <c r="D118" s="168">
        <v>0</v>
      </c>
      <c r="E118" s="168">
        <v>0</v>
      </c>
      <c r="F118" s="168">
        <v>0</v>
      </c>
      <c r="G118" s="168">
        <f t="shared" si="6"/>
        <v>0</v>
      </c>
      <c r="H118" s="168">
        <f t="shared" si="7"/>
        <v>0</v>
      </c>
      <c r="I118" s="168">
        <f t="shared" si="8"/>
        <v>0</v>
      </c>
      <c r="J118" s="174" t="str">
        <f t="shared" si="9"/>
        <v/>
      </c>
      <c r="K118" s="174" t="str">
        <f t="shared" si="10"/>
        <v/>
      </c>
      <c r="L118" s="174" t="str">
        <f t="shared" si="11"/>
        <v/>
      </c>
    </row>
    <row r="119" spans="1:20" x14ac:dyDescent="0.2">
      <c r="A119" s="162" t="s">
        <v>470</v>
      </c>
      <c r="B119" s="174" t="s">
        <v>235</v>
      </c>
      <c r="C119" s="168">
        <v>14.6</v>
      </c>
      <c r="D119" s="168">
        <v>520.39</v>
      </c>
      <c r="E119" s="168">
        <v>0</v>
      </c>
      <c r="F119" s="168">
        <v>0</v>
      </c>
      <c r="G119" s="168">
        <f t="shared" si="6"/>
        <v>534.99</v>
      </c>
      <c r="H119" s="168">
        <f t="shared" si="7"/>
        <v>2.6749499999999999</v>
      </c>
      <c r="I119" s="168">
        <f t="shared" si="8"/>
        <v>8.7565742249999996</v>
      </c>
      <c r="J119" s="174">
        <f t="shared" si="9"/>
        <v>3273.5468793809227</v>
      </c>
      <c r="K119" s="174">
        <f t="shared" si="10"/>
        <v>3285.5</v>
      </c>
      <c r="L119" s="174">
        <f t="shared" si="11"/>
        <v>2847.5</v>
      </c>
    </row>
    <row r="120" spans="1:20" x14ac:dyDescent="0.2">
      <c r="A120" s="162" t="s">
        <v>471</v>
      </c>
      <c r="B120" s="174" t="s">
        <v>236</v>
      </c>
      <c r="C120" s="168">
        <v>0</v>
      </c>
      <c r="D120" s="168">
        <v>0</v>
      </c>
      <c r="E120" s="168">
        <v>0</v>
      </c>
      <c r="F120" s="168">
        <v>0</v>
      </c>
      <c r="G120" s="168">
        <f t="shared" si="6"/>
        <v>0</v>
      </c>
      <c r="H120" s="168">
        <f t="shared" si="7"/>
        <v>0</v>
      </c>
      <c r="I120" s="168">
        <f t="shared" si="8"/>
        <v>0</v>
      </c>
      <c r="J120" s="174" t="str">
        <f t="shared" si="9"/>
        <v/>
      </c>
      <c r="K120" s="174" t="str">
        <f t="shared" si="10"/>
        <v/>
      </c>
      <c r="L120" s="174" t="str">
        <f t="shared" si="11"/>
        <v/>
      </c>
    </row>
    <row r="121" spans="1:20" x14ac:dyDescent="0.2">
      <c r="A121" s="162" t="s">
        <v>472</v>
      </c>
      <c r="B121" s="174" t="s">
        <v>232</v>
      </c>
      <c r="C121" s="168">
        <v>0</v>
      </c>
      <c r="D121" s="168">
        <v>4252.1000000000004</v>
      </c>
      <c r="E121" s="168">
        <v>0</v>
      </c>
      <c r="F121" s="168">
        <v>0</v>
      </c>
      <c r="G121" s="168">
        <f t="shared" si="6"/>
        <v>4252.1000000000004</v>
      </c>
      <c r="H121" s="168">
        <f t="shared" si="7"/>
        <v>21.2605</v>
      </c>
      <c r="I121" s="168">
        <f t="shared" si="8"/>
        <v>69.851372749999996</v>
      </c>
      <c r="J121" s="174">
        <f t="shared" si="9"/>
        <v>3285.5</v>
      </c>
      <c r="K121" s="174">
        <f t="shared" si="10"/>
        <v>3285.5</v>
      </c>
      <c r="L121" s="174">
        <f t="shared" si="11"/>
        <v>3285.5</v>
      </c>
    </row>
    <row r="122" spans="1:20" x14ac:dyDescent="0.2">
      <c r="A122" s="162" t="s">
        <v>473</v>
      </c>
      <c r="B122" s="174" t="s">
        <v>100</v>
      </c>
      <c r="C122" s="168">
        <v>2301.75</v>
      </c>
      <c r="D122" s="168">
        <v>0</v>
      </c>
      <c r="E122" s="168">
        <v>0</v>
      </c>
      <c r="F122" s="168">
        <v>0</v>
      </c>
      <c r="G122" s="168">
        <f t="shared" si="6"/>
        <v>2301.75</v>
      </c>
      <c r="H122" s="168">
        <f t="shared" si="7"/>
        <v>11.508749999999999</v>
      </c>
      <c r="I122" s="168">
        <f t="shared" si="8"/>
        <v>32.771165625000002</v>
      </c>
      <c r="J122" s="174">
        <f t="shared" si="9"/>
        <v>2847.5</v>
      </c>
      <c r="K122" s="174">
        <f t="shared" si="10"/>
        <v>2847.5</v>
      </c>
      <c r="L122" s="174">
        <f t="shared" si="11"/>
        <v>2847.5</v>
      </c>
    </row>
    <row r="123" spans="1:20" x14ac:dyDescent="0.2">
      <c r="A123" s="162" t="s">
        <v>474</v>
      </c>
      <c r="B123" s="174" t="s">
        <v>244</v>
      </c>
      <c r="C123" s="168">
        <v>0</v>
      </c>
      <c r="D123" s="168">
        <v>0</v>
      </c>
      <c r="E123" s="168">
        <v>0</v>
      </c>
      <c r="F123" s="168">
        <v>0</v>
      </c>
      <c r="G123" s="168">
        <f t="shared" si="6"/>
        <v>0</v>
      </c>
      <c r="H123" s="168">
        <f t="shared" si="7"/>
        <v>0</v>
      </c>
      <c r="I123" s="168">
        <f t="shared" si="8"/>
        <v>0</v>
      </c>
      <c r="J123" s="174" t="str">
        <f t="shared" si="9"/>
        <v/>
      </c>
      <c r="K123" s="174" t="str">
        <f t="shared" si="10"/>
        <v/>
      </c>
      <c r="L123" s="174" t="str">
        <f t="shared" si="11"/>
        <v/>
      </c>
    </row>
    <row r="124" spans="1:20" x14ac:dyDescent="0.2">
      <c r="A124" s="162" t="s">
        <v>475</v>
      </c>
      <c r="B124" s="174" t="s">
        <v>98</v>
      </c>
      <c r="C124" s="168">
        <v>0</v>
      </c>
      <c r="D124" s="168">
        <v>0</v>
      </c>
      <c r="E124" s="168">
        <v>0</v>
      </c>
      <c r="F124" s="168">
        <v>0</v>
      </c>
      <c r="G124" s="168">
        <f t="shared" si="6"/>
        <v>0</v>
      </c>
      <c r="H124" s="168">
        <f t="shared" si="7"/>
        <v>0</v>
      </c>
      <c r="I124" s="168">
        <f t="shared" si="8"/>
        <v>0</v>
      </c>
      <c r="J124" s="174" t="str">
        <f t="shared" si="9"/>
        <v/>
      </c>
      <c r="K124" s="174" t="str">
        <f t="shared" si="10"/>
        <v/>
      </c>
      <c r="L124" s="174" t="str">
        <f t="shared" si="11"/>
        <v/>
      </c>
    </row>
    <row r="125" spans="1:20" x14ac:dyDescent="0.2">
      <c r="A125" s="162" t="s">
        <v>476</v>
      </c>
      <c r="B125" s="174" t="s">
        <v>86</v>
      </c>
      <c r="C125" s="168">
        <v>0</v>
      </c>
      <c r="D125" s="168">
        <v>0</v>
      </c>
      <c r="E125" s="168">
        <v>0</v>
      </c>
      <c r="F125" s="168">
        <v>0</v>
      </c>
      <c r="G125" s="168">
        <f t="shared" si="6"/>
        <v>0</v>
      </c>
      <c r="H125" s="168">
        <f t="shared" si="7"/>
        <v>0</v>
      </c>
      <c r="I125" s="168">
        <f t="shared" si="8"/>
        <v>0</v>
      </c>
      <c r="J125" s="174" t="str">
        <f t="shared" si="9"/>
        <v/>
      </c>
      <c r="K125" s="174" t="str">
        <f t="shared" si="10"/>
        <v/>
      </c>
      <c r="L125" s="174" t="str">
        <f t="shared" si="11"/>
        <v/>
      </c>
    </row>
    <row r="126" spans="1:20" x14ac:dyDescent="0.2">
      <c r="A126" s="162" t="s">
        <v>477</v>
      </c>
      <c r="B126" s="174" t="s">
        <v>238</v>
      </c>
      <c r="C126" s="168">
        <v>96</v>
      </c>
      <c r="D126" s="168">
        <v>0</v>
      </c>
      <c r="E126" s="168">
        <v>0</v>
      </c>
      <c r="F126" s="168">
        <v>0</v>
      </c>
      <c r="G126" s="168">
        <f t="shared" si="6"/>
        <v>96</v>
      </c>
      <c r="H126" s="168">
        <f t="shared" si="7"/>
        <v>0.48</v>
      </c>
      <c r="I126" s="168">
        <f t="shared" si="8"/>
        <v>1.3668</v>
      </c>
      <c r="J126" s="174">
        <f t="shared" si="9"/>
        <v>2847.5</v>
      </c>
      <c r="K126" s="174">
        <f t="shared" si="10"/>
        <v>2847.5</v>
      </c>
      <c r="L126" s="174">
        <f t="shared" si="11"/>
        <v>2847.5</v>
      </c>
    </row>
    <row r="127" spans="1:20" x14ac:dyDescent="0.2">
      <c r="A127" s="162" t="s">
        <v>478</v>
      </c>
      <c r="B127" s="174" t="s">
        <v>97</v>
      </c>
      <c r="C127" s="168">
        <v>24003.267400000001</v>
      </c>
      <c r="D127" s="168">
        <v>6815.0009</v>
      </c>
      <c r="E127" s="168">
        <v>3184.3923</v>
      </c>
      <c r="F127" s="168">
        <v>4684.9448000000002</v>
      </c>
      <c r="G127" s="168">
        <f t="shared" si="6"/>
        <v>38687.6054</v>
      </c>
      <c r="H127" s="168">
        <f t="shared" si="7"/>
        <v>193.43802700000001</v>
      </c>
      <c r="I127" s="168">
        <f t="shared" si="8"/>
        <v>606.00494954150008</v>
      </c>
      <c r="J127" s="174">
        <f t="shared" si="9"/>
        <v>3132.8118826475625</v>
      </c>
      <c r="K127" s="174">
        <f t="shared" si="10"/>
        <v>3971</v>
      </c>
      <c r="L127" s="174">
        <f t="shared" si="11"/>
        <v>2847.5</v>
      </c>
    </row>
    <row r="128" spans="1:20" x14ac:dyDescent="0.2">
      <c r="A128" s="162" t="s">
        <v>479</v>
      </c>
      <c r="B128" s="174" t="s">
        <v>237</v>
      </c>
      <c r="C128" s="168">
        <v>0</v>
      </c>
      <c r="D128" s="168">
        <v>0</v>
      </c>
      <c r="E128" s="168">
        <v>0</v>
      </c>
      <c r="F128" s="168">
        <v>0</v>
      </c>
      <c r="G128" s="168">
        <f t="shared" si="6"/>
        <v>0</v>
      </c>
      <c r="H128" s="168">
        <f t="shared" si="7"/>
        <v>0</v>
      </c>
      <c r="I128" s="168">
        <f t="shared" si="8"/>
        <v>0</v>
      </c>
      <c r="J128" s="174" t="str">
        <f t="shared" si="9"/>
        <v/>
      </c>
      <c r="K128" s="174" t="str">
        <f t="shared" si="10"/>
        <v/>
      </c>
      <c r="L128" s="174" t="str">
        <f t="shared" si="11"/>
        <v/>
      </c>
      <c r="T128" s="168"/>
    </row>
    <row r="129" spans="1:12" x14ac:dyDescent="0.2">
      <c r="A129" s="162" t="s">
        <v>480</v>
      </c>
      <c r="B129" s="174" t="s">
        <v>89</v>
      </c>
      <c r="C129" s="168">
        <v>0</v>
      </c>
      <c r="D129" s="168">
        <v>0</v>
      </c>
      <c r="E129" s="168">
        <v>0</v>
      </c>
      <c r="F129" s="168">
        <v>0</v>
      </c>
      <c r="G129" s="168">
        <f t="shared" si="6"/>
        <v>0</v>
      </c>
      <c r="H129" s="168">
        <f t="shared" si="7"/>
        <v>0</v>
      </c>
      <c r="I129" s="168">
        <f t="shared" si="8"/>
        <v>0</v>
      </c>
      <c r="J129" s="174" t="str">
        <f t="shared" si="9"/>
        <v/>
      </c>
      <c r="K129" s="174" t="str">
        <f t="shared" si="10"/>
        <v/>
      </c>
      <c r="L129" s="174" t="str">
        <f t="shared" si="11"/>
        <v/>
      </c>
    </row>
    <row r="130" spans="1:12" x14ac:dyDescent="0.2">
      <c r="A130" s="162" t="s">
        <v>481</v>
      </c>
      <c r="B130" s="174" t="s">
        <v>90</v>
      </c>
      <c r="C130" s="168">
        <v>0</v>
      </c>
      <c r="D130" s="168">
        <v>0</v>
      </c>
      <c r="E130" s="168">
        <v>0</v>
      </c>
      <c r="F130" s="168">
        <v>0</v>
      </c>
      <c r="G130" s="168">
        <f t="shared" si="6"/>
        <v>0</v>
      </c>
      <c r="H130" s="168">
        <f t="shared" si="7"/>
        <v>0</v>
      </c>
      <c r="I130" s="168">
        <f t="shared" si="8"/>
        <v>0</v>
      </c>
      <c r="J130" s="174" t="str">
        <f t="shared" si="9"/>
        <v/>
      </c>
      <c r="K130" s="174" t="str">
        <f t="shared" si="10"/>
        <v/>
      </c>
      <c r="L130" s="174" t="str">
        <f t="shared" si="11"/>
        <v/>
      </c>
    </row>
    <row r="131" spans="1:12" x14ac:dyDescent="0.2">
      <c r="A131" s="162" t="s">
        <v>482</v>
      </c>
      <c r="B131" s="174" t="s">
        <v>102</v>
      </c>
      <c r="C131" s="168">
        <v>0</v>
      </c>
      <c r="D131" s="168">
        <v>0</v>
      </c>
      <c r="E131" s="168">
        <v>0</v>
      </c>
      <c r="F131" s="168">
        <v>0</v>
      </c>
      <c r="G131" s="168">
        <f t="shared" si="6"/>
        <v>0</v>
      </c>
      <c r="H131" s="168">
        <f t="shared" si="7"/>
        <v>0</v>
      </c>
      <c r="I131" s="168">
        <f t="shared" si="8"/>
        <v>0</v>
      </c>
      <c r="J131" s="174" t="str">
        <f t="shared" si="9"/>
        <v/>
      </c>
      <c r="K131" s="174" t="str">
        <f t="shared" si="10"/>
        <v/>
      </c>
      <c r="L131" s="174" t="str">
        <f t="shared" si="11"/>
        <v/>
      </c>
    </row>
    <row r="132" spans="1:12" x14ac:dyDescent="0.2">
      <c r="A132" s="162" t="s">
        <v>483</v>
      </c>
      <c r="B132" s="174" t="s">
        <v>99</v>
      </c>
      <c r="C132" s="168">
        <v>130881.0766</v>
      </c>
      <c r="D132" s="168">
        <v>20802.4843</v>
      </c>
      <c r="E132" s="168">
        <v>6406.3099000000002</v>
      </c>
      <c r="F132" s="168">
        <v>2816.2771000000002</v>
      </c>
      <c r="G132" s="168">
        <f t="shared" si="6"/>
        <v>160906.14790000001</v>
      </c>
      <c r="H132" s="168">
        <f t="shared" si="7"/>
        <v>804.53073949999998</v>
      </c>
      <c r="I132" s="168">
        <f t="shared" si="8"/>
        <v>2380.3387953144997</v>
      </c>
      <c r="J132" s="174">
        <f t="shared" si="9"/>
        <v>2958.667305607034</v>
      </c>
      <c r="K132" s="174">
        <f t="shared" si="10"/>
        <v>3971</v>
      </c>
      <c r="L132" s="174">
        <f t="shared" si="11"/>
        <v>2847.5</v>
      </c>
    </row>
    <row r="133" spans="1:12" x14ac:dyDescent="0.2">
      <c r="A133" s="162" t="s">
        <v>484</v>
      </c>
      <c r="B133" s="174" t="s">
        <v>245</v>
      </c>
      <c r="C133" s="168">
        <v>0</v>
      </c>
      <c r="D133" s="168">
        <v>0</v>
      </c>
      <c r="E133" s="168">
        <v>0</v>
      </c>
      <c r="F133" s="168">
        <v>0</v>
      </c>
      <c r="G133" s="168">
        <f t="shared" si="6"/>
        <v>0</v>
      </c>
      <c r="H133" s="168">
        <f t="shared" si="7"/>
        <v>0</v>
      </c>
      <c r="I133" s="168">
        <f t="shared" si="8"/>
        <v>0</v>
      </c>
      <c r="J133" s="174" t="str">
        <f t="shared" si="9"/>
        <v/>
      </c>
      <c r="K133" s="174" t="str">
        <f t="shared" si="10"/>
        <v/>
      </c>
      <c r="L133" s="174" t="str">
        <f t="shared" si="11"/>
        <v/>
      </c>
    </row>
    <row r="134" spans="1:12" x14ac:dyDescent="0.2">
      <c r="A134" s="162" t="s">
        <v>485</v>
      </c>
      <c r="B134" s="174" t="s">
        <v>101</v>
      </c>
      <c r="C134" s="168">
        <v>0</v>
      </c>
      <c r="D134" s="168">
        <v>0</v>
      </c>
      <c r="E134" s="168">
        <v>0</v>
      </c>
      <c r="F134" s="168">
        <v>0</v>
      </c>
      <c r="G134" s="168">
        <f t="shared" ref="G134:G197" si="12">SUM(C134:F134)</f>
        <v>0</v>
      </c>
      <c r="H134" s="168">
        <f t="shared" ref="H134:H197" si="13">(C134*$Q$21+D134*$Q$22+E134*$Q$23+F134*$Q$24)/1000</f>
        <v>0</v>
      </c>
      <c r="I134" s="168">
        <f t="shared" ref="I134:I197" si="14">(C134*$Q$21*$V$10+D134*$Q$22*$V$11+E134*$Q$23*$V$12+F134*$Q$24*$V$13)/1000000</f>
        <v>0</v>
      </c>
      <c r="J134" s="174" t="str">
        <f t="shared" ref="J134:J197" si="15">IF(G134&gt;0,(C134*$V$10+D134*$V$11+E134*$V$12+F134*$V$13)/G134,"")</f>
        <v/>
      </c>
      <c r="K134" s="174" t="str">
        <f t="shared" ref="K134:K197" si="16">IF(F134&gt;0,$V$13,IF(E134&gt;0,$V$12,IF(D134&gt;0,$V$11,IF(C134&gt;0,$V$10,""))))</f>
        <v/>
      </c>
      <c r="L134" s="174" t="str">
        <f t="shared" ref="L134:L197" si="17">IF(H134=0,"",IF(C134&gt;0,$V$10,IF(D134&gt;0,$V$11,IF(E134&gt;0,$V$12,$V$13))))</f>
        <v/>
      </c>
    </row>
    <row r="135" spans="1:12" x14ac:dyDescent="0.2">
      <c r="A135" s="162" t="s">
        <v>486</v>
      </c>
      <c r="B135" s="174" t="s">
        <v>91</v>
      </c>
      <c r="C135" s="168">
        <v>0</v>
      </c>
      <c r="D135" s="168">
        <v>0</v>
      </c>
      <c r="E135" s="168">
        <v>0</v>
      </c>
      <c r="F135" s="168">
        <v>0</v>
      </c>
      <c r="G135" s="168">
        <f t="shared" si="12"/>
        <v>0</v>
      </c>
      <c r="H135" s="168">
        <f t="shared" si="13"/>
        <v>0</v>
      </c>
      <c r="I135" s="168">
        <f t="shared" si="14"/>
        <v>0</v>
      </c>
      <c r="J135" s="174" t="str">
        <f t="shared" si="15"/>
        <v/>
      </c>
      <c r="K135" s="174" t="str">
        <f t="shared" si="16"/>
        <v/>
      </c>
      <c r="L135" s="174" t="str">
        <f t="shared" si="17"/>
        <v/>
      </c>
    </row>
    <row r="136" spans="1:12" x14ac:dyDescent="0.2">
      <c r="A136" s="162" t="s">
        <v>487</v>
      </c>
      <c r="B136" s="174" t="s">
        <v>246</v>
      </c>
      <c r="C136" s="168">
        <v>0</v>
      </c>
      <c r="D136" s="168">
        <v>0</v>
      </c>
      <c r="E136" s="168">
        <v>0</v>
      </c>
      <c r="F136" s="168">
        <v>0</v>
      </c>
      <c r="G136" s="168">
        <f t="shared" si="12"/>
        <v>0</v>
      </c>
      <c r="H136" s="168">
        <f t="shared" si="13"/>
        <v>0</v>
      </c>
      <c r="I136" s="168">
        <f t="shared" si="14"/>
        <v>0</v>
      </c>
      <c r="J136" s="174" t="str">
        <f t="shared" si="15"/>
        <v/>
      </c>
      <c r="K136" s="174" t="str">
        <f t="shared" si="16"/>
        <v/>
      </c>
      <c r="L136" s="174" t="str">
        <f t="shared" si="17"/>
        <v/>
      </c>
    </row>
    <row r="137" spans="1:12" x14ac:dyDescent="0.2">
      <c r="A137" s="162" t="s">
        <v>488</v>
      </c>
      <c r="B137" s="174" t="s">
        <v>240</v>
      </c>
      <c r="C137" s="168">
        <v>0</v>
      </c>
      <c r="D137" s="168">
        <v>0</v>
      </c>
      <c r="E137" s="168">
        <v>0</v>
      </c>
      <c r="F137" s="168">
        <v>0</v>
      </c>
      <c r="G137" s="168">
        <f t="shared" si="12"/>
        <v>0</v>
      </c>
      <c r="H137" s="168">
        <f t="shared" si="13"/>
        <v>0</v>
      </c>
      <c r="I137" s="168">
        <f t="shared" si="14"/>
        <v>0</v>
      </c>
      <c r="J137" s="174" t="str">
        <f t="shared" si="15"/>
        <v/>
      </c>
      <c r="K137" s="174" t="str">
        <f t="shared" si="16"/>
        <v/>
      </c>
      <c r="L137" s="174" t="str">
        <f t="shared" si="17"/>
        <v/>
      </c>
    </row>
    <row r="138" spans="1:12" x14ac:dyDescent="0.2">
      <c r="A138" s="162" t="s">
        <v>489</v>
      </c>
      <c r="B138" s="174" t="s">
        <v>96</v>
      </c>
      <c r="C138" s="168">
        <v>0</v>
      </c>
      <c r="D138" s="168">
        <v>0</v>
      </c>
      <c r="E138" s="168">
        <v>0</v>
      </c>
      <c r="F138" s="168">
        <v>0</v>
      </c>
      <c r="G138" s="168">
        <f t="shared" si="12"/>
        <v>0</v>
      </c>
      <c r="H138" s="168">
        <f t="shared" si="13"/>
        <v>0</v>
      </c>
      <c r="I138" s="168">
        <f t="shared" si="14"/>
        <v>0</v>
      </c>
      <c r="J138" s="174" t="str">
        <f t="shared" si="15"/>
        <v/>
      </c>
      <c r="K138" s="174" t="str">
        <f t="shared" si="16"/>
        <v/>
      </c>
      <c r="L138" s="174" t="str">
        <f t="shared" si="17"/>
        <v/>
      </c>
    </row>
    <row r="139" spans="1:12" x14ac:dyDescent="0.2">
      <c r="A139" s="162" t="s">
        <v>490</v>
      </c>
      <c r="B139" s="174" t="s">
        <v>87</v>
      </c>
      <c r="C139" s="168">
        <v>0</v>
      </c>
      <c r="D139" s="168">
        <v>0</v>
      </c>
      <c r="E139" s="168">
        <v>0</v>
      </c>
      <c r="F139" s="168">
        <v>0</v>
      </c>
      <c r="G139" s="168">
        <f t="shared" si="12"/>
        <v>0</v>
      </c>
      <c r="H139" s="168">
        <f t="shared" si="13"/>
        <v>0</v>
      </c>
      <c r="I139" s="168">
        <f t="shared" si="14"/>
        <v>0</v>
      </c>
      <c r="J139" s="174" t="str">
        <f t="shared" si="15"/>
        <v/>
      </c>
      <c r="K139" s="174" t="str">
        <f t="shared" si="16"/>
        <v/>
      </c>
      <c r="L139" s="174" t="str">
        <f t="shared" si="17"/>
        <v/>
      </c>
    </row>
    <row r="140" spans="1:12" x14ac:dyDescent="0.2">
      <c r="A140" s="162" t="s">
        <v>491</v>
      </c>
      <c r="B140" s="174" t="s">
        <v>88</v>
      </c>
      <c r="C140" s="168">
        <v>0</v>
      </c>
      <c r="D140" s="168">
        <v>0</v>
      </c>
      <c r="E140" s="168">
        <v>0</v>
      </c>
      <c r="F140" s="168">
        <v>0</v>
      </c>
      <c r="G140" s="168">
        <f t="shared" si="12"/>
        <v>0</v>
      </c>
      <c r="H140" s="168">
        <f t="shared" si="13"/>
        <v>0</v>
      </c>
      <c r="I140" s="168">
        <f t="shared" si="14"/>
        <v>0</v>
      </c>
      <c r="J140" s="174" t="str">
        <f t="shared" si="15"/>
        <v/>
      </c>
      <c r="K140" s="174" t="str">
        <f t="shared" si="16"/>
        <v/>
      </c>
      <c r="L140" s="174" t="str">
        <f t="shared" si="17"/>
        <v/>
      </c>
    </row>
    <row r="141" spans="1:12" x14ac:dyDescent="0.2">
      <c r="A141" s="162" t="s">
        <v>492</v>
      </c>
      <c r="B141" s="174" t="s">
        <v>241</v>
      </c>
      <c r="C141" s="168">
        <v>0</v>
      </c>
      <c r="D141" s="168">
        <v>0</v>
      </c>
      <c r="E141" s="168">
        <v>0</v>
      </c>
      <c r="F141" s="168">
        <v>0</v>
      </c>
      <c r="G141" s="168">
        <f t="shared" si="12"/>
        <v>0</v>
      </c>
      <c r="H141" s="168">
        <f t="shared" si="13"/>
        <v>0</v>
      </c>
      <c r="I141" s="168">
        <f t="shared" si="14"/>
        <v>0</v>
      </c>
      <c r="J141" s="174" t="str">
        <f t="shared" si="15"/>
        <v/>
      </c>
      <c r="K141" s="174" t="str">
        <f t="shared" si="16"/>
        <v/>
      </c>
      <c r="L141" s="174" t="str">
        <f t="shared" si="17"/>
        <v/>
      </c>
    </row>
    <row r="142" spans="1:12" x14ac:dyDescent="0.2">
      <c r="A142" s="162" t="s">
        <v>493</v>
      </c>
      <c r="B142" s="174" t="s">
        <v>103</v>
      </c>
      <c r="C142" s="168">
        <v>0</v>
      </c>
      <c r="D142" s="168">
        <v>0</v>
      </c>
      <c r="E142" s="168">
        <v>0</v>
      </c>
      <c r="F142" s="168">
        <v>0</v>
      </c>
      <c r="G142" s="168">
        <f t="shared" si="12"/>
        <v>0</v>
      </c>
      <c r="H142" s="168">
        <f t="shared" si="13"/>
        <v>0</v>
      </c>
      <c r="I142" s="168">
        <f t="shared" si="14"/>
        <v>0</v>
      </c>
      <c r="J142" s="174" t="str">
        <f t="shared" si="15"/>
        <v/>
      </c>
      <c r="K142" s="174" t="str">
        <f t="shared" si="16"/>
        <v/>
      </c>
      <c r="L142" s="174" t="str">
        <f t="shared" si="17"/>
        <v/>
      </c>
    </row>
    <row r="143" spans="1:12" x14ac:dyDescent="0.2">
      <c r="A143" s="162" t="s">
        <v>494</v>
      </c>
      <c r="B143" s="174" t="s">
        <v>249</v>
      </c>
      <c r="C143" s="168">
        <v>0</v>
      </c>
      <c r="D143" s="168">
        <v>0</v>
      </c>
      <c r="E143" s="168">
        <v>0</v>
      </c>
      <c r="F143" s="168">
        <v>0</v>
      </c>
      <c r="G143" s="168">
        <f t="shared" si="12"/>
        <v>0</v>
      </c>
      <c r="H143" s="168">
        <f t="shared" si="13"/>
        <v>0</v>
      </c>
      <c r="I143" s="168">
        <f t="shared" si="14"/>
        <v>0</v>
      </c>
      <c r="J143" s="174" t="str">
        <f t="shared" si="15"/>
        <v/>
      </c>
      <c r="K143" s="174" t="str">
        <f t="shared" si="16"/>
        <v/>
      </c>
      <c r="L143" s="174" t="str">
        <f t="shared" si="17"/>
        <v/>
      </c>
    </row>
    <row r="144" spans="1:12" x14ac:dyDescent="0.2">
      <c r="A144" s="162" t="s">
        <v>495</v>
      </c>
      <c r="B144" s="174" t="s">
        <v>108</v>
      </c>
      <c r="C144" s="168">
        <v>0</v>
      </c>
      <c r="D144" s="168">
        <v>0</v>
      </c>
      <c r="E144" s="168">
        <v>0</v>
      </c>
      <c r="F144" s="168">
        <v>0</v>
      </c>
      <c r="G144" s="168">
        <f t="shared" si="12"/>
        <v>0</v>
      </c>
      <c r="H144" s="168">
        <f t="shared" si="13"/>
        <v>0</v>
      </c>
      <c r="I144" s="168">
        <f t="shared" si="14"/>
        <v>0</v>
      </c>
      <c r="J144" s="174" t="str">
        <f t="shared" si="15"/>
        <v/>
      </c>
      <c r="K144" s="174" t="str">
        <f t="shared" si="16"/>
        <v/>
      </c>
      <c r="L144" s="174" t="str">
        <f t="shared" si="17"/>
        <v/>
      </c>
    </row>
    <row r="145" spans="1:12" x14ac:dyDescent="0.2">
      <c r="A145" s="162" t="s">
        <v>496</v>
      </c>
      <c r="B145" s="174" t="s">
        <v>109</v>
      </c>
      <c r="C145" s="168">
        <v>0</v>
      </c>
      <c r="D145" s="168">
        <v>0</v>
      </c>
      <c r="E145" s="168">
        <v>0</v>
      </c>
      <c r="F145" s="168">
        <v>0</v>
      </c>
      <c r="G145" s="168">
        <f t="shared" si="12"/>
        <v>0</v>
      </c>
      <c r="H145" s="168">
        <f t="shared" si="13"/>
        <v>0</v>
      </c>
      <c r="I145" s="168">
        <f t="shared" si="14"/>
        <v>0</v>
      </c>
      <c r="J145" s="174" t="str">
        <f t="shared" si="15"/>
        <v/>
      </c>
      <c r="K145" s="174" t="str">
        <f t="shared" si="16"/>
        <v/>
      </c>
      <c r="L145" s="174" t="str">
        <f t="shared" si="17"/>
        <v/>
      </c>
    </row>
    <row r="146" spans="1:12" x14ac:dyDescent="0.2">
      <c r="A146" s="162" t="s">
        <v>497</v>
      </c>
      <c r="B146" s="174" t="s">
        <v>107</v>
      </c>
      <c r="C146" s="168">
        <v>6821</v>
      </c>
      <c r="D146" s="168">
        <v>4058</v>
      </c>
      <c r="E146" s="168">
        <v>1859</v>
      </c>
      <c r="F146" s="168">
        <v>1696</v>
      </c>
      <c r="G146" s="168">
        <f t="shared" si="12"/>
        <v>14434</v>
      </c>
      <c r="H146" s="168">
        <f t="shared" si="13"/>
        <v>72.17</v>
      </c>
      <c r="I146" s="168">
        <f t="shared" si="14"/>
        <v>232.06079500000001</v>
      </c>
      <c r="J146" s="174">
        <f t="shared" si="15"/>
        <v>3215.4745046418179</v>
      </c>
      <c r="K146" s="174">
        <f t="shared" si="16"/>
        <v>3971</v>
      </c>
      <c r="L146" s="174">
        <f t="shared" si="17"/>
        <v>2847.5</v>
      </c>
    </row>
    <row r="147" spans="1:12" x14ac:dyDescent="0.2">
      <c r="A147" s="162" t="s">
        <v>498</v>
      </c>
      <c r="B147" s="174" t="s">
        <v>105</v>
      </c>
      <c r="C147" s="168">
        <v>4051.3</v>
      </c>
      <c r="D147" s="168">
        <v>6026.2</v>
      </c>
      <c r="E147" s="168">
        <v>166.62</v>
      </c>
      <c r="F147" s="168">
        <v>0</v>
      </c>
      <c r="G147" s="168">
        <f t="shared" si="12"/>
        <v>10244.120000000001</v>
      </c>
      <c r="H147" s="168">
        <f t="shared" si="13"/>
        <v>51.220599999999997</v>
      </c>
      <c r="I147" s="168">
        <f t="shared" si="14"/>
        <v>159.77783209999998</v>
      </c>
      <c r="J147" s="174">
        <f t="shared" si="15"/>
        <v>3119.4057098120675</v>
      </c>
      <c r="K147" s="174">
        <f t="shared" si="16"/>
        <v>3723.5</v>
      </c>
      <c r="L147" s="174">
        <f t="shared" si="17"/>
        <v>2847.5</v>
      </c>
    </row>
    <row r="148" spans="1:12" x14ac:dyDescent="0.2">
      <c r="A148" s="162" t="s">
        <v>499</v>
      </c>
      <c r="B148" s="174" t="s">
        <v>110</v>
      </c>
      <c r="C148" s="168">
        <v>29863.68</v>
      </c>
      <c r="D148" s="168">
        <v>42849.53</v>
      </c>
      <c r="E148" s="168">
        <v>116141.7</v>
      </c>
      <c r="F148" s="168">
        <v>22894.42</v>
      </c>
      <c r="G148" s="168">
        <f t="shared" si="12"/>
        <v>211749.32999999996</v>
      </c>
      <c r="H148" s="168">
        <f t="shared" si="13"/>
        <v>1058.74665</v>
      </c>
      <c r="I148" s="168">
        <f t="shared" si="14"/>
        <v>3745.9316069249999</v>
      </c>
      <c r="J148" s="174">
        <f t="shared" si="15"/>
        <v>3538.0811896075429</v>
      </c>
      <c r="K148" s="174">
        <f t="shared" si="16"/>
        <v>3971</v>
      </c>
      <c r="L148" s="174">
        <f t="shared" si="17"/>
        <v>2847.5</v>
      </c>
    </row>
    <row r="149" spans="1:12" x14ac:dyDescent="0.2">
      <c r="A149" s="162" t="s">
        <v>500</v>
      </c>
      <c r="B149" s="174" t="s">
        <v>104</v>
      </c>
      <c r="C149" s="168">
        <v>1747.5733</v>
      </c>
      <c r="D149" s="168">
        <v>1296.5265999999999</v>
      </c>
      <c r="E149" s="168">
        <v>1097.4036000000001</v>
      </c>
      <c r="F149" s="168">
        <v>3464.4827999999998</v>
      </c>
      <c r="G149" s="168">
        <f t="shared" si="12"/>
        <v>7605.9863000000005</v>
      </c>
      <c r="H149" s="168">
        <f t="shared" si="13"/>
        <v>38.029931499999996</v>
      </c>
      <c r="I149" s="168">
        <f t="shared" si="14"/>
        <v>135.39798309724998</v>
      </c>
      <c r="J149" s="174">
        <f t="shared" si="15"/>
        <v>3560.3004727276461</v>
      </c>
      <c r="K149" s="174">
        <f t="shared" si="16"/>
        <v>3971</v>
      </c>
      <c r="L149" s="174">
        <f t="shared" si="17"/>
        <v>2847.5</v>
      </c>
    </row>
    <row r="150" spans="1:12" x14ac:dyDescent="0.2">
      <c r="A150" s="162" t="s">
        <v>501</v>
      </c>
      <c r="B150" s="174" t="s">
        <v>106</v>
      </c>
      <c r="C150" s="168">
        <v>1297.6500000000001</v>
      </c>
      <c r="D150" s="168">
        <v>1546.96</v>
      </c>
      <c r="E150" s="168">
        <v>4983.03</v>
      </c>
      <c r="F150" s="168">
        <v>2502.4699999999998</v>
      </c>
      <c r="G150" s="168">
        <f t="shared" si="12"/>
        <v>10330.109999999999</v>
      </c>
      <c r="H150" s="168">
        <f t="shared" si="13"/>
        <v>51.650549999999996</v>
      </c>
      <c r="I150" s="168">
        <f t="shared" si="14"/>
        <v>186.34608015000001</v>
      </c>
      <c r="J150" s="174">
        <f t="shared" si="15"/>
        <v>3607.8237337259716</v>
      </c>
      <c r="K150" s="174">
        <f t="shared" si="16"/>
        <v>3971</v>
      </c>
      <c r="L150" s="174">
        <f t="shared" si="17"/>
        <v>2847.5</v>
      </c>
    </row>
    <row r="151" spans="1:12" x14ac:dyDescent="0.2">
      <c r="A151" s="162" t="s">
        <v>502</v>
      </c>
      <c r="B151" s="174" t="s">
        <v>111</v>
      </c>
      <c r="C151" s="168">
        <v>0</v>
      </c>
      <c r="D151" s="168">
        <v>0</v>
      </c>
      <c r="E151" s="168">
        <v>0</v>
      </c>
      <c r="F151" s="168">
        <v>0</v>
      </c>
      <c r="G151" s="168">
        <f t="shared" si="12"/>
        <v>0</v>
      </c>
      <c r="H151" s="168">
        <f t="shared" si="13"/>
        <v>0</v>
      </c>
      <c r="I151" s="168">
        <f t="shared" si="14"/>
        <v>0</v>
      </c>
      <c r="J151" s="174" t="str">
        <f t="shared" si="15"/>
        <v/>
      </c>
      <c r="K151" s="174" t="str">
        <f t="shared" si="16"/>
        <v/>
      </c>
      <c r="L151" s="174" t="str">
        <f t="shared" si="17"/>
        <v/>
      </c>
    </row>
    <row r="152" spans="1:12" x14ac:dyDescent="0.2">
      <c r="A152" s="162" t="s">
        <v>503</v>
      </c>
      <c r="B152" s="174" t="s">
        <v>112</v>
      </c>
      <c r="C152" s="168">
        <v>42864.230382149995</v>
      </c>
      <c r="D152" s="168">
        <v>18105.760447860001</v>
      </c>
      <c r="E152" s="168">
        <v>5218.2130465700002</v>
      </c>
      <c r="F152" s="168">
        <v>3038.1456341799999</v>
      </c>
      <c r="G152" s="168">
        <f t="shared" si="12"/>
        <v>69226.349510759988</v>
      </c>
      <c r="H152" s="168">
        <f t="shared" si="13"/>
        <v>346.13174755379998</v>
      </c>
      <c r="I152" s="168">
        <f t="shared" si="14"/>
        <v>1065.1843227842417</v>
      </c>
      <c r="J152" s="174">
        <f t="shared" si="15"/>
        <v>3077.3956168775812</v>
      </c>
      <c r="K152" s="174">
        <f t="shared" si="16"/>
        <v>3971</v>
      </c>
      <c r="L152" s="174">
        <f t="shared" si="17"/>
        <v>2847.5</v>
      </c>
    </row>
    <row r="153" spans="1:12" x14ac:dyDescent="0.2">
      <c r="A153" s="162" t="s">
        <v>504</v>
      </c>
      <c r="B153" s="174" t="s">
        <v>113</v>
      </c>
      <c r="C153" s="168">
        <v>0</v>
      </c>
      <c r="D153" s="168">
        <v>0</v>
      </c>
      <c r="E153" s="168">
        <v>0</v>
      </c>
      <c r="F153" s="168">
        <v>0</v>
      </c>
      <c r="G153" s="168">
        <f t="shared" si="12"/>
        <v>0</v>
      </c>
      <c r="H153" s="168">
        <f t="shared" si="13"/>
        <v>0</v>
      </c>
      <c r="I153" s="168">
        <f t="shared" si="14"/>
        <v>0</v>
      </c>
      <c r="J153" s="174" t="str">
        <f t="shared" si="15"/>
        <v/>
      </c>
      <c r="K153" s="174" t="str">
        <f t="shared" si="16"/>
        <v/>
      </c>
      <c r="L153" s="174" t="str">
        <f t="shared" si="17"/>
        <v/>
      </c>
    </row>
    <row r="154" spans="1:12" x14ac:dyDescent="0.2">
      <c r="A154" s="162" t="s">
        <v>505</v>
      </c>
      <c r="B154" s="174" t="s">
        <v>115</v>
      </c>
      <c r="C154" s="168">
        <v>79164.399999999994</v>
      </c>
      <c r="D154" s="168">
        <v>143341.93</v>
      </c>
      <c r="E154" s="168">
        <v>142912.71</v>
      </c>
      <c r="F154" s="168">
        <v>305792.84999999998</v>
      </c>
      <c r="G154" s="168">
        <f t="shared" si="12"/>
        <v>671211.8899999999</v>
      </c>
      <c r="H154" s="168">
        <f t="shared" si="13"/>
        <v>3356.0594499999997</v>
      </c>
      <c r="I154" s="168">
        <f t="shared" si="14"/>
        <v>12214.047115249999</v>
      </c>
      <c r="J154" s="174">
        <f t="shared" si="15"/>
        <v>3639.4012970330427</v>
      </c>
      <c r="K154" s="174">
        <f t="shared" si="16"/>
        <v>3971</v>
      </c>
      <c r="L154" s="174">
        <f t="shared" si="17"/>
        <v>2847.5</v>
      </c>
    </row>
    <row r="155" spans="1:12" x14ac:dyDescent="0.2">
      <c r="A155" s="162" t="s">
        <v>506</v>
      </c>
      <c r="B155" s="174" t="s">
        <v>116</v>
      </c>
      <c r="C155" s="168">
        <v>5538</v>
      </c>
      <c r="D155" s="168">
        <v>2842</v>
      </c>
      <c r="E155" s="168">
        <v>1467</v>
      </c>
      <c r="F155" s="168">
        <v>1208</v>
      </c>
      <c r="G155" s="168">
        <f t="shared" si="12"/>
        <v>11055</v>
      </c>
      <c r="H155" s="168">
        <f t="shared" si="13"/>
        <v>55.274999999999999</v>
      </c>
      <c r="I155" s="168">
        <f t="shared" si="14"/>
        <v>176.83094249999999</v>
      </c>
      <c r="J155" s="174">
        <f t="shared" si="15"/>
        <v>3199.1124830393487</v>
      </c>
      <c r="K155" s="174">
        <f t="shared" si="16"/>
        <v>3971</v>
      </c>
      <c r="L155" s="174">
        <f t="shared" si="17"/>
        <v>2847.5</v>
      </c>
    </row>
    <row r="156" spans="1:12" x14ac:dyDescent="0.2">
      <c r="A156" s="162" t="s">
        <v>507</v>
      </c>
      <c r="B156" s="174" t="s">
        <v>255</v>
      </c>
      <c r="C156" s="168">
        <v>0</v>
      </c>
      <c r="D156" s="168">
        <v>0</v>
      </c>
      <c r="E156" s="168">
        <v>0</v>
      </c>
      <c r="F156" s="168">
        <v>0</v>
      </c>
      <c r="G156" s="168">
        <f t="shared" si="12"/>
        <v>0</v>
      </c>
      <c r="H156" s="168">
        <f t="shared" si="13"/>
        <v>0</v>
      </c>
      <c r="I156" s="168">
        <f t="shared" si="14"/>
        <v>0</v>
      </c>
      <c r="J156" s="174" t="str">
        <f t="shared" si="15"/>
        <v/>
      </c>
      <c r="K156" s="174" t="str">
        <f t="shared" si="16"/>
        <v/>
      </c>
      <c r="L156" s="174" t="str">
        <f t="shared" si="17"/>
        <v/>
      </c>
    </row>
    <row r="157" spans="1:12" x14ac:dyDescent="0.2">
      <c r="A157" s="162" t="s">
        <v>508</v>
      </c>
      <c r="B157" s="174" t="s">
        <v>257</v>
      </c>
      <c r="C157" s="168">
        <v>2930.64</v>
      </c>
      <c r="D157" s="168">
        <v>3357.55</v>
      </c>
      <c r="E157" s="168">
        <v>0</v>
      </c>
      <c r="F157" s="168">
        <v>0</v>
      </c>
      <c r="G157" s="168">
        <f t="shared" si="12"/>
        <v>6288.1900000000005</v>
      </c>
      <c r="H157" s="168">
        <f t="shared" si="13"/>
        <v>31.440949999999997</v>
      </c>
      <c r="I157" s="168">
        <f t="shared" si="14"/>
        <v>96.881139625000003</v>
      </c>
      <c r="J157" s="174">
        <f t="shared" si="15"/>
        <v>3081.3680765053218</v>
      </c>
      <c r="K157" s="174">
        <f t="shared" si="16"/>
        <v>3285.5</v>
      </c>
      <c r="L157" s="174">
        <f t="shared" si="17"/>
        <v>2847.5</v>
      </c>
    </row>
    <row r="158" spans="1:12" x14ac:dyDescent="0.2">
      <c r="A158" s="162" t="s">
        <v>509</v>
      </c>
      <c r="B158" s="174" t="s">
        <v>117</v>
      </c>
      <c r="C158" s="168">
        <v>16.844999999999999</v>
      </c>
      <c r="D158" s="168">
        <v>2.4687000000000001</v>
      </c>
      <c r="E158" s="168">
        <v>0.59699999999999998</v>
      </c>
      <c r="F158" s="168">
        <v>0.59699999999999998</v>
      </c>
      <c r="G158" s="168">
        <f t="shared" si="12"/>
        <v>20.5077</v>
      </c>
      <c r="H158" s="168">
        <f t="shared" si="13"/>
        <v>0.1025385</v>
      </c>
      <c r="I158" s="168">
        <f t="shared" si="14"/>
        <v>0.30335333924999996</v>
      </c>
      <c r="J158" s="174">
        <f t="shared" si="15"/>
        <v>2958.4335566640821</v>
      </c>
      <c r="K158" s="174">
        <f t="shared" si="16"/>
        <v>3971</v>
      </c>
      <c r="L158" s="174">
        <f t="shared" si="17"/>
        <v>2847.5</v>
      </c>
    </row>
    <row r="159" spans="1:12" x14ac:dyDescent="0.2">
      <c r="A159" s="162" t="s">
        <v>510</v>
      </c>
      <c r="B159" s="174" t="s">
        <v>252</v>
      </c>
      <c r="C159" s="168">
        <v>6244.84</v>
      </c>
      <c r="D159" s="168">
        <v>0</v>
      </c>
      <c r="E159" s="168">
        <v>0</v>
      </c>
      <c r="F159" s="168">
        <v>0</v>
      </c>
      <c r="G159" s="168">
        <f t="shared" si="12"/>
        <v>6244.84</v>
      </c>
      <c r="H159" s="168">
        <f t="shared" si="13"/>
        <v>31.2242</v>
      </c>
      <c r="I159" s="168">
        <f t="shared" si="14"/>
        <v>88.910909500000002</v>
      </c>
      <c r="J159" s="174">
        <f t="shared" si="15"/>
        <v>2847.5000000000005</v>
      </c>
      <c r="K159" s="174">
        <f t="shared" si="16"/>
        <v>2847.5</v>
      </c>
      <c r="L159" s="174">
        <f t="shared" si="17"/>
        <v>2847.5</v>
      </c>
    </row>
    <row r="160" spans="1:12" x14ac:dyDescent="0.2">
      <c r="A160" s="162" t="s">
        <v>511</v>
      </c>
      <c r="B160" s="174" t="s">
        <v>258</v>
      </c>
      <c r="C160" s="168">
        <v>3203.88</v>
      </c>
      <c r="D160" s="168">
        <v>2407.48</v>
      </c>
      <c r="E160" s="168">
        <v>0</v>
      </c>
      <c r="F160" s="168">
        <v>0</v>
      </c>
      <c r="G160" s="168">
        <f t="shared" si="12"/>
        <v>5611.3600000000006</v>
      </c>
      <c r="H160" s="168">
        <f t="shared" si="13"/>
        <v>28.056800000000003</v>
      </c>
      <c r="I160" s="168">
        <f t="shared" si="14"/>
        <v>85.164119200000002</v>
      </c>
      <c r="J160" s="174">
        <f t="shared" si="15"/>
        <v>3035.4181232357214</v>
      </c>
      <c r="K160" s="174">
        <f t="shared" si="16"/>
        <v>3285.5</v>
      </c>
      <c r="L160" s="174">
        <f t="shared" si="17"/>
        <v>2847.5</v>
      </c>
    </row>
    <row r="161" spans="1:23" x14ac:dyDescent="0.2">
      <c r="A161" s="162" t="s">
        <v>512</v>
      </c>
      <c r="B161" s="174" t="s">
        <v>114</v>
      </c>
      <c r="C161" s="168">
        <v>0</v>
      </c>
      <c r="D161" s="168">
        <v>0</v>
      </c>
      <c r="E161" s="168">
        <v>0</v>
      </c>
      <c r="F161" s="168">
        <v>0</v>
      </c>
      <c r="G161" s="168">
        <f t="shared" si="12"/>
        <v>0</v>
      </c>
      <c r="H161" s="168">
        <f t="shared" si="13"/>
        <v>0</v>
      </c>
      <c r="I161" s="168">
        <f t="shared" si="14"/>
        <v>0</v>
      </c>
      <c r="J161" s="174" t="str">
        <f t="shared" si="15"/>
        <v/>
      </c>
      <c r="K161" s="174" t="str">
        <f t="shared" si="16"/>
        <v/>
      </c>
      <c r="L161" s="174" t="str">
        <f t="shared" si="17"/>
        <v/>
      </c>
    </row>
    <row r="162" spans="1:23" x14ac:dyDescent="0.2">
      <c r="A162" s="162" t="s">
        <v>513</v>
      </c>
      <c r="B162" s="174" t="s">
        <v>208</v>
      </c>
      <c r="C162" s="168" t="s">
        <v>382</v>
      </c>
      <c r="D162" s="168" t="s">
        <v>382</v>
      </c>
      <c r="E162" s="168" t="s">
        <v>382</v>
      </c>
      <c r="F162" s="168" t="s">
        <v>382</v>
      </c>
      <c r="G162" s="168">
        <f t="shared" si="12"/>
        <v>0</v>
      </c>
      <c r="H162" s="168" t="e">
        <f t="shared" si="13"/>
        <v>#VALUE!</v>
      </c>
      <c r="I162" s="168" t="e">
        <f t="shared" si="14"/>
        <v>#VALUE!</v>
      </c>
      <c r="J162" s="174" t="str">
        <f t="shared" si="15"/>
        <v/>
      </c>
      <c r="K162" s="174">
        <f t="shared" si="16"/>
        <v>3971</v>
      </c>
      <c r="L162" s="174" t="e">
        <f t="shared" si="17"/>
        <v>#VALUE!</v>
      </c>
    </row>
    <row r="163" spans="1:23" x14ac:dyDescent="0.2">
      <c r="A163" s="162" t="s">
        <v>514</v>
      </c>
      <c r="B163" s="174" t="s">
        <v>118</v>
      </c>
      <c r="C163" s="168">
        <v>0</v>
      </c>
      <c r="D163" s="168">
        <v>0</v>
      </c>
      <c r="E163" s="168">
        <v>0</v>
      </c>
      <c r="F163" s="168">
        <v>0</v>
      </c>
      <c r="G163" s="168">
        <f t="shared" si="12"/>
        <v>0</v>
      </c>
      <c r="H163" s="168">
        <f t="shared" si="13"/>
        <v>0</v>
      </c>
      <c r="I163" s="168">
        <f t="shared" si="14"/>
        <v>0</v>
      </c>
      <c r="J163" s="174" t="str">
        <f t="shared" si="15"/>
        <v/>
      </c>
      <c r="K163" s="174" t="str">
        <f t="shared" si="16"/>
        <v/>
      </c>
      <c r="L163" s="174" t="str">
        <f t="shared" si="17"/>
        <v/>
      </c>
    </row>
    <row r="164" spans="1:23" x14ac:dyDescent="0.2">
      <c r="A164" s="162" t="s">
        <v>515</v>
      </c>
      <c r="B164" s="174" t="s">
        <v>228</v>
      </c>
      <c r="C164" s="168">
        <v>0</v>
      </c>
      <c r="D164" s="168">
        <v>0</v>
      </c>
      <c r="E164" s="168">
        <v>0</v>
      </c>
      <c r="F164" s="168">
        <v>0</v>
      </c>
      <c r="G164" s="168">
        <f t="shared" si="12"/>
        <v>0</v>
      </c>
      <c r="H164" s="168">
        <f t="shared" si="13"/>
        <v>0</v>
      </c>
      <c r="I164" s="168">
        <f t="shared" si="14"/>
        <v>0</v>
      </c>
      <c r="J164" s="174" t="str">
        <f t="shared" si="15"/>
        <v/>
      </c>
      <c r="K164" s="174" t="str">
        <f t="shared" si="16"/>
        <v/>
      </c>
      <c r="L164" s="174" t="str">
        <f t="shared" si="17"/>
        <v/>
      </c>
    </row>
    <row r="165" spans="1:23" x14ac:dyDescent="0.2">
      <c r="A165" s="162" t="s">
        <v>516</v>
      </c>
      <c r="B165" s="174" t="s">
        <v>260</v>
      </c>
      <c r="C165" s="168">
        <v>0</v>
      </c>
      <c r="D165" s="168">
        <v>0</v>
      </c>
      <c r="E165" s="168">
        <v>0</v>
      </c>
      <c r="F165" s="168">
        <v>0</v>
      </c>
      <c r="G165" s="168">
        <f t="shared" si="12"/>
        <v>0</v>
      </c>
      <c r="H165" s="168">
        <f t="shared" si="13"/>
        <v>0</v>
      </c>
      <c r="I165" s="168">
        <f t="shared" si="14"/>
        <v>0</v>
      </c>
      <c r="J165" s="174" t="str">
        <f t="shared" si="15"/>
        <v/>
      </c>
      <c r="K165" s="174" t="str">
        <f t="shared" si="16"/>
        <v/>
      </c>
      <c r="L165" s="174" t="str">
        <f t="shared" si="17"/>
        <v/>
      </c>
    </row>
    <row r="166" spans="1:23" x14ac:dyDescent="0.2">
      <c r="A166" s="162" t="s">
        <v>517</v>
      </c>
      <c r="B166" s="174" t="s">
        <v>261</v>
      </c>
      <c r="C166" s="168">
        <v>740567.87</v>
      </c>
      <c r="D166" s="168">
        <v>331981.65999999997</v>
      </c>
      <c r="E166" s="168">
        <v>77476.100000000006</v>
      </c>
      <c r="F166" s="168">
        <v>2784</v>
      </c>
      <c r="G166" s="168">
        <f t="shared" si="12"/>
        <v>1152809.6300000001</v>
      </c>
      <c r="H166" s="168">
        <f t="shared" si="13"/>
        <v>5764.0481500000005</v>
      </c>
      <c r="I166" s="168">
        <f t="shared" si="14"/>
        <v>17495.151380525003</v>
      </c>
      <c r="J166" s="174">
        <f t="shared" si="15"/>
        <v>3035.2195063681065</v>
      </c>
      <c r="K166" s="174">
        <f t="shared" si="16"/>
        <v>3971</v>
      </c>
      <c r="L166" s="174">
        <f t="shared" si="17"/>
        <v>2847.5</v>
      </c>
      <c r="T166" s="168"/>
      <c r="U166" s="168"/>
      <c r="V166" s="168"/>
    </row>
    <row r="167" spans="1:23" x14ac:dyDescent="0.2">
      <c r="A167" s="162" t="s">
        <v>518</v>
      </c>
      <c r="B167" s="174" t="s">
        <v>119</v>
      </c>
      <c r="C167" s="168">
        <v>0</v>
      </c>
      <c r="D167" s="168">
        <v>0</v>
      </c>
      <c r="E167" s="168">
        <v>0</v>
      </c>
      <c r="F167" s="168">
        <v>0</v>
      </c>
      <c r="G167" s="168">
        <f t="shared" si="12"/>
        <v>0</v>
      </c>
      <c r="H167" s="168">
        <f t="shared" si="13"/>
        <v>0</v>
      </c>
      <c r="I167" s="168">
        <f t="shared" si="14"/>
        <v>0</v>
      </c>
      <c r="J167" s="174" t="str">
        <f t="shared" si="15"/>
        <v/>
      </c>
      <c r="K167" s="174" t="str">
        <f t="shared" si="16"/>
        <v/>
      </c>
      <c r="L167" s="174" t="str">
        <f t="shared" si="17"/>
        <v/>
      </c>
    </row>
    <row r="168" spans="1:23" x14ac:dyDescent="0.2">
      <c r="A168" s="162" t="s">
        <v>519</v>
      </c>
      <c r="B168" s="174" t="s">
        <v>120</v>
      </c>
      <c r="C168" s="168">
        <v>0</v>
      </c>
      <c r="D168" s="168">
        <v>0</v>
      </c>
      <c r="E168" s="168">
        <v>0</v>
      </c>
      <c r="F168" s="168">
        <v>0</v>
      </c>
      <c r="G168" s="168">
        <f t="shared" si="12"/>
        <v>0</v>
      </c>
      <c r="H168" s="168">
        <f t="shared" si="13"/>
        <v>0</v>
      </c>
      <c r="I168" s="168">
        <f t="shared" si="14"/>
        <v>0</v>
      </c>
      <c r="J168" s="174" t="str">
        <f t="shared" si="15"/>
        <v/>
      </c>
      <c r="K168" s="174" t="str">
        <f t="shared" si="16"/>
        <v/>
      </c>
      <c r="L168" s="174" t="str">
        <f t="shared" si="17"/>
        <v/>
      </c>
      <c r="T168" s="168"/>
      <c r="U168" s="168"/>
      <c r="V168" s="168"/>
      <c r="W168" s="168"/>
    </row>
    <row r="169" spans="1:23" x14ac:dyDescent="0.2">
      <c r="A169" s="162" t="s">
        <v>520</v>
      </c>
      <c r="B169" s="174" t="s">
        <v>129</v>
      </c>
      <c r="C169" s="168">
        <v>0</v>
      </c>
      <c r="D169" s="168">
        <v>0</v>
      </c>
      <c r="E169" s="168">
        <v>0</v>
      </c>
      <c r="F169" s="168">
        <v>0</v>
      </c>
      <c r="G169" s="168">
        <f t="shared" si="12"/>
        <v>0</v>
      </c>
      <c r="H169" s="168">
        <f t="shared" si="13"/>
        <v>0</v>
      </c>
      <c r="I169" s="168">
        <f t="shared" si="14"/>
        <v>0</v>
      </c>
      <c r="J169" s="174" t="str">
        <f t="shared" si="15"/>
        <v/>
      </c>
      <c r="K169" s="174" t="str">
        <f t="shared" si="16"/>
        <v/>
      </c>
      <c r="L169" s="174" t="str">
        <f t="shared" si="17"/>
        <v/>
      </c>
    </row>
    <row r="170" spans="1:23" x14ac:dyDescent="0.2">
      <c r="A170" s="162" t="s">
        <v>521</v>
      </c>
      <c r="B170" s="174" t="s">
        <v>121</v>
      </c>
      <c r="C170" s="168">
        <v>0</v>
      </c>
      <c r="D170" s="168">
        <v>0</v>
      </c>
      <c r="E170" s="168">
        <v>0</v>
      </c>
      <c r="F170" s="168">
        <v>0</v>
      </c>
      <c r="G170" s="168">
        <f t="shared" si="12"/>
        <v>0</v>
      </c>
      <c r="H170" s="168">
        <f t="shared" si="13"/>
        <v>0</v>
      </c>
      <c r="I170" s="168">
        <f t="shared" si="14"/>
        <v>0</v>
      </c>
      <c r="J170" s="174" t="str">
        <f t="shared" si="15"/>
        <v/>
      </c>
      <c r="K170" s="174" t="str">
        <f t="shared" si="16"/>
        <v/>
      </c>
      <c r="L170" s="174" t="str">
        <f t="shared" si="17"/>
        <v/>
      </c>
    </row>
    <row r="171" spans="1:23" x14ac:dyDescent="0.2">
      <c r="A171" s="162" t="s">
        <v>522</v>
      </c>
      <c r="B171" s="174" t="s">
        <v>265</v>
      </c>
      <c r="C171" s="168">
        <v>0</v>
      </c>
      <c r="D171" s="168">
        <v>0</v>
      </c>
      <c r="E171" s="168">
        <v>0</v>
      </c>
      <c r="F171" s="168">
        <v>0</v>
      </c>
      <c r="G171" s="168">
        <f t="shared" si="12"/>
        <v>0</v>
      </c>
      <c r="H171" s="168">
        <f t="shared" si="13"/>
        <v>0</v>
      </c>
      <c r="I171" s="168">
        <f t="shared" si="14"/>
        <v>0</v>
      </c>
      <c r="J171" s="174" t="str">
        <f t="shared" si="15"/>
        <v/>
      </c>
      <c r="K171" s="174" t="str">
        <f t="shared" si="16"/>
        <v/>
      </c>
      <c r="L171" s="174" t="str">
        <f t="shared" si="17"/>
        <v/>
      </c>
    </row>
    <row r="172" spans="1:23" x14ac:dyDescent="0.2">
      <c r="A172" s="162" t="s">
        <v>523</v>
      </c>
      <c r="B172" s="174" t="s">
        <v>524</v>
      </c>
      <c r="C172" s="168">
        <v>1834.17</v>
      </c>
      <c r="D172" s="168">
        <v>11077.23</v>
      </c>
      <c r="E172" s="168">
        <v>23312.02</v>
      </c>
      <c r="F172" s="168">
        <v>3938.67</v>
      </c>
      <c r="G172" s="168">
        <f t="shared" si="12"/>
        <v>40162.089999999997</v>
      </c>
      <c r="H172" s="168">
        <f t="shared" si="13"/>
        <v>200.81045</v>
      </c>
      <c r="I172" s="168">
        <f t="shared" si="14"/>
        <v>720.29901640000003</v>
      </c>
      <c r="J172" s="174">
        <f t="shared" si="15"/>
        <v>3586.9598240529817</v>
      </c>
      <c r="K172" s="174">
        <f t="shared" si="16"/>
        <v>3971</v>
      </c>
      <c r="L172" s="174">
        <f t="shared" si="17"/>
        <v>2847.5</v>
      </c>
    </row>
    <row r="173" spans="1:23" x14ac:dyDescent="0.2">
      <c r="A173" s="162" t="s">
        <v>525</v>
      </c>
      <c r="B173" s="174" t="s">
        <v>268</v>
      </c>
      <c r="C173" s="168">
        <v>0</v>
      </c>
      <c r="D173" s="168">
        <v>0</v>
      </c>
      <c r="E173" s="168">
        <v>0</v>
      </c>
      <c r="F173" s="168">
        <v>0</v>
      </c>
      <c r="G173" s="168">
        <f t="shared" si="12"/>
        <v>0</v>
      </c>
      <c r="H173" s="168">
        <f t="shared" si="13"/>
        <v>0</v>
      </c>
      <c r="I173" s="168">
        <f t="shared" si="14"/>
        <v>0</v>
      </c>
      <c r="J173" s="174" t="str">
        <f t="shared" si="15"/>
        <v/>
      </c>
      <c r="K173" s="174" t="str">
        <f t="shared" si="16"/>
        <v/>
      </c>
      <c r="L173" s="174" t="str">
        <f t="shared" si="17"/>
        <v/>
      </c>
    </row>
    <row r="174" spans="1:23" x14ac:dyDescent="0.2">
      <c r="A174" s="162" t="s">
        <v>526</v>
      </c>
      <c r="B174" s="174" t="s">
        <v>124</v>
      </c>
      <c r="C174" s="168">
        <v>0</v>
      </c>
      <c r="D174" s="168">
        <v>0</v>
      </c>
      <c r="E174" s="168">
        <v>0</v>
      </c>
      <c r="F174" s="168">
        <v>0</v>
      </c>
      <c r="G174" s="168">
        <f t="shared" si="12"/>
        <v>0</v>
      </c>
      <c r="H174" s="168">
        <f t="shared" si="13"/>
        <v>0</v>
      </c>
      <c r="I174" s="168">
        <f t="shared" si="14"/>
        <v>0</v>
      </c>
      <c r="J174" s="174" t="str">
        <f t="shared" si="15"/>
        <v/>
      </c>
      <c r="K174" s="174" t="str">
        <f t="shared" si="16"/>
        <v/>
      </c>
      <c r="L174" s="174" t="str">
        <f t="shared" si="17"/>
        <v/>
      </c>
    </row>
    <row r="175" spans="1:23" x14ac:dyDescent="0.2">
      <c r="A175" s="162" t="s">
        <v>527</v>
      </c>
      <c r="B175" s="174" t="s">
        <v>54</v>
      </c>
      <c r="C175" s="168">
        <v>1195</v>
      </c>
      <c r="D175" s="168">
        <v>750</v>
      </c>
      <c r="E175" s="168">
        <v>313</v>
      </c>
      <c r="F175" s="168">
        <v>313</v>
      </c>
      <c r="G175" s="168">
        <f t="shared" si="12"/>
        <v>2571</v>
      </c>
      <c r="H175" s="168">
        <f t="shared" si="13"/>
        <v>12.855</v>
      </c>
      <c r="I175" s="168">
        <f t="shared" si="14"/>
        <v>41.376330000000003</v>
      </c>
      <c r="J175" s="174">
        <f t="shared" si="15"/>
        <v>3218.6954492415402</v>
      </c>
      <c r="K175" s="174">
        <f t="shared" si="16"/>
        <v>3971</v>
      </c>
      <c r="L175" s="174">
        <f t="shared" si="17"/>
        <v>2847.5</v>
      </c>
    </row>
    <row r="176" spans="1:23" x14ac:dyDescent="0.2">
      <c r="A176" s="162" t="s">
        <v>528</v>
      </c>
      <c r="B176" s="174" t="s">
        <v>263</v>
      </c>
      <c r="C176" s="168">
        <v>0</v>
      </c>
      <c r="D176" s="168">
        <v>0</v>
      </c>
      <c r="E176" s="168">
        <v>0</v>
      </c>
      <c r="F176" s="168">
        <v>0</v>
      </c>
      <c r="G176" s="168">
        <f t="shared" si="12"/>
        <v>0</v>
      </c>
      <c r="H176" s="168">
        <f t="shared" si="13"/>
        <v>0</v>
      </c>
      <c r="I176" s="168">
        <f t="shared" si="14"/>
        <v>0</v>
      </c>
      <c r="J176" s="174" t="str">
        <f t="shared" si="15"/>
        <v/>
      </c>
      <c r="K176" s="174" t="str">
        <f t="shared" si="16"/>
        <v/>
      </c>
      <c r="L176" s="174" t="str">
        <f t="shared" si="17"/>
        <v/>
      </c>
    </row>
    <row r="177" spans="1:12" x14ac:dyDescent="0.2">
      <c r="A177" s="162" t="s">
        <v>529</v>
      </c>
      <c r="B177" s="174" t="s">
        <v>125</v>
      </c>
      <c r="C177" s="168">
        <v>0</v>
      </c>
      <c r="D177" s="168">
        <v>0</v>
      </c>
      <c r="E177" s="168">
        <v>0</v>
      </c>
      <c r="F177" s="168">
        <v>0</v>
      </c>
      <c r="G177" s="168">
        <f t="shared" si="12"/>
        <v>0</v>
      </c>
      <c r="H177" s="168">
        <f t="shared" si="13"/>
        <v>0</v>
      </c>
      <c r="I177" s="168">
        <f t="shared" si="14"/>
        <v>0</v>
      </c>
      <c r="J177" s="174" t="str">
        <f t="shared" si="15"/>
        <v/>
      </c>
      <c r="K177" s="174" t="str">
        <f t="shared" si="16"/>
        <v/>
      </c>
      <c r="L177" s="174" t="str">
        <f t="shared" si="17"/>
        <v/>
      </c>
    </row>
    <row r="178" spans="1:12" x14ac:dyDescent="0.2">
      <c r="A178" s="162" t="s">
        <v>530</v>
      </c>
      <c r="B178" s="174" t="s">
        <v>274</v>
      </c>
      <c r="C178" s="168">
        <v>0</v>
      </c>
      <c r="D178" s="168">
        <v>0</v>
      </c>
      <c r="E178" s="168">
        <v>151.38999999999999</v>
      </c>
      <c r="F178" s="168">
        <v>0</v>
      </c>
      <c r="G178" s="168">
        <f t="shared" si="12"/>
        <v>151.38999999999999</v>
      </c>
      <c r="H178" s="168">
        <f t="shared" si="13"/>
        <v>0.7569499999999999</v>
      </c>
      <c r="I178" s="168">
        <f t="shared" si="14"/>
        <v>2.8185033249999996</v>
      </c>
      <c r="J178" s="174">
        <f t="shared" si="15"/>
        <v>3723.5</v>
      </c>
      <c r="K178" s="174">
        <f t="shared" si="16"/>
        <v>3723.5</v>
      </c>
      <c r="L178" s="174">
        <f t="shared" si="17"/>
        <v>3723.5</v>
      </c>
    </row>
    <row r="179" spans="1:12" x14ac:dyDescent="0.2">
      <c r="A179" s="162" t="s">
        <v>531</v>
      </c>
      <c r="B179" s="174" t="s">
        <v>122</v>
      </c>
      <c r="C179" s="168">
        <v>0</v>
      </c>
      <c r="D179" s="168">
        <v>0</v>
      </c>
      <c r="E179" s="168">
        <v>0</v>
      </c>
      <c r="F179" s="168">
        <v>0</v>
      </c>
      <c r="G179" s="168">
        <f t="shared" si="12"/>
        <v>0</v>
      </c>
      <c r="H179" s="168">
        <f t="shared" si="13"/>
        <v>0</v>
      </c>
      <c r="I179" s="168">
        <f t="shared" si="14"/>
        <v>0</v>
      </c>
      <c r="J179" s="174" t="str">
        <f t="shared" si="15"/>
        <v/>
      </c>
      <c r="K179" s="174" t="str">
        <f t="shared" si="16"/>
        <v/>
      </c>
      <c r="L179" s="174" t="str">
        <f t="shared" si="17"/>
        <v/>
      </c>
    </row>
    <row r="180" spans="1:12" x14ac:dyDescent="0.2">
      <c r="A180" s="162" t="s">
        <v>532</v>
      </c>
      <c r="B180" s="174" t="s">
        <v>264</v>
      </c>
      <c r="C180" s="168">
        <v>0</v>
      </c>
      <c r="D180" s="168">
        <v>0</v>
      </c>
      <c r="E180" s="168">
        <v>0</v>
      </c>
      <c r="F180" s="168">
        <v>0</v>
      </c>
      <c r="G180" s="168">
        <f t="shared" si="12"/>
        <v>0</v>
      </c>
      <c r="H180" s="168">
        <f t="shared" si="13"/>
        <v>0</v>
      </c>
      <c r="I180" s="168">
        <f t="shared" si="14"/>
        <v>0</v>
      </c>
      <c r="J180" s="174" t="str">
        <f t="shared" si="15"/>
        <v/>
      </c>
      <c r="K180" s="174" t="str">
        <f t="shared" si="16"/>
        <v/>
      </c>
      <c r="L180" s="174" t="str">
        <f t="shared" si="17"/>
        <v/>
      </c>
    </row>
    <row r="181" spans="1:12" x14ac:dyDescent="0.2">
      <c r="A181" s="162" t="s">
        <v>533</v>
      </c>
      <c r="B181" s="174" t="s">
        <v>130</v>
      </c>
      <c r="C181" s="168">
        <v>0</v>
      </c>
      <c r="D181" s="168">
        <v>0</v>
      </c>
      <c r="E181" s="168">
        <v>0</v>
      </c>
      <c r="F181" s="168">
        <v>0</v>
      </c>
      <c r="G181" s="168">
        <f t="shared" si="12"/>
        <v>0</v>
      </c>
      <c r="H181" s="168">
        <f t="shared" si="13"/>
        <v>0</v>
      </c>
      <c r="I181" s="168">
        <f t="shared" si="14"/>
        <v>0</v>
      </c>
      <c r="J181" s="174" t="str">
        <f t="shared" si="15"/>
        <v/>
      </c>
      <c r="K181" s="174" t="str">
        <f t="shared" si="16"/>
        <v/>
      </c>
      <c r="L181" s="174" t="str">
        <f t="shared" si="17"/>
        <v/>
      </c>
    </row>
    <row r="182" spans="1:12" x14ac:dyDescent="0.2">
      <c r="A182" s="162" t="s">
        <v>534</v>
      </c>
      <c r="B182" s="174" t="s">
        <v>266</v>
      </c>
      <c r="C182" s="168">
        <v>0</v>
      </c>
      <c r="D182" s="168">
        <v>0</v>
      </c>
      <c r="E182" s="168">
        <v>0</v>
      </c>
      <c r="F182" s="168">
        <v>0</v>
      </c>
      <c r="G182" s="168">
        <f t="shared" si="12"/>
        <v>0</v>
      </c>
      <c r="H182" s="168">
        <f t="shared" si="13"/>
        <v>0</v>
      </c>
      <c r="I182" s="168">
        <f t="shared" si="14"/>
        <v>0</v>
      </c>
      <c r="J182" s="174" t="str">
        <f t="shared" si="15"/>
        <v/>
      </c>
      <c r="K182" s="174" t="str">
        <f t="shared" si="16"/>
        <v/>
      </c>
      <c r="L182" s="174" t="str">
        <f t="shared" si="17"/>
        <v/>
      </c>
    </row>
    <row r="183" spans="1:12" x14ac:dyDescent="0.2">
      <c r="A183" s="162" t="s">
        <v>535</v>
      </c>
      <c r="B183" s="174" t="s">
        <v>267</v>
      </c>
      <c r="C183" s="168">
        <v>0</v>
      </c>
      <c r="D183" s="168">
        <v>0</v>
      </c>
      <c r="E183" s="168">
        <v>0</v>
      </c>
      <c r="F183" s="168">
        <v>0</v>
      </c>
      <c r="G183" s="168">
        <f t="shared" si="12"/>
        <v>0</v>
      </c>
      <c r="H183" s="168">
        <f t="shared" si="13"/>
        <v>0</v>
      </c>
      <c r="I183" s="168">
        <f t="shared" si="14"/>
        <v>0</v>
      </c>
      <c r="J183" s="174" t="str">
        <f t="shared" si="15"/>
        <v/>
      </c>
      <c r="K183" s="174" t="str">
        <f t="shared" si="16"/>
        <v/>
      </c>
      <c r="L183" s="174" t="str">
        <f t="shared" si="17"/>
        <v/>
      </c>
    </row>
    <row r="184" spans="1:12" x14ac:dyDescent="0.2">
      <c r="A184" s="162" t="s">
        <v>536</v>
      </c>
      <c r="B184" s="174" t="s">
        <v>132</v>
      </c>
      <c r="C184" s="168">
        <v>37202.25</v>
      </c>
      <c r="D184" s="168">
        <v>39863.25</v>
      </c>
      <c r="E184" s="168">
        <v>40225.83</v>
      </c>
      <c r="F184" s="168">
        <v>9913.77</v>
      </c>
      <c r="G184" s="168">
        <f t="shared" si="12"/>
        <v>127205.1</v>
      </c>
      <c r="H184" s="168">
        <f t="shared" si="13"/>
        <v>636.02549999999997</v>
      </c>
      <c r="I184" s="168">
        <f t="shared" si="14"/>
        <v>2130.262867125</v>
      </c>
      <c r="J184" s="174">
        <f t="shared" si="15"/>
        <v>3349.3356274630496</v>
      </c>
      <c r="K184" s="174">
        <f t="shared" si="16"/>
        <v>3971</v>
      </c>
      <c r="L184" s="174">
        <f t="shared" si="17"/>
        <v>2847.5</v>
      </c>
    </row>
    <row r="185" spans="1:12" x14ac:dyDescent="0.2">
      <c r="A185" s="162" t="s">
        <v>537</v>
      </c>
      <c r="B185" s="174" t="s">
        <v>131</v>
      </c>
      <c r="C185" s="168">
        <v>0</v>
      </c>
      <c r="D185" s="168">
        <v>0</v>
      </c>
      <c r="E185" s="168">
        <v>0</v>
      </c>
      <c r="F185" s="168">
        <v>0</v>
      </c>
      <c r="G185" s="168">
        <f t="shared" si="12"/>
        <v>0</v>
      </c>
      <c r="H185" s="168">
        <f t="shared" si="13"/>
        <v>0</v>
      </c>
      <c r="I185" s="168">
        <f t="shared" si="14"/>
        <v>0</v>
      </c>
      <c r="J185" s="174" t="str">
        <f t="shared" si="15"/>
        <v/>
      </c>
      <c r="K185" s="174" t="str">
        <f t="shared" si="16"/>
        <v/>
      </c>
      <c r="L185" s="174" t="str">
        <f t="shared" si="17"/>
        <v/>
      </c>
    </row>
    <row r="186" spans="1:12" x14ac:dyDescent="0.2">
      <c r="A186" s="162" t="s">
        <v>538</v>
      </c>
      <c r="B186" s="174" t="s">
        <v>123</v>
      </c>
      <c r="C186" s="168" t="s">
        <v>382</v>
      </c>
      <c r="D186" s="168" t="s">
        <v>382</v>
      </c>
      <c r="E186" s="168" t="s">
        <v>382</v>
      </c>
      <c r="F186" s="168" t="s">
        <v>382</v>
      </c>
      <c r="G186" s="168">
        <f t="shared" si="12"/>
        <v>0</v>
      </c>
      <c r="H186" s="168" t="e">
        <f t="shared" si="13"/>
        <v>#VALUE!</v>
      </c>
      <c r="I186" s="168" t="e">
        <f t="shared" si="14"/>
        <v>#VALUE!</v>
      </c>
      <c r="J186" s="174" t="str">
        <f t="shared" si="15"/>
        <v/>
      </c>
      <c r="K186" s="174">
        <f t="shared" si="16"/>
        <v>3971</v>
      </c>
      <c r="L186" s="174" t="e">
        <f t="shared" si="17"/>
        <v>#VALUE!</v>
      </c>
    </row>
    <row r="187" spans="1:12" x14ac:dyDescent="0.2">
      <c r="A187" s="162" t="s">
        <v>539</v>
      </c>
      <c r="B187" s="174" t="s">
        <v>277</v>
      </c>
      <c r="C187" s="168">
        <v>0</v>
      </c>
      <c r="D187" s="168">
        <v>0</v>
      </c>
      <c r="E187" s="168">
        <v>0</v>
      </c>
      <c r="F187" s="168">
        <v>0</v>
      </c>
      <c r="G187" s="168">
        <f t="shared" si="12"/>
        <v>0</v>
      </c>
      <c r="H187" s="168">
        <f t="shared" si="13"/>
        <v>0</v>
      </c>
      <c r="I187" s="168">
        <f t="shared" si="14"/>
        <v>0</v>
      </c>
      <c r="J187" s="174" t="str">
        <f t="shared" si="15"/>
        <v/>
      </c>
      <c r="K187" s="174" t="str">
        <f t="shared" si="16"/>
        <v/>
      </c>
      <c r="L187" s="174" t="str">
        <f t="shared" si="17"/>
        <v/>
      </c>
    </row>
    <row r="188" spans="1:12" x14ac:dyDescent="0.2">
      <c r="A188" s="162" t="s">
        <v>540</v>
      </c>
      <c r="B188" s="174" t="s">
        <v>285</v>
      </c>
      <c r="C188" s="168">
        <v>0</v>
      </c>
      <c r="D188" s="168">
        <v>0</v>
      </c>
      <c r="E188" s="168">
        <v>0</v>
      </c>
      <c r="F188" s="168">
        <v>0</v>
      </c>
      <c r="G188" s="168">
        <f t="shared" si="12"/>
        <v>0</v>
      </c>
      <c r="H188" s="168">
        <f t="shared" si="13"/>
        <v>0</v>
      </c>
      <c r="I188" s="168">
        <f t="shared" si="14"/>
        <v>0</v>
      </c>
      <c r="J188" s="174" t="str">
        <f t="shared" si="15"/>
        <v/>
      </c>
      <c r="K188" s="174" t="str">
        <f t="shared" si="16"/>
        <v/>
      </c>
      <c r="L188" s="174" t="str">
        <f t="shared" si="17"/>
        <v/>
      </c>
    </row>
    <row r="189" spans="1:12" x14ac:dyDescent="0.2">
      <c r="A189" s="162" t="s">
        <v>541</v>
      </c>
      <c r="B189" s="174" t="s">
        <v>48</v>
      </c>
      <c r="C189" s="168">
        <v>0</v>
      </c>
      <c r="D189" s="168">
        <v>0</v>
      </c>
      <c r="E189" s="168">
        <v>0</v>
      </c>
      <c r="F189" s="168">
        <v>0</v>
      </c>
      <c r="G189" s="168">
        <f t="shared" si="12"/>
        <v>0</v>
      </c>
      <c r="H189" s="168">
        <f t="shared" si="13"/>
        <v>0</v>
      </c>
      <c r="I189" s="168">
        <f t="shared" si="14"/>
        <v>0</v>
      </c>
      <c r="J189" s="174" t="str">
        <f t="shared" si="15"/>
        <v/>
      </c>
      <c r="K189" s="174" t="str">
        <f t="shared" si="16"/>
        <v/>
      </c>
      <c r="L189" s="174" t="str">
        <f t="shared" si="17"/>
        <v/>
      </c>
    </row>
    <row r="190" spans="1:12" x14ac:dyDescent="0.2">
      <c r="A190" s="162" t="s">
        <v>542</v>
      </c>
      <c r="B190" s="174" t="s">
        <v>137</v>
      </c>
      <c r="C190" s="168">
        <v>0</v>
      </c>
      <c r="D190" s="168">
        <v>0</v>
      </c>
      <c r="E190" s="168">
        <v>0</v>
      </c>
      <c r="F190" s="168">
        <v>0</v>
      </c>
      <c r="G190" s="168">
        <f t="shared" si="12"/>
        <v>0</v>
      </c>
      <c r="H190" s="168">
        <f t="shared" si="13"/>
        <v>0</v>
      </c>
      <c r="I190" s="168">
        <f t="shared" si="14"/>
        <v>0</v>
      </c>
      <c r="J190" s="174" t="str">
        <f t="shared" si="15"/>
        <v/>
      </c>
      <c r="K190" s="174" t="str">
        <f t="shared" si="16"/>
        <v/>
      </c>
      <c r="L190" s="174" t="str">
        <f t="shared" si="17"/>
        <v/>
      </c>
    </row>
    <row r="191" spans="1:12" x14ac:dyDescent="0.2">
      <c r="A191" s="162" t="s">
        <v>543</v>
      </c>
      <c r="B191" s="174" t="s">
        <v>136</v>
      </c>
      <c r="C191" s="168">
        <v>0</v>
      </c>
      <c r="D191" s="168">
        <v>0</v>
      </c>
      <c r="E191" s="168">
        <v>0</v>
      </c>
      <c r="F191" s="168">
        <v>0</v>
      </c>
      <c r="G191" s="168">
        <f t="shared" si="12"/>
        <v>0</v>
      </c>
      <c r="H191" s="168">
        <f t="shared" si="13"/>
        <v>0</v>
      </c>
      <c r="I191" s="168">
        <f t="shared" si="14"/>
        <v>0</v>
      </c>
      <c r="J191" s="174" t="str">
        <f t="shared" si="15"/>
        <v/>
      </c>
      <c r="K191" s="174" t="str">
        <f t="shared" si="16"/>
        <v/>
      </c>
      <c r="L191" s="174" t="str">
        <f t="shared" si="17"/>
        <v/>
      </c>
    </row>
    <row r="192" spans="1:12" x14ac:dyDescent="0.2">
      <c r="A192" s="162" t="s">
        <v>544</v>
      </c>
      <c r="B192" s="174" t="s">
        <v>134</v>
      </c>
      <c r="C192" s="168">
        <v>0</v>
      </c>
      <c r="D192" s="168">
        <v>0</v>
      </c>
      <c r="E192" s="168">
        <v>0</v>
      </c>
      <c r="F192" s="168">
        <v>0</v>
      </c>
      <c r="G192" s="168">
        <f t="shared" si="12"/>
        <v>0</v>
      </c>
      <c r="H192" s="168">
        <f t="shared" si="13"/>
        <v>0</v>
      </c>
      <c r="I192" s="168">
        <f t="shared" si="14"/>
        <v>0</v>
      </c>
      <c r="J192" s="174" t="str">
        <f t="shared" si="15"/>
        <v/>
      </c>
      <c r="K192" s="174" t="str">
        <f t="shared" si="16"/>
        <v/>
      </c>
      <c r="L192" s="174" t="str">
        <f t="shared" si="17"/>
        <v/>
      </c>
    </row>
    <row r="193" spans="1:12" x14ac:dyDescent="0.2">
      <c r="A193" s="162" t="s">
        <v>545</v>
      </c>
      <c r="B193" s="174" t="s">
        <v>138</v>
      </c>
      <c r="C193" s="168">
        <v>0</v>
      </c>
      <c r="D193" s="168">
        <v>0</v>
      </c>
      <c r="E193" s="168">
        <v>0</v>
      </c>
      <c r="F193" s="168">
        <v>0</v>
      </c>
      <c r="G193" s="168">
        <f t="shared" si="12"/>
        <v>0</v>
      </c>
      <c r="H193" s="168">
        <f t="shared" si="13"/>
        <v>0</v>
      </c>
      <c r="I193" s="168">
        <f t="shared" si="14"/>
        <v>0</v>
      </c>
      <c r="J193" s="174" t="str">
        <f t="shared" si="15"/>
        <v/>
      </c>
      <c r="K193" s="174" t="str">
        <f t="shared" si="16"/>
        <v/>
      </c>
      <c r="L193" s="174" t="str">
        <f t="shared" si="17"/>
        <v/>
      </c>
    </row>
    <row r="194" spans="1:12" x14ac:dyDescent="0.2">
      <c r="A194" s="162" t="s">
        <v>546</v>
      </c>
      <c r="B194" s="174" t="s">
        <v>280</v>
      </c>
      <c r="C194" s="168">
        <v>0</v>
      </c>
      <c r="D194" s="168">
        <v>0</v>
      </c>
      <c r="E194" s="168">
        <v>0</v>
      </c>
      <c r="F194" s="168">
        <v>0</v>
      </c>
      <c r="G194" s="168">
        <f t="shared" si="12"/>
        <v>0</v>
      </c>
      <c r="H194" s="168">
        <f t="shared" si="13"/>
        <v>0</v>
      </c>
      <c r="I194" s="168">
        <f t="shared" si="14"/>
        <v>0</v>
      </c>
      <c r="J194" s="174" t="str">
        <f t="shared" si="15"/>
        <v/>
      </c>
      <c r="K194" s="174" t="str">
        <f t="shared" si="16"/>
        <v/>
      </c>
      <c r="L194" s="174" t="str">
        <f t="shared" si="17"/>
        <v/>
      </c>
    </row>
    <row r="195" spans="1:12" x14ac:dyDescent="0.2">
      <c r="A195" s="162" t="s">
        <v>547</v>
      </c>
      <c r="B195" s="174" t="s">
        <v>282</v>
      </c>
      <c r="C195" s="168">
        <v>0</v>
      </c>
      <c r="D195" s="168">
        <v>0</v>
      </c>
      <c r="E195" s="168">
        <v>0</v>
      </c>
      <c r="F195" s="168">
        <v>0</v>
      </c>
      <c r="G195" s="168">
        <f t="shared" si="12"/>
        <v>0</v>
      </c>
      <c r="H195" s="168">
        <f t="shared" si="13"/>
        <v>0</v>
      </c>
      <c r="I195" s="168">
        <f t="shared" si="14"/>
        <v>0</v>
      </c>
      <c r="J195" s="174" t="str">
        <f t="shared" si="15"/>
        <v/>
      </c>
      <c r="K195" s="174" t="str">
        <f t="shared" si="16"/>
        <v/>
      </c>
      <c r="L195" s="174" t="str">
        <f t="shared" si="17"/>
        <v/>
      </c>
    </row>
    <row r="196" spans="1:12" x14ac:dyDescent="0.2">
      <c r="A196" s="162" t="s">
        <v>548</v>
      </c>
      <c r="B196" s="174" t="s">
        <v>283</v>
      </c>
      <c r="C196" s="168">
        <v>0</v>
      </c>
      <c r="D196" s="168">
        <v>0</v>
      </c>
      <c r="E196" s="168">
        <v>0</v>
      </c>
      <c r="F196" s="168">
        <v>0</v>
      </c>
      <c r="G196" s="168">
        <f t="shared" si="12"/>
        <v>0</v>
      </c>
      <c r="H196" s="168">
        <f t="shared" si="13"/>
        <v>0</v>
      </c>
      <c r="I196" s="168">
        <f t="shared" si="14"/>
        <v>0</v>
      </c>
      <c r="J196" s="174" t="str">
        <f t="shared" si="15"/>
        <v/>
      </c>
      <c r="K196" s="174" t="str">
        <f t="shared" si="16"/>
        <v/>
      </c>
      <c r="L196" s="174" t="str">
        <f t="shared" si="17"/>
        <v/>
      </c>
    </row>
    <row r="197" spans="1:12" x14ac:dyDescent="0.2">
      <c r="A197" s="162" t="s">
        <v>549</v>
      </c>
      <c r="B197" s="174" t="s">
        <v>27</v>
      </c>
      <c r="C197" s="168">
        <v>0</v>
      </c>
      <c r="D197" s="168">
        <v>0</v>
      </c>
      <c r="E197" s="168">
        <v>0</v>
      </c>
      <c r="F197" s="168">
        <v>0</v>
      </c>
      <c r="G197" s="168">
        <f t="shared" si="12"/>
        <v>0</v>
      </c>
      <c r="H197" s="168">
        <f t="shared" si="13"/>
        <v>0</v>
      </c>
      <c r="I197" s="168">
        <f t="shared" si="14"/>
        <v>0</v>
      </c>
      <c r="J197" s="174" t="str">
        <f t="shared" si="15"/>
        <v/>
      </c>
      <c r="K197" s="174" t="str">
        <f t="shared" si="16"/>
        <v/>
      </c>
      <c r="L197" s="174" t="str">
        <f t="shared" si="17"/>
        <v/>
      </c>
    </row>
    <row r="198" spans="1:12" x14ac:dyDescent="0.2">
      <c r="A198" s="162" t="s">
        <v>550</v>
      </c>
      <c r="B198" s="174" t="s">
        <v>284</v>
      </c>
      <c r="C198" s="168">
        <v>0</v>
      </c>
      <c r="D198" s="168">
        <v>0</v>
      </c>
      <c r="E198" s="168">
        <v>0</v>
      </c>
      <c r="F198" s="168">
        <v>0</v>
      </c>
      <c r="G198" s="168">
        <f t="shared" ref="G198:G221" si="18">SUM(C198:F198)</f>
        <v>0</v>
      </c>
      <c r="H198" s="168">
        <f t="shared" ref="H198:H221" si="19">(C198*$Q$21+D198*$Q$22+E198*$Q$23+F198*$Q$24)/1000</f>
        <v>0</v>
      </c>
      <c r="I198" s="168">
        <f t="shared" ref="I198:I221" si="20">(C198*$Q$21*$V$10+D198*$Q$22*$V$11+E198*$Q$23*$V$12+F198*$Q$24*$V$13)/1000000</f>
        <v>0</v>
      </c>
      <c r="J198" s="174" t="str">
        <f t="shared" ref="J198:J221" si="21">IF(G198&gt;0,(C198*$V$10+D198*$V$11+E198*$V$12+F198*$V$13)/G198,"")</f>
        <v/>
      </c>
      <c r="K198" s="174" t="str">
        <f t="shared" ref="K198:K221" si="22">IF(F198&gt;0,$V$13,IF(E198&gt;0,$V$12,IF(D198&gt;0,$V$11,IF(C198&gt;0,$V$10,""))))</f>
        <v/>
      </c>
      <c r="L198" s="174" t="str">
        <f t="shared" ref="L198:L221" si="23">IF(H198=0,"",IF(C198&gt;0,$V$10,IF(D198&gt;0,$V$11,IF(E198&gt;0,$V$12,$V$13))))</f>
        <v/>
      </c>
    </row>
    <row r="199" spans="1:12" x14ac:dyDescent="0.2">
      <c r="A199" s="162" t="s">
        <v>551</v>
      </c>
      <c r="B199" s="174" t="s">
        <v>286</v>
      </c>
      <c r="C199" s="168" t="s">
        <v>382</v>
      </c>
      <c r="D199" s="168" t="s">
        <v>382</v>
      </c>
      <c r="E199" s="168" t="s">
        <v>382</v>
      </c>
      <c r="F199" s="168" t="s">
        <v>382</v>
      </c>
      <c r="G199" s="168">
        <f t="shared" si="18"/>
        <v>0</v>
      </c>
      <c r="H199" s="168" t="e">
        <f t="shared" si="19"/>
        <v>#VALUE!</v>
      </c>
      <c r="I199" s="168" t="e">
        <f t="shared" si="20"/>
        <v>#VALUE!</v>
      </c>
      <c r="J199" s="174" t="str">
        <f t="shared" si="21"/>
        <v/>
      </c>
      <c r="K199" s="174">
        <f t="shared" si="22"/>
        <v>3971</v>
      </c>
      <c r="L199" s="174" t="e">
        <f t="shared" si="23"/>
        <v>#VALUE!</v>
      </c>
    </row>
    <row r="200" spans="1:12" x14ac:dyDescent="0.2">
      <c r="A200" s="162" t="s">
        <v>552</v>
      </c>
      <c r="B200" s="174" t="s">
        <v>135</v>
      </c>
      <c r="C200" s="168">
        <v>0</v>
      </c>
      <c r="D200" s="168">
        <v>0</v>
      </c>
      <c r="E200" s="168">
        <v>0</v>
      </c>
      <c r="F200" s="168">
        <v>0</v>
      </c>
      <c r="G200" s="168">
        <f t="shared" si="18"/>
        <v>0</v>
      </c>
      <c r="H200" s="168">
        <f t="shared" si="19"/>
        <v>0</v>
      </c>
      <c r="I200" s="168">
        <f t="shared" si="20"/>
        <v>0</v>
      </c>
      <c r="J200" s="174" t="str">
        <f t="shared" si="21"/>
        <v/>
      </c>
      <c r="K200" s="174" t="str">
        <f t="shared" si="22"/>
        <v/>
      </c>
      <c r="L200" s="174" t="str">
        <f t="shared" si="23"/>
        <v/>
      </c>
    </row>
    <row r="201" spans="1:12" x14ac:dyDescent="0.2">
      <c r="A201" s="162" t="s">
        <v>553</v>
      </c>
      <c r="B201" s="174" t="s">
        <v>139</v>
      </c>
      <c r="C201" s="168">
        <v>0</v>
      </c>
      <c r="D201" s="168">
        <v>0</v>
      </c>
      <c r="E201" s="168">
        <v>0</v>
      </c>
      <c r="F201" s="168">
        <v>0</v>
      </c>
      <c r="G201" s="168">
        <f t="shared" si="18"/>
        <v>0</v>
      </c>
      <c r="H201" s="168">
        <f t="shared" si="19"/>
        <v>0</v>
      </c>
      <c r="I201" s="168">
        <f t="shared" si="20"/>
        <v>0</v>
      </c>
      <c r="J201" s="174" t="str">
        <f t="shared" si="21"/>
        <v/>
      </c>
      <c r="K201" s="174" t="str">
        <f t="shared" si="22"/>
        <v/>
      </c>
      <c r="L201" s="174" t="str">
        <f t="shared" si="23"/>
        <v/>
      </c>
    </row>
    <row r="202" spans="1:12" x14ac:dyDescent="0.2">
      <c r="A202" s="162" t="s">
        <v>554</v>
      </c>
      <c r="B202" s="174" t="s">
        <v>287</v>
      </c>
      <c r="C202" s="168">
        <v>0</v>
      </c>
      <c r="D202" s="168">
        <v>0</v>
      </c>
      <c r="E202" s="168">
        <v>0</v>
      </c>
      <c r="F202" s="168">
        <v>0</v>
      </c>
      <c r="G202" s="168">
        <f t="shared" si="18"/>
        <v>0</v>
      </c>
      <c r="H202" s="168">
        <f t="shared" si="19"/>
        <v>0</v>
      </c>
      <c r="I202" s="168">
        <f t="shared" si="20"/>
        <v>0</v>
      </c>
      <c r="J202" s="174" t="str">
        <f t="shared" si="21"/>
        <v/>
      </c>
      <c r="K202" s="174" t="str">
        <f t="shared" si="22"/>
        <v/>
      </c>
      <c r="L202" s="174" t="str">
        <f t="shared" si="23"/>
        <v/>
      </c>
    </row>
    <row r="203" spans="1:12" x14ac:dyDescent="0.2">
      <c r="A203" s="162" t="s">
        <v>555</v>
      </c>
      <c r="B203" s="174" t="s">
        <v>292</v>
      </c>
      <c r="C203" s="168" t="s">
        <v>382</v>
      </c>
      <c r="D203" s="168" t="s">
        <v>382</v>
      </c>
      <c r="E203" s="168" t="s">
        <v>382</v>
      </c>
      <c r="F203" s="168" t="s">
        <v>382</v>
      </c>
      <c r="G203" s="168">
        <f t="shared" si="18"/>
        <v>0</v>
      </c>
      <c r="H203" s="168" t="e">
        <f t="shared" si="19"/>
        <v>#VALUE!</v>
      </c>
      <c r="I203" s="168" t="e">
        <f t="shared" si="20"/>
        <v>#VALUE!</v>
      </c>
      <c r="J203" s="174" t="str">
        <f t="shared" si="21"/>
        <v/>
      </c>
      <c r="K203" s="174">
        <f t="shared" si="22"/>
        <v>3971</v>
      </c>
      <c r="L203" s="174" t="e">
        <f t="shared" si="23"/>
        <v>#VALUE!</v>
      </c>
    </row>
    <row r="204" spans="1:12" x14ac:dyDescent="0.2">
      <c r="A204" s="162" t="s">
        <v>556</v>
      </c>
      <c r="B204" s="174" t="s">
        <v>28</v>
      </c>
      <c r="C204" s="168">
        <v>5330.16</v>
      </c>
      <c r="D204" s="168">
        <v>0</v>
      </c>
      <c r="E204" s="168">
        <v>0</v>
      </c>
      <c r="F204" s="168">
        <v>0</v>
      </c>
      <c r="G204" s="168">
        <f t="shared" si="18"/>
        <v>5330.16</v>
      </c>
      <c r="H204" s="168">
        <f t="shared" si="19"/>
        <v>26.6508</v>
      </c>
      <c r="I204" s="168">
        <f t="shared" si="20"/>
        <v>75.888153000000003</v>
      </c>
      <c r="J204" s="174">
        <f t="shared" si="21"/>
        <v>2847.5</v>
      </c>
      <c r="K204" s="174">
        <f t="shared" si="22"/>
        <v>2847.5</v>
      </c>
      <c r="L204" s="174">
        <f t="shared" si="23"/>
        <v>2847.5</v>
      </c>
    </row>
    <row r="205" spans="1:12" x14ac:dyDescent="0.2">
      <c r="A205" s="162" t="s">
        <v>557</v>
      </c>
      <c r="B205" s="174" t="s">
        <v>93</v>
      </c>
      <c r="C205" s="168">
        <v>1215534.3207</v>
      </c>
      <c r="D205" s="168">
        <v>644207.26679999998</v>
      </c>
      <c r="E205" s="168">
        <v>192476.1942</v>
      </c>
      <c r="F205" s="168">
        <v>185218.13199999998</v>
      </c>
      <c r="G205" s="168">
        <f t="shared" si="18"/>
        <v>2237435.9136999999</v>
      </c>
      <c r="H205" s="168">
        <f t="shared" si="19"/>
        <v>11187.179568500002</v>
      </c>
      <c r="I205" s="168">
        <f t="shared" si="20"/>
        <v>35149.81632270175</v>
      </c>
      <c r="J205" s="174">
        <f t="shared" si="21"/>
        <v>3141.9730154036233</v>
      </c>
      <c r="K205" s="174">
        <f t="shared" si="22"/>
        <v>3971</v>
      </c>
      <c r="L205" s="174">
        <f t="shared" si="23"/>
        <v>2847.5</v>
      </c>
    </row>
    <row r="206" spans="1:12" x14ac:dyDescent="0.2">
      <c r="A206" s="162" t="s">
        <v>558</v>
      </c>
      <c r="B206" s="174" t="s">
        <v>94</v>
      </c>
      <c r="C206" s="168">
        <v>0</v>
      </c>
      <c r="D206" s="168">
        <v>0</v>
      </c>
      <c r="E206" s="168">
        <v>0</v>
      </c>
      <c r="F206" s="168">
        <v>0</v>
      </c>
      <c r="G206" s="168">
        <f t="shared" si="18"/>
        <v>0</v>
      </c>
      <c r="H206" s="168">
        <f t="shared" si="19"/>
        <v>0</v>
      </c>
      <c r="I206" s="168">
        <f t="shared" si="20"/>
        <v>0</v>
      </c>
      <c r="J206" s="174" t="str">
        <f t="shared" si="21"/>
        <v/>
      </c>
      <c r="K206" s="174" t="str">
        <f t="shared" si="22"/>
        <v/>
      </c>
      <c r="L206" s="174" t="str">
        <f t="shared" si="23"/>
        <v/>
      </c>
    </row>
    <row r="207" spans="1:12" x14ac:dyDescent="0.2">
      <c r="A207" s="162" t="s">
        <v>559</v>
      </c>
      <c r="B207" s="174" t="s">
        <v>275</v>
      </c>
      <c r="C207" s="168">
        <v>0</v>
      </c>
      <c r="D207" s="168">
        <v>0</v>
      </c>
      <c r="E207" s="168">
        <v>0</v>
      </c>
      <c r="F207" s="168">
        <v>0</v>
      </c>
      <c r="G207" s="168">
        <f t="shared" si="18"/>
        <v>0</v>
      </c>
      <c r="H207" s="168">
        <f t="shared" si="19"/>
        <v>0</v>
      </c>
      <c r="I207" s="168">
        <f t="shared" si="20"/>
        <v>0</v>
      </c>
      <c r="J207" s="174" t="str">
        <f t="shared" si="21"/>
        <v/>
      </c>
      <c r="K207" s="174" t="str">
        <f t="shared" si="22"/>
        <v/>
      </c>
      <c r="L207" s="174" t="str">
        <f t="shared" si="23"/>
        <v/>
      </c>
    </row>
    <row r="208" spans="1:12" x14ac:dyDescent="0.2">
      <c r="A208" s="162" t="s">
        <v>560</v>
      </c>
      <c r="B208" s="174" t="s">
        <v>290</v>
      </c>
      <c r="C208" s="168">
        <v>10950.23</v>
      </c>
      <c r="D208" s="168">
        <v>0</v>
      </c>
      <c r="E208" s="168">
        <v>0</v>
      </c>
      <c r="F208" s="168">
        <v>0</v>
      </c>
      <c r="G208" s="168">
        <f t="shared" si="18"/>
        <v>10950.23</v>
      </c>
      <c r="H208" s="168">
        <f t="shared" si="19"/>
        <v>54.751149999999996</v>
      </c>
      <c r="I208" s="168">
        <f t="shared" si="20"/>
        <v>155.90389962499998</v>
      </c>
      <c r="J208" s="174">
        <f t="shared" si="21"/>
        <v>2847.5</v>
      </c>
      <c r="K208" s="174">
        <f t="shared" si="22"/>
        <v>2847.5</v>
      </c>
      <c r="L208" s="174">
        <f t="shared" si="23"/>
        <v>2847.5</v>
      </c>
    </row>
    <row r="209" spans="1:12" x14ac:dyDescent="0.2">
      <c r="A209" s="162" t="s">
        <v>561</v>
      </c>
      <c r="B209" s="174" t="s">
        <v>190</v>
      </c>
      <c r="C209" s="168">
        <v>0</v>
      </c>
      <c r="D209" s="168">
        <v>0</v>
      </c>
      <c r="E209" s="168">
        <v>0</v>
      </c>
      <c r="F209" s="168">
        <v>0</v>
      </c>
      <c r="G209" s="168">
        <f t="shared" si="18"/>
        <v>0</v>
      </c>
      <c r="H209" s="168">
        <f t="shared" si="19"/>
        <v>0</v>
      </c>
      <c r="I209" s="168">
        <f t="shared" si="20"/>
        <v>0</v>
      </c>
      <c r="J209" s="174" t="str">
        <f t="shared" si="21"/>
        <v/>
      </c>
      <c r="K209" s="174" t="str">
        <f t="shared" si="22"/>
        <v/>
      </c>
      <c r="L209" s="174" t="str">
        <f t="shared" si="23"/>
        <v/>
      </c>
    </row>
    <row r="210" spans="1:12" x14ac:dyDescent="0.2">
      <c r="A210" s="162" t="s">
        <v>562</v>
      </c>
      <c r="B210" s="174" t="s">
        <v>95</v>
      </c>
      <c r="C210" s="168">
        <v>0</v>
      </c>
      <c r="D210" s="168">
        <v>0</v>
      </c>
      <c r="E210" s="168">
        <v>0</v>
      </c>
      <c r="F210" s="168">
        <v>0</v>
      </c>
      <c r="G210" s="168">
        <f t="shared" si="18"/>
        <v>0</v>
      </c>
      <c r="H210" s="168">
        <f t="shared" si="19"/>
        <v>0</v>
      </c>
      <c r="I210" s="168">
        <f t="shared" si="20"/>
        <v>0</v>
      </c>
      <c r="J210" s="174" t="str">
        <f t="shared" si="21"/>
        <v/>
      </c>
      <c r="K210" s="174" t="str">
        <f t="shared" si="22"/>
        <v/>
      </c>
      <c r="L210" s="174" t="str">
        <f t="shared" si="23"/>
        <v/>
      </c>
    </row>
    <row r="211" spans="1:12" x14ac:dyDescent="0.2">
      <c r="A211" s="162" t="s">
        <v>563</v>
      </c>
      <c r="B211" s="174" t="s">
        <v>289</v>
      </c>
      <c r="C211" s="168">
        <v>0</v>
      </c>
      <c r="D211" s="168">
        <v>0</v>
      </c>
      <c r="E211" s="168">
        <v>0</v>
      </c>
      <c r="F211" s="168">
        <v>0</v>
      </c>
      <c r="G211" s="168">
        <f t="shared" si="18"/>
        <v>0</v>
      </c>
      <c r="H211" s="168">
        <f t="shared" si="19"/>
        <v>0</v>
      </c>
      <c r="I211" s="168">
        <f t="shared" si="20"/>
        <v>0</v>
      </c>
      <c r="J211" s="174" t="str">
        <f t="shared" si="21"/>
        <v/>
      </c>
      <c r="K211" s="174" t="str">
        <f t="shared" si="22"/>
        <v/>
      </c>
      <c r="L211" s="174" t="str">
        <f t="shared" si="23"/>
        <v/>
      </c>
    </row>
    <row r="212" spans="1:12" x14ac:dyDescent="0.2">
      <c r="A212" s="162" t="s">
        <v>564</v>
      </c>
      <c r="B212" s="174" t="s">
        <v>288</v>
      </c>
      <c r="C212" s="168">
        <v>0</v>
      </c>
      <c r="D212" s="168">
        <v>0</v>
      </c>
      <c r="E212" s="168">
        <v>0</v>
      </c>
      <c r="F212" s="168">
        <v>0</v>
      </c>
      <c r="G212" s="168">
        <f t="shared" si="18"/>
        <v>0</v>
      </c>
      <c r="H212" s="168">
        <f t="shared" si="19"/>
        <v>0</v>
      </c>
      <c r="I212" s="168">
        <f t="shared" si="20"/>
        <v>0</v>
      </c>
      <c r="J212" s="174" t="str">
        <f t="shared" si="21"/>
        <v/>
      </c>
      <c r="K212" s="174" t="str">
        <f t="shared" si="22"/>
        <v/>
      </c>
      <c r="L212" s="174" t="str">
        <f t="shared" si="23"/>
        <v/>
      </c>
    </row>
    <row r="213" spans="1:12" x14ac:dyDescent="0.2">
      <c r="A213" s="162" t="s">
        <v>565</v>
      </c>
      <c r="B213" s="174" t="s">
        <v>262</v>
      </c>
      <c r="C213" s="168">
        <v>0</v>
      </c>
      <c r="D213" s="168">
        <v>0</v>
      </c>
      <c r="E213" s="168">
        <v>0</v>
      </c>
      <c r="F213" s="168">
        <v>0</v>
      </c>
      <c r="G213" s="168">
        <f t="shared" si="18"/>
        <v>0</v>
      </c>
      <c r="H213" s="168">
        <f t="shared" si="19"/>
        <v>0</v>
      </c>
      <c r="I213" s="168">
        <f t="shared" si="20"/>
        <v>0</v>
      </c>
      <c r="J213" s="174" t="str">
        <f t="shared" si="21"/>
        <v/>
      </c>
      <c r="K213" s="174" t="str">
        <f t="shared" si="22"/>
        <v/>
      </c>
      <c r="L213" s="174" t="str">
        <f t="shared" si="23"/>
        <v/>
      </c>
    </row>
    <row r="214" spans="1:12" x14ac:dyDescent="0.2">
      <c r="A214" s="162" t="s">
        <v>566</v>
      </c>
      <c r="B214" s="174" t="s">
        <v>217</v>
      </c>
      <c r="C214" s="168" t="s">
        <v>382</v>
      </c>
      <c r="D214" s="168" t="s">
        <v>382</v>
      </c>
      <c r="E214" s="168" t="s">
        <v>382</v>
      </c>
      <c r="F214" s="168" t="s">
        <v>382</v>
      </c>
      <c r="G214" s="168">
        <f t="shared" si="18"/>
        <v>0</v>
      </c>
      <c r="H214" s="168" t="e">
        <f t="shared" si="19"/>
        <v>#VALUE!</v>
      </c>
      <c r="I214" s="168" t="e">
        <f t="shared" si="20"/>
        <v>#VALUE!</v>
      </c>
      <c r="J214" s="174" t="str">
        <f t="shared" si="21"/>
        <v/>
      </c>
      <c r="K214" s="174">
        <f t="shared" si="22"/>
        <v>3971</v>
      </c>
      <c r="L214" s="174" t="e">
        <f t="shared" si="23"/>
        <v>#VALUE!</v>
      </c>
    </row>
    <row r="215" spans="1:12" x14ac:dyDescent="0.2">
      <c r="A215" s="162" t="s">
        <v>567</v>
      </c>
      <c r="B215" s="174" t="s">
        <v>223</v>
      </c>
      <c r="C215" s="168">
        <v>0</v>
      </c>
      <c r="D215" s="168">
        <v>0</v>
      </c>
      <c r="E215" s="168">
        <v>616.76</v>
      </c>
      <c r="F215" s="168">
        <v>0</v>
      </c>
      <c r="G215" s="168">
        <f t="shared" si="18"/>
        <v>616.76</v>
      </c>
      <c r="H215" s="168">
        <f t="shared" si="19"/>
        <v>3.0838000000000001</v>
      </c>
      <c r="I215" s="168">
        <f t="shared" si="20"/>
        <v>11.482529300000001</v>
      </c>
      <c r="J215" s="174">
        <f t="shared" si="21"/>
        <v>3723.5</v>
      </c>
      <c r="K215" s="174">
        <f t="shared" si="22"/>
        <v>3723.5</v>
      </c>
      <c r="L215" s="174">
        <f t="shared" si="23"/>
        <v>3723.5</v>
      </c>
    </row>
    <row r="216" spans="1:12" x14ac:dyDescent="0.2">
      <c r="A216" s="162" t="s">
        <v>568</v>
      </c>
      <c r="B216" s="174" t="s">
        <v>226</v>
      </c>
      <c r="C216" s="168">
        <v>0</v>
      </c>
      <c r="D216" s="168">
        <v>0</v>
      </c>
      <c r="E216" s="168">
        <v>0</v>
      </c>
      <c r="F216" s="168">
        <v>0</v>
      </c>
      <c r="G216" s="168">
        <f t="shared" si="18"/>
        <v>0</v>
      </c>
      <c r="H216" s="168">
        <f t="shared" si="19"/>
        <v>0</v>
      </c>
      <c r="I216" s="168">
        <f t="shared" si="20"/>
        <v>0</v>
      </c>
      <c r="J216" s="174" t="str">
        <f t="shared" si="21"/>
        <v/>
      </c>
      <c r="K216" s="174" t="str">
        <f t="shared" si="22"/>
        <v/>
      </c>
      <c r="L216" s="174" t="str">
        <f t="shared" si="23"/>
        <v/>
      </c>
    </row>
    <row r="217" spans="1:12" x14ac:dyDescent="0.2">
      <c r="A217" s="162" t="s">
        <v>569</v>
      </c>
      <c r="B217" s="174" t="s">
        <v>296</v>
      </c>
      <c r="C217" s="168">
        <v>0</v>
      </c>
      <c r="D217" s="168">
        <v>0</v>
      </c>
      <c r="E217" s="168">
        <v>0</v>
      </c>
      <c r="F217" s="168">
        <v>0</v>
      </c>
      <c r="G217" s="168">
        <f t="shared" si="18"/>
        <v>0</v>
      </c>
      <c r="H217" s="168">
        <f t="shared" si="19"/>
        <v>0</v>
      </c>
      <c r="I217" s="168">
        <f t="shared" si="20"/>
        <v>0</v>
      </c>
      <c r="J217" s="174" t="str">
        <f t="shared" si="21"/>
        <v/>
      </c>
      <c r="K217" s="174" t="str">
        <f t="shared" si="22"/>
        <v/>
      </c>
      <c r="L217" s="174" t="str">
        <f t="shared" si="23"/>
        <v/>
      </c>
    </row>
    <row r="218" spans="1:12" x14ac:dyDescent="0.2">
      <c r="A218" s="162" t="s">
        <v>570</v>
      </c>
      <c r="B218" s="174" t="s">
        <v>126</v>
      </c>
      <c r="C218" s="168">
        <v>0</v>
      </c>
      <c r="D218" s="168">
        <v>0</v>
      </c>
      <c r="E218" s="168">
        <v>0</v>
      </c>
      <c r="F218" s="168">
        <v>0</v>
      </c>
      <c r="G218" s="168">
        <f t="shared" si="18"/>
        <v>0</v>
      </c>
      <c r="H218" s="168">
        <f t="shared" si="19"/>
        <v>0</v>
      </c>
      <c r="I218" s="168">
        <f t="shared" si="20"/>
        <v>0</v>
      </c>
      <c r="J218" s="174" t="str">
        <f t="shared" si="21"/>
        <v/>
      </c>
      <c r="K218" s="174" t="str">
        <f t="shared" si="22"/>
        <v/>
      </c>
      <c r="L218" s="174" t="str">
        <f t="shared" si="23"/>
        <v/>
      </c>
    </row>
    <row r="219" spans="1:12" x14ac:dyDescent="0.2">
      <c r="A219" s="162" t="s">
        <v>571</v>
      </c>
      <c r="B219" s="174" t="s">
        <v>572</v>
      </c>
      <c r="C219" s="168">
        <v>0</v>
      </c>
      <c r="D219" s="168">
        <v>0</v>
      </c>
      <c r="E219" s="168">
        <v>0</v>
      </c>
      <c r="F219" s="168">
        <v>0</v>
      </c>
      <c r="G219" s="168">
        <f t="shared" si="18"/>
        <v>0</v>
      </c>
      <c r="H219" s="168">
        <f t="shared" si="19"/>
        <v>0</v>
      </c>
      <c r="I219" s="168">
        <f t="shared" si="20"/>
        <v>0</v>
      </c>
      <c r="J219" s="174" t="str">
        <f t="shared" si="21"/>
        <v/>
      </c>
      <c r="K219" s="174" t="str">
        <f t="shared" si="22"/>
        <v/>
      </c>
      <c r="L219" s="174" t="str">
        <f t="shared" si="23"/>
        <v/>
      </c>
    </row>
    <row r="220" spans="1:12" x14ac:dyDescent="0.2">
      <c r="A220" s="162" t="s">
        <v>573</v>
      </c>
      <c r="B220" s="174" t="s">
        <v>29</v>
      </c>
      <c r="C220" s="168">
        <v>0</v>
      </c>
      <c r="D220" s="168">
        <v>0</v>
      </c>
      <c r="E220" s="168">
        <v>0</v>
      </c>
      <c r="F220" s="168">
        <v>0</v>
      </c>
      <c r="G220" s="168">
        <f t="shared" si="18"/>
        <v>0</v>
      </c>
      <c r="H220" s="168">
        <f t="shared" si="19"/>
        <v>0</v>
      </c>
      <c r="I220" s="168">
        <f t="shared" si="20"/>
        <v>0</v>
      </c>
      <c r="J220" s="174" t="str">
        <f t="shared" si="21"/>
        <v/>
      </c>
      <c r="K220" s="174" t="str">
        <f t="shared" si="22"/>
        <v/>
      </c>
      <c r="L220" s="174" t="str">
        <f t="shared" si="23"/>
        <v/>
      </c>
    </row>
    <row r="221" spans="1:12" x14ac:dyDescent="0.2">
      <c r="A221" s="162" t="s">
        <v>574</v>
      </c>
      <c r="B221" s="174" t="s">
        <v>141</v>
      </c>
      <c r="C221" s="168">
        <v>0</v>
      </c>
      <c r="D221" s="168">
        <v>0</v>
      </c>
      <c r="E221" s="168">
        <v>0</v>
      </c>
      <c r="F221" s="168">
        <v>0</v>
      </c>
      <c r="G221" s="168">
        <f t="shared" si="18"/>
        <v>0</v>
      </c>
      <c r="H221" s="168">
        <f t="shared" si="19"/>
        <v>0</v>
      </c>
      <c r="I221" s="168">
        <f t="shared" si="20"/>
        <v>0</v>
      </c>
      <c r="J221" s="174" t="str">
        <f t="shared" si="21"/>
        <v/>
      </c>
      <c r="K221" s="174" t="str">
        <f t="shared" si="22"/>
        <v/>
      </c>
      <c r="L221" s="174" t="str">
        <f t="shared" si="23"/>
        <v/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Y237"/>
  <sheetViews>
    <sheetView zoomScale="98" workbookViewId="0">
      <pane xSplit="1" topLeftCell="B1" activePane="topRight" state="frozen"/>
      <selection activeCell="A5" sqref="A4:A5"/>
      <selection pane="topRight"/>
    </sheetView>
  </sheetViews>
  <sheetFormatPr defaultColWidth="8.875" defaultRowHeight="12.75" x14ac:dyDescent="0.2"/>
  <cols>
    <col min="1" max="1" width="21.375" style="162" customWidth="1"/>
    <col min="2" max="22" width="8.875" style="162"/>
    <col min="23" max="23" width="9.125" style="162" bestFit="1" customWidth="1"/>
    <col min="24" max="33" width="8.875" style="162"/>
    <col min="34" max="34" width="16" style="162" customWidth="1"/>
    <col min="35" max="16384" width="8.875" style="162"/>
  </cols>
  <sheetData>
    <row r="1" spans="1:181" s="208" customFormat="1" ht="23.25" x14ac:dyDescent="0.35">
      <c r="A1" s="207" t="s">
        <v>1609</v>
      </c>
    </row>
    <row r="2" spans="1:181" ht="14.25" customHeight="1" x14ac:dyDescent="0.2"/>
    <row r="3" spans="1:181" s="239" customFormat="1" ht="23.25" x14ac:dyDescent="0.35">
      <c r="A3" s="240"/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  <c r="AX3" s="161"/>
      <c r="AY3" s="161"/>
      <c r="AZ3" s="161"/>
      <c r="BA3" s="161"/>
      <c r="BB3" s="161"/>
      <c r="BC3" s="161"/>
      <c r="BD3" s="161"/>
      <c r="BE3" s="161"/>
      <c r="BF3" s="161"/>
      <c r="BG3" s="161"/>
      <c r="BH3" s="161"/>
      <c r="BI3" s="161"/>
      <c r="BJ3" s="161"/>
      <c r="BK3" s="161"/>
      <c r="BL3" s="161"/>
      <c r="BM3" s="161"/>
      <c r="BN3" s="161"/>
      <c r="BO3" s="161"/>
      <c r="BP3" s="161"/>
      <c r="BQ3" s="161"/>
      <c r="BR3" s="161"/>
      <c r="BS3" s="161"/>
      <c r="BT3" s="161"/>
      <c r="BU3" s="161"/>
      <c r="BV3" s="161"/>
      <c r="BW3" s="161"/>
      <c r="BX3" s="161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  <c r="CK3" s="161"/>
      <c r="CL3" s="161"/>
      <c r="CM3" s="161"/>
      <c r="CN3" s="161"/>
      <c r="CO3" s="161"/>
      <c r="CP3" s="161"/>
      <c r="CQ3" s="161"/>
      <c r="CR3" s="161"/>
      <c r="CS3" s="161"/>
      <c r="CT3" s="161"/>
      <c r="CU3" s="161"/>
      <c r="CV3" s="161"/>
      <c r="CW3" s="161"/>
      <c r="CX3" s="161"/>
      <c r="CY3" s="161"/>
      <c r="CZ3" s="161"/>
      <c r="DA3" s="161"/>
      <c r="DB3" s="161"/>
      <c r="DC3" s="161"/>
      <c r="DD3" s="161"/>
      <c r="DE3" s="161"/>
      <c r="DF3" s="161"/>
      <c r="DG3" s="161"/>
      <c r="DH3" s="161"/>
      <c r="DI3" s="161"/>
      <c r="DJ3" s="161"/>
      <c r="DK3" s="161"/>
      <c r="DL3" s="161"/>
      <c r="DM3" s="161"/>
      <c r="DN3" s="161"/>
      <c r="DO3" s="161"/>
      <c r="DP3" s="161"/>
      <c r="DQ3" s="161"/>
      <c r="DR3" s="161"/>
      <c r="DS3" s="161"/>
      <c r="DT3" s="161"/>
      <c r="DU3" s="161"/>
      <c r="DV3" s="161"/>
      <c r="DW3" s="161"/>
      <c r="DX3" s="161"/>
      <c r="DY3" s="161"/>
      <c r="DZ3" s="161"/>
      <c r="EA3" s="161"/>
      <c r="EB3" s="161"/>
      <c r="EC3" s="161"/>
      <c r="ED3" s="161"/>
      <c r="EE3" s="161"/>
      <c r="EF3" s="161"/>
      <c r="EG3" s="161"/>
      <c r="EH3" s="161"/>
      <c r="EI3" s="161"/>
      <c r="EJ3" s="161"/>
      <c r="EK3" s="161"/>
      <c r="EL3" s="161"/>
      <c r="EM3" s="161"/>
      <c r="EN3" s="161"/>
      <c r="EO3" s="161"/>
      <c r="EP3" s="161"/>
      <c r="EQ3" s="161"/>
      <c r="ER3" s="161"/>
      <c r="ES3" s="161"/>
      <c r="ET3" s="161"/>
      <c r="EU3" s="161"/>
      <c r="EV3" s="161"/>
      <c r="EW3" s="161"/>
      <c r="EX3" s="161"/>
      <c r="EY3" s="161"/>
      <c r="EZ3" s="161"/>
      <c r="FA3" s="161"/>
      <c r="FB3" s="161"/>
      <c r="FC3" s="161"/>
      <c r="FD3" s="161"/>
      <c r="FE3" s="161"/>
      <c r="FF3" s="161"/>
      <c r="FG3" s="161"/>
      <c r="FH3" s="161"/>
      <c r="FI3" s="161"/>
      <c r="FJ3" s="161"/>
      <c r="FK3" s="161"/>
      <c r="FL3" s="161"/>
      <c r="FM3" s="161"/>
      <c r="FN3" s="161"/>
      <c r="FO3" s="161"/>
      <c r="FP3" s="161"/>
      <c r="FQ3" s="161"/>
      <c r="FR3" s="161"/>
      <c r="FS3" s="161"/>
      <c r="FT3" s="161"/>
      <c r="FU3" s="161"/>
      <c r="FV3" s="161"/>
      <c r="FW3" s="161"/>
      <c r="FX3" s="161"/>
      <c r="FY3" s="161"/>
    </row>
    <row r="4" spans="1:181" x14ac:dyDescent="0.2">
      <c r="A4" s="222" t="s">
        <v>575</v>
      </c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3" t="s">
        <v>686</v>
      </c>
      <c r="U4" s="222"/>
      <c r="V4" s="222"/>
      <c r="W4" s="223" t="s">
        <v>687</v>
      </c>
      <c r="X4" s="222"/>
      <c r="Y4" s="222"/>
      <c r="Z4" s="222"/>
      <c r="AA4" s="222"/>
      <c r="AB4" s="222"/>
      <c r="AC4" s="222"/>
      <c r="AD4" s="222"/>
      <c r="AE4" s="222"/>
      <c r="AF4" s="222"/>
      <c r="AG4" s="222"/>
      <c r="AH4" s="222"/>
      <c r="AI4" s="222"/>
      <c r="AJ4" s="222"/>
    </row>
    <row r="5" spans="1:181" x14ac:dyDescent="0.2">
      <c r="A5" s="222"/>
      <c r="B5" s="222" t="s">
        <v>576</v>
      </c>
      <c r="C5" s="222"/>
      <c r="D5" s="222"/>
      <c r="E5" s="222"/>
      <c r="F5" s="226"/>
      <c r="G5" s="222" t="s">
        <v>577</v>
      </c>
      <c r="H5" s="222"/>
      <c r="I5" s="222"/>
      <c r="J5" s="222"/>
      <c r="K5" s="226"/>
      <c r="L5" s="222" t="s">
        <v>578</v>
      </c>
      <c r="M5" s="222"/>
      <c r="N5" s="222"/>
      <c r="O5" s="222"/>
      <c r="P5" s="226"/>
      <c r="Q5" s="222" t="s">
        <v>579</v>
      </c>
      <c r="R5" s="222" t="s">
        <v>580</v>
      </c>
      <c r="S5" s="222" t="s">
        <v>584</v>
      </c>
      <c r="T5" s="223"/>
      <c r="U5" s="222"/>
      <c r="V5" s="222"/>
      <c r="W5" s="222" t="s">
        <v>581</v>
      </c>
      <c r="X5" s="222"/>
      <c r="Y5" s="222"/>
      <c r="Z5" s="222"/>
      <c r="AA5" s="222"/>
      <c r="AB5" s="222"/>
      <c r="AC5" s="222"/>
      <c r="AD5" s="222"/>
      <c r="AE5" s="222"/>
      <c r="AF5" s="222"/>
      <c r="AG5" s="222"/>
      <c r="AH5" s="222"/>
      <c r="AI5" s="222"/>
      <c r="AJ5" s="222"/>
    </row>
    <row r="6" spans="1:181" ht="13.5" thickBot="1" x14ac:dyDescent="0.25">
      <c r="A6" s="227" t="s">
        <v>582</v>
      </c>
      <c r="B6" s="227">
        <v>4</v>
      </c>
      <c r="C6" s="227">
        <v>5</v>
      </c>
      <c r="D6" s="227">
        <v>6</v>
      </c>
      <c r="E6" s="227">
        <v>7</v>
      </c>
      <c r="F6" s="228" t="s">
        <v>583</v>
      </c>
      <c r="G6" s="227">
        <v>4</v>
      </c>
      <c r="H6" s="227">
        <v>5</v>
      </c>
      <c r="I6" s="227">
        <v>6</v>
      </c>
      <c r="J6" s="227">
        <v>7</v>
      </c>
      <c r="K6" s="228" t="s">
        <v>583</v>
      </c>
      <c r="L6" s="227">
        <v>4</v>
      </c>
      <c r="M6" s="227">
        <v>5</v>
      </c>
      <c r="N6" s="227">
        <v>6</v>
      </c>
      <c r="O6" s="227">
        <v>7</v>
      </c>
      <c r="P6" s="228" t="s">
        <v>583</v>
      </c>
      <c r="Q6" s="227" t="s">
        <v>584</v>
      </c>
      <c r="R6" s="227" t="s">
        <v>585</v>
      </c>
      <c r="S6" s="225">
        <v>4</v>
      </c>
      <c r="T6" s="225">
        <v>5</v>
      </c>
      <c r="U6" s="225">
        <v>6</v>
      </c>
      <c r="V6" s="225">
        <v>7</v>
      </c>
      <c r="W6" s="225" t="s">
        <v>586</v>
      </c>
      <c r="X6" s="222"/>
      <c r="Y6" s="222" t="s">
        <v>145</v>
      </c>
      <c r="Z6" s="222" t="s">
        <v>144</v>
      </c>
      <c r="AA6" s="222" t="s">
        <v>143</v>
      </c>
      <c r="AB6" s="222"/>
      <c r="AC6" s="229" t="s">
        <v>587</v>
      </c>
      <c r="AD6" s="229" t="s">
        <v>588</v>
      </c>
      <c r="AE6" s="222" t="s">
        <v>904</v>
      </c>
      <c r="AF6" s="222"/>
      <c r="AG6" s="222" t="s">
        <v>589</v>
      </c>
      <c r="AH6" s="222"/>
      <c r="AI6" s="222"/>
      <c r="AJ6" s="222">
        <v>8760</v>
      </c>
    </row>
    <row r="7" spans="1:181" x14ac:dyDescent="0.2">
      <c r="A7" s="162" t="s">
        <v>30</v>
      </c>
      <c r="B7" s="162">
        <v>0</v>
      </c>
      <c r="C7" s="162">
        <v>0</v>
      </c>
      <c r="D7" s="162">
        <v>0</v>
      </c>
      <c r="E7" s="162">
        <v>0</v>
      </c>
      <c r="F7" s="178">
        <v>0</v>
      </c>
      <c r="G7" s="162">
        <v>0</v>
      </c>
      <c r="H7" s="162">
        <v>0</v>
      </c>
      <c r="I7" s="162">
        <v>0</v>
      </c>
      <c r="J7" s="162">
        <v>0</v>
      </c>
      <c r="K7" s="178">
        <v>0</v>
      </c>
      <c r="L7" s="162">
        <v>0</v>
      </c>
      <c r="M7" s="162">
        <v>0</v>
      </c>
      <c r="N7" s="162">
        <v>0</v>
      </c>
      <c r="O7" s="162">
        <v>0</v>
      </c>
      <c r="P7" s="178">
        <v>0</v>
      </c>
      <c r="Q7" s="162">
        <v>0</v>
      </c>
      <c r="R7" s="180">
        <v>0.92708749999999995</v>
      </c>
      <c r="S7" s="180">
        <f>SUM(B7,G7,L7)</f>
        <v>0</v>
      </c>
      <c r="T7" s="180">
        <f>SUM(C7,H7,M7)</f>
        <v>0</v>
      </c>
      <c r="U7" s="180">
        <f>SUM(D7,I7,N7)</f>
        <v>0</v>
      </c>
      <c r="V7" s="180">
        <f>SUM(E7,J7,O7)</f>
        <v>0</v>
      </c>
      <c r="W7" s="181">
        <f>((B7+G7+L7)*$AJ$8*$AI$27/5+(C7+H7+M7)*$AJ$9*$AI$28/5+(D7+I7+N7)*$AJ$10*$AI$29/5+(E7+J7+O7)*$AJ$11*$AI$30/5)/1000</f>
        <v>0</v>
      </c>
      <c r="Y7" s="162" t="str">
        <f>IF(V7&gt;0,$AJ$11,IF(U7&gt;0,$AJ$10,IF(T7&gt;0,$AJ$9,IF(S7&gt;0,$AJ$8,""))))</f>
        <v/>
      </c>
      <c r="Z7" s="162" t="str">
        <f>IF(S7&gt;0,$AJ$8,IF(T7&gt;0,$AJ$9,IF(U7&gt;0,$AJ$10,IF(V7&gt;0,$AJ$11,""))))</f>
        <v/>
      </c>
      <c r="AA7" s="162" t="str">
        <f>IF(Q7&gt;0,(S7*$AJ$8+T7*$AJ$9+U7*$AJ$10+V7*$AJ$11)/Q7,"")</f>
        <v/>
      </c>
      <c r="AC7" s="162" t="s">
        <v>590</v>
      </c>
      <c r="AD7" s="182">
        <v>4354.7</v>
      </c>
      <c r="AG7" s="162" t="s">
        <v>591</v>
      </c>
      <c r="AH7" s="162" t="s">
        <v>592</v>
      </c>
      <c r="AI7" s="162" t="s">
        <v>677</v>
      </c>
      <c r="AJ7" s="162" t="s">
        <v>10</v>
      </c>
    </row>
    <row r="8" spans="1:181" x14ac:dyDescent="0.2">
      <c r="A8" s="162" t="s">
        <v>31</v>
      </c>
      <c r="B8" s="162">
        <v>0</v>
      </c>
      <c r="C8" s="162">
        <v>0</v>
      </c>
      <c r="D8" s="162">
        <v>0</v>
      </c>
      <c r="E8" s="162">
        <v>0</v>
      </c>
      <c r="F8" s="178">
        <v>0</v>
      </c>
      <c r="G8" s="162">
        <v>0.02</v>
      </c>
      <c r="H8" s="162">
        <v>0</v>
      </c>
      <c r="I8" s="162">
        <v>0</v>
      </c>
      <c r="J8" s="162">
        <v>0</v>
      </c>
      <c r="K8" s="178">
        <v>0.02</v>
      </c>
      <c r="L8" s="162">
        <v>13.1</v>
      </c>
      <c r="M8" s="162">
        <v>14.78</v>
      </c>
      <c r="N8" s="162">
        <v>0</v>
      </c>
      <c r="O8" s="162">
        <v>0</v>
      </c>
      <c r="P8" s="178">
        <v>27.88</v>
      </c>
      <c r="Q8" s="162">
        <v>27.9</v>
      </c>
      <c r="R8" s="180">
        <v>3.5912500000000001</v>
      </c>
      <c r="S8" s="180">
        <f t="shared" ref="S8:S71" si="0">SUM(B8,G8,L8)</f>
        <v>13.12</v>
      </c>
      <c r="T8" s="180">
        <f t="shared" ref="T8:T71" si="1">SUM(C8,H8,M8)</f>
        <v>14.78</v>
      </c>
      <c r="U8" s="180">
        <f t="shared" ref="U8:U71" si="2">SUM(D8,I8,N8)</f>
        <v>0</v>
      </c>
      <c r="V8" s="180">
        <f t="shared" ref="V8:V71" si="3">SUM(E8,J8,O8)</f>
        <v>0</v>
      </c>
      <c r="W8" s="181">
        <f>((B8+G8+L8)*$AJ$8*$AI$27/5+(C8+H8+M8)*$AJ$9*$AI$28/5+(D8+I8+N8)*$AJ$10*$AI$29/5+(E8+J8+O8)*$AJ$11*$AI$30/5)/1000</f>
        <v>93.16435199999998</v>
      </c>
      <c r="Y8" s="174">
        <f t="shared" ref="Y8:Y71" si="4">IF(V8&gt;0,$AJ$11,IF(U8&gt;0,$AJ$10,IF(T8&gt;0,$AJ$9,IF(S8&gt;0,$AJ$8,""))))</f>
        <v>3504</v>
      </c>
      <c r="Z8" s="174">
        <f t="shared" ref="Z8:Z71" si="5">IF(S8&gt;0,$AJ$8,IF(T8&gt;0,$AJ$9,IF(U8&gt;0,$AJ$10,IF(V8&gt;0,$AJ$11,""))))</f>
        <v>3153.6</v>
      </c>
      <c r="AA8" s="174">
        <f t="shared" ref="AA8:AA71" si="6">IF(Q8&gt;0,(S8*$AJ$8+T8*$AJ$9+U8*$AJ$10+V8*$AJ$11)/Q8,"")</f>
        <v>3339.2240860215052</v>
      </c>
      <c r="AC8" s="162" t="s">
        <v>166</v>
      </c>
      <c r="AD8" s="182">
        <v>2</v>
      </c>
      <c r="AG8" s="162" t="s">
        <v>593</v>
      </c>
      <c r="AH8" s="162" t="s">
        <v>594</v>
      </c>
      <c r="AI8" s="162">
        <v>0.36</v>
      </c>
      <c r="AJ8" s="162">
        <f>AI8*$AJ$6</f>
        <v>3153.6</v>
      </c>
    </row>
    <row r="9" spans="1:181" x14ac:dyDescent="0.2">
      <c r="A9" s="162" t="s">
        <v>32</v>
      </c>
      <c r="B9" s="162">
        <v>0</v>
      </c>
      <c r="C9" s="162">
        <v>0</v>
      </c>
      <c r="D9" s="162">
        <v>0</v>
      </c>
      <c r="E9" s="162">
        <v>0</v>
      </c>
      <c r="F9" s="178">
        <v>0</v>
      </c>
      <c r="G9" s="162">
        <v>0.08</v>
      </c>
      <c r="H9" s="162">
        <v>0</v>
      </c>
      <c r="I9" s="162">
        <v>0</v>
      </c>
      <c r="J9" s="162">
        <v>0</v>
      </c>
      <c r="K9" s="178">
        <v>0.08</v>
      </c>
      <c r="L9" s="162">
        <v>5.18</v>
      </c>
      <c r="M9" s="162">
        <v>0</v>
      </c>
      <c r="N9" s="162">
        <v>0</v>
      </c>
      <c r="O9" s="162">
        <v>0</v>
      </c>
      <c r="P9" s="178">
        <v>5.18</v>
      </c>
      <c r="Q9" s="162">
        <v>5.26</v>
      </c>
      <c r="R9" s="180">
        <v>28.3155</v>
      </c>
      <c r="S9" s="180">
        <f t="shared" si="0"/>
        <v>5.26</v>
      </c>
      <c r="T9" s="180">
        <f t="shared" si="1"/>
        <v>0</v>
      </c>
      <c r="U9" s="180">
        <f t="shared" si="2"/>
        <v>0</v>
      </c>
      <c r="V9" s="180">
        <f t="shared" si="3"/>
        <v>0</v>
      </c>
      <c r="W9" s="181">
        <f t="shared" ref="W9:W72" si="7">((B9+G9+L9)*$AJ$8*$AI$27/5+(C9+H9+M9)*$AJ$9*$AI$28/5+(D9+I9+N9)*$AJ$10*$AI$29/5+(E9+J9+O9)*$AJ$11*$AI$30/5)/1000</f>
        <v>16.587935999999999</v>
      </c>
      <c r="Y9" s="174">
        <f t="shared" si="4"/>
        <v>3153.6</v>
      </c>
      <c r="Z9" s="174">
        <f t="shared" si="5"/>
        <v>3153.6</v>
      </c>
      <c r="AA9" s="174">
        <f t="shared" si="6"/>
        <v>3153.6</v>
      </c>
      <c r="AC9" s="162" t="s">
        <v>595</v>
      </c>
      <c r="AD9" s="182">
        <v>7.18</v>
      </c>
      <c r="AG9" s="162" t="s">
        <v>596</v>
      </c>
      <c r="AH9" s="162" t="s">
        <v>597</v>
      </c>
      <c r="AI9" s="162">
        <v>0.4</v>
      </c>
      <c r="AJ9" s="162">
        <f>AI9*$AJ$6</f>
        <v>3504</v>
      </c>
    </row>
    <row r="10" spans="1:181" x14ac:dyDescent="0.2">
      <c r="A10" s="162" t="s">
        <v>33</v>
      </c>
      <c r="B10" s="162">
        <v>0</v>
      </c>
      <c r="C10" s="162">
        <v>0</v>
      </c>
      <c r="D10" s="162">
        <v>0.02</v>
      </c>
      <c r="E10" s="162">
        <v>0</v>
      </c>
      <c r="F10" s="178">
        <v>0.02</v>
      </c>
      <c r="G10" s="162">
        <v>0</v>
      </c>
      <c r="H10" s="162">
        <v>0.66</v>
      </c>
      <c r="I10" s="162">
        <v>0.48</v>
      </c>
      <c r="J10" s="162">
        <v>0</v>
      </c>
      <c r="K10" s="178">
        <v>1.1399999999999999</v>
      </c>
      <c r="L10" s="162">
        <v>0</v>
      </c>
      <c r="M10" s="162">
        <v>7.52</v>
      </c>
      <c r="N10" s="162">
        <v>16.86</v>
      </c>
      <c r="O10" s="162">
        <v>1.18</v>
      </c>
      <c r="P10" s="178">
        <v>25.56</v>
      </c>
      <c r="Q10" s="162">
        <v>26.72</v>
      </c>
      <c r="R10" s="180">
        <v>2.7115</v>
      </c>
      <c r="S10" s="180">
        <f t="shared" si="0"/>
        <v>0</v>
      </c>
      <c r="T10" s="180">
        <f t="shared" si="1"/>
        <v>8.18</v>
      </c>
      <c r="U10" s="180">
        <f t="shared" si="2"/>
        <v>17.36</v>
      </c>
      <c r="V10" s="180">
        <f t="shared" si="3"/>
        <v>1.18</v>
      </c>
      <c r="W10" s="181">
        <f t="shared" si="7"/>
        <v>100.536768</v>
      </c>
      <c r="Y10" s="174">
        <f t="shared" si="4"/>
        <v>4204.8</v>
      </c>
      <c r="Z10" s="174">
        <f t="shared" si="5"/>
        <v>3504</v>
      </c>
      <c r="AA10" s="174">
        <f t="shared" si="6"/>
        <v>3762.603592814372</v>
      </c>
      <c r="AC10" s="162" t="s">
        <v>598</v>
      </c>
      <c r="AD10" s="182">
        <v>217.14</v>
      </c>
      <c r="AG10" s="162" t="s">
        <v>599</v>
      </c>
      <c r="AH10" s="162" t="s">
        <v>600</v>
      </c>
      <c r="AI10" s="162">
        <v>0.44</v>
      </c>
      <c r="AJ10" s="162">
        <f>AI10*$AJ$6</f>
        <v>3854.4</v>
      </c>
    </row>
    <row r="11" spans="1:181" x14ac:dyDescent="0.2">
      <c r="A11" s="162" t="s">
        <v>34</v>
      </c>
      <c r="B11" s="162">
        <v>2.34</v>
      </c>
      <c r="C11" s="162">
        <v>47.6</v>
      </c>
      <c r="D11" s="162">
        <v>220.6</v>
      </c>
      <c r="E11" s="162">
        <v>25.94</v>
      </c>
      <c r="F11" s="178">
        <v>296.48</v>
      </c>
      <c r="G11" s="162">
        <v>3.6</v>
      </c>
      <c r="H11" s="162">
        <v>74.260000000000005</v>
      </c>
      <c r="I11" s="162">
        <v>385</v>
      </c>
      <c r="J11" s="162">
        <v>48.82</v>
      </c>
      <c r="K11" s="178">
        <v>511.68</v>
      </c>
      <c r="L11" s="162">
        <v>44.28</v>
      </c>
      <c r="M11" s="162">
        <v>255.56</v>
      </c>
      <c r="N11" s="162">
        <v>1053.58</v>
      </c>
      <c r="O11" s="162">
        <v>849.22</v>
      </c>
      <c r="P11" s="178">
        <v>2202.64</v>
      </c>
      <c r="Q11" s="162">
        <v>3010.8</v>
      </c>
      <c r="R11" s="180">
        <v>96.529207500000012</v>
      </c>
      <c r="S11" s="180">
        <f t="shared" si="0"/>
        <v>50.22</v>
      </c>
      <c r="T11" s="180">
        <f t="shared" si="1"/>
        <v>377.42</v>
      </c>
      <c r="U11" s="180">
        <f t="shared" si="2"/>
        <v>1659.1799999999998</v>
      </c>
      <c r="V11" s="180">
        <f t="shared" si="3"/>
        <v>923.98</v>
      </c>
      <c r="W11" s="181">
        <f t="shared" si="7"/>
        <v>11761.147968000001</v>
      </c>
      <c r="X11" s="183"/>
      <c r="Y11" s="174">
        <f t="shared" si="4"/>
        <v>4204.8</v>
      </c>
      <c r="Z11" s="174">
        <f t="shared" si="5"/>
        <v>3153.6</v>
      </c>
      <c r="AA11" s="174">
        <f t="shared" si="6"/>
        <v>3906.3199043443597</v>
      </c>
      <c r="AC11" s="162" t="s">
        <v>168</v>
      </c>
      <c r="AD11" s="182">
        <v>22.8</v>
      </c>
      <c r="AG11" s="162" t="s">
        <v>601</v>
      </c>
      <c r="AH11" s="162" t="s">
        <v>602</v>
      </c>
      <c r="AI11" s="162">
        <v>0.48</v>
      </c>
      <c r="AJ11" s="162">
        <f>AI11*$AJ$6</f>
        <v>4204.8</v>
      </c>
    </row>
    <row r="12" spans="1:181" x14ac:dyDescent="0.2">
      <c r="A12" s="162" t="s">
        <v>35</v>
      </c>
      <c r="B12" s="162">
        <v>0</v>
      </c>
      <c r="C12" s="162">
        <v>0</v>
      </c>
      <c r="D12" s="162">
        <v>0</v>
      </c>
      <c r="E12" s="162">
        <v>0</v>
      </c>
      <c r="F12" s="178">
        <v>0</v>
      </c>
      <c r="G12" s="162">
        <v>0</v>
      </c>
      <c r="H12" s="162">
        <v>0</v>
      </c>
      <c r="I12" s="162">
        <v>0</v>
      </c>
      <c r="J12" s="162">
        <v>0</v>
      </c>
      <c r="K12" s="178">
        <v>0</v>
      </c>
      <c r="L12" s="162">
        <v>0</v>
      </c>
      <c r="M12" s="162">
        <v>0</v>
      </c>
      <c r="N12" s="162">
        <v>0</v>
      </c>
      <c r="O12" s="162">
        <v>0</v>
      </c>
      <c r="P12" s="178">
        <v>0</v>
      </c>
      <c r="Q12" s="162">
        <v>0</v>
      </c>
      <c r="R12" s="180">
        <v>4.6719925</v>
      </c>
      <c r="S12" s="180">
        <f t="shared" si="0"/>
        <v>0</v>
      </c>
      <c r="T12" s="180">
        <f t="shared" si="1"/>
        <v>0</v>
      </c>
      <c r="U12" s="180">
        <f t="shared" si="2"/>
        <v>0</v>
      </c>
      <c r="V12" s="180">
        <f t="shared" si="3"/>
        <v>0</v>
      </c>
      <c r="W12" s="181">
        <f t="shared" si="7"/>
        <v>0</v>
      </c>
      <c r="Y12" s="174" t="str">
        <f t="shared" si="4"/>
        <v/>
      </c>
      <c r="Z12" s="174" t="str">
        <f t="shared" si="5"/>
        <v/>
      </c>
      <c r="AA12" s="174" t="str">
        <f t="shared" si="6"/>
        <v/>
      </c>
      <c r="AC12" s="162" t="s">
        <v>169</v>
      </c>
      <c r="AD12" s="182">
        <v>1223.78</v>
      </c>
      <c r="AE12" s="162">
        <f>AD12*AJ10/1000</f>
        <v>4716.9376320000001</v>
      </c>
    </row>
    <row r="13" spans="1:181" x14ac:dyDescent="0.2">
      <c r="A13" s="162" t="s">
        <v>36</v>
      </c>
      <c r="B13" s="162">
        <v>159.02000000000001</v>
      </c>
      <c r="C13" s="162">
        <v>257.74</v>
      </c>
      <c r="D13" s="162">
        <v>268.10000000000002</v>
      </c>
      <c r="E13" s="162">
        <v>157.19999999999999</v>
      </c>
      <c r="F13" s="178">
        <v>842.06</v>
      </c>
      <c r="G13" s="162">
        <v>94.2</v>
      </c>
      <c r="H13" s="162">
        <v>342.56</v>
      </c>
      <c r="I13" s="162">
        <v>309.26</v>
      </c>
      <c r="J13" s="162">
        <v>483.24</v>
      </c>
      <c r="K13" s="178">
        <v>1229.26</v>
      </c>
      <c r="L13" s="162">
        <v>80.88</v>
      </c>
      <c r="M13" s="162">
        <v>255.38</v>
      </c>
      <c r="N13" s="162">
        <v>1199.08</v>
      </c>
      <c r="O13" s="162">
        <v>1841.94</v>
      </c>
      <c r="P13" s="178">
        <v>3377.28</v>
      </c>
      <c r="Q13" s="162">
        <v>5448.6</v>
      </c>
      <c r="R13" s="180">
        <v>218.04750999999999</v>
      </c>
      <c r="S13" s="180">
        <f t="shared" si="0"/>
        <v>334.1</v>
      </c>
      <c r="T13" s="180">
        <f t="shared" si="1"/>
        <v>855.68</v>
      </c>
      <c r="U13" s="180">
        <f t="shared" si="2"/>
        <v>1776.44</v>
      </c>
      <c r="V13" s="180">
        <f t="shared" si="3"/>
        <v>2482.38</v>
      </c>
      <c r="W13" s="181">
        <f t="shared" si="7"/>
        <v>21336.94224</v>
      </c>
      <c r="X13" s="183"/>
      <c r="Y13" s="174">
        <f t="shared" si="4"/>
        <v>4204.8</v>
      </c>
      <c r="Z13" s="174">
        <f t="shared" si="5"/>
        <v>3153.6</v>
      </c>
      <c r="AA13" s="174">
        <f t="shared" si="6"/>
        <v>3916.041228939544</v>
      </c>
      <c r="AC13" s="162" t="s">
        <v>603</v>
      </c>
      <c r="AD13" s="182">
        <v>41.7</v>
      </c>
    </row>
    <row r="14" spans="1:181" x14ac:dyDescent="0.2">
      <c r="A14" s="162" t="s">
        <v>177</v>
      </c>
      <c r="B14" s="162">
        <v>0</v>
      </c>
      <c r="C14" s="162">
        <v>0</v>
      </c>
      <c r="D14" s="162">
        <v>0</v>
      </c>
      <c r="E14" s="162">
        <v>0</v>
      </c>
      <c r="F14" s="178">
        <v>0</v>
      </c>
      <c r="G14" s="162">
        <v>0</v>
      </c>
      <c r="H14" s="162">
        <v>0</v>
      </c>
      <c r="I14" s="162">
        <v>0</v>
      </c>
      <c r="J14" s="162">
        <v>0</v>
      </c>
      <c r="K14" s="178">
        <v>0</v>
      </c>
      <c r="L14" s="162">
        <v>0</v>
      </c>
      <c r="M14" s="162">
        <v>0</v>
      </c>
      <c r="N14" s="162">
        <v>0</v>
      </c>
      <c r="O14" s="162">
        <v>0</v>
      </c>
      <c r="P14" s="178">
        <v>0</v>
      </c>
      <c r="Q14" s="162">
        <v>0</v>
      </c>
      <c r="R14" s="180">
        <v>62.215595</v>
      </c>
      <c r="S14" s="180">
        <f t="shared" si="0"/>
        <v>0</v>
      </c>
      <c r="T14" s="180">
        <f t="shared" si="1"/>
        <v>0</v>
      </c>
      <c r="U14" s="180">
        <f t="shared" si="2"/>
        <v>0</v>
      </c>
      <c r="V14" s="180">
        <f t="shared" si="3"/>
        <v>0</v>
      </c>
      <c r="W14" s="181">
        <f t="shared" si="7"/>
        <v>0</v>
      </c>
      <c r="Y14" s="174" t="str">
        <f t="shared" si="4"/>
        <v/>
      </c>
      <c r="Z14" s="174" t="str">
        <f t="shared" si="5"/>
        <v/>
      </c>
      <c r="AA14" s="174" t="str">
        <f t="shared" si="6"/>
        <v/>
      </c>
      <c r="AC14" s="162" t="s">
        <v>604</v>
      </c>
      <c r="AD14" s="182">
        <v>0.04</v>
      </c>
    </row>
    <row r="15" spans="1:181" x14ac:dyDescent="0.2">
      <c r="A15" s="162" t="s">
        <v>37</v>
      </c>
      <c r="B15" s="162">
        <v>0</v>
      </c>
      <c r="C15" s="162">
        <v>0</v>
      </c>
      <c r="D15" s="162">
        <v>0</v>
      </c>
      <c r="E15" s="162">
        <v>0</v>
      </c>
      <c r="F15" s="178">
        <v>0</v>
      </c>
      <c r="G15" s="162">
        <v>0</v>
      </c>
      <c r="H15" s="162">
        <v>0</v>
      </c>
      <c r="I15" s="162">
        <v>0</v>
      </c>
      <c r="J15" s="162">
        <v>0</v>
      </c>
      <c r="K15" s="178">
        <v>0</v>
      </c>
      <c r="L15" s="162">
        <v>0</v>
      </c>
      <c r="M15" s="162">
        <v>0</v>
      </c>
      <c r="N15" s="162">
        <v>0</v>
      </c>
      <c r="O15" s="162">
        <v>0</v>
      </c>
      <c r="P15" s="178">
        <v>0</v>
      </c>
      <c r="Q15" s="162">
        <v>0</v>
      </c>
      <c r="R15" s="180">
        <v>19.279250000000001</v>
      </c>
      <c r="S15" s="180">
        <f t="shared" si="0"/>
        <v>0</v>
      </c>
      <c r="T15" s="180">
        <f t="shared" si="1"/>
        <v>0</v>
      </c>
      <c r="U15" s="180">
        <f t="shared" si="2"/>
        <v>0</v>
      </c>
      <c r="V15" s="180">
        <f t="shared" si="3"/>
        <v>0</v>
      </c>
      <c r="W15" s="181">
        <f t="shared" si="7"/>
        <v>0</v>
      </c>
      <c r="Y15" s="174" t="str">
        <f t="shared" si="4"/>
        <v/>
      </c>
      <c r="Z15" s="174" t="str">
        <f t="shared" si="5"/>
        <v/>
      </c>
      <c r="AA15" s="174" t="str">
        <f t="shared" si="6"/>
        <v/>
      </c>
      <c r="AC15" s="162" t="s">
        <v>605</v>
      </c>
      <c r="AD15" s="182">
        <v>0</v>
      </c>
    </row>
    <row r="16" spans="1:181" x14ac:dyDescent="0.2">
      <c r="A16" s="162" t="s">
        <v>606</v>
      </c>
      <c r="B16" s="162">
        <v>90.36</v>
      </c>
      <c r="C16" s="162">
        <v>36</v>
      </c>
      <c r="D16" s="162">
        <v>0.06</v>
      </c>
      <c r="E16" s="162">
        <v>0</v>
      </c>
      <c r="F16" s="178">
        <v>126.42</v>
      </c>
      <c r="G16" s="162">
        <v>4.1399999999999997</v>
      </c>
      <c r="H16" s="162">
        <v>5.28</v>
      </c>
      <c r="I16" s="162">
        <v>0.02</v>
      </c>
      <c r="J16" s="162">
        <v>0</v>
      </c>
      <c r="K16" s="178">
        <v>9.44</v>
      </c>
      <c r="L16" s="162">
        <v>99.62</v>
      </c>
      <c r="M16" s="162">
        <v>137.30000000000001</v>
      </c>
      <c r="N16" s="162">
        <v>9.26</v>
      </c>
      <c r="O16" s="162">
        <v>0</v>
      </c>
      <c r="P16" s="178">
        <v>246.18</v>
      </c>
      <c r="Q16" s="162">
        <v>382.04</v>
      </c>
      <c r="R16" s="180">
        <v>1.8407475000000002</v>
      </c>
      <c r="S16" s="180">
        <f t="shared" si="0"/>
        <v>194.12</v>
      </c>
      <c r="T16" s="180">
        <f t="shared" si="1"/>
        <v>178.58</v>
      </c>
      <c r="U16" s="180">
        <f t="shared" si="2"/>
        <v>9.34</v>
      </c>
      <c r="V16" s="180">
        <f t="shared" si="3"/>
        <v>0</v>
      </c>
      <c r="W16" s="181">
        <f t="shared" si="7"/>
        <v>1273.9212480000001</v>
      </c>
      <c r="Y16" s="174">
        <f t="shared" si="4"/>
        <v>3854.4</v>
      </c>
      <c r="Z16" s="174">
        <f t="shared" si="5"/>
        <v>3153.6</v>
      </c>
      <c r="AA16" s="174">
        <f t="shared" si="6"/>
        <v>3334.5232122290863</v>
      </c>
      <c r="AC16" s="162" t="s">
        <v>607</v>
      </c>
      <c r="AD16" s="182">
        <v>11.74</v>
      </c>
    </row>
    <row r="17" spans="1:36" x14ac:dyDescent="0.2">
      <c r="A17" s="162" t="s">
        <v>178</v>
      </c>
      <c r="B17" s="162">
        <v>0</v>
      </c>
      <c r="C17" s="162">
        <v>0</v>
      </c>
      <c r="D17" s="162">
        <v>0</v>
      </c>
      <c r="E17" s="162">
        <v>0</v>
      </c>
      <c r="F17" s="178">
        <v>0</v>
      </c>
      <c r="G17" s="162">
        <v>0</v>
      </c>
      <c r="H17" s="162">
        <v>0</v>
      </c>
      <c r="I17" s="162">
        <v>0</v>
      </c>
      <c r="J17" s="162">
        <v>0</v>
      </c>
      <c r="K17" s="178">
        <v>0</v>
      </c>
      <c r="L17" s="162">
        <v>0</v>
      </c>
      <c r="M17" s="162">
        <v>0</v>
      </c>
      <c r="N17" s="162">
        <v>0</v>
      </c>
      <c r="O17" s="162">
        <v>0</v>
      </c>
      <c r="P17" s="178">
        <v>0</v>
      </c>
      <c r="Q17" s="162">
        <v>0</v>
      </c>
      <c r="R17" s="180">
        <v>9.3067499999999992</v>
      </c>
      <c r="S17" s="180">
        <f t="shared" si="0"/>
        <v>0</v>
      </c>
      <c r="T17" s="180">
        <f t="shared" si="1"/>
        <v>0</v>
      </c>
      <c r="U17" s="180">
        <f t="shared" si="2"/>
        <v>0</v>
      </c>
      <c r="V17" s="180">
        <f t="shared" si="3"/>
        <v>0</v>
      </c>
      <c r="W17" s="181">
        <f t="shared" si="7"/>
        <v>0</v>
      </c>
      <c r="Y17" s="174" t="str">
        <f t="shared" si="4"/>
        <v/>
      </c>
      <c r="Z17" s="174" t="str">
        <f t="shared" si="5"/>
        <v/>
      </c>
      <c r="AA17" s="174" t="str">
        <f t="shared" si="6"/>
        <v/>
      </c>
      <c r="AC17" s="162" t="s">
        <v>608</v>
      </c>
      <c r="AD17" s="182">
        <v>77.040000000000006</v>
      </c>
    </row>
    <row r="18" spans="1:36" x14ac:dyDescent="0.2">
      <c r="A18" s="162" t="s">
        <v>38</v>
      </c>
      <c r="B18" s="162">
        <v>0</v>
      </c>
      <c r="C18" s="162">
        <v>0</v>
      </c>
      <c r="D18" s="162">
        <v>0</v>
      </c>
      <c r="E18" s="162">
        <v>0</v>
      </c>
      <c r="F18" s="178">
        <v>0</v>
      </c>
      <c r="G18" s="162">
        <v>0</v>
      </c>
      <c r="H18" s="162">
        <v>0</v>
      </c>
      <c r="I18" s="162">
        <v>0</v>
      </c>
      <c r="J18" s="162">
        <v>0</v>
      </c>
      <c r="K18" s="178">
        <v>0</v>
      </c>
      <c r="L18" s="162">
        <v>0</v>
      </c>
      <c r="M18" s="162">
        <v>0</v>
      </c>
      <c r="N18" s="162">
        <v>0</v>
      </c>
      <c r="O18" s="162">
        <v>0</v>
      </c>
      <c r="P18" s="178">
        <v>0</v>
      </c>
      <c r="Q18" s="162">
        <v>0</v>
      </c>
      <c r="R18" s="180">
        <v>27.128</v>
      </c>
      <c r="S18" s="180">
        <f t="shared" si="0"/>
        <v>0</v>
      </c>
      <c r="T18" s="180">
        <f t="shared" si="1"/>
        <v>0</v>
      </c>
      <c r="U18" s="180">
        <f t="shared" si="2"/>
        <v>0</v>
      </c>
      <c r="V18" s="180">
        <f t="shared" si="3"/>
        <v>0</v>
      </c>
      <c r="W18" s="181">
        <f t="shared" si="7"/>
        <v>0</v>
      </c>
      <c r="Y18" s="174" t="str">
        <f t="shared" si="4"/>
        <v/>
      </c>
      <c r="Z18" s="174" t="str">
        <f t="shared" si="5"/>
        <v/>
      </c>
      <c r="AA18" s="174" t="str">
        <f t="shared" si="6"/>
        <v/>
      </c>
      <c r="AC18" s="162" t="s">
        <v>609</v>
      </c>
      <c r="AD18" s="182">
        <v>0</v>
      </c>
    </row>
    <row r="19" spans="1:36" x14ac:dyDescent="0.2">
      <c r="A19" s="162" t="s">
        <v>180</v>
      </c>
      <c r="B19" s="162">
        <v>0</v>
      </c>
      <c r="C19" s="162">
        <v>0</v>
      </c>
      <c r="D19" s="162">
        <v>0</v>
      </c>
      <c r="E19" s="162">
        <v>0</v>
      </c>
      <c r="F19" s="178">
        <v>0</v>
      </c>
      <c r="G19" s="162">
        <v>0</v>
      </c>
      <c r="H19" s="162">
        <v>0</v>
      </c>
      <c r="I19" s="162">
        <v>0</v>
      </c>
      <c r="J19" s="162">
        <v>0</v>
      </c>
      <c r="K19" s="178">
        <v>0</v>
      </c>
      <c r="L19" s="162">
        <v>0</v>
      </c>
      <c r="M19" s="162">
        <v>0</v>
      </c>
      <c r="N19" s="162">
        <v>0.14000000000000001</v>
      </c>
      <c r="O19" s="162">
        <v>16.399999999999999</v>
      </c>
      <c r="P19" s="178">
        <v>16.54</v>
      </c>
      <c r="Q19" s="162">
        <v>16.54</v>
      </c>
      <c r="R19" s="180">
        <v>0.92182500000000001</v>
      </c>
      <c r="S19" s="180">
        <f t="shared" si="0"/>
        <v>0</v>
      </c>
      <c r="T19" s="180">
        <f t="shared" si="1"/>
        <v>0</v>
      </c>
      <c r="U19" s="180">
        <f t="shared" si="2"/>
        <v>0.14000000000000001</v>
      </c>
      <c r="V19" s="180">
        <f t="shared" si="3"/>
        <v>16.399999999999999</v>
      </c>
      <c r="W19" s="181">
        <f t="shared" si="7"/>
        <v>69.498335999999995</v>
      </c>
      <c r="Y19" s="174">
        <f t="shared" si="4"/>
        <v>4204.8</v>
      </c>
      <c r="Z19" s="174">
        <f t="shared" si="5"/>
        <v>3854.4</v>
      </c>
      <c r="AA19" s="174">
        <f t="shared" si="6"/>
        <v>4201.834099153567</v>
      </c>
      <c r="AC19" s="162" t="s">
        <v>182</v>
      </c>
      <c r="AD19" s="182">
        <v>5.2</v>
      </c>
    </row>
    <row r="20" spans="1:36" x14ac:dyDescent="0.2">
      <c r="A20" s="162" t="s">
        <v>181</v>
      </c>
      <c r="B20" s="162">
        <v>0</v>
      </c>
      <c r="C20" s="162">
        <v>0</v>
      </c>
      <c r="D20" s="162">
        <v>0</v>
      </c>
      <c r="E20" s="162">
        <v>0</v>
      </c>
      <c r="F20" s="178">
        <v>0</v>
      </c>
      <c r="G20" s="162">
        <v>0</v>
      </c>
      <c r="H20" s="162">
        <v>0</v>
      </c>
      <c r="I20" s="162">
        <v>0</v>
      </c>
      <c r="J20" s="162">
        <v>0</v>
      </c>
      <c r="K20" s="178">
        <v>0</v>
      </c>
      <c r="L20" s="162">
        <v>0</v>
      </c>
      <c r="M20" s="162">
        <v>0</v>
      </c>
      <c r="N20" s="162">
        <v>0</v>
      </c>
      <c r="O20" s="162">
        <v>0</v>
      </c>
      <c r="P20" s="178">
        <v>0</v>
      </c>
      <c r="Q20" s="162">
        <v>0</v>
      </c>
      <c r="R20" s="180">
        <v>30.3871</v>
      </c>
      <c r="S20" s="180">
        <f t="shared" si="0"/>
        <v>0</v>
      </c>
      <c r="T20" s="180">
        <f t="shared" si="1"/>
        <v>0</v>
      </c>
      <c r="U20" s="180">
        <f t="shared" si="2"/>
        <v>0</v>
      </c>
      <c r="V20" s="180">
        <f t="shared" si="3"/>
        <v>0</v>
      </c>
      <c r="W20" s="181">
        <f t="shared" si="7"/>
        <v>0</v>
      </c>
      <c r="Y20" s="174" t="str">
        <f t="shared" si="4"/>
        <v/>
      </c>
      <c r="Z20" s="174" t="str">
        <f t="shared" si="5"/>
        <v/>
      </c>
      <c r="AA20" s="174" t="str">
        <f t="shared" si="6"/>
        <v/>
      </c>
      <c r="AC20" s="162" t="s">
        <v>610</v>
      </c>
      <c r="AD20" s="182">
        <v>24.5</v>
      </c>
    </row>
    <row r="21" spans="1:36" x14ac:dyDescent="0.2">
      <c r="A21" s="162" t="s">
        <v>39</v>
      </c>
      <c r="B21" s="162">
        <v>0</v>
      </c>
      <c r="C21" s="162">
        <v>0</v>
      </c>
      <c r="D21" s="162">
        <v>0</v>
      </c>
      <c r="E21" s="162">
        <v>12.48</v>
      </c>
      <c r="F21" s="178">
        <v>12.48</v>
      </c>
      <c r="G21" s="162">
        <v>0</v>
      </c>
      <c r="H21" s="162">
        <v>0</v>
      </c>
      <c r="I21" s="162">
        <v>0</v>
      </c>
      <c r="J21" s="162">
        <v>3.18</v>
      </c>
      <c r="K21" s="178">
        <v>3.18</v>
      </c>
      <c r="L21" s="162">
        <v>0</v>
      </c>
      <c r="M21" s="162">
        <v>0</v>
      </c>
      <c r="N21" s="162">
        <v>0</v>
      </c>
      <c r="O21" s="162">
        <v>0</v>
      </c>
      <c r="P21" s="178">
        <v>0</v>
      </c>
      <c r="Q21" s="162">
        <v>15.66</v>
      </c>
      <c r="R21" s="180">
        <v>84.332924999999989</v>
      </c>
      <c r="S21" s="180">
        <f t="shared" si="0"/>
        <v>0</v>
      </c>
      <c r="T21" s="180">
        <f t="shared" si="1"/>
        <v>0</v>
      </c>
      <c r="U21" s="180">
        <f t="shared" si="2"/>
        <v>0</v>
      </c>
      <c r="V21" s="180">
        <f t="shared" si="3"/>
        <v>15.66</v>
      </c>
      <c r="W21" s="181">
        <f t="shared" si="7"/>
        <v>65.847168000000011</v>
      </c>
      <c r="Y21" s="174">
        <f t="shared" si="4"/>
        <v>4204.8</v>
      </c>
      <c r="Z21" s="174">
        <f t="shared" si="5"/>
        <v>4204.8</v>
      </c>
      <c r="AA21" s="174">
        <f t="shared" si="6"/>
        <v>4204.8</v>
      </c>
      <c r="AC21" s="162" t="s">
        <v>611</v>
      </c>
      <c r="AD21" s="182">
        <v>7.62</v>
      </c>
    </row>
    <row r="22" spans="1:36" x14ac:dyDescent="0.2">
      <c r="A22" s="162" t="s">
        <v>40</v>
      </c>
      <c r="B22" s="162">
        <v>0</v>
      </c>
      <c r="C22" s="162">
        <v>2.8</v>
      </c>
      <c r="D22" s="162">
        <v>0.66</v>
      </c>
      <c r="E22" s="162">
        <v>0.04</v>
      </c>
      <c r="F22" s="178">
        <v>3.5</v>
      </c>
      <c r="G22" s="162">
        <v>0</v>
      </c>
      <c r="H22" s="162">
        <v>0.06</v>
      </c>
      <c r="I22" s="162">
        <v>0.12</v>
      </c>
      <c r="J22" s="162">
        <v>0</v>
      </c>
      <c r="K22" s="178">
        <v>0.18</v>
      </c>
      <c r="L22" s="162">
        <v>0</v>
      </c>
      <c r="M22" s="162">
        <v>3.02</v>
      </c>
      <c r="N22" s="162">
        <v>9.5</v>
      </c>
      <c r="O22" s="162">
        <v>0</v>
      </c>
      <c r="P22" s="178">
        <v>12.52</v>
      </c>
      <c r="Q22" s="162">
        <v>16.2</v>
      </c>
      <c r="R22" s="180">
        <v>0.18296249999999997</v>
      </c>
      <c r="S22" s="180">
        <f t="shared" si="0"/>
        <v>0</v>
      </c>
      <c r="T22" s="180">
        <f t="shared" si="1"/>
        <v>5.88</v>
      </c>
      <c r="U22" s="180">
        <f t="shared" si="2"/>
        <v>10.28</v>
      </c>
      <c r="V22" s="180">
        <f t="shared" si="3"/>
        <v>0.04</v>
      </c>
      <c r="W22" s="181">
        <f t="shared" si="7"/>
        <v>60.394943999999995</v>
      </c>
      <c r="Y22" s="174">
        <f t="shared" si="4"/>
        <v>4204.8</v>
      </c>
      <c r="Z22" s="174">
        <f t="shared" si="5"/>
        <v>3504</v>
      </c>
      <c r="AA22" s="174">
        <f t="shared" si="6"/>
        <v>3728.0829629629629</v>
      </c>
      <c r="AC22" s="162" t="s">
        <v>189</v>
      </c>
      <c r="AD22" s="182">
        <v>0</v>
      </c>
      <c r="AG22" s="26"/>
    </row>
    <row r="23" spans="1:36" x14ac:dyDescent="0.2">
      <c r="A23" s="162" t="s">
        <v>41</v>
      </c>
      <c r="B23" s="162">
        <v>0</v>
      </c>
      <c r="C23" s="162">
        <v>0</v>
      </c>
      <c r="D23" s="162">
        <v>0</v>
      </c>
      <c r="E23" s="162">
        <v>0</v>
      </c>
      <c r="F23" s="178">
        <v>0</v>
      </c>
      <c r="G23" s="162">
        <v>0</v>
      </c>
      <c r="H23" s="162">
        <v>0</v>
      </c>
      <c r="I23" s="162">
        <v>0</v>
      </c>
      <c r="J23" s="162">
        <v>0</v>
      </c>
      <c r="K23" s="178">
        <v>0</v>
      </c>
      <c r="L23" s="162">
        <v>0</v>
      </c>
      <c r="M23" s="162">
        <v>0</v>
      </c>
      <c r="N23" s="162">
        <v>0</v>
      </c>
      <c r="O23" s="162">
        <v>0</v>
      </c>
      <c r="P23" s="178">
        <v>0</v>
      </c>
      <c r="Q23" s="162">
        <v>0</v>
      </c>
      <c r="R23" s="180">
        <v>0.61324999999999996</v>
      </c>
      <c r="S23" s="180">
        <f t="shared" si="0"/>
        <v>0</v>
      </c>
      <c r="T23" s="180">
        <f t="shared" si="1"/>
        <v>0</v>
      </c>
      <c r="U23" s="180">
        <f t="shared" si="2"/>
        <v>0</v>
      </c>
      <c r="V23" s="180">
        <f t="shared" si="3"/>
        <v>0</v>
      </c>
      <c r="W23" s="181">
        <f t="shared" si="7"/>
        <v>0</v>
      </c>
      <c r="Y23" s="174" t="str">
        <f t="shared" si="4"/>
        <v/>
      </c>
      <c r="Z23" s="174" t="str">
        <f t="shared" si="5"/>
        <v/>
      </c>
      <c r="AA23" s="174" t="str">
        <f t="shared" si="6"/>
        <v/>
      </c>
      <c r="AC23" s="162" t="s">
        <v>612</v>
      </c>
      <c r="AD23" s="182">
        <v>12.9</v>
      </c>
    </row>
    <row r="24" spans="1:36" x14ac:dyDescent="0.2">
      <c r="A24" s="162" t="s">
        <v>183</v>
      </c>
      <c r="B24" s="162">
        <v>0</v>
      </c>
      <c r="C24" s="162">
        <v>0</v>
      </c>
      <c r="D24" s="162">
        <v>0</v>
      </c>
      <c r="E24" s="162">
        <v>0</v>
      </c>
      <c r="F24" s="178">
        <v>0</v>
      </c>
      <c r="G24" s="162">
        <v>0</v>
      </c>
      <c r="H24" s="162">
        <v>0</v>
      </c>
      <c r="I24" s="162">
        <v>0</v>
      </c>
      <c r="J24" s="162">
        <v>0</v>
      </c>
      <c r="K24" s="178">
        <v>0</v>
      </c>
      <c r="L24" s="162">
        <v>0</v>
      </c>
      <c r="M24" s="162">
        <v>0</v>
      </c>
      <c r="N24" s="162">
        <v>0</v>
      </c>
      <c r="O24" s="162">
        <v>0</v>
      </c>
      <c r="P24" s="178">
        <v>0</v>
      </c>
      <c r="Q24" s="162">
        <v>0</v>
      </c>
      <c r="R24" s="180">
        <v>0.68150250000000001</v>
      </c>
      <c r="S24" s="180">
        <f t="shared" si="0"/>
        <v>0</v>
      </c>
      <c r="T24" s="180">
        <f t="shared" si="1"/>
        <v>0</v>
      </c>
      <c r="U24" s="180">
        <f t="shared" si="2"/>
        <v>0</v>
      </c>
      <c r="V24" s="180">
        <f t="shared" si="3"/>
        <v>0</v>
      </c>
      <c r="W24" s="181">
        <f t="shared" si="7"/>
        <v>0</v>
      </c>
      <c r="Y24" s="174" t="str">
        <f t="shared" si="4"/>
        <v/>
      </c>
      <c r="Z24" s="174" t="str">
        <f t="shared" si="5"/>
        <v/>
      </c>
      <c r="AA24" s="174" t="str">
        <f t="shared" si="6"/>
        <v/>
      </c>
      <c r="AC24" s="162" t="s">
        <v>613</v>
      </c>
      <c r="AD24" s="182">
        <v>45.86</v>
      </c>
      <c r="AG24" s="162" t="s">
        <v>1171</v>
      </c>
    </row>
    <row r="25" spans="1:36" x14ac:dyDescent="0.2">
      <c r="A25" s="162" t="s">
        <v>16</v>
      </c>
      <c r="B25" s="162">
        <v>0</v>
      </c>
      <c r="C25" s="162">
        <v>0</v>
      </c>
      <c r="D25" s="162">
        <v>0</v>
      </c>
      <c r="E25" s="162">
        <v>0</v>
      </c>
      <c r="F25" s="178">
        <v>0</v>
      </c>
      <c r="G25" s="162">
        <v>0</v>
      </c>
      <c r="H25" s="162">
        <v>0</v>
      </c>
      <c r="I25" s="162">
        <v>0</v>
      </c>
      <c r="J25" s="162">
        <v>0</v>
      </c>
      <c r="K25" s="178">
        <v>0</v>
      </c>
      <c r="L25" s="162">
        <v>0</v>
      </c>
      <c r="M25" s="162">
        <v>0</v>
      </c>
      <c r="N25" s="162">
        <v>0</v>
      </c>
      <c r="O25" s="162">
        <v>0</v>
      </c>
      <c r="P25" s="178">
        <v>0</v>
      </c>
      <c r="Q25" s="162">
        <v>0</v>
      </c>
      <c r="R25" s="180">
        <v>4.6747474999999996</v>
      </c>
      <c r="S25" s="180">
        <f t="shared" si="0"/>
        <v>0</v>
      </c>
      <c r="T25" s="180">
        <f t="shared" si="1"/>
        <v>0</v>
      </c>
      <c r="U25" s="180">
        <f t="shared" si="2"/>
        <v>0</v>
      </c>
      <c r="V25" s="180">
        <f t="shared" si="3"/>
        <v>0</v>
      </c>
      <c r="W25" s="181">
        <f t="shared" si="7"/>
        <v>0</v>
      </c>
      <c r="Y25" s="174" t="str">
        <f t="shared" si="4"/>
        <v/>
      </c>
      <c r="Z25" s="174" t="str">
        <f t="shared" si="5"/>
        <v/>
      </c>
      <c r="AA25" s="174" t="str">
        <f t="shared" si="6"/>
        <v/>
      </c>
      <c r="AC25" s="162" t="s">
        <v>614</v>
      </c>
      <c r="AD25" s="182">
        <v>5.5</v>
      </c>
      <c r="AG25" s="162" t="s">
        <v>1172</v>
      </c>
    </row>
    <row r="26" spans="1:36" x14ac:dyDescent="0.2">
      <c r="A26" s="12" t="s">
        <v>184</v>
      </c>
      <c r="B26" s="162">
        <v>0</v>
      </c>
      <c r="C26" s="162">
        <v>0</v>
      </c>
      <c r="D26" s="162">
        <v>0</v>
      </c>
      <c r="E26" s="162">
        <v>0</v>
      </c>
      <c r="F26" s="178">
        <v>0</v>
      </c>
      <c r="G26" s="162">
        <v>0</v>
      </c>
      <c r="H26" s="162">
        <v>0</v>
      </c>
      <c r="I26" s="162">
        <v>0</v>
      </c>
      <c r="J26" s="162">
        <v>0</v>
      </c>
      <c r="K26" s="178">
        <v>0</v>
      </c>
      <c r="L26" s="162">
        <v>0</v>
      </c>
      <c r="M26" s="162">
        <v>0</v>
      </c>
      <c r="N26" s="162">
        <v>0</v>
      </c>
      <c r="O26" s="162">
        <v>0</v>
      </c>
      <c r="P26" s="178">
        <v>0</v>
      </c>
      <c r="Q26" s="162">
        <v>0</v>
      </c>
      <c r="R26" s="180">
        <v>8.5742499999999993</v>
      </c>
      <c r="S26" s="180">
        <f t="shared" si="0"/>
        <v>0</v>
      </c>
      <c r="T26" s="180">
        <f t="shared" si="1"/>
        <v>0</v>
      </c>
      <c r="U26" s="180">
        <f t="shared" si="2"/>
        <v>0</v>
      </c>
      <c r="V26" s="180">
        <f t="shared" si="3"/>
        <v>0</v>
      </c>
      <c r="W26" s="181">
        <f t="shared" si="7"/>
        <v>0</v>
      </c>
      <c r="Y26" s="174" t="str">
        <f t="shared" si="4"/>
        <v/>
      </c>
      <c r="Z26" s="174" t="str">
        <f t="shared" si="5"/>
        <v/>
      </c>
      <c r="AA26" s="174" t="str">
        <f t="shared" si="6"/>
        <v/>
      </c>
      <c r="AC26" s="162" t="s">
        <v>615</v>
      </c>
      <c r="AD26" s="182">
        <v>2.66</v>
      </c>
    </row>
    <row r="27" spans="1:36" x14ac:dyDescent="0.2">
      <c r="A27" s="162" t="s">
        <v>43</v>
      </c>
      <c r="B27" s="162">
        <v>0</v>
      </c>
      <c r="C27" s="162">
        <v>0</v>
      </c>
      <c r="D27" s="162">
        <v>0</v>
      </c>
      <c r="E27" s="162">
        <v>0</v>
      </c>
      <c r="F27" s="178">
        <v>0</v>
      </c>
      <c r="G27" s="162">
        <v>0</v>
      </c>
      <c r="H27" s="162">
        <v>0</v>
      </c>
      <c r="I27" s="162">
        <v>0</v>
      </c>
      <c r="J27" s="162">
        <v>0</v>
      </c>
      <c r="K27" s="178">
        <v>0</v>
      </c>
      <c r="L27" s="162">
        <v>0</v>
      </c>
      <c r="M27" s="162">
        <v>0</v>
      </c>
      <c r="N27" s="162">
        <v>0</v>
      </c>
      <c r="O27" s="162">
        <v>0</v>
      </c>
      <c r="P27" s="178">
        <v>0</v>
      </c>
      <c r="Q27" s="162">
        <v>0</v>
      </c>
      <c r="R27" s="180">
        <v>2.67075</v>
      </c>
      <c r="S27" s="180">
        <f t="shared" si="0"/>
        <v>0</v>
      </c>
      <c r="T27" s="180">
        <f t="shared" si="1"/>
        <v>0</v>
      </c>
      <c r="U27" s="180">
        <f t="shared" si="2"/>
        <v>0</v>
      </c>
      <c r="V27" s="180">
        <f t="shared" si="3"/>
        <v>0</v>
      </c>
      <c r="W27" s="181">
        <f t="shared" si="7"/>
        <v>0</v>
      </c>
      <c r="Y27" s="174" t="str">
        <f t="shared" si="4"/>
        <v/>
      </c>
      <c r="Z27" s="174" t="str">
        <f t="shared" si="5"/>
        <v/>
      </c>
      <c r="AA27" s="174" t="str">
        <f t="shared" si="6"/>
        <v/>
      </c>
      <c r="AC27" s="162" t="s">
        <v>616</v>
      </c>
      <c r="AD27" s="182">
        <v>2.06</v>
      </c>
      <c r="AG27" s="162" t="s">
        <v>368</v>
      </c>
      <c r="AI27" s="184">
        <v>5</v>
      </c>
      <c r="AJ27" s="162" t="s">
        <v>365</v>
      </c>
    </row>
    <row r="28" spans="1:36" x14ac:dyDescent="0.2">
      <c r="A28" s="162" t="s">
        <v>17</v>
      </c>
      <c r="B28" s="162">
        <v>34.4</v>
      </c>
      <c r="C28" s="162">
        <v>197.66</v>
      </c>
      <c r="D28" s="162">
        <v>481.12</v>
      </c>
      <c r="E28" s="162">
        <v>200.52</v>
      </c>
      <c r="F28" s="178">
        <v>913.7</v>
      </c>
      <c r="G28" s="162">
        <v>21.16</v>
      </c>
      <c r="H28" s="162">
        <v>152.62</v>
      </c>
      <c r="I28" s="162">
        <v>373.72</v>
      </c>
      <c r="J28" s="162">
        <v>158.72</v>
      </c>
      <c r="K28" s="178">
        <v>706.22</v>
      </c>
      <c r="L28" s="162">
        <v>193.32</v>
      </c>
      <c r="M28" s="162">
        <v>333.94</v>
      </c>
      <c r="N28" s="162">
        <v>307.27999999999997</v>
      </c>
      <c r="O28" s="162">
        <v>514.46</v>
      </c>
      <c r="P28" s="178">
        <v>1349</v>
      </c>
      <c r="Q28" s="162">
        <v>2968.92</v>
      </c>
      <c r="R28" s="180">
        <v>394.26994000000002</v>
      </c>
      <c r="S28" s="180">
        <f t="shared" si="0"/>
        <v>248.88</v>
      </c>
      <c r="T28" s="180">
        <f t="shared" si="1"/>
        <v>684.22</v>
      </c>
      <c r="U28" s="180">
        <f t="shared" si="2"/>
        <v>1162.1199999999999</v>
      </c>
      <c r="V28" s="180">
        <f t="shared" si="3"/>
        <v>873.7</v>
      </c>
      <c r="W28" s="181">
        <f t="shared" si="7"/>
        <v>11335.383935999998</v>
      </c>
      <c r="Y28" s="174">
        <f t="shared" si="4"/>
        <v>4204.8</v>
      </c>
      <c r="Z28" s="174">
        <f t="shared" si="5"/>
        <v>3153.6</v>
      </c>
      <c r="AA28" s="174">
        <f t="shared" si="6"/>
        <v>3818.0159573178121</v>
      </c>
      <c r="AC28" s="162" t="s">
        <v>617</v>
      </c>
      <c r="AD28" s="182">
        <v>3.96</v>
      </c>
      <c r="AG28" s="162" t="s">
        <v>371</v>
      </c>
      <c r="AI28" s="184">
        <v>5</v>
      </c>
      <c r="AJ28" s="162" t="s">
        <v>365</v>
      </c>
    </row>
    <row r="29" spans="1:36" x14ac:dyDescent="0.2">
      <c r="A29" s="162" t="s">
        <v>618</v>
      </c>
      <c r="B29" s="162">
        <v>0</v>
      </c>
      <c r="C29" s="162">
        <v>0</v>
      </c>
      <c r="D29" s="162">
        <v>0</v>
      </c>
      <c r="E29" s="162">
        <v>0</v>
      </c>
      <c r="F29" s="178">
        <v>0</v>
      </c>
      <c r="G29" s="162">
        <v>0</v>
      </c>
      <c r="H29" s="162">
        <v>0</v>
      </c>
      <c r="I29" s="162">
        <v>0</v>
      </c>
      <c r="J29" s="162">
        <v>0</v>
      </c>
      <c r="K29" s="178">
        <v>0</v>
      </c>
      <c r="L29" s="162">
        <v>0</v>
      </c>
      <c r="M29" s="162">
        <v>0</v>
      </c>
      <c r="N29" s="162">
        <v>0</v>
      </c>
      <c r="O29" s="162">
        <v>0</v>
      </c>
      <c r="P29" s="178">
        <v>0</v>
      </c>
      <c r="Q29" s="162">
        <v>0</v>
      </c>
      <c r="R29" s="180">
        <v>2.9892499999999997</v>
      </c>
      <c r="S29" s="180">
        <f t="shared" si="0"/>
        <v>0</v>
      </c>
      <c r="T29" s="180">
        <f t="shared" si="1"/>
        <v>0</v>
      </c>
      <c r="U29" s="180">
        <f t="shared" si="2"/>
        <v>0</v>
      </c>
      <c r="V29" s="180">
        <f t="shared" si="3"/>
        <v>0</v>
      </c>
      <c r="W29" s="181">
        <f t="shared" si="7"/>
        <v>0</v>
      </c>
      <c r="Y29" s="174" t="str">
        <f t="shared" si="4"/>
        <v/>
      </c>
      <c r="Z29" s="174" t="str">
        <f t="shared" si="5"/>
        <v/>
      </c>
      <c r="AA29" s="174" t="str">
        <f t="shared" si="6"/>
        <v/>
      </c>
      <c r="AC29" s="162" t="s">
        <v>619</v>
      </c>
      <c r="AD29" s="182">
        <v>11.14</v>
      </c>
      <c r="AG29" s="162" t="s">
        <v>1125</v>
      </c>
      <c r="AI29" s="184">
        <v>5</v>
      </c>
      <c r="AJ29" s="162" t="s">
        <v>365</v>
      </c>
    </row>
    <row r="30" spans="1:36" x14ac:dyDescent="0.2">
      <c r="A30" s="162" t="s">
        <v>191</v>
      </c>
      <c r="B30" s="162">
        <v>1.4</v>
      </c>
      <c r="C30" s="162">
        <v>0</v>
      </c>
      <c r="D30" s="162">
        <v>0</v>
      </c>
      <c r="E30" s="162">
        <v>0</v>
      </c>
      <c r="F30" s="178">
        <v>1.4</v>
      </c>
      <c r="G30" s="162">
        <v>5.74</v>
      </c>
      <c r="H30" s="162">
        <v>0.54</v>
      </c>
      <c r="I30" s="162">
        <v>0</v>
      </c>
      <c r="J30" s="162">
        <v>0</v>
      </c>
      <c r="K30" s="178">
        <v>6.28</v>
      </c>
      <c r="L30" s="162">
        <v>27.02</v>
      </c>
      <c r="M30" s="162">
        <v>1.36</v>
      </c>
      <c r="N30" s="162">
        <v>0</v>
      </c>
      <c r="O30" s="162">
        <v>0</v>
      </c>
      <c r="P30" s="178">
        <v>28.38</v>
      </c>
      <c r="Q30" s="162">
        <v>36.06</v>
      </c>
      <c r="R30" s="180">
        <v>30.3859125</v>
      </c>
      <c r="S30" s="180">
        <f t="shared" si="0"/>
        <v>34.159999999999997</v>
      </c>
      <c r="T30" s="180">
        <f t="shared" si="1"/>
        <v>1.9000000000000001</v>
      </c>
      <c r="U30" s="180">
        <f t="shared" si="2"/>
        <v>0</v>
      </c>
      <c r="V30" s="180">
        <f t="shared" si="3"/>
        <v>0</v>
      </c>
      <c r="W30" s="181">
        <f t="shared" si="7"/>
        <v>114.38457599999998</v>
      </c>
      <c r="Y30" s="174">
        <f t="shared" si="4"/>
        <v>3504</v>
      </c>
      <c r="Z30" s="174">
        <f t="shared" si="5"/>
        <v>3153.6</v>
      </c>
      <c r="AA30" s="174">
        <f t="shared" si="6"/>
        <v>3172.0625623960059</v>
      </c>
      <c r="AC30" s="162" t="s">
        <v>620</v>
      </c>
      <c r="AD30" s="182">
        <v>270.5</v>
      </c>
      <c r="AG30" s="162" t="s">
        <v>1126</v>
      </c>
      <c r="AI30" s="184">
        <v>5</v>
      </c>
      <c r="AJ30" s="162" t="s">
        <v>365</v>
      </c>
    </row>
    <row r="31" spans="1:36" x14ac:dyDescent="0.2">
      <c r="A31" s="162" t="s">
        <v>45</v>
      </c>
      <c r="B31" s="162">
        <v>0</v>
      </c>
      <c r="C31" s="162">
        <v>0</v>
      </c>
      <c r="D31" s="162">
        <v>0</v>
      </c>
      <c r="E31" s="162">
        <v>0</v>
      </c>
      <c r="F31" s="178">
        <v>0</v>
      </c>
      <c r="G31" s="162">
        <v>0</v>
      </c>
      <c r="H31" s="162">
        <v>0</v>
      </c>
      <c r="I31" s="162">
        <v>0</v>
      </c>
      <c r="J31" s="162">
        <v>0</v>
      </c>
      <c r="K31" s="178">
        <v>0</v>
      </c>
      <c r="L31" s="162">
        <v>0</v>
      </c>
      <c r="M31" s="162">
        <v>0</v>
      </c>
      <c r="N31" s="162">
        <v>0</v>
      </c>
      <c r="O31" s="162">
        <v>0</v>
      </c>
      <c r="P31" s="178">
        <v>0</v>
      </c>
      <c r="Q31" s="162">
        <v>0</v>
      </c>
      <c r="R31" s="180">
        <v>0.6376750000000001</v>
      </c>
      <c r="S31" s="180">
        <f t="shared" si="0"/>
        <v>0</v>
      </c>
      <c r="T31" s="180">
        <f t="shared" si="1"/>
        <v>0</v>
      </c>
      <c r="U31" s="180">
        <f t="shared" si="2"/>
        <v>0</v>
      </c>
      <c r="V31" s="180">
        <f t="shared" si="3"/>
        <v>0</v>
      </c>
      <c r="W31" s="181">
        <f t="shared" si="7"/>
        <v>0</v>
      </c>
      <c r="Y31" s="174" t="str">
        <f t="shared" si="4"/>
        <v/>
      </c>
      <c r="Z31" s="174" t="str">
        <f t="shared" si="5"/>
        <v/>
      </c>
      <c r="AA31" s="174" t="str">
        <f t="shared" si="6"/>
        <v/>
      </c>
      <c r="AC31" s="162" t="s">
        <v>621</v>
      </c>
      <c r="AD31" s="182">
        <v>2.42</v>
      </c>
    </row>
    <row r="32" spans="1:36" x14ac:dyDescent="0.2">
      <c r="A32" s="162" t="s">
        <v>44</v>
      </c>
      <c r="B32" s="162">
        <v>0</v>
      </c>
      <c r="C32" s="162">
        <v>0</v>
      </c>
      <c r="D32" s="162">
        <v>0</v>
      </c>
      <c r="E32" s="162">
        <v>0</v>
      </c>
      <c r="F32" s="178">
        <v>0</v>
      </c>
      <c r="G32" s="162">
        <v>0</v>
      </c>
      <c r="H32" s="162">
        <v>0</v>
      </c>
      <c r="I32" s="162">
        <v>0</v>
      </c>
      <c r="J32" s="162">
        <v>0</v>
      </c>
      <c r="K32" s="178">
        <v>0</v>
      </c>
      <c r="L32" s="162">
        <v>0</v>
      </c>
      <c r="M32" s="162">
        <v>0</v>
      </c>
      <c r="N32" s="162">
        <v>0</v>
      </c>
      <c r="O32" s="162">
        <v>0</v>
      </c>
      <c r="P32" s="178">
        <v>0</v>
      </c>
      <c r="Q32" s="162">
        <v>0</v>
      </c>
      <c r="R32" s="180">
        <v>0.19263250000000001</v>
      </c>
      <c r="S32" s="180">
        <f t="shared" si="0"/>
        <v>0</v>
      </c>
      <c r="T32" s="180">
        <f t="shared" si="1"/>
        <v>0</v>
      </c>
      <c r="U32" s="180">
        <f t="shared" si="2"/>
        <v>0</v>
      </c>
      <c r="V32" s="180">
        <f t="shared" si="3"/>
        <v>0</v>
      </c>
      <c r="W32" s="181">
        <f t="shared" si="7"/>
        <v>0</v>
      </c>
      <c r="Y32" s="174" t="str">
        <f t="shared" si="4"/>
        <v/>
      </c>
      <c r="Z32" s="174" t="str">
        <f t="shared" si="5"/>
        <v/>
      </c>
      <c r="AA32" s="174" t="str">
        <f t="shared" si="6"/>
        <v/>
      </c>
      <c r="AC32" s="162" t="s">
        <v>622</v>
      </c>
      <c r="AD32" s="182">
        <v>109.6</v>
      </c>
      <c r="AG32" s="162" t="s">
        <v>679</v>
      </c>
    </row>
    <row r="33" spans="1:34" x14ac:dyDescent="0.2">
      <c r="A33" s="162" t="s">
        <v>46</v>
      </c>
      <c r="B33" s="162">
        <v>0</v>
      </c>
      <c r="C33" s="162">
        <v>0</v>
      </c>
      <c r="D33" s="162">
        <v>0</v>
      </c>
      <c r="E33" s="162">
        <v>0</v>
      </c>
      <c r="F33" s="178">
        <v>0</v>
      </c>
      <c r="G33" s="162">
        <v>0</v>
      </c>
      <c r="H33" s="162">
        <v>0</v>
      </c>
      <c r="I33" s="162">
        <v>0</v>
      </c>
      <c r="J33" s="162">
        <v>0</v>
      </c>
      <c r="K33" s="178">
        <v>0</v>
      </c>
      <c r="L33" s="162">
        <v>0</v>
      </c>
      <c r="M33" s="162">
        <v>0</v>
      </c>
      <c r="N33" s="162">
        <v>0</v>
      </c>
      <c r="O33" s="162">
        <v>0</v>
      </c>
      <c r="P33" s="178">
        <v>0</v>
      </c>
      <c r="Q33" s="162">
        <v>0</v>
      </c>
      <c r="R33" s="180">
        <v>1.1343000000000001</v>
      </c>
      <c r="S33" s="180">
        <f t="shared" si="0"/>
        <v>0</v>
      </c>
      <c r="T33" s="180">
        <f t="shared" si="1"/>
        <v>0</v>
      </c>
      <c r="U33" s="180">
        <f t="shared" si="2"/>
        <v>0</v>
      </c>
      <c r="V33" s="180">
        <f t="shared" si="3"/>
        <v>0</v>
      </c>
      <c r="W33" s="181">
        <f t="shared" si="7"/>
        <v>0</v>
      </c>
      <c r="Y33" s="174" t="str">
        <f t="shared" si="4"/>
        <v/>
      </c>
      <c r="Z33" s="174" t="str">
        <f t="shared" si="5"/>
        <v/>
      </c>
      <c r="AA33" s="174" t="str">
        <f t="shared" si="6"/>
        <v/>
      </c>
      <c r="AC33" s="162" t="s">
        <v>202</v>
      </c>
      <c r="AD33" s="182">
        <v>6.12</v>
      </c>
      <c r="AG33" s="162" t="s">
        <v>680</v>
      </c>
    </row>
    <row r="34" spans="1:34" x14ac:dyDescent="0.2">
      <c r="A34" s="162" t="s">
        <v>47</v>
      </c>
      <c r="B34" s="162">
        <v>0.57999999999999996</v>
      </c>
      <c r="C34" s="162">
        <v>0</v>
      </c>
      <c r="D34" s="162">
        <v>0</v>
      </c>
      <c r="E34" s="162">
        <v>0</v>
      </c>
      <c r="F34" s="178">
        <v>0.57999999999999996</v>
      </c>
      <c r="G34" s="162">
        <v>0</v>
      </c>
      <c r="H34" s="162">
        <v>0</v>
      </c>
      <c r="I34" s="162">
        <v>0</v>
      </c>
      <c r="J34" s="162">
        <v>0</v>
      </c>
      <c r="K34" s="178">
        <v>0</v>
      </c>
      <c r="L34" s="162">
        <v>0</v>
      </c>
      <c r="M34" s="162">
        <v>0</v>
      </c>
      <c r="N34" s="162">
        <v>0</v>
      </c>
      <c r="O34" s="162">
        <v>0</v>
      </c>
      <c r="P34" s="178">
        <v>0</v>
      </c>
      <c r="Q34" s="162">
        <v>0.57999999999999996</v>
      </c>
      <c r="R34" s="180">
        <v>4.1747500000000004</v>
      </c>
      <c r="S34" s="180">
        <f t="shared" si="0"/>
        <v>0.57999999999999996</v>
      </c>
      <c r="T34" s="180">
        <f t="shared" si="1"/>
        <v>0</v>
      </c>
      <c r="U34" s="180">
        <f t="shared" si="2"/>
        <v>0</v>
      </c>
      <c r="V34" s="180">
        <f t="shared" si="3"/>
        <v>0</v>
      </c>
      <c r="W34" s="181">
        <f t="shared" si="7"/>
        <v>1.8290879999999998</v>
      </c>
      <c r="Y34" s="174">
        <f t="shared" si="4"/>
        <v>3153.6</v>
      </c>
      <c r="Z34" s="174">
        <f t="shared" si="5"/>
        <v>3153.6</v>
      </c>
      <c r="AA34" s="174">
        <f t="shared" si="6"/>
        <v>3153.6</v>
      </c>
      <c r="AC34" s="162" t="s">
        <v>623</v>
      </c>
      <c r="AD34" s="182">
        <v>0.66</v>
      </c>
    </row>
    <row r="35" spans="1:34" x14ac:dyDescent="0.2">
      <c r="A35" s="162" t="s">
        <v>19</v>
      </c>
      <c r="B35" s="162">
        <v>0.1</v>
      </c>
      <c r="C35" s="162">
        <v>1.2</v>
      </c>
      <c r="D35" s="162">
        <v>9.44</v>
      </c>
      <c r="E35" s="162">
        <v>36.94</v>
      </c>
      <c r="F35" s="178">
        <v>47.68</v>
      </c>
      <c r="G35" s="162">
        <v>2.06</v>
      </c>
      <c r="H35" s="162">
        <v>9.74</v>
      </c>
      <c r="I35" s="162">
        <v>85.58</v>
      </c>
      <c r="J35" s="162">
        <v>223.64</v>
      </c>
      <c r="K35" s="178">
        <v>321.02</v>
      </c>
      <c r="L35" s="162">
        <v>17.420000000000002</v>
      </c>
      <c r="M35" s="162">
        <v>329.2</v>
      </c>
      <c r="N35" s="162">
        <v>529.98</v>
      </c>
      <c r="O35" s="162">
        <v>3639.12</v>
      </c>
      <c r="P35" s="178">
        <v>4515.72</v>
      </c>
      <c r="Q35" s="162">
        <v>4884.42</v>
      </c>
      <c r="R35" s="180">
        <v>538.86337500000002</v>
      </c>
      <c r="S35" s="180">
        <f t="shared" si="0"/>
        <v>19.580000000000002</v>
      </c>
      <c r="T35" s="180">
        <f t="shared" si="1"/>
        <v>340.14</v>
      </c>
      <c r="U35" s="180">
        <f t="shared" si="2"/>
        <v>625</v>
      </c>
      <c r="V35" s="180">
        <f t="shared" si="3"/>
        <v>3899.7</v>
      </c>
      <c r="W35" s="181">
        <f t="shared" si="7"/>
        <v>20060.056607999999</v>
      </c>
      <c r="X35" s="183"/>
      <c r="Y35" s="174">
        <f t="shared" si="4"/>
        <v>4204.8</v>
      </c>
      <c r="Z35" s="174">
        <f t="shared" si="5"/>
        <v>3153.6</v>
      </c>
      <c r="AA35" s="174">
        <f t="shared" si="6"/>
        <v>4106.9475204834962</v>
      </c>
      <c r="AC35" s="162" t="s">
        <v>624</v>
      </c>
      <c r="AD35" s="182">
        <v>578.76</v>
      </c>
      <c r="AG35" s="162" t="s">
        <v>681</v>
      </c>
    </row>
    <row r="36" spans="1:34" x14ac:dyDescent="0.2">
      <c r="A36" s="162" t="s">
        <v>192</v>
      </c>
      <c r="B36" s="162">
        <v>0</v>
      </c>
      <c r="C36" s="162">
        <v>0.62</v>
      </c>
      <c r="D36" s="162">
        <v>0</v>
      </c>
      <c r="E36" s="162">
        <v>0</v>
      </c>
      <c r="F36" s="178">
        <v>0.62</v>
      </c>
      <c r="G36" s="162">
        <v>0</v>
      </c>
      <c r="H36" s="162">
        <v>1.76</v>
      </c>
      <c r="I36" s="162">
        <v>0.02</v>
      </c>
      <c r="J36" s="162">
        <v>0</v>
      </c>
      <c r="K36" s="178">
        <v>1.78</v>
      </c>
      <c r="L36" s="162">
        <v>0.12</v>
      </c>
      <c r="M36" s="162">
        <v>21.72</v>
      </c>
      <c r="N36" s="162">
        <v>1.6</v>
      </c>
      <c r="O36" s="162">
        <v>0</v>
      </c>
      <c r="P36" s="178">
        <v>23.44</v>
      </c>
      <c r="Q36" s="162">
        <v>25.84</v>
      </c>
      <c r="R36" s="180">
        <v>0.22478000000000001</v>
      </c>
      <c r="S36" s="180">
        <f t="shared" si="0"/>
        <v>0.12</v>
      </c>
      <c r="T36" s="180">
        <f t="shared" si="1"/>
        <v>24.099999999999998</v>
      </c>
      <c r="U36" s="180">
        <f t="shared" si="2"/>
        <v>1.62</v>
      </c>
      <c r="V36" s="180">
        <f t="shared" si="3"/>
        <v>0</v>
      </c>
      <c r="W36" s="181">
        <f t="shared" si="7"/>
        <v>91.06895999999999</v>
      </c>
      <c r="X36" s="183"/>
      <c r="Y36" s="174">
        <f t="shared" si="4"/>
        <v>3854.4</v>
      </c>
      <c r="Z36" s="174">
        <f t="shared" si="5"/>
        <v>3153.6</v>
      </c>
      <c r="AA36" s="174">
        <f t="shared" si="6"/>
        <v>3524.3405572755414</v>
      </c>
      <c r="AC36" s="162" t="s">
        <v>625</v>
      </c>
      <c r="AD36" s="182">
        <v>1182.56</v>
      </c>
    </row>
    <row r="37" spans="1:34" x14ac:dyDescent="0.2">
      <c r="A37" s="162" t="s">
        <v>194</v>
      </c>
      <c r="B37" s="162">
        <v>0</v>
      </c>
      <c r="C37" s="162">
        <v>0</v>
      </c>
      <c r="D37" s="162">
        <v>0</v>
      </c>
      <c r="E37" s="162">
        <v>0</v>
      </c>
      <c r="F37" s="178">
        <v>0</v>
      </c>
      <c r="G37" s="162">
        <v>0</v>
      </c>
      <c r="H37" s="162">
        <v>0</v>
      </c>
      <c r="I37" s="162">
        <v>0</v>
      </c>
      <c r="J37" s="162">
        <v>0</v>
      </c>
      <c r="K37" s="178">
        <v>0</v>
      </c>
      <c r="L37" s="162">
        <v>0</v>
      </c>
      <c r="M37" s="162">
        <v>0</v>
      </c>
      <c r="N37" s="162">
        <v>0</v>
      </c>
      <c r="O37" s="162">
        <v>0</v>
      </c>
      <c r="P37" s="178">
        <v>0</v>
      </c>
      <c r="Q37" s="162">
        <v>0</v>
      </c>
      <c r="R37" s="180">
        <v>0.13438499999999998</v>
      </c>
      <c r="S37" s="180">
        <f t="shared" si="0"/>
        <v>0</v>
      </c>
      <c r="T37" s="180">
        <f t="shared" si="1"/>
        <v>0</v>
      </c>
      <c r="U37" s="180">
        <f t="shared" si="2"/>
        <v>0</v>
      </c>
      <c r="V37" s="180">
        <f t="shared" si="3"/>
        <v>0</v>
      </c>
      <c r="W37" s="181">
        <f t="shared" si="7"/>
        <v>0</v>
      </c>
      <c r="Y37" s="174" t="str">
        <f t="shared" si="4"/>
        <v/>
      </c>
      <c r="Z37" s="174" t="str">
        <f t="shared" si="5"/>
        <v/>
      </c>
      <c r="AA37" s="174" t="str">
        <f t="shared" si="6"/>
        <v/>
      </c>
      <c r="AC37" s="162" t="s">
        <v>207</v>
      </c>
      <c r="AD37" s="182">
        <v>252.22</v>
      </c>
      <c r="AG37" s="162" t="s">
        <v>683</v>
      </c>
    </row>
    <row r="38" spans="1:34" x14ac:dyDescent="0.2">
      <c r="A38" s="162" t="s">
        <v>48</v>
      </c>
      <c r="B38" s="162">
        <v>0</v>
      </c>
      <c r="C38" s="162">
        <v>0</v>
      </c>
      <c r="D38" s="162">
        <v>0</v>
      </c>
      <c r="E38" s="162">
        <v>0</v>
      </c>
      <c r="F38" s="178">
        <v>0</v>
      </c>
      <c r="G38" s="162">
        <v>0</v>
      </c>
      <c r="H38" s="162">
        <v>0</v>
      </c>
      <c r="I38" s="162">
        <v>0</v>
      </c>
      <c r="J38" s="162">
        <v>0</v>
      </c>
      <c r="K38" s="178">
        <v>0</v>
      </c>
      <c r="L38" s="162">
        <v>0</v>
      </c>
      <c r="M38" s="162">
        <v>0</v>
      </c>
      <c r="N38" s="162">
        <v>0</v>
      </c>
      <c r="O38" s="162">
        <v>0</v>
      </c>
      <c r="P38" s="178">
        <v>0</v>
      </c>
      <c r="Q38" s="162">
        <v>0</v>
      </c>
      <c r="R38" s="180">
        <v>9.0442500000000009E-2</v>
      </c>
      <c r="S38" s="180">
        <f t="shared" si="0"/>
        <v>0</v>
      </c>
      <c r="T38" s="180">
        <f t="shared" si="1"/>
        <v>0</v>
      </c>
      <c r="U38" s="180">
        <f t="shared" si="2"/>
        <v>0</v>
      </c>
      <c r="V38" s="180">
        <f t="shared" si="3"/>
        <v>0</v>
      </c>
      <c r="W38" s="181">
        <f t="shared" si="7"/>
        <v>0</v>
      </c>
      <c r="Y38" s="174" t="str">
        <f t="shared" si="4"/>
        <v/>
      </c>
      <c r="Z38" s="174" t="str">
        <f t="shared" si="5"/>
        <v/>
      </c>
      <c r="AA38" s="174" t="str">
        <f t="shared" si="6"/>
        <v/>
      </c>
      <c r="AC38" s="162" t="s">
        <v>626</v>
      </c>
      <c r="AD38" s="182">
        <v>0</v>
      </c>
      <c r="AG38" s="162" t="s">
        <v>682</v>
      </c>
    </row>
    <row r="39" spans="1:34" x14ac:dyDescent="0.2">
      <c r="A39" s="162" t="s">
        <v>20</v>
      </c>
      <c r="B39" s="162">
        <v>0</v>
      </c>
      <c r="C39" s="162">
        <v>0</v>
      </c>
      <c r="D39" s="162">
        <v>1.32</v>
      </c>
      <c r="E39" s="162">
        <v>11.52</v>
      </c>
      <c r="F39" s="178">
        <v>12.84</v>
      </c>
      <c r="G39" s="162">
        <v>0</v>
      </c>
      <c r="H39" s="162">
        <v>0.18</v>
      </c>
      <c r="I39" s="162">
        <v>5.78</v>
      </c>
      <c r="J39" s="162">
        <v>28.86</v>
      </c>
      <c r="K39" s="178">
        <v>34.82</v>
      </c>
      <c r="L39" s="162">
        <v>6.42</v>
      </c>
      <c r="M39" s="162">
        <v>59.1</v>
      </c>
      <c r="N39" s="162">
        <v>170.24</v>
      </c>
      <c r="O39" s="162">
        <v>358.4</v>
      </c>
      <c r="P39" s="178">
        <v>594.16</v>
      </c>
      <c r="Q39" s="162">
        <v>641.81999999999994</v>
      </c>
      <c r="R39" s="180">
        <v>54.851389999999995</v>
      </c>
      <c r="S39" s="180">
        <f t="shared" si="0"/>
        <v>6.42</v>
      </c>
      <c r="T39" s="180">
        <f t="shared" si="1"/>
        <v>59.28</v>
      </c>
      <c r="U39" s="180">
        <f t="shared" si="2"/>
        <v>177.34</v>
      </c>
      <c r="V39" s="180">
        <f t="shared" si="3"/>
        <v>398.78</v>
      </c>
      <c r="W39" s="181">
        <f t="shared" si="7"/>
        <v>2588.2926719999996</v>
      </c>
      <c r="Y39" s="174">
        <f t="shared" si="4"/>
        <v>4204.8</v>
      </c>
      <c r="Z39" s="174">
        <f t="shared" si="5"/>
        <v>3153.6</v>
      </c>
      <c r="AA39" s="174">
        <f t="shared" si="6"/>
        <v>4032.7391979059548</v>
      </c>
      <c r="AC39" s="162" t="s">
        <v>211</v>
      </c>
      <c r="AD39" s="182">
        <v>1.46</v>
      </c>
    </row>
    <row r="40" spans="1:34" x14ac:dyDescent="0.2">
      <c r="A40" s="162" t="s">
        <v>21</v>
      </c>
      <c r="B40" s="162">
        <v>71.86</v>
      </c>
      <c r="C40" s="162">
        <v>116.68</v>
      </c>
      <c r="D40" s="162">
        <v>31.42</v>
      </c>
      <c r="E40" s="162">
        <v>96.3</v>
      </c>
      <c r="F40" s="178">
        <v>316.26</v>
      </c>
      <c r="G40" s="162">
        <v>76.2</v>
      </c>
      <c r="H40" s="162">
        <v>318.27999999999997</v>
      </c>
      <c r="I40" s="162">
        <v>149.54</v>
      </c>
      <c r="J40" s="162">
        <v>212.42</v>
      </c>
      <c r="K40" s="178">
        <v>756.44</v>
      </c>
      <c r="L40" s="162">
        <v>55.12</v>
      </c>
      <c r="M40" s="162">
        <v>202.3</v>
      </c>
      <c r="N40" s="162">
        <v>564.6</v>
      </c>
      <c r="O40" s="162">
        <v>305.12</v>
      </c>
      <c r="P40" s="178">
        <v>1127.1400000000001</v>
      </c>
      <c r="Q40" s="162">
        <v>2199.84</v>
      </c>
      <c r="R40" s="180">
        <v>2643.3395249999999</v>
      </c>
      <c r="S40" s="180">
        <f t="shared" si="0"/>
        <v>203.18</v>
      </c>
      <c r="T40" s="180">
        <f t="shared" si="1"/>
        <v>637.26</v>
      </c>
      <c r="U40" s="180">
        <f t="shared" si="2"/>
        <v>745.56</v>
      </c>
      <c r="V40" s="180">
        <f t="shared" si="3"/>
        <v>613.83999999999992</v>
      </c>
      <c r="W40" s="181">
        <f t="shared" si="7"/>
        <v>8328.4683839999998</v>
      </c>
      <c r="X40" s="183"/>
      <c r="Y40" s="174">
        <f t="shared" si="4"/>
        <v>4204.8</v>
      </c>
      <c r="Z40" s="174">
        <f t="shared" si="5"/>
        <v>3153.6</v>
      </c>
      <c r="AA40" s="174">
        <f t="shared" si="6"/>
        <v>3785.9427885664409</v>
      </c>
      <c r="AC40" s="162" t="s">
        <v>627</v>
      </c>
      <c r="AD40" s="182">
        <v>0.6</v>
      </c>
      <c r="AG40" s="162" t="s">
        <v>1245</v>
      </c>
    </row>
    <row r="41" spans="1:34" x14ac:dyDescent="0.2">
      <c r="A41" s="162" t="s">
        <v>628</v>
      </c>
      <c r="B41" s="162">
        <v>0</v>
      </c>
      <c r="C41" s="162">
        <v>0</v>
      </c>
      <c r="D41" s="162">
        <v>0</v>
      </c>
      <c r="E41" s="162">
        <v>0</v>
      </c>
      <c r="F41" s="178">
        <v>0</v>
      </c>
      <c r="G41" s="162">
        <v>0</v>
      </c>
      <c r="H41" s="162">
        <v>0</v>
      </c>
      <c r="I41" s="162">
        <v>0</v>
      </c>
      <c r="J41" s="162">
        <v>0</v>
      </c>
      <c r="K41" s="178">
        <v>0</v>
      </c>
      <c r="L41" s="162">
        <v>0</v>
      </c>
      <c r="M41" s="162">
        <v>0</v>
      </c>
      <c r="N41" s="162">
        <v>0</v>
      </c>
      <c r="O41" s="162">
        <v>0</v>
      </c>
      <c r="P41" s="178">
        <v>0</v>
      </c>
      <c r="Q41" s="162">
        <v>0</v>
      </c>
      <c r="R41" s="180">
        <v>38.231774999999999</v>
      </c>
      <c r="S41" s="180">
        <f t="shared" si="0"/>
        <v>0</v>
      </c>
      <c r="T41" s="180">
        <f t="shared" si="1"/>
        <v>0</v>
      </c>
      <c r="U41" s="180">
        <f t="shared" si="2"/>
        <v>0</v>
      </c>
      <c r="V41" s="180">
        <f t="shared" si="3"/>
        <v>0</v>
      </c>
      <c r="W41" s="181">
        <f t="shared" si="7"/>
        <v>0</v>
      </c>
      <c r="X41" s="183"/>
      <c r="Y41" s="174" t="str">
        <f t="shared" si="4"/>
        <v/>
      </c>
      <c r="Z41" s="174" t="str">
        <f t="shared" si="5"/>
        <v/>
      </c>
      <c r="AA41" s="174" t="str">
        <f t="shared" si="6"/>
        <v/>
      </c>
      <c r="AC41" s="162" t="s">
        <v>214</v>
      </c>
      <c r="AD41" s="182">
        <v>1958.44</v>
      </c>
      <c r="AE41" s="162">
        <f>AD41*AJ10/1000</f>
        <v>7548.6111359999995</v>
      </c>
      <c r="AF41" s="162" t="s">
        <v>905</v>
      </c>
      <c r="AG41" s="162" t="s">
        <v>1165</v>
      </c>
    </row>
    <row r="42" spans="1:34" x14ac:dyDescent="0.2">
      <c r="A42" s="162" t="s">
        <v>629</v>
      </c>
      <c r="B42" s="162">
        <v>0</v>
      </c>
      <c r="C42" s="162">
        <v>0</v>
      </c>
      <c r="D42" s="162">
        <v>0</v>
      </c>
      <c r="E42" s="162">
        <v>0</v>
      </c>
      <c r="F42" s="178">
        <v>0</v>
      </c>
      <c r="G42" s="162">
        <v>0</v>
      </c>
      <c r="H42" s="162">
        <v>0</v>
      </c>
      <c r="I42" s="162">
        <v>0</v>
      </c>
      <c r="J42" s="162">
        <v>0</v>
      </c>
      <c r="K42" s="178">
        <v>0</v>
      </c>
      <c r="L42" s="162">
        <v>0</v>
      </c>
      <c r="M42" s="162">
        <v>0</v>
      </c>
      <c r="N42" s="162">
        <v>0</v>
      </c>
      <c r="O42" s="162">
        <v>0</v>
      </c>
      <c r="P42" s="178">
        <v>0</v>
      </c>
      <c r="Q42" s="162">
        <v>0</v>
      </c>
      <c r="R42" s="180">
        <v>2.7035</v>
      </c>
      <c r="S42" s="180">
        <f t="shared" si="0"/>
        <v>0</v>
      </c>
      <c r="T42" s="180">
        <f t="shared" si="1"/>
        <v>0</v>
      </c>
      <c r="U42" s="180">
        <f t="shared" si="2"/>
        <v>0</v>
      </c>
      <c r="V42" s="180">
        <f t="shared" si="3"/>
        <v>0</v>
      </c>
      <c r="W42" s="181">
        <f t="shared" si="7"/>
        <v>0</v>
      </c>
      <c r="Y42" s="174" t="str">
        <f t="shared" si="4"/>
        <v/>
      </c>
      <c r="Z42" s="174" t="str">
        <f t="shared" si="5"/>
        <v/>
      </c>
      <c r="AA42" s="174" t="str">
        <f t="shared" si="6"/>
        <v/>
      </c>
      <c r="AC42" s="162" t="s">
        <v>64</v>
      </c>
      <c r="AD42" s="182">
        <v>40.54</v>
      </c>
      <c r="AG42" s="162" t="s">
        <v>1166</v>
      </c>
    </row>
    <row r="43" spans="1:34" x14ac:dyDescent="0.2">
      <c r="A43" s="162" t="s">
        <v>22</v>
      </c>
      <c r="B43" s="162">
        <v>0.26</v>
      </c>
      <c r="C43" s="162">
        <v>0.04</v>
      </c>
      <c r="D43" s="162">
        <v>0</v>
      </c>
      <c r="E43" s="162">
        <v>18.66</v>
      </c>
      <c r="F43" s="178">
        <v>18.96</v>
      </c>
      <c r="G43" s="162">
        <v>1.1599999999999999</v>
      </c>
      <c r="H43" s="162">
        <v>0.26</v>
      </c>
      <c r="I43" s="162">
        <v>0.02</v>
      </c>
      <c r="J43" s="162">
        <v>19.98</v>
      </c>
      <c r="K43" s="178">
        <v>21.42</v>
      </c>
      <c r="L43" s="162">
        <v>7.66</v>
      </c>
      <c r="M43" s="162">
        <v>8.5</v>
      </c>
      <c r="N43" s="162">
        <v>4.2</v>
      </c>
      <c r="O43" s="162">
        <v>93.86</v>
      </c>
      <c r="P43" s="178">
        <v>114.22</v>
      </c>
      <c r="Q43" s="162">
        <v>154.6</v>
      </c>
      <c r="R43" s="180">
        <v>38.988140000000001</v>
      </c>
      <c r="S43" s="180">
        <f t="shared" si="0"/>
        <v>9.08</v>
      </c>
      <c r="T43" s="180">
        <f t="shared" si="1"/>
        <v>8.8000000000000007</v>
      </c>
      <c r="U43" s="180">
        <f t="shared" si="2"/>
        <v>4.22</v>
      </c>
      <c r="V43" s="180">
        <f t="shared" si="3"/>
        <v>132.5</v>
      </c>
      <c r="W43" s="181">
        <f t="shared" si="7"/>
        <v>632.87145599999997</v>
      </c>
      <c r="Y43" s="174">
        <f t="shared" si="4"/>
        <v>4204.8</v>
      </c>
      <c r="Z43" s="174">
        <f t="shared" si="5"/>
        <v>3153.6</v>
      </c>
      <c r="AA43" s="174">
        <f t="shared" si="6"/>
        <v>4093.6057956015525</v>
      </c>
      <c r="AC43" s="162" t="s">
        <v>217</v>
      </c>
      <c r="AD43" s="182">
        <v>38.96</v>
      </c>
    </row>
    <row r="44" spans="1:34" x14ac:dyDescent="0.2">
      <c r="A44" s="162" t="s">
        <v>197</v>
      </c>
      <c r="B44" s="162">
        <v>0</v>
      </c>
      <c r="C44" s="162">
        <v>0</v>
      </c>
      <c r="D44" s="162">
        <v>0</v>
      </c>
      <c r="E44" s="162">
        <v>0</v>
      </c>
      <c r="F44" s="178">
        <v>0</v>
      </c>
      <c r="G44" s="162">
        <v>0</v>
      </c>
      <c r="H44" s="162">
        <v>0</v>
      </c>
      <c r="I44" s="162">
        <v>0</v>
      </c>
      <c r="J44" s="162">
        <v>0</v>
      </c>
      <c r="K44" s="178">
        <v>0</v>
      </c>
      <c r="L44" s="162">
        <v>0</v>
      </c>
      <c r="M44" s="162">
        <v>0</v>
      </c>
      <c r="N44" s="162">
        <v>0</v>
      </c>
      <c r="O44" s="162">
        <v>0</v>
      </c>
      <c r="P44" s="178">
        <v>0</v>
      </c>
      <c r="Q44" s="162">
        <v>0</v>
      </c>
      <c r="R44" s="180">
        <v>4.4639999999999999E-2</v>
      </c>
      <c r="S44" s="180">
        <f t="shared" si="0"/>
        <v>0</v>
      </c>
      <c r="T44" s="180">
        <f t="shared" si="1"/>
        <v>0</v>
      </c>
      <c r="U44" s="180">
        <f t="shared" si="2"/>
        <v>0</v>
      </c>
      <c r="V44" s="180">
        <f t="shared" si="3"/>
        <v>0</v>
      </c>
      <c r="W44" s="181">
        <f t="shared" si="7"/>
        <v>0</v>
      </c>
      <c r="Y44" s="174" t="str">
        <f t="shared" si="4"/>
        <v/>
      </c>
      <c r="Z44" s="174" t="str">
        <f t="shared" si="5"/>
        <v/>
      </c>
      <c r="AA44" s="174" t="str">
        <f t="shared" si="6"/>
        <v/>
      </c>
      <c r="AC44" s="162" t="s">
        <v>630</v>
      </c>
      <c r="AD44" s="182">
        <v>52.8</v>
      </c>
      <c r="AG44" s="162" t="s">
        <v>1168</v>
      </c>
    </row>
    <row r="45" spans="1:34" x14ac:dyDescent="0.2">
      <c r="A45" s="162" t="s">
        <v>198</v>
      </c>
      <c r="B45" s="162">
        <v>0</v>
      </c>
      <c r="C45" s="162">
        <v>0</v>
      </c>
      <c r="D45" s="162">
        <v>0</v>
      </c>
      <c r="E45" s="162">
        <v>0</v>
      </c>
      <c r="F45" s="178">
        <v>0</v>
      </c>
      <c r="G45" s="162">
        <v>0</v>
      </c>
      <c r="H45" s="162">
        <v>0</v>
      </c>
      <c r="I45" s="162">
        <v>0</v>
      </c>
      <c r="J45" s="162">
        <v>0</v>
      </c>
      <c r="K45" s="178">
        <v>0</v>
      </c>
      <c r="L45" s="162">
        <v>0</v>
      </c>
      <c r="M45" s="162">
        <v>0</v>
      </c>
      <c r="N45" s="162">
        <v>0</v>
      </c>
      <c r="O45" s="162">
        <v>0</v>
      </c>
      <c r="P45" s="178">
        <v>0</v>
      </c>
      <c r="Q45" s="162">
        <v>0</v>
      </c>
      <c r="R45" s="180">
        <v>0.47100000000000003</v>
      </c>
      <c r="S45" s="180">
        <f t="shared" si="0"/>
        <v>0</v>
      </c>
      <c r="T45" s="180">
        <f t="shared" si="1"/>
        <v>0</v>
      </c>
      <c r="U45" s="180">
        <f t="shared" si="2"/>
        <v>0</v>
      </c>
      <c r="V45" s="180">
        <f t="shared" si="3"/>
        <v>0</v>
      </c>
      <c r="W45" s="181">
        <f t="shared" si="7"/>
        <v>0</v>
      </c>
      <c r="Y45" s="174" t="str">
        <f t="shared" si="4"/>
        <v/>
      </c>
      <c r="Z45" s="174" t="str">
        <f t="shared" si="5"/>
        <v/>
      </c>
      <c r="AA45" s="174" t="str">
        <f t="shared" si="6"/>
        <v/>
      </c>
      <c r="AC45" s="162" t="s">
        <v>631</v>
      </c>
      <c r="AD45" s="182">
        <v>229.72</v>
      </c>
      <c r="AG45" s="162" t="s">
        <v>1170</v>
      </c>
    </row>
    <row r="46" spans="1:34" x14ac:dyDescent="0.2">
      <c r="A46" s="162" t="s">
        <v>23</v>
      </c>
      <c r="B46" s="162">
        <v>0</v>
      </c>
      <c r="C46" s="162">
        <v>0</v>
      </c>
      <c r="D46" s="162">
        <v>0.1</v>
      </c>
      <c r="E46" s="162">
        <v>0</v>
      </c>
      <c r="F46" s="178">
        <v>0.1</v>
      </c>
      <c r="G46" s="162">
        <v>0</v>
      </c>
      <c r="H46" s="162">
        <v>0</v>
      </c>
      <c r="I46" s="162">
        <v>0.14000000000000001</v>
      </c>
      <c r="J46" s="162">
        <v>0</v>
      </c>
      <c r="K46" s="178">
        <v>0.14000000000000001</v>
      </c>
      <c r="L46" s="162">
        <v>4.16</v>
      </c>
      <c r="M46" s="162">
        <v>15.78</v>
      </c>
      <c r="N46" s="162">
        <v>7.66</v>
      </c>
      <c r="O46" s="162">
        <v>0</v>
      </c>
      <c r="P46" s="178">
        <v>27.6</v>
      </c>
      <c r="Q46" s="162">
        <v>27.84</v>
      </c>
      <c r="R46" s="180">
        <v>7.8547899999999995</v>
      </c>
      <c r="S46" s="180">
        <f t="shared" si="0"/>
        <v>4.16</v>
      </c>
      <c r="T46" s="180">
        <f t="shared" si="1"/>
        <v>15.78</v>
      </c>
      <c r="U46" s="180">
        <f t="shared" si="2"/>
        <v>7.9</v>
      </c>
      <c r="V46" s="180">
        <f t="shared" si="3"/>
        <v>0</v>
      </c>
      <c r="W46" s="181">
        <f t="shared" si="7"/>
        <v>98.861856000000003</v>
      </c>
      <c r="Y46" s="174">
        <f t="shared" si="4"/>
        <v>3854.4</v>
      </c>
      <c r="Z46" s="174">
        <f t="shared" si="5"/>
        <v>3153.6</v>
      </c>
      <c r="AA46" s="174">
        <f t="shared" si="6"/>
        <v>3551.0724137931034</v>
      </c>
      <c r="AC46" s="162" t="s">
        <v>632</v>
      </c>
      <c r="AD46" s="182">
        <v>0</v>
      </c>
      <c r="AG46" s="177">
        <f>8/(0.164*10*0.164*5)</f>
        <v>5.9488399762046393</v>
      </c>
      <c r="AH46" s="162" t="s">
        <v>365</v>
      </c>
    </row>
    <row r="47" spans="1:34" x14ac:dyDescent="0.2">
      <c r="A47" s="162" t="s">
        <v>24</v>
      </c>
      <c r="B47" s="162">
        <v>0</v>
      </c>
      <c r="C47" s="162">
        <v>0</v>
      </c>
      <c r="D47" s="162">
        <v>0</v>
      </c>
      <c r="E47" s="162">
        <v>0</v>
      </c>
      <c r="F47" s="178">
        <v>0</v>
      </c>
      <c r="G47" s="162">
        <v>0</v>
      </c>
      <c r="H47" s="162">
        <v>0</v>
      </c>
      <c r="I47" s="162">
        <v>0</v>
      </c>
      <c r="J47" s="162">
        <v>0</v>
      </c>
      <c r="K47" s="178">
        <v>0</v>
      </c>
      <c r="L47" s="162">
        <v>0</v>
      </c>
      <c r="M47" s="162">
        <v>0</v>
      </c>
      <c r="N47" s="162">
        <v>0</v>
      </c>
      <c r="O47" s="162">
        <v>0</v>
      </c>
      <c r="P47" s="178">
        <v>0</v>
      </c>
      <c r="Q47" s="162">
        <v>0</v>
      </c>
      <c r="R47" s="180">
        <v>3.2390749999999997</v>
      </c>
      <c r="S47" s="180">
        <f t="shared" si="0"/>
        <v>0</v>
      </c>
      <c r="T47" s="180">
        <f t="shared" si="1"/>
        <v>0</v>
      </c>
      <c r="U47" s="180">
        <f t="shared" si="2"/>
        <v>0</v>
      </c>
      <c r="V47" s="180">
        <f t="shared" si="3"/>
        <v>0</v>
      </c>
      <c r="W47" s="181">
        <f t="shared" si="7"/>
        <v>0</v>
      </c>
      <c r="Y47" s="174" t="str">
        <f t="shared" si="4"/>
        <v/>
      </c>
      <c r="Z47" s="174" t="str">
        <f t="shared" si="5"/>
        <v/>
      </c>
      <c r="AA47" s="174" t="str">
        <f t="shared" si="6"/>
        <v/>
      </c>
      <c r="AC47" s="162" t="s">
        <v>633</v>
      </c>
      <c r="AD47" s="182">
        <v>0</v>
      </c>
    </row>
    <row r="48" spans="1:34" x14ac:dyDescent="0.2">
      <c r="A48" s="162" t="s">
        <v>200</v>
      </c>
      <c r="B48" s="162">
        <v>0</v>
      </c>
      <c r="C48" s="162">
        <v>0</v>
      </c>
      <c r="D48" s="162">
        <v>0</v>
      </c>
      <c r="E48" s="162">
        <v>0</v>
      </c>
      <c r="F48" s="178">
        <v>0</v>
      </c>
      <c r="G48" s="162">
        <v>0</v>
      </c>
      <c r="H48" s="162">
        <v>0</v>
      </c>
      <c r="I48" s="162">
        <v>0</v>
      </c>
      <c r="J48" s="162">
        <v>0</v>
      </c>
      <c r="K48" s="178">
        <v>0</v>
      </c>
      <c r="L48" s="162">
        <v>0</v>
      </c>
      <c r="M48" s="162">
        <v>0</v>
      </c>
      <c r="N48" s="162">
        <v>0</v>
      </c>
      <c r="O48" s="162">
        <v>0</v>
      </c>
      <c r="P48" s="178">
        <v>0</v>
      </c>
      <c r="Q48" s="162">
        <v>0</v>
      </c>
      <c r="R48" s="180">
        <v>15.160700000000002</v>
      </c>
      <c r="S48" s="180">
        <f t="shared" si="0"/>
        <v>0</v>
      </c>
      <c r="T48" s="180">
        <f t="shared" si="1"/>
        <v>0</v>
      </c>
      <c r="U48" s="180">
        <f t="shared" si="2"/>
        <v>0</v>
      </c>
      <c r="V48" s="180">
        <f t="shared" si="3"/>
        <v>0</v>
      </c>
      <c r="W48" s="181">
        <f t="shared" si="7"/>
        <v>0</v>
      </c>
      <c r="Y48" s="174" t="str">
        <f t="shared" si="4"/>
        <v/>
      </c>
      <c r="Z48" s="174" t="str">
        <f t="shared" si="5"/>
        <v/>
      </c>
      <c r="AA48" s="174" t="str">
        <f t="shared" si="6"/>
        <v/>
      </c>
      <c r="AC48" s="162" t="s">
        <v>634</v>
      </c>
      <c r="AD48" s="182">
        <v>0</v>
      </c>
    </row>
    <row r="49" spans="1:30" x14ac:dyDescent="0.2">
      <c r="A49" s="162" t="s">
        <v>25</v>
      </c>
      <c r="B49" s="162">
        <v>29.28</v>
      </c>
      <c r="C49" s="162">
        <v>11.18</v>
      </c>
      <c r="D49" s="162">
        <v>0</v>
      </c>
      <c r="E49" s="162">
        <v>0</v>
      </c>
      <c r="F49" s="178">
        <v>40.46</v>
      </c>
      <c r="G49" s="162">
        <v>1.94</v>
      </c>
      <c r="H49" s="162">
        <v>0.92</v>
      </c>
      <c r="I49" s="162">
        <v>0</v>
      </c>
      <c r="J49" s="162">
        <v>0</v>
      </c>
      <c r="K49" s="178">
        <v>2.86</v>
      </c>
      <c r="L49" s="162">
        <v>48.78</v>
      </c>
      <c r="M49" s="162">
        <v>34.24</v>
      </c>
      <c r="N49" s="162">
        <v>3.22</v>
      </c>
      <c r="O49" s="162">
        <v>0</v>
      </c>
      <c r="P49" s="178">
        <v>86.24</v>
      </c>
      <c r="Q49" s="162">
        <v>129.56</v>
      </c>
      <c r="R49" s="180">
        <v>13.264272500000001</v>
      </c>
      <c r="S49" s="180">
        <f t="shared" si="0"/>
        <v>80</v>
      </c>
      <c r="T49" s="180">
        <f t="shared" si="1"/>
        <v>46.34</v>
      </c>
      <c r="U49" s="180">
        <f t="shared" si="2"/>
        <v>3.22</v>
      </c>
      <c r="V49" s="180">
        <f t="shared" si="3"/>
        <v>0</v>
      </c>
      <c r="W49" s="181">
        <f t="shared" si="7"/>
        <v>427.07452799999999</v>
      </c>
      <c r="Y49" s="174">
        <f t="shared" si="4"/>
        <v>3854.4</v>
      </c>
      <c r="Z49" s="174">
        <f t="shared" si="5"/>
        <v>3153.6</v>
      </c>
      <c r="AA49" s="174">
        <f t="shared" si="6"/>
        <v>3296.3455387465265</v>
      </c>
      <c r="AC49" s="162" t="s">
        <v>224</v>
      </c>
      <c r="AD49" s="182">
        <v>87.62</v>
      </c>
    </row>
    <row r="50" spans="1:30" x14ac:dyDescent="0.2">
      <c r="A50" s="162" t="s">
        <v>42</v>
      </c>
      <c r="B50" s="162">
        <v>0</v>
      </c>
      <c r="C50" s="162">
        <v>0</v>
      </c>
      <c r="D50" s="162">
        <v>0</v>
      </c>
      <c r="E50" s="162">
        <v>0</v>
      </c>
      <c r="F50" s="178">
        <v>0</v>
      </c>
      <c r="G50" s="162">
        <v>0</v>
      </c>
      <c r="H50" s="162">
        <v>0</v>
      </c>
      <c r="I50" s="162">
        <v>0</v>
      </c>
      <c r="J50" s="162">
        <v>0</v>
      </c>
      <c r="K50" s="178">
        <v>0</v>
      </c>
      <c r="L50" s="162">
        <v>0</v>
      </c>
      <c r="M50" s="162">
        <v>0</v>
      </c>
      <c r="N50" s="162">
        <v>0</v>
      </c>
      <c r="O50" s="162">
        <v>0</v>
      </c>
      <c r="P50" s="178">
        <v>0</v>
      </c>
      <c r="Q50" s="162">
        <v>0</v>
      </c>
      <c r="R50" s="180">
        <v>4.236275</v>
      </c>
      <c r="S50" s="180">
        <f t="shared" si="0"/>
        <v>0</v>
      </c>
      <c r="T50" s="180">
        <f t="shared" si="1"/>
        <v>0</v>
      </c>
      <c r="U50" s="180">
        <f t="shared" si="2"/>
        <v>0</v>
      </c>
      <c r="V50" s="180">
        <f t="shared" si="3"/>
        <v>0</v>
      </c>
      <c r="W50" s="181">
        <f t="shared" si="7"/>
        <v>0</v>
      </c>
      <c r="Y50" s="174" t="str">
        <f t="shared" si="4"/>
        <v/>
      </c>
      <c r="Z50" s="174" t="str">
        <f t="shared" si="5"/>
        <v/>
      </c>
      <c r="AA50" s="174" t="str">
        <f t="shared" si="6"/>
        <v/>
      </c>
      <c r="AC50" s="162" t="s">
        <v>635</v>
      </c>
      <c r="AD50" s="182">
        <v>0</v>
      </c>
    </row>
    <row r="51" spans="1:30" x14ac:dyDescent="0.2">
      <c r="A51" s="162" t="s">
        <v>201</v>
      </c>
      <c r="B51" s="162">
        <v>0</v>
      </c>
      <c r="C51" s="162">
        <v>0</v>
      </c>
      <c r="D51" s="162">
        <v>0</v>
      </c>
      <c r="E51" s="162">
        <v>0</v>
      </c>
      <c r="F51" s="178">
        <v>0</v>
      </c>
      <c r="G51" s="162">
        <v>0</v>
      </c>
      <c r="H51" s="162">
        <v>0</v>
      </c>
      <c r="I51" s="162">
        <v>0</v>
      </c>
      <c r="J51" s="162">
        <v>0</v>
      </c>
      <c r="K51" s="178">
        <v>0</v>
      </c>
      <c r="L51" s="162">
        <v>0</v>
      </c>
      <c r="M51" s="162">
        <v>0</v>
      </c>
      <c r="N51" s="162">
        <v>0</v>
      </c>
      <c r="O51" s="162">
        <v>0</v>
      </c>
      <c r="P51" s="178">
        <v>0</v>
      </c>
      <c r="Q51" s="162">
        <v>0</v>
      </c>
      <c r="R51" s="180">
        <v>61.184550000000002</v>
      </c>
      <c r="S51" s="180">
        <f t="shared" si="0"/>
        <v>0</v>
      </c>
      <c r="T51" s="180">
        <f t="shared" si="1"/>
        <v>0</v>
      </c>
      <c r="U51" s="180">
        <f t="shared" si="2"/>
        <v>0</v>
      </c>
      <c r="V51" s="180">
        <f t="shared" si="3"/>
        <v>0</v>
      </c>
      <c r="W51" s="181">
        <f t="shared" si="7"/>
        <v>0</v>
      </c>
      <c r="Y51" s="174" t="str">
        <f t="shared" si="4"/>
        <v/>
      </c>
      <c r="Z51" s="174" t="str">
        <f t="shared" si="5"/>
        <v/>
      </c>
      <c r="AA51" s="174" t="str">
        <f t="shared" si="6"/>
        <v/>
      </c>
      <c r="AC51" s="162" t="s">
        <v>636</v>
      </c>
      <c r="AD51" s="182">
        <v>0</v>
      </c>
    </row>
    <row r="52" spans="1:30" x14ac:dyDescent="0.2">
      <c r="A52" s="162" t="s">
        <v>252</v>
      </c>
      <c r="B52" s="162">
        <v>0.96</v>
      </c>
      <c r="C52" s="162">
        <v>0</v>
      </c>
      <c r="D52" s="162">
        <v>0</v>
      </c>
      <c r="E52" s="162">
        <v>0</v>
      </c>
      <c r="F52" s="178">
        <v>0.96</v>
      </c>
      <c r="G52" s="162">
        <v>9.48</v>
      </c>
      <c r="H52" s="162">
        <v>0</v>
      </c>
      <c r="I52" s="162">
        <v>0</v>
      </c>
      <c r="J52" s="162">
        <v>0</v>
      </c>
      <c r="K52" s="178">
        <v>9.48</v>
      </c>
      <c r="L52" s="162">
        <v>14.86</v>
      </c>
      <c r="M52" s="162">
        <v>0</v>
      </c>
      <c r="N52" s="162">
        <v>0</v>
      </c>
      <c r="O52" s="162">
        <v>0</v>
      </c>
      <c r="P52" s="178">
        <v>14.86</v>
      </c>
      <c r="Q52" s="162">
        <v>25.3</v>
      </c>
      <c r="R52" s="180">
        <v>18.272750000000002</v>
      </c>
      <c r="S52" s="180">
        <f t="shared" si="0"/>
        <v>25.3</v>
      </c>
      <c r="T52" s="180">
        <f t="shared" si="1"/>
        <v>0</v>
      </c>
      <c r="U52" s="180">
        <f t="shared" si="2"/>
        <v>0</v>
      </c>
      <c r="V52" s="180">
        <f t="shared" si="3"/>
        <v>0</v>
      </c>
      <c r="W52" s="181">
        <f t="shared" si="7"/>
        <v>79.786079999999998</v>
      </c>
      <c r="Y52" s="174">
        <f t="shared" si="4"/>
        <v>3153.6</v>
      </c>
      <c r="Z52" s="174">
        <f t="shared" si="5"/>
        <v>3153.6</v>
      </c>
      <c r="AA52" s="174">
        <f t="shared" si="6"/>
        <v>3153.6</v>
      </c>
      <c r="AC52" s="162" t="s">
        <v>637</v>
      </c>
      <c r="AD52" s="182">
        <v>0</v>
      </c>
    </row>
    <row r="53" spans="1:30" x14ac:dyDescent="0.2">
      <c r="A53" s="162" t="s">
        <v>638</v>
      </c>
      <c r="B53" s="162">
        <v>0</v>
      </c>
      <c r="C53" s="162">
        <v>0</v>
      </c>
      <c r="D53" s="162">
        <v>0</v>
      </c>
      <c r="E53" s="162">
        <v>0</v>
      </c>
      <c r="F53" s="178">
        <v>0</v>
      </c>
      <c r="G53" s="162">
        <v>0</v>
      </c>
      <c r="H53" s="162">
        <v>0</v>
      </c>
      <c r="I53" s="162">
        <v>0</v>
      </c>
      <c r="J53" s="162">
        <v>0</v>
      </c>
      <c r="K53" s="178">
        <v>0</v>
      </c>
      <c r="L53" s="162">
        <v>0</v>
      </c>
      <c r="M53" s="162">
        <v>0</v>
      </c>
      <c r="N53" s="162">
        <v>0</v>
      </c>
      <c r="O53" s="162">
        <v>0</v>
      </c>
      <c r="P53" s="178">
        <v>0</v>
      </c>
      <c r="Q53" s="162">
        <v>0</v>
      </c>
      <c r="R53" s="180">
        <v>5.6579999999999995</v>
      </c>
      <c r="S53" s="180">
        <f t="shared" si="0"/>
        <v>0</v>
      </c>
      <c r="T53" s="180">
        <f t="shared" si="1"/>
        <v>0</v>
      </c>
      <c r="U53" s="180">
        <f t="shared" si="2"/>
        <v>0</v>
      </c>
      <c r="V53" s="180">
        <f t="shared" si="3"/>
        <v>0</v>
      </c>
      <c r="W53" s="181">
        <f t="shared" si="7"/>
        <v>0</v>
      </c>
      <c r="Y53" s="174" t="str">
        <f t="shared" si="4"/>
        <v/>
      </c>
      <c r="Z53" s="174" t="str">
        <f t="shared" si="5"/>
        <v/>
      </c>
      <c r="AA53" s="174" t="str">
        <f t="shared" si="6"/>
        <v/>
      </c>
      <c r="AC53" s="162" t="s">
        <v>226</v>
      </c>
      <c r="AD53" s="182">
        <v>6</v>
      </c>
    </row>
    <row r="54" spans="1:30" x14ac:dyDescent="0.2">
      <c r="A54" s="162" t="s">
        <v>49</v>
      </c>
      <c r="B54" s="162">
        <v>0</v>
      </c>
      <c r="C54" s="162">
        <v>0</v>
      </c>
      <c r="D54" s="162">
        <v>0</v>
      </c>
      <c r="E54" s="162">
        <v>64.44</v>
      </c>
      <c r="F54" s="178">
        <v>64.44</v>
      </c>
      <c r="G54" s="162">
        <v>0</v>
      </c>
      <c r="H54" s="162">
        <v>0</v>
      </c>
      <c r="I54" s="162">
        <v>0.98</v>
      </c>
      <c r="J54" s="162">
        <v>162.56</v>
      </c>
      <c r="K54" s="178">
        <v>163.54</v>
      </c>
      <c r="L54" s="162">
        <v>0</v>
      </c>
      <c r="M54" s="162">
        <v>0</v>
      </c>
      <c r="N54" s="162">
        <v>7.04</v>
      </c>
      <c r="O54" s="162">
        <v>20.84</v>
      </c>
      <c r="P54" s="178">
        <v>27.88</v>
      </c>
      <c r="Q54" s="162">
        <v>255.85999999999999</v>
      </c>
      <c r="R54" s="180">
        <v>34.068275</v>
      </c>
      <c r="S54" s="180">
        <f t="shared" si="0"/>
        <v>0</v>
      </c>
      <c r="T54" s="180">
        <f t="shared" si="1"/>
        <v>0</v>
      </c>
      <c r="U54" s="180">
        <f t="shared" si="2"/>
        <v>8.02</v>
      </c>
      <c r="V54" s="180">
        <f t="shared" si="3"/>
        <v>247.84</v>
      </c>
      <c r="W54" s="181">
        <f t="shared" si="7"/>
        <v>1073.0299199999999</v>
      </c>
      <c r="Y54" s="174">
        <f t="shared" si="4"/>
        <v>4204.8</v>
      </c>
      <c r="Z54" s="174">
        <f t="shared" si="5"/>
        <v>3854.4</v>
      </c>
      <c r="AA54" s="174">
        <f t="shared" si="6"/>
        <v>4193.8166184632228</v>
      </c>
      <c r="AC54" s="162" t="s">
        <v>227</v>
      </c>
      <c r="AD54" s="182">
        <v>0.44</v>
      </c>
    </row>
    <row r="55" spans="1:30" x14ac:dyDescent="0.2">
      <c r="A55" s="162" t="s">
        <v>50</v>
      </c>
      <c r="B55" s="162">
        <v>0</v>
      </c>
      <c r="C55" s="162">
        <v>0</v>
      </c>
      <c r="D55" s="162">
        <v>0</v>
      </c>
      <c r="E55" s="162">
        <v>0</v>
      </c>
      <c r="F55" s="178">
        <v>0</v>
      </c>
      <c r="G55" s="162">
        <v>0</v>
      </c>
      <c r="H55" s="162">
        <v>0</v>
      </c>
      <c r="I55" s="162">
        <v>0</v>
      </c>
      <c r="J55" s="162">
        <v>0</v>
      </c>
      <c r="K55" s="178">
        <v>0</v>
      </c>
      <c r="L55" s="162">
        <v>0</v>
      </c>
      <c r="M55" s="162">
        <v>0</v>
      </c>
      <c r="N55" s="162">
        <v>0</v>
      </c>
      <c r="O55" s="162">
        <v>0</v>
      </c>
      <c r="P55" s="178">
        <v>0</v>
      </c>
      <c r="Q55" s="162">
        <v>0</v>
      </c>
      <c r="R55" s="180">
        <v>0.24575249999999998</v>
      </c>
      <c r="S55" s="180">
        <f t="shared" si="0"/>
        <v>0</v>
      </c>
      <c r="T55" s="180">
        <f t="shared" si="1"/>
        <v>0</v>
      </c>
      <c r="U55" s="180">
        <f t="shared" si="2"/>
        <v>0</v>
      </c>
      <c r="V55" s="180">
        <f t="shared" si="3"/>
        <v>0</v>
      </c>
      <c r="W55" s="181">
        <f t="shared" si="7"/>
        <v>0</v>
      </c>
      <c r="Y55" s="174" t="str">
        <f t="shared" si="4"/>
        <v/>
      </c>
      <c r="Z55" s="174" t="str">
        <f t="shared" si="5"/>
        <v/>
      </c>
      <c r="AA55" s="174" t="str">
        <f t="shared" si="6"/>
        <v/>
      </c>
      <c r="AC55" s="162" t="s">
        <v>639</v>
      </c>
      <c r="AD55" s="182">
        <v>0</v>
      </c>
    </row>
    <row r="56" spans="1:30" x14ac:dyDescent="0.2">
      <c r="A56" s="162" t="s">
        <v>51</v>
      </c>
      <c r="B56" s="162">
        <v>0</v>
      </c>
      <c r="C56" s="162">
        <v>0.06</v>
      </c>
      <c r="D56" s="162">
        <v>18.72</v>
      </c>
      <c r="E56" s="162">
        <v>0.18</v>
      </c>
      <c r="F56" s="178">
        <v>18.96</v>
      </c>
      <c r="G56" s="162">
        <v>0</v>
      </c>
      <c r="H56" s="162">
        <v>0.08</v>
      </c>
      <c r="I56" s="162">
        <v>1.5</v>
      </c>
      <c r="J56" s="162">
        <v>0.02</v>
      </c>
      <c r="K56" s="178">
        <v>1.6</v>
      </c>
      <c r="L56" s="162">
        <v>0</v>
      </c>
      <c r="M56" s="162">
        <v>2.3199999999999998</v>
      </c>
      <c r="N56" s="162">
        <v>41.26</v>
      </c>
      <c r="O56" s="162">
        <v>8.5399999999999991</v>
      </c>
      <c r="P56" s="178">
        <v>52.12</v>
      </c>
      <c r="Q56" s="162">
        <v>72.680000000000007</v>
      </c>
      <c r="R56" s="180">
        <v>12.20665</v>
      </c>
      <c r="S56" s="180">
        <f t="shared" si="0"/>
        <v>0</v>
      </c>
      <c r="T56" s="180">
        <f t="shared" si="1"/>
        <v>2.46</v>
      </c>
      <c r="U56" s="180">
        <f t="shared" si="2"/>
        <v>61.48</v>
      </c>
      <c r="V56" s="180">
        <f t="shared" si="3"/>
        <v>8.7399999999999984</v>
      </c>
      <c r="W56" s="181">
        <f t="shared" si="7"/>
        <v>282.33830399999999</v>
      </c>
      <c r="Y56" s="174">
        <f t="shared" si="4"/>
        <v>4204.8</v>
      </c>
      <c r="Z56" s="174">
        <f t="shared" si="5"/>
        <v>3504</v>
      </c>
      <c r="AA56" s="174">
        <f t="shared" si="6"/>
        <v>3884.676719867914</v>
      </c>
      <c r="AC56" s="162" t="s">
        <v>640</v>
      </c>
      <c r="AD56" s="182">
        <v>760.88</v>
      </c>
    </row>
    <row r="57" spans="1:30" x14ac:dyDescent="0.2">
      <c r="A57" s="162" t="s">
        <v>641</v>
      </c>
      <c r="B57" s="162">
        <v>0</v>
      </c>
      <c r="C57" s="162">
        <v>0</v>
      </c>
      <c r="D57" s="162">
        <v>0</v>
      </c>
      <c r="E57" s="162">
        <v>0</v>
      </c>
      <c r="F57" s="178">
        <v>0</v>
      </c>
      <c r="G57" s="162">
        <v>0</v>
      </c>
      <c r="H57" s="162">
        <v>0</v>
      </c>
      <c r="I57" s="162">
        <v>0</v>
      </c>
      <c r="J57" s="162">
        <v>0</v>
      </c>
      <c r="K57" s="178">
        <v>0</v>
      </c>
      <c r="L57" s="162">
        <v>0</v>
      </c>
      <c r="M57" s="162">
        <v>0</v>
      </c>
      <c r="N57" s="162">
        <v>0</v>
      </c>
      <c r="O57" s="162">
        <v>0</v>
      </c>
      <c r="P57" s="178">
        <v>0</v>
      </c>
      <c r="Q57" s="162">
        <v>0</v>
      </c>
      <c r="R57" s="180">
        <v>0</v>
      </c>
      <c r="S57" s="180">
        <f t="shared" si="0"/>
        <v>0</v>
      </c>
      <c r="T57" s="180">
        <f t="shared" si="1"/>
        <v>0</v>
      </c>
      <c r="U57" s="180">
        <f t="shared" si="2"/>
        <v>0</v>
      </c>
      <c r="V57" s="180">
        <f t="shared" si="3"/>
        <v>0</v>
      </c>
      <c r="W57" s="181">
        <f t="shared" si="7"/>
        <v>0</v>
      </c>
      <c r="Y57" s="174" t="str">
        <f t="shared" si="4"/>
        <v/>
      </c>
      <c r="Z57" s="174" t="str">
        <f t="shared" si="5"/>
        <v/>
      </c>
      <c r="AA57" s="174" t="str">
        <f t="shared" si="6"/>
        <v/>
      </c>
      <c r="AC57" s="162" t="s">
        <v>229</v>
      </c>
      <c r="AD57" s="182">
        <v>0</v>
      </c>
    </row>
    <row r="58" spans="1:30" x14ac:dyDescent="0.2">
      <c r="A58" s="162" t="s">
        <v>52</v>
      </c>
      <c r="B58" s="162">
        <v>0.3</v>
      </c>
      <c r="C58" s="162">
        <v>0</v>
      </c>
      <c r="D58" s="162">
        <v>0</v>
      </c>
      <c r="E58" s="162">
        <v>0</v>
      </c>
      <c r="F58" s="178">
        <v>0.3</v>
      </c>
      <c r="G58" s="162">
        <v>1.26</v>
      </c>
      <c r="H58" s="162">
        <v>0</v>
      </c>
      <c r="I58" s="162">
        <v>0</v>
      </c>
      <c r="J58" s="162">
        <v>0</v>
      </c>
      <c r="K58" s="178">
        <v>1.26</v>
      </c>
      <c r="L58" s="162">
        <v>0.16</v>
      </c>
      <c r="M58" s="162">
        <v>0</v>
      </c>
      <c r="N58" s="162">
        <v>0</v>
      </c>
      <c r="O58" s="162">
        <v>0</v>
      </c>
      <c r="P58" s="178">
        <v>0.16</v>
      </c>
      <c r="Q58" s="162">
        <v>1.72</v>
      </c>
      <c r="R58" s="180">
        <v>12.378807500000001</v>
      </c>
      <c r="S58" s="180">
        <f t="shared" si="0"/>
        <v>1.72</v>
      </c>
      <c r="T58" s="180">
        <f t="shared" si="1"/>
        <v>0</v>
      </c>
      <c r="U58" s="180">
        <f t="shared" si="2"/>
        <v>0</v>
      </c>
      <c r="V58" s="180">
        <f t="shared" si="3"/>
        <v>0</v>
      </c>
      <c r="W58" s="181">
        <f t="shared" si="7"/>
        <v>5.4241919999999997</v>
      </c>
      <c r="Y58" s="174">
        <f t="shared" si="4"/>
        <v>3153.6</v>
      </c>
      <c r="Z58" s="174">
        <f t="shared" si="5"/>
        <v>3153.6</v>
      </c>
      <c r="AA58" s="174">
        <f t="shared" si="6"/>
        <v>3153.6</v>
      </c>
      <c r="AC58" s="162" t="s">
        <v>642</v>
      </c>
      <c r="AD58" s="182">
        <v>1.02</v>
      </c>
    </row>
    <row r="59" spans="1:30" x14ac:dyDescent="0.2">
      <c r="A59" s="162" t="s">
        <v>53</v>
      </c>
      <c r="B59" s="162">
        <v>0</v>
      </c>
      <c r="C59" s="162">
        <v>0</v>
      </c>
      <c r="D59" s="162">
        <v>0.38</v>
      </c>
      <c r="E59" s="162">
        <v>0</v>
      </c>
      <c r="F59" s="178">
        <v>0.38</v>
      </c>
      <c r="G59" s="162">
        <v>0</v>
      </c>
      <c r="H59" s="162">
        <v>0</v>
      </c>
      <c r="I59" s="162">
        <v>0.32</v>
      </c>
      <c r="J59" s="162">
        <v>0</v>
      </c>
      <c r="K59" s="178">
        <v>0.32</v>
      </c>
      <c r="L59" s="162">
        <v>19.2</v>
      </c>
      <c r="M59" s="162">
        <v>35.72</v>
      </c>
      <c r="N59" s="162">
        <v>16.52</v>
      </c>
      <c r="O59" s="162">
        <v>0</v>
      </c>
      <c r="P59" s="178">
        <v>71.44</v>
      </c>
      <c r="Q59" s="162">
        <v>72.14</v>
      </c>
      <c r="R59" s="180">
        <v>99.701610000000002</v>
      </c>
      <c r="S59" s="180">
        <f t="shared" si="0"/>
        <v>19.2</v>
      </c>
      <c r="T59" s="180">
        <f t="shared" si="1"/>
        <v>35.72</v>
      </c>
      <c r="U59" s="180">
        <f t="shared" si="2"/>
        <v>17.22</v>
      </c>
      <c r="V59" s="180">
        <f t="shared" si="3"/>
        <v>0</v>
      </c>
      <c r="W59" s="181">
        <f t="shared" si="7"/>
        <v>252.08476799999997</v>
      </c>
      <c r="Y59" s="174">
        <f t="shared" si="4"/>
        <v>3854.4</v>
      </c>
      <c r="Z59" s="174">
        <f t="shared" si="5"/>
        <v>3153.6</v>
      </c>
      <c r="AA59" s="174">
        <f t="shared" si="6"/>
        <v>3494.3827003049623</v>
      </c>
      <c r="AC59" s="162" t="s">
        <v>643</v>
      </c>
      <c r="AD59" s="182">
        <v>11.86</v>
      </c>
    </row>
    <row r="60" spans="1:30" x14ac:dyDescent="0.2">
      <c r="A60" s="162" t="s">
        <v>54</v>
      </c>
      <c r="B60" s="162">
        <v>0</v>
      </c>
      <c r="C60" s="162">
        <v>0</v>
      </c>
      <c r="D60" s="162">
        <v>0</v>
      </c>
      <c r="E60" s="162">
        <v>0</v>
      </c>
      <c r="F60" s="178">
        <v>0</v>
      </c>
      <c r="G60" s="162">
        <v>0</v>
      </c>
      <c r="H60" s="162">
        <v>0</v>
      </c>
      <c r="I60" s="162">
        <v>0</v>
      </c>
      <c r="J60" s="162">
        <v>0</v>
      </c>
      <c r="K60" s="178">
        <v>0</v>
      </c>
      <c r="L60" s="162">
        <v>0</v>
      </c>
      <c r="M60" s="162">
        <v>0</v>
      </c>
      <c r="N60" s="162">
        <v>0</v>
      </c>
      <c r="O60" s="162">
        <v>0</v>
      </c>
      <c r="P60" s="178">
        <v>0</v>
      </c>
      <c r="Q60" s="162">
        <v>0</v>
      </c>
      <c r="R60" s="180">
        <v>4.9278124999999999</v>
      </c>
      <c r="S60" s="180">
        <f t="shared" si="0"/>
        <v>0</v>
      </c>
      <c r="T60" s="180">
        <f t="shared" si="1"/>
        <v>0</v>
      </c>
      <c r="U60" s="180">
        <f t="shared" si="2"/>
        <v>0</v>
      </c>
      <c r="V60" s="180">
        <f t="shared" si="3"/>
        <v>0</v>
      </c>
      <c r="W60" s="181">
        <f t="shared" si="7"/>
        <v>0</v>
      </c>
      <c r="Y60" s="174" t="str">
        <f t="shared" si="4"/>
        <v/>
      </c>
      <c r="Z60" s="174" t="str">
        <f t="shared" si="5"/>
        <v/>
      </c>
      <c r="AA60" s="174" t="str">
        <f t="shared" si="6"/>
        <v/>
      </c>
      <c r="AC60" s="162" t="s">
        <v>644</v>
      </c>
      <c r="AD60" s="182">
        <v>1.78</v>
      </c>
    </row>
    <row r="61" spans="1:30" x14ac:dyDescent="0.2">
      <c r="A61" s="162" t="s">
        <v>203</v>
      </c>
      <c r="B61" s="162">
        <v>0</v>
      </c>
      <c r="C61" s="162">
        <v>0</v>
      </c>
      <c r="D61" s="162">
        <v>0</v>
      </c>
      <c r="E61" s="162">
        <v>0</v>
      </c>
      <c r="F61" s="178">
        <v>0</v>
      </c>
      <c r="G61" s="162">
        <v>0</v>
      </c>
      <c r="H61" s="162">
        <v>0</v>
      </c>
      <c r="I61" s="162">
        <v>0</v>
      </c>
      <c r="J61" s="162">
        <v>0</v>
      </c>
      <c r="K61" s="178">
        <v>0</v>
      </c>
      <c r="L61" s="162">
        <v>0</v>
      </c>
      <c r="M61" s="162">
        <v>0</v>
      </c>
      <c r="N61" s="162">
        <v>0</v>
      </c>
      <c r="O61" s="162">
        <v>0</v>
      </c>
      <c r="P61" s="178">
        <v>0</v>
      </c>
      <c r="Q61" s="162">
        <v>0</v>
      </c>
      <c r="R61" s="180">
        <v>8.3002500000000007E-2</v>
      </c>
      <c r="S61" s="180">
        <f t="shared" si="0"/>
        <v>0</v>
      </c>
      <c r="T61" s="180">
        <f t="shared" si="1"/>
        <v>0</v>
      </c>
      <c r="U61" s="180">
        <f t="shared" si="2"/>
        <v>0</v>
      </c>
      <c r="V61" s="180">
        <f t="shared" si="3"/>
        <v>0</v>
      </c>
      <c r="W61" s="181">
        <f t="shared" si="7"/>
        <v>0</v>
      </c>
      <c r="Y61" s="174" t="str">
        <f t="shared" si="4"/>
        <v/>
      </c>
      <c r="Z61" s="174" t="str">
        <f t="shared" si="5"/>
        <v/>
      </c>
      <c r="AA61" s="174" t="str">
        <f t="shared" si="6"/>
        <v/>
      </c>
      <c r="AC61" s="162" t="s">
        <v>645</v>
      </c>
      <c r="AD61" s="182">
        <v>26.6</v>
      </c>
    </row>
    <row r="62" spans="1:30" x14ac:dyDescent="0.2">
      <c r="A62" s="162" t="s">
        <v>55</v>
      </c>
      <c r="B62" s="162">
        <v>0.1</v>
      </c>
      <c r="C62" s="162">
        <v>0.78</v>
      </c>
      <c r="D62" s="162">
        <v>0.44</v>
      </c>
      <c r="E62" s="162">
        <v>0</v>
      </c>
      <c r="F62" s="178">
        <v>1.32</v>
      </c>
      <c r="G62" s="162">
        <v>3.04</v>
      </c>
      <c r="H62" s="162">
        <v>12.46</v>
      </c>
      <c r="I62" s="162">
        <v>0.74</v>
      </c>
      <c r="J62" s="162">
        <v>0</v>
      </c>
      <c r="K62" s="178">
        <v>16.239999999999998</v>
      </c>
      <c r="L62" s="162">
        <v>3.18</v>
      </c>
      <c r="M62" s="162">
        <v>12.78</v>
      </c>
      <c r="N62" s="162">
        <v>0.78</v>
      </c>
      <c r="O62" s="162">
        <v>0</v>
      </c>
      <c r="P62" s="178">
        <v>16.739999999999998</v>
      </c>
      <c r="Q62" s="162">
        <v>34.299999999999997</v>
      </c>
      <c r="R62" s="180">
        <v>0.22347500000000001</v>
      </c>
      <c r="S62" s="180">
        <f t="shared" si="0"/>
        <v>6.32</v>
      </c>
      <c r="T62" s="180">
        <f t="shared" si="1"/>
        <v>26.02</v>
      </c>
      <c r="U62" s="180">
        <f t="shared" si="2"/>
        <v>1.96</v>
      </c>
      <c r="V62" s="180">
        <f t="shared" si="3"/>
        <v>0</v>
      </c>
      <c r="W62" s="181">
        <f t="shared" si="7"/>
        <v>118.65945599999999</v>
      </c>
      <c r="Y62" s="174">
        <f t="shared" si="4"/>
        <v>3854.4</v>
      </c>
      <c r="Z62" s="174">
        <f t="shared" si="5"/>
        <v>3153.6</v>
      </c>
      <c r="AA62" s="174">
        <f t="shared" si="6"/>
        <v>3459.4593586005831</v>
      </c>
      <c r="AC62" s="162" t="s">
        <v>241</v>
      </c>
      <c r="AD62" s="182">
        <v>0</v>
      </c>
    </row>
    <row r="63" spans="1:30" x14ac:dyDescent="0.2">
      <c r="A63" s="162" t="s">
        <v>204</v>
      </c>
      <c r="B63" s="162">
        <v>0</v>
      </c>
      <c r="C63" s="162">
        <v>0</v>
      </c>
      <c r="D63" s="162">
        <v>3.94</v>
      </c>
      <c r="E63" s="162">
        <v>0</v>
      </c>
      <c r="F63" s="178">
        <v>3.94</v>
      </c>
      <c r="G63" s="162">
        <v>0</v>
      </c>
      <c r="H63" s="162">
        <v>0</v>
      </c>
      <c r="I63" s="162">
        <v>15.12</v>
      </c>
      <c r="J63" s="162">
        <v>0</v>
      </c>
      <c r="K63" s="178">
        <v>15.12</v>
      </c>
      <c r="L63" s="162">
        <v>0</v>
      </c>
      <c r="M63" s="162">
        <v>0</v>
      </c>
      <c r="N63" s="162">
        <v>31.38</v>
      </c>
      <c r="O63" s="162">
        <v>0</v>
      </c>
      <c r="P63" s="178">
        <v>31.38</v>
      </c>
      <c r="Q63" s="162">
        <v>50.44</v>
      </c>
      <c r="R63" s="180">
        <v>7.4559250000000006</v>
      </c>
      <c r="S63" s="180">
        <f t="shared" si="0"/>
        <v>0</v>
      </c>
      <c r="T63" s="180">
        <f t="shared" si="1"/>
        <v>0</v>
      </c>
      <c r="U63" s="180">
        <f t="shared" si="2"/>
        <v>50.44</v>
      </c>
      <c r="V63" s="180">
        <f t="shared" si="3"/>
        <v>0</v>
      </c>
      <c r="W63" s="181">
        <f t="shared" si="7"/>
        <v>194.41593599999999</v>
      </c>
      <c r="Y63" s="174">
        <f t="shared" si="4"/>
        <v>3854.4</v>
      </c>
      <c r="Z63" s="174">
        <f t="shared" si="5"/>
        <v>3854.4</v>
      </c>
      <c r="AA63" s="174">
        <f t="shared" si="6"/>
        <v>3854.4</v>
      </c>
      <c r="AC63" s="162" t="s">
        <v>242</v>
      </c>
      <c r="AD63" s="182">
        <v>143.94</v>
      </c>
    </row>
    <row r="64" spans="1:30" x14ac:dyDescent="0.2">
      <c r="A64" s="162" t="s">
        <v>56</v>
      </c>
      <c r="B64" s="162">
        <v>0</v>
      </c>
      <c r="C64" s="162">
        <v>0</v>
      </c>
      <c r="D64" s="162">
        <v>0</v>
      </c>
      <c r="E64" s="162">
        <v>0</v>
      </c>
      <c r="F64" s="178">
        <v>0</v>
      </c>
      <c r="G64" s="162">
        <v>0</v>
      </c>
      <c r="H64" s="162">
        <v>0</v>
      </c>
      <c r="I64" s="162">
        <v>0</v>
      </c>
      <c r="J64" s="162">
        <v>0</v>
      </c>
      <c r="K64" s="178">
        <v>0</v>
      </c>
      <c r="L64" s="162">
        <v>0</v>
      </c>
      <c r="M64" s="162">
        <v>0</v>
      </c>
      <c r="N64" s="162">
        <v>0</v>
      </c>
      <c r="O64" s="162">
        <v>0</v>
      </c>
      <c r="P64" s="178">
        <v>0</v>
      </c>
      <c r="Q64" s="162">
        <v>0</v>
      </c>
      <c r="R64" s="180">
        <v>2.9910749999999999</v>
      </c>
      <c r="S64" s="180">
        <f t="shared" si="0"/>
        <v>0</v>
      </c>
      <c r="T64" s="180">
        <f t="shared" si="1"/>
        <v>0</v>
      </c>
      <c r="U64" s="180">
        <f t="shared" si="2"/>
        <v>0</v>
      </c>
      <c r="V64" s="180">
        <f t="shared" si="3"/>
        <v>0</v>
      </c>
      <c r="W64" s="181">
        <f t="shared" si="7"/>
        <v>0</v>
      </c>
      <c r="Y64" s="174" t="str">
        <f t="shared" si="4"/>
        <v/>
      </c>
      <c r="Z64" s="174" t="str">
        <f t="shared" si="5"/>
        <v/>
      </c>
      <c r="AA64" s="174" t="str">
        <f t="shared" si="6"/>
        <v/>
      </c>
      <c r="AC64" s="162" t="s">
        <v>244</v>
      </c>
      <c r="AD64" s="182">
        <v>0</v>
      </c>
    </row>
    <row r="65" spans="1:30" x14ac:dyDescent="0.2">
      <c r="A65" s="162" t="s">
        <v>57</v>
      </c>
      <c r="B65" s="162">
        <v>1.84</v>
      </c>
      <c r="C65" s="162">
        <v>22.22</v>
      </c>
      <c r="D65" s="162">
        <v>11.68</v>
      </c>
      <c r="E65" s="162">
        <v>0</v>
      </c>
      <c r="F65" s="178">
        <v>35.74</v>
      </c>
      <c r="G65" s="162">
        <v>1.06</v>
      </c>
      <c r="H65" s="162">
        <v>16.88</v>
      </c>
      <c r="I65" s="162">
        <v>9.3800000000000008</v>
      </c>
      <c r="J65" s="162">
        <v>0</v>
      </c>
      <c r="K65" s="178">
        <v>27.32</v>
      </c>
      <c r="L65" s="162">
        <v>0.08</v>
      </c>
      <c r="M65" s="162">
        <v>98.8</v>
      </c>
      <c r="N65" s="162">
        <v>149.9</v>
      </c>
      <c r="O65" s="162">
        <v>0</v>
      </c>
      <c r="P65" s="178">
        <v>248.78</v>
      </c>
      <c r="Q65" s="162">
        <v>311.84000000000003</v>
      </c>
      <c r="R65" s="180">
        <v>0.92674499999999993</v>
      </c>
      <c r="S65" s="180">
        <f t="shared" si="0"/>
        <v>2.9800000000000004</v>
      </c>
      <c r="T65" s="180">
        <f t="shared" si="1"/>
        <v>137.89999999999998</v>
      </c>
      <c r="U65" s="180">
        <f t="shared" si="2"/>
        <v>170.96</v>
      </c>
      <c r="V65" s="180">
        <f t="shared" si="3"/>
        <v>0</v>
      </c>
      <c r="W65" s="181">
        <f t="shared" si="7"/>
        <v>1151.547552</v>
      </c>
      <c r="Y65" s="174">
        <f t="shared" si="4"/>
        <v>3854.4</v>
      </c>
      <c r="Z65" s="174">
        <f t="shared" si="5"/>
        <v>3153.6</v>
      </c>
      <c r="AA65" s="174">
        <f t="shared" si="6"/>
        <v>3692.7512570548993</v>
      </c>
      <c r="AC65" s="162" t="s">
        <v>246</v>
      </c>
      <c r="AD65" s="182">
        <v>8.58</v>
      </c>
    </row>
    <row r="66" spans="1:30" x14ac:dyDescent="0.2">
      <c r="A66" s="162" t="s">
        <v>58</v>
      </c>
      <c r="B66" s="162">
        <v>0</v>
      </c>
      <c r="C66" s="162">
        <v>0.3</v>
      </c>
      <c r="D66" s="162">
        <v>4.4800000000000004</v>
      </c>
      <c r="E66" s="162">
        <v>1.52</v>
      </c>
      <c r="F66" s="178">
        <v>6.3</v>
      </c>
      <c r="G66" s="162">
        <v>0</v>
      </c>
      <c r="H66" s="162">
        <v>2</v>
      </c>
      <c r="I66" s="162">
        <v>24.64</v>
      </c>
      <c r="J66" s="162">
        <v>2.74</v>
      </c>
      <c r="K66" s="178">
        <v>29.38</v>
      </c>
      <c r="L66" s="162">
        <v>0</v>
      </c>
      <c r="M66" s="162">
        <v>5.18</v>
      </c>
      <c r="N66" s="162">
        <v>90.18</v>
      </c>
      <c r="O66" s="162">
        <v>0.24</v>
      </c>
      <c r="P66" s="178">
        <v>95.6</v>
      </c>
      <c r="Q66" s="162">
        <v>131.28</v>
      </c>
      <c r="R66" s="180">
        <v>84.405374999999992</v>
      </c>
      <c r="S66" s="180">
        <f t="shared" si="0"/>
        <v>0</v>
      </c>
      <c r="T66" s="180">
        <f t="shared" si="1"/>
        <v>7.4799999999999995</v>
      </c>
      <c r="U66" s="180">
        <f t="shared" si="2"/>
        <v>119.30000000000001</v>
      </c>
      <c r="V66" s="180">
        <f t="shared" si="3"/>
        <v>4.5</v>
      </c>
      <c r="W66" s="181">
        <f t="shared" si="7"/>
        <v>504.96143999999998</v>
      </c>
      <c r="Y66" s="174">
        <f t="shared" si="4"/>
        <v>4204.8</v>
      </c>
      <c r="Z66" s="174">
        <f t="shared" si="5"/>
        <v>3504</v>
      </c>
      <c r="AA66" s="174">
        <f t="shared" si="6"/>
        <v>3846.4460694698355</v>
      </c>
      <c r="AC66" s="162" t="s">
        <v>247</v>
      </c>
      <c r="AD66" s="182">
        <v>0</v>
      </c>
    </row>
    <row r="67" spans="1:30" x14ac:dyDescent="0.2">
      <c r="A67" s="162" t="s">
        <v>59</v>
      </c>
      <c r="B67" s="162">
        <v>0</v>
      </c>
      <c r="C67" s="162">
        <v>4.4800000000000004</v>
      </c>
      <c r="D67" s="162">
        <v>17.399999999999999</v>
      </c>
      <c r="E67" s="162">
        <v>24.54</v>
      </c>
      <c r="F67" s="178">
        <v>46.42</v>
      </c>
      <c r="G67" s="162">
        <v>0</v>
      </c>
      <c r="H67" s="162">
        <v>25.84</v>
      </c>
      <c r="I67" s="162">
        <v>46.72</v>
      </c>
      <c r="J67" s="162">
        <v>62.16</v>
      </c>
      <c r="K67" s="178">
        <v>134.72</v>
      </c>
      <c r="L67" s="162">
        <v>2.78</v>
      </c>
      <c r="M67" s="162">
        <v>49.08</v>
      </c>
      <c r="N67" s="162">
        <v>205.84</v>
      </c>
      <c r="O67" s="162">
        <v>310.38</v>
      </c>
      <c r="P67" s="178">
        <v>568.08000000000004</v>
      </c>
      <c r="Q67" s="162">
        <v>749.22</v>
      </c>
      <c r="R67" s="180">
        <v>450.82039999999995</v>
      </c>
      <c r="S67" s="180">
        <f t="shared" si="0"/>
        <v>2.78</v>
      </c>
      <c r="T67" s="180">
        <f t="shared" si="1"/>
        <v>79.400000000000006</v>
      </c>
      <c r="U67" s="180">
        <f t="shared" si="2"/>
        <v>269.96000000000004</v>
      </c>
      <c r="V67" s="180">
        <f t="shared" si="3"/>
        <v>397.08</v>
      </c>
      <c r="W67" s="181">
        <f t="shared" si="7"/>
        <v>2997.1604160000002</v>
      </c>
      <c r="Y67" s="174">
        <f t="shared" si="4"/>
        <v>4204.8</v>
      </c>
      <c r="Z67" s="174">
        <f t="shared" si="5"/>
        <v>3153.6</v>
      </c>
      <c r="AA67" s="174">
        <f t="shared" si="6"/>
        <v>4000.3742772483383</v>
      </c>
      <c r="AC67" s="162" t="s">
        <v>646</v>
      </c>
      <c r="AD67" s="182">
        <v>0</v>
      </c>
    </row>
    <row r="68" spans="1:30" x14ac:dyDescent="0.2">
      <c r="A68" s="162" t="s">
        <v>208</v>
      </c>
      <c r="B68" s="162">
        <v>0.2</v>
      </c>
      <c r="C68" s="162">
        <v>1.54</v>
      </c>
      <c r="D68" s="162">
        <v>0.98</v>
      </c>
      <c r="E68" s="162">
        <v>0</v>
      </c>
      <c r="F68" s="178">
        <v>2.72</v>
      </c>
      <c r="G68" s="162">
        <v>0.14000000000000001</v>
      </c>
      <c r="H68" s="162">
        <v>0.46</v>
      </c>
      <c r="I68" s="162">
        <v>0.76</v>
      </c>
      <c r="J68" s="162">
        <v>0</v>
      </c>
      <c r="K68" s="178">
        <v>1.36</v>
      </c>
      <c r="L68" s="162">
        <v>5.12</v>
      </c>
      <c r="M68" s="162">
        <v>39.86</v>
      </c>
      <c r="N68" s="162">
        <v>14.64</v>
      </c>
      <c r="O68" s="162">
        <v>0.84</v>
      </c>
      <c r="P68" s="178">
        <v>60.46</v>
      </c>
      <c r="Q68" s="162">
        <v>64.540000000000006</v>
      </c>
      <c r="R68" s="180">
        <v>0.59264249999999996</v>
      </c>
      <c r="S68" s="180">
        <f t="shared" si="0"/>
        <v>5.46</v>
      </c>
      <c r="T68" s="180">
        <f t="shared" si="1"/>
        <v>41.86</v>
      </c>
      <c r="U68" s="180">
        <f t="shared" si="2"/>
        <v>16.38</v>
      </c>
      <c r="V68" s="180">
        <f t="shared" si="3"/>
        <v>0.84</v>
      </c>
      <c r="W68" s="181">
        <f t="shared" si="7"/>
        <v>230.56320000000002</v>
      </c>
      <c r="Y68" s="174">
        <f t="shared" si="4"/>
        <v>4204.8</v>
      </c>
      <c r="Z68" s="174">
        <f t="shared" si="5"/>
        <v>3153.6</v>
      </c>
      <c r="AA68" s="174">
        <f t="shared" si="6"/>
        <v>3572.4078091106289</v>
      </c>
      <c r="AC68" s="162" t="s">
        <v>250</v>
      </c>
      <c r="AD68" s="182">
        <v>2.2000000000000002</v>
      </c>
    </row>
    <row r="69" spans="1:30" x14ac:dyDescent="0.2">
      <c r="A69" s="162" t="s">
        <v>60</v>
      </c>
      <c r="B69" s="162">
        <v>0</v>
      </c>
      <c r="C69" s="162">
        <v>0</v>
      </c>
      <c r="D69" s="162">
        <v>0</v>
      </c>
      <c r="E69" s="162">
        <v>0</v>
      </c>
      <c r="F69" s="178">
        <v>0</v>
      </c>
      <c r="G69" s="162">
        <v>0</v>
      </c>
      <c r="H69" s="162">
        <v>0</v>
      </c>
      <c r="I69" s="162">
        <v>0</v>
      </c>
      <c r="J69" s="162">
        <v>0</v>
      </c>
      <c r="K69" s="178">
        <v>0</v>
      </c>
      <c r="L69" s="162">
        <v>0</v>
      </c>
      <c r="M69" s="162">
        <v>0</v>
      </c>
      <c r="N69" s="162">
        <v>0</v>
      </c>
      <c r="O69" s="162">
        <v>0</v>
      </c>
      <c r="P69" s="178">
        <v>0</v>
      </c>
      <c r="Q69" s="162">
        <v>0</v>
      </c>
      <c r="R69" s="180">
        <v>1.4204499999999998</v>
      </c>
      <c r="S69" s="180">
        <f t="shared" si="0"/>
        <v>0</v>
      </c>
      <c r="T69" s="180">
        <f t="shared" si="1"/>
        <v>0</v>
      </c>
      <c r="U69" s="180">
        <f t="shared" si="2"/>
        <v>0</v>
      </c>
      <c r="V69" s="180">
        <f t="shared" si="3"/>
        <v>0</v>
      </c>
      <c r="W69" s="181">
        <f t="shared" si="7"/>
        <v>0</v>
      </c>
      <c r="Y69" s="174" t="str">
        <f t="shared" si="4"/>
        <v/>
      </c>
      <c r="Z69" s="174" t="str">
        <f t="shared" si="5"/>
        <v/>
      </c>
      <c r="AA69" s="174" t="str">
        <f t="shared" si="6"/>
        <v/>
      </c>
      <c r="AC69" s="162" t="s">
        <v>647</v>
      </c>
      <c r="AD69" s="182">
        <v>49.32</v>
      </c>
    </row>
    <row r="70" spans="1:30" x14ac:dyDescent="0.2">
      <c r="A70" s="162" t="s">
        <v>298</v>
      </c>
      <c r="B70" s="162">
        <v>0</v>
      </c>
      <c r="C70" s="162">
        <v>0</v>
      </c>
      <c r="D70" s="162">
        <v>0</v>
      </c>
      <c r="E70" s="162">
        <v>0</v>
      </c>
      <c r="F70" s="178">
        <v>0</v>
      </c>
      <c r="G70" s="162">
        <v>0</v>
      </c>
      <c r="H70" s="162">
        <v>0</v>
      </c>
      <c r="I70" s="162">
        <v>0</v>
      </c>
      <c r="J70" s="162">
        <v>0</v>
      </c>
      <c r="K70" s="178">
        <v>0</v>
      </c>
      <c r="L70" s="162">
        <v>0</v>
      </c>
      <c r="M70" s="162">
        <v>0</v>
      </c>
      <c r="N70" s="162">
        <v>0</v>
      </c>
      <c r="O70" s="162">
        <v>0</v>
      </c>
      <c r="P70" s="178">
        <v>0</v>
      </c>
      <c r="Q70" s="162">
        <v>0</v>
      </c>
      <c r="R70" s="180">
        <v>0.19274250000000001</v>
      </c>
      <c r="S70" s="180">
        <f t="shared" si="0"/>
        <v>0</v>
      </c>
      <c r="T70" s="180">
        <f t="shared" si="1"/>
        <v>0</v>
      </c>
      <c r="U70" s="180">
        <f t="shared" si="2"/>
        <v>0</v>
      </c>
      <c r="V70" s="180">
        <f t="shared" si="3"/>
        <v>0</v>
      </c>
      <c r="W70" s="181">
        <f t="shared" si="7"/>
        <v>0</v>
      </c>
      <c r="Y70" s="174" t="str">
        <f t="shared" si="4"/>
        <v/>
      </c>
      <c r="Z70" s="174" t="str">
        <f t="shared" si="5"/>
        <v/>
      </c>
      <c r="AA70" s="174" t="str">
        <f t="shared" si="6"/>
        <v/>
      </c>
      <c r="AC70" s="162" t="s">
        <v>648</v>
      </c>
      <c r="AD70" s="182">
        <v>13.66</v>
      </c>
    </row>
    <row r="71" spans="1:30" x14ac:dyDescent="0.2">
      <c r="A71" s="162" t="s">
        <v>61</v>
      </c>
      <c r="B71" s="162">
        <v>0</v>
      </c>
      <c r="C71" s="162">
        <v>0</v>
      </c>
      <c r="D71" s="162">
        <v>0</v>
      </c>
      <c r="E71" s="162">
        <v>0</v>
      </c>
      <c r="F71" s="178">
        <v>0</v>
      </c>
      <c r="G71" s="162">
        <v>0</v>
      </c>
      <c r="H71" s="162">
        <v>0</v>
      </c>
      <c r="I71" s="162">
        <v>0</v>
      </c>
      <c r="J71" s="162">
        <v>0</v>
      </c>
      <c r="K71" s="178">
        <v>0</v>
      </c>
      <c r="L71" s="162">
        <v>0</v>
      </c>
      <c r="M71" s="162">
        <v>0</v>
      </c>
      <c r="N71" s="162">
        <v>0</v>
      </c>
      <c r="O71" s="162">
        <v>0</v>
      </c>
      <c r="P71" s="178">
        <v>0</v>
      </c>
      <c r="Q71" s="162">
        <v>0</v>
      </c>
      <c r="R71" s="180">
        <v>7.0084999999999997</v>
      </c>
      <c r="S71" s="180">
        <f t="shared" si="0"/>
        <v>0</v>
      </c>
      <c r="T71" s="180">
        <f t="shared" si="1"/>
        <v>0</v>
      </c>
      <c r="U71" s="180">
        <f t="shared" si="2"/>
        <v>0</v>
      </c>
      <c r="V71" s="180">
        <f t="shared" si="3"/>
        <v>0</v>
      </c>
      <c r="W71" s="181">
        <f t="shared" si="7"/>
        <v>0</v>
      </c>
      <c r="Y71" s="174" t="str">
        <f t="shared" si="4"/>
        <v/>
      </c>
      <c r="Z71" s="174" t="str">
        <f t="shared" si="5"/>
        <v/>
      </c>
      <c r="AA71" s="174" t="str">
        <f t="shared" si="6"/>
        <v/>
      </c>
      <c r="AC71" s="162" t="s">
        <v>649</v>
      </c>
      <c r="AD71" s="182">
        <v>0</v>
      </c>
    </row>
    <row r="72" spans="1:30" x14ac:dyDescent="0.2">
      <c r="A72" s="162" t="s">
        <v>62</v>
      </c>
      <c r="B72" s="162">
        <v>0</v>
      </c>
      <c r="C72" s="162">
        <v>0</v>
      </c>
      <c r="D72" s="162">
        <v>0</v>
      </c>
      <c r="E72" s="162">
        <v>27.54</v>
      </c>
      <c r="F72" s="178">
        <v>27.54</v>
      </c>
      <c r="G72" s="162">
        <v>0</v>
      </c>
      <c r="H72" s="162">
        <v>0</v>
      </c>
      <c r="I72" s="162">
        <v>0</v>
      </c>
      <c r="J72" s="162">
        <v>96.8</v>
      </c>
      <c r="K72" s="178">
        <v>96.8</v>
      </c>
      <c r="L72" s="162">
        <v>0</v>
      </c>
      <c r="M72" s="162">
        <v>0</v>
      </c>
      <c r="N72" s="162">
        <v>0</v>
      </c>
      <c r="O72" s="162">
        <v>0</v>
      </c>
      <c r="P72" s="178">
        <v>0</v>
      </c>
      <c r="Q72" s="162">
        <v>124.34</v>
      </c>
      <c r="R72" s="180">
        <v>545.64280000000008</v>
      </c>
      <c r="S72" s="180">
        <f t="shared" ref="S72:S135" si="8">SUM(B72,G72,L72)</f>
        <v>0</v>
      </c>
      <c r="T72" s="180">
        <f t="shared" ref="T72:T135" si="9">SUM(C72,H72,M72)</f>
        <v>0</v>
      </c>
      <c r="U72" s="180">
        <f t="shared" ref="U72:U135" si="10">SUM(D72,I72,N72)</f>
        <v>0</v>
      </c>
      <c r="V72" s="180">
        <f t="shared" ref="V72:V135" si="11">SUM(E72,J72,O72)</f>
        <v>124.34</v>
      </c>
      <c r="W72" s="181">
        <f t="shared" si="7"/>
        <v>522.82483200000001</v>
      </c>
      <c r="Y72" s="174">
        <f t="shared" ref="Y72:Y135" si="12">IF(V72&gt;0,$AJ$11,IF(U72&gt;0,$AJ$10,IF(T72&gt;0,$AJ$9,IF(S72&gt;0,$AJ$8,""))))</f>
        <v>4204.8</v>
      </c>
      <c r="Z72" s="174">
        <f t="shared" ref="Z72:Z135" si="13">IF(S72&gt;0,$AJ$8,IF(T72&gt;0,$AJ$9,IF(U72&gt;0,$AJ$10,IF(V72&gt;0,$AJ$11,""))))</f>
        <v>4204.8</v>
      </c>
      <c r="AA72" s="174">
        <f t="shared" ref="AA72:AA135" si="14">IF(Q72&gt;0,(S72*$AJ$8+T72*$AJ$9+U72*$AJ$10+V72*$AJ$11)/Q72,"")</f>
        <v>4204.8</v>
      </c>
      <c r="AC72" s="162" t="s">
        <v>254</v>
      </c>
      <c r="AD72" s="182">
        <v>4.34</v>
      </c>
    </row>
    <row r="73" spans="1:30" x14ac:dyDescent="0.2">
      <c r="A73" s="162" t="s">
        <v>63</v>
      </c>
      <c r="B73" s="162">
        <v>0</v>
      </c>
      <c r="C73" s="162">
        <v>0</v>
      </c>
      <c r="D73" s="162">
        <v>0</v>
      </c>
      <c r="E73" s="162">
        <v>0</v>
      </c>
      <c r="F73" s="178">
        <v>0</v>
      </c>
      <c r="G73" s="162">
        <v>0</v>
      </c>
      <c r="H73" s="162">
        <v>0</v>
      </c>
      <c r="I73" s="162">
        <v>0</v>
      </c>
      <c r="J73" s="162">
        <v>0</v>
      </c>
      <c r="K73" s="178">
        <v>0</v>
      </c>
      <c r="L73" s="162">
        <v>0</v>
      </c>
      <c r="M73" s="162">
        <v>0</v>
      </c>
      <c r="N73" s="162">
        <v>0</v>
      </c>
      <c r="O73" s="162">
        <v>0</v>
      </c>
      <c r="P73" s="178">
        <v>0</v>
      </c>
      <c r="Q73" s="162">
        <v>0</v>
      </c>
      <c r="R73" s="180">
        <v>5.7599999999999989</v>
      </c>
      <c r="S73" s="180">
        <f t="shared" si="8"/>
        <v>0</v>
      </c>
      <c r="T73" s="180">
        <f t="shared" si="9"/>
        <v>0</v>
      </c>
      <c r="U73" s="180">
        <f t="shared" si="10"/>
        <v>0</v>
      </c>
      <c r="V73" s="180">
        <f t="shared" si="11"/>
        <v>0</v>
      </c>
      <c r="W73" s="181">
        <f t="shared" ref="W73:W136" si="15">((B73+G73+L73)*$AJ$8*$AI$27/5+(C73+H73+M73)*$AJ$9*$AI$28/5+(D73+I73+N73)*$AJ$10*$AI$29/5+(E73+J73+O73)*$AJ$11*$AI$30/5)/1000</f>
        <v>0</v>
      </c>
      <c r="Y73" s="174" t="str">
        <f t="shared" si="12"/>
        <v/>
      </c>
      <c r="Z73" s="174" t="str">
        <f t="shared" si="13"/>
        <v/>
      </c>
      <c r="AA73" s="174" t="str">
        <f t="shared" si="14"/>
        <v/>
      </c>
      <c r="AC73" s="162" t="s">
        <v>650</v>
      </c>
      <c r="AD73" s="182">
        <v>0</v>
      </c>
    </row>
    <row r="74" spans="1:30" x14ac:dyDescent="0.2">
      <c r="A74" s="162" t="s">
        <v>213</v>
      </c>
      <c r="B74" s="162">
        <v>0</v>
      </c>
      <c r="C74" s="162">
        <v>0</v>
      </c>
      <c r="D74" s="162">
        <v>0.1</v>
      </c>
      <c r="E74" s="162">
        <v>0</v>
      </c>
      <c r="F74" s="178">
        <v>0.1</v>
      </c>
      <c r="G74" s="162">
        <v>0.1</v>
      </c>
      <c r="H74" s="162">
        <v>0</v>
      </c>
      <c r="I74" s="162">
        <v>0.02</v>
      </c>
      <c r="J74" s="162">
        <v>1.76</v>
      </c>
      <c r="K74" s="178">
        <v>1.88</v>
      </c>
      <c r="L74" s="162">
        <v>51.8</v>
      </c>
      <c r="M74" s="162">
        <v>116.5</v>
      </c>
      <c r="N74" s="162">
        <v>164.36</v>
      </c>
      <c r="O74" s="162">
        <v>33.020000000000003</v>
      </c>
      <c r="P74" s="178">
        <v>365.68</v>
      </c>
      <c r="Q74" s="162">
        <v>367.66</v>
      </c>
      <c r="R74" s="180">
        <v>56.891449999999999</v>
      </c>
      <c r="S74" s="180">
        <f t="shared" si="8"/>
        <v>51.9</v>
      </c>
      <c r="T74" s="180">
        <f t="shared" si="9"/>
        <v>116.5</v>
      </c>
      <c r="U74" s="180">
        <f t="shared" si="10"/>
        <v>164.48000000000002</v>
      </c>
      <c r="V74" s="180">
        <f t="shared" si="11"/>
        <v>34.78</v>
      </c>
      <c r="W74" s="181">
        <f t="shared" si="15"/>
        <v>1352.1024960000002</v>
      </c>
      <c r="Y74" s="174">
        <f t="shared" si="12"/>
        <v>4204.8</v>
      </c>
      <c r="Z74" s="174">
        <f t="shared" si="13"/>
        <v>3153.6</v>
      </c>
      <c r="AA74" s="174">
        <f t="shared" si="14"/>
        <v>3677.5893379753038</v>
      </c>
      <c r="AC74" s="162" t="s">
        <v>651</v>
      </c>
      <c r="AD74" s="182">
        <v>228.8</v>
      </c>
    </row>
    <row r="75" spans="1:30" x14ac:dyDescent="0.2">
      <c r="A75" s="162" t="s">
        <v>215</v>
      </c>
      <c r="B75" s="162">
        <v>0</v>
      </c>
      <c r="C75" s="162">
        <v>0</v>
      </c>
      <c r="D75" s="162">
        <v>0</v>
      </c>
      <c r="E75" s="162">
        <v>0</v>
      </c>
      <c r="F75" s="178">
        <v>0</v>
      </c>
      <c r="G75" s="162">
        <v>0</v>
      </c>
      <c r="H75" s="162">
        <v>0</v>
      </c>
      <c r="I75" s="162">
        <v>0</v>
      </c>
      <c r="J75" s="162">
        <v>0</v>
      </c>
      <c r="K75" s="178">
        <v>0</v>
      </c>
      <c r="L75" s="162">
        <v>0</v>
      </c>
      <c r="M75" s="162">
        <v>0</v>
      </c>
      <c r="N75" s="162">
        <v>0</v>
      </c>
      <c r="O75" s="162">
        <v>0</v>
      </c>
      <c r="P75" s="178">
        <v>0</v>
      </c>
      <c r="Q75" s="162">
        <v>0</v>
      </c>
      <c r="R75" s="180">
        <v>1.0750799999999998</v>
      </c>
      <c r="S75" s="180">
        <f t="shared" si="8"/>
        <v>0</v>
      </c>
      <c r="T75" s="180">
        <f t="shared" si="9"/>
        <v>0</v>
      </c>
      <c r="U75" s="180">
        <f t="shared" si="10"/>
        <v>0</v>
      </c>
      <c r="V75" s="180">
        <f t="shared" si="11"/>
        <v>0</v>
      </c>
      <c r="W75" s="181">
        <f t="shared" si="15"/>
        <v>0</v>
      </c>
      <c r="Y75" s="174" t="str">
        <f t="shared" si="12"/>
        <v/>
      </c>
      <c r="Z75" s="174" t="str">
        <f t="shared" si="13"/>
        <v/>
      </c>
      <c r="AA75" s="174" t="str">
        <f t="shared" si="14"/>
        <v/>
      </c>
      <c r="AC75" s="162" t="s">
        <v>652</v>
      </c>
      <c r="AD75" s="182">
        <v>0</v>
      </c>
    </row>
    <row r="76" spans="1:30" x14ac:dyDescent="0.2">
      <c r="A76" s="162" t="s">
        <v>216</v>
      </c>
      <c r="B76" s="162">
        <v>0</v>
      </c>
      <c r="C76" s="162">
        <v>0</v>
      </c>
      <c r="D76" s="162">
        <v>0.98</v>
      </c>
      <c r="E76" s="162">
        <v>0</v>
      </c>
      <c r="F76" s="178">
        <v>0.98</v>
      </c>
      <c r="G76" s="162">
        <v>0</v>
      </c>
      <c r="H76" s="162">
        <v>0</v>
      </c>
      <c r="I76" s="162">
        <v>0.3</v>
      </c>
      <c r="J76" s="162">
        <v>0</v>
      </c>
      <c r="K76" s="178">
        <v>0.3</v>
      </c>
      <c r="L76" s="162">
        <v>0</v>
      </c>
      <c r="M76" s="162">
        <v>0</v>
      </c>
      <c r="N76" s="162">
        <v>26.16</v>
      </c>
      <c r="O76" s="162">
        <v>0</v>
      </c>
      <c r="P76" s="178">
        <v>26.16</v>
      </c>
      <c r="Q76" s="162">
        <v>27.44</v>
      </c>
      <c r="R76" s="180">
        <v>1.65402</v>
      </c>
      <c r="S76" s="180">
        <f t="shared" si="8"/>
        <v>0</v>
      </c>
      <c r="T76" s="180">
        <f t="shared" si="9"/>
        <v>0</v>
      </c>
      <c r="U76" s="180">
        <f t="shared" si="10"/>
        <v>27.44</v>
      </c>
      <c r="V76" s="180">
        <f t="shared" si="11"/>
        <v>0</v>
      </c>
      <c r="W76" s="181">
        <f t="shared" si="15"/>
        <v>105.764736</v>
      </c>
      <c r="Y76" s="174">
        <f t="shared" si="12"/>
        <v>3854.4</v>
      </c>
      <c r="Z76" s="174">
        <f t="shared" si="13"/>
        <v>3854.4</v>
      </c>
      <c r="AA76" s="174">
        <f t="shared" si="14"/>
        <v>3854.4</v>
      </c>
      <c r="AC76" s="162" t="s">
        <v>653</v>
      </c>
      <c r="AD76" s="182">
        <v>2</v>
      </c>
    </row>
    <row r="77" spans="1:30" x14ac:dyDescent="0.2">
      <c r="A77" s="162" t="s">
        <v>65</v>
      </c>
      <c r="B77" s="162">
        <v>0</v>
      </c>
      <c r="C77" s="162">
        <v>0.64</v>
      </c>
      <c r="D77" s="162">
        <v>0</v>
      </c>
      <c r="E77" s="162">
        <v>0</v>
      </c>
      <c r="F77" s="178">
        <v>0.64</v>
      </c>
      <c r="G77" s="162">
        <v>0</v>
      </c>
      <c r="H77" s="162">
        <v>0.14000000000000001</v>
      </c>
      <c r="I77" s="162">
        <v>0</v>
      </c>
      <c r="J77" s="162">
        <v>0</v>
      </c>
      <c r="K77" s="178">
        <v>0.14000000000000001</v>
      </c>
      <c r="L77" s="162">
        <v>0</v>
      </c>
      <c r="M77" s="162">
        <v>0.78</v>
      </c>
      <c r="N77" s="162">
        <v>0</v>
      </c>
      <c r="O77" s="162">
        <v>0</v>
      </c>
      <c r="P77" s="178">
        <v>0.78</v>
      </c>
      <c r="Q77" s="162">
        <v>1.56</v>
      </c>
      <c r="R77" s="180">
        <v>6.8044824999999998</v>
      </c>
      <c r="S77" s="180">
        <f t="shared" si="8"/>
        <v>0</v>
      </c>
      <c r="T77" s="180">
        <f t="shared" si="9"/>
        <v>1.56</v>
      </c>
      <c r="U77" s="180">
        <f t="shared" si="10"/>
        <v>0</v>
      </c>
      <c r="V77" s="180">
        <f t="shared" si="11"/>
        <v>0</v>
      </c>
      <c r="W77" s="181">
        <f t="shared" si="15"/>
        <v>5.46624</v>
      </c>
      <c r="Y77" s="174">
        <f t="shared" si="12"/>
        <v>3504</v>
      </c>
      <c r="Z77" s="174">
        <f t="shared" si="13"/>
        <v>3504</v>
      </c>
      <c r="AA77" s="174">
        <f t="shared" si="14"/>
        <v>3503.9999999999995</v>
      </c>
      <c r="AC77" s="162" t="s">
        <v>654</v>
      </c>
      <c r="AD77" s="182">
        <v>0.52</v>
      </c>
    </row>
    <row r="78" spans="1:30" x14ac:dyDescent="0.2">
      <c r="A78" s="162" t="s">
        <v>66</v>
      </c>
      <c r="B78" s="162">
        <v>0</v>
      </c>
      <c r="C78" s="162">
        <v>0</v>
      </c>
      <c r="D78" s="162">
        <v>0</v>
      </c>
      <c r="E78" s="162">
        <v>0</v>
      </c>
      <c r="F78" s="178">
        <v>0</v>
      </c>
      <c r="G78" s="162">
        <v>0</v>
      </c>
      <c r="H78" s="162">
        <v>0</v>
      </c>
      <c r="I78" s="162">
        <v>0</v>
      </c>
      <c r="J78" s="162">
        <v>0</v>
      </c>
      <c r="K78" s="178">
        <v>0</v>
      </c>
      <c r="L78" s="162">
        <v>0</v>
      </c>
      <c r="M78" s="162">
        <v>0</v>
      </c>
      <c r="N78" s="162">
        <v>0</v>
      </c>
      <c r="O78" s="162">
        <v>0</v>
      </c>
      <c r="P78" s="178">
        <v>0</v>
      </c>
      <c r="Q78" s="162">
        <v>0</v>
      </c>
      <c r="R78" s="180">
        <v>0.83351249999999999</v>
      </c>
      <c r="S78" s="180">
        <f t="shared" si="8"/>
        <v>0</v>
      </c>
      <c r="T78" s="180">
        <f t="shared" si="9"/>
        <v>0</v>
      </c>
      <c r="U78" s="180">
        <f t="shared" si="10"/>
        <v>0</v>
      </c>
      <c r="V78" s="180">
        <f t="shared" si="11"/>
        <v>0</v>
      </c>
      <c r="W78" s="181">
        <f t="shared" si="15"/>
        <v>0</v>
      </c>
      <c r="Y78" s="174" t="str">
        <f t="shared" si="12"/>
        <v/>
      </c>
      <c r="Z78" s="174" t="str">
        <f t="shared" si="13"/>
        <v/>
      </c>
      <c r="AA78" s="174" t="str">
        <f t="shared" si="14"/>
        <v/>
      </c>
      <c r="AC78" s="162" t="s">
        <v>655</v>
      </c>
      <c r="AD78" s="182">
        <v>2.06</v>
      </c>
    </row>
    <row r="79" spans="1:30" x14ac:dyDescent="0.2">
      <c r="A79" s="162" t="s">
        <v>218</v>
      </c>
      <c r="B79" s="162">
        <v>0</v>
      </c>
      <c r="C79" s="162">
        <v>0</v>
      </c>
      <c r="D79" s="162">
        <v>0</v>
      </c>
      <c r="E79" s="162">
        <v>0</v>
      </c>
      <c r="F79" s="178">
        <v>0</v>
      </c>
      <c r="G79" s="162">
        <v>0</v>
      </c>
      <c r="H79" s="162">
        <v>0</v>
      </c>
      <c r="I79" s="162">
        <v>0</v>
      </c>
      <c r="J79" s="162">
        <v>0</v>
      </c>
      <c r="K79" s="178">
        <v>0</v>
      </c>
      <c r="L79" s="162">
        <v>0</v>
      </c>
      <c r="M79" s="162">
        <v>0</v>
      </c>
      <c r="N79" s="162">
        <v>0</v>
      </c>
      <c r="O79" s="162">
        <v>0</v>
      </c>
      <c r="P79" s="178">
        <v>0</v>
      </c>
      <c r="Q79" s="162">
        <v>0</v>
      </c>
      <c r="R79" s="180">
        <v>5.9984999999999997E-2</v>
      </c>
      <c r="S79" s="180">
        <f t="shared" si="8"/>
        <v>0</v>
      </c>
      <c r="T79" s="180">
        <f t="shared" si="9"/>
        <v>0</v>
      </c>
      <c r="U79" s="180">
        <f t="shared" si="10"/>
        <v>0</v>
      </c>
      <c r="V79" s="180">
        <f t="shared" si="11"/>
        <v>0</v>
      </c>
      <c r="W79" s="181">
        <f t="shared" si="15"/>
        <v>0</v>
      </c>
      <c r="Y79" s="174" t="str">
        <f t="shared" si="12"/>
        <v/>
      </c>
      <c r="Z79" s="174" t="str">
        <f t="shared" si="13"/>
        <v/>
      </c>
      <c r="AA79" s="174" t="str">
        <f t="shared" si="14"/>
        <v/>
      </c>
      <c r="AC79" s="162" t="s">
        <v>656</v>
      </c>
      <c r="AD79" s="182">
        <v>21.94</v>
      </c>
    </row>
    <row r="80" spans="1:30" x14ac:dyDescent="0.2">
      <c r="A80" s="162" t="s">
        <v>67</v>
      </c>
      <c r="B80" s="162">
        <v>46.52</v>
      </c>
      <c r="C80" s="162">
        <v>55.7</v>
      </c>
      <c r="D80" s="162">
        <v>0</v>
      </c>
      <c r="E80" s="162">
        <v>0</v>
      </c>
      <c r="F80" s="178">
        <v>102.22</v>
      </c>
      <c r="G80" s="162">
        <v>0.94</v>
      </c>
      <c r="H80" s="162">
        <v>105.46</v>
      </c>
      <c r="I80" s="162">
        <v>0</v>
      </c>
      <c r="J80" s="162">
        <v>0</v>
      </c>
      <c r="K80" s="178">
        <v>106.4</v>
      </c>
      <c r="L80" s="162">
        <v>0</v>
      </c>
      <c r="M80" s="162">
        <v>82.22</v>
      </c>
      <c r="N80" s="162">
        <v>1.9</v>
      </c>
      <c r="O80" s="162">
        <v>0</v>
      </c>
      <c r="P80" s="178">
        <v>84.12</v>
      </c>
      <c r="Q80" s="162">
        <v>292.74</v>
      </c>
      <c r="R80" s="180">
        <v>0.68799999999999994</v>
      </c>
      <c r="S80" s="180">
        <f t="shared" si="8"/>
        <v>47.46</v>
      </c>
      <c r="T80" s="180">
        <f t="shared" si="9"/>
        <v>243.38</v>
      </c>
      <c r="U80" s="180">
        <f t="shared" si="10"/>
        <v>1.9</v>
      </c>
      <c r="V80" s="180">
        <f t="shared" si="11"/>
        <v>0</v>
      </c>
      <c r="W80" s="181">
        <f t="shared" si="15"/>
        <v>1009.7967359999999</v>
      </c>
      <c r="Y80" s="174">
        <f t="shared" si="12"/>
        <v>3854.4</v>
      </c>
      <c r="Z80" s="174">
        <f t="shared" si="13"/>
        <v>3153.6</v>
      </c>
      <c r="AA80" s="174">
        <f t="shared" si="14"/>
        <v>3449.4662020905926</v>
      </c>
      <c r="AC80" s="162" t="s">
        <v>657</v>
      </c>
      <c r="AD80" s="182">
        <v>7.44</v>
      </c>
    </row>
    <row r="81" spans="1:30" x14ac:dyDescent="0.2">
      <c r="A81" s="162" t="s">
        <v>68</v>
      </c>
      <c r="B81" s="162">
        <v>0</v>
      </c>
      <c r="C81" s="162">
        <v>0.72</v>
      </c>
      <c r="D81" s="162">
        <v>0</v>
      </c>
      <c r="E81" s="162">
        <v>0</v>
      </c>
      <c r="F81" s="178">
        <v>0.72</v>
      </c>
      <c r="G81" s="162">
        <v>0</v>
      </c>
      <c r="H81" s="162">
        <v>0.14000000000000001</v>
      </c>
      <c r="I81" s="162">
        <v>0</v>
      </c>
      <c r="J81" s="162">
        <v>0</v>
      </c>
      <c r="K81" s="178">
        <v>0.14000000000000001</v>
      </c>
      <c r="L81" s="162">
        <v>0</v>
      </c>
      <c r="M81" s="162">
        <v>4.8600000000000003</v>
      </c>
      <c r="N81" s="162">
        <v>4.54</v>
      </c>
      <c r="O81" s="162">
        <v>0.48</v>
      </c>
      <c r="P81" s="178">
        <v>9.8800000000000008</v>
      </c>
      <c r="Q81" s="162">
        <v>10.74</v>
      </c>
      <c r="R81" s="180">
        <v>0.27100000000000002</v>
      </c>
      <c r="S81" s="180">
        <f t="shared" si="8"/>
        <v>0</v>
      </c>
      <c r="T81" s="180">
        <f t="shared" si="9"/>
        <v>5.7200000000000006</v>
      </c>
      <c r="U81" s="180">
        <f t="shared" si="10"/>
        <v>4.54</v>
      </c>
      <c r="V81" s="180">
        <f t="shared" si="11"/>
        <v>0.48</v>
      </c>
      <c r="W81" s="181">
        <f t="shared" si="15"/>
        <v>39.560160000000003</v>
      </c>
      <c r="Y81" s="174">
        <f t="shared" si="12"/>
        <v>4204.8</v>
      </c>
      <c r="Z81" s="174">
        <f t="shared" si="13"/>
        <v>3504</v>
      </c>
      <c r="AA81" s="174">
        <f t="shared" si="14"/>
        <v>3683.441340782123</v>
      </c>
      <c r="AC81" s="162" t="s">
        <v>658</v>
      </c>
      <c r="AD81" s="182">
        <v>39.82</v>
      </c>
    </row>
    <row r="82" spans="1:30" x14ac:dyDescent="0.2">
      <c r="A82" s="162" t="s">
        <v>69</v>
      </c>
      <c r="B82" s="162">
        <v>0</v>
      </c>
      <c r="C82" s="162">
        <v>7.44</v>
      </c>
      <c r="D82" s="162">
        <v>141.84</v>
      </c>
      <c r="E82" s="162">
        <v>0.68</v>
      </c>
      <c r="F82" s="178">
        <v>149.96</v>
      </c>
      <c r="G82" s="162">
        <v>0</v>
      </c>
      <c r="H82" s="162">
        <v>1.06</v>
      </c>
      <c r="I82" s="162">
        <v>61.12</v>
      </c>
      <c r="J82" s="162">
        <v>0.68</v>
      </c>
      <c r="K82" s="178">
        <v>62.86</v>
      </c>
      <c r="L82" s="162">
        <v>0</v>
      </c>
      <c r="M82" s="162">
        <v>12.64</v>
      </c>
      <c r="N82" s="162">
        <v>156.6</v>
      </c>
      <c r="O82" s="162">
        <v>0.06</v>
      </c>
      <c r="P82" s="178">
        <v>169.3</v>
      </c>
      <c r="Q82" s="162">
        <v>382.12</v>
      </c>
      <c r="R82" s="180">
        <v>4.4597425000000008</v>
      </c>
      <c r="S82" s="180">
        <f t="shared" si="8"/>
        <v>0</v>
      </c>
      <c r="T82" s="180">
        <f t="shared" si="9"/>
        <v>21.14</v>
      </c>
      <c r="U82" s="180">
        <f t="shared" si="10"/>
        <v>359.56</v>
      </c>
      <c r="V82" s="180">
        <f t="shared" si="11"/>
        <v>1.4200000000000002</v>
      </c>
      <c r="W82" s="181">
        <f t="shared" si="15"/>
        <v>1465.9334400000002</v>
      </c>
      <c r="Y82" s="174">
        <f t="shared" si="12"/>
        <v>4204.8</v>
      </c>
      <c r="Z82" s="174">
        <f t="shared" si="13"/>
        <v>3504</v>
      </c>
      <c r="AA82" s="174">
        <f t="shared" si="14"/>
        <v>3836.3169684915738</v>
      </c>
      <c r="AC82" s="162" t="s">
        <v>659</v>
      </c>
      <c r="AD82" s="182">
        <v>8.24</v>
      </c>
    </row>
    <row r="83" spans="1:30" x14ac:dyDescent="0.2">
      <c r="A83" s="162" t="s">
        <v>221</v>
      </c>
      <c r="B83" s="162">
        <v>0</v>
      </c>
      <c r="C83" s="162">
        <v>0</v>
      </c>
      <c r="D83" s="162">
        <v>0</v>
      </c>
      <c r="E83" s="162">
        <v>0</v>
      </c>
      <c r="F83" s="178">
        <v>0</v>
      </c>
      <c r="G83" s="162">
        <v>0</v>
      </c>
      <c r="H83" s="162">
        <v>0</v>
      </c>
      <c r="I83" s="162">
        <v>0</v>
      </c>
      <c r="J83" s="162">
        <v>0</v>
      </c>
      <c r="K83" s="178">
        <v>0</v>
      </c>
      <c r="L83" s="162">
        <v>0</v>
      </c>
      <c r="M83" s="162">
        <v>0</v>
      </c>
      <c r="N83" s="162">
        <v>0</v>
      </c>
      <c r="O83" s="162">
        <v>0</v>
      </c>
      <c r="P83" s="178">
        <v>0</v>
      </c>
      <c r="Q83" s="162">
        <v>0</v>
      </c>
      <c r="R83" s="180">
        <v>37.189099999999996</v>
      </c>
      <c r="S83" s="180">
        <f t="shared" si="8"/>
        <v>0</v>
      </c>
      <c r="T83" s="180">
        <f t="shared" si="9"/>
        <v>0</v>
      </c>
      <c r="U83" s="180">
        <f t="shared" si="10"/>
        <v>0</v>
      </c>
      <c r="V83" s="180">
        <f t="shared" si="11"/>
        <v>0</v>
      </c>
      <c r="W83" s="181">
        <f t="shared" si="15"/>
        <v>0</v>
      </c>
      <c r="Y83" s="174" t="str">
        <f t="shared" si="12"/>
        <v/>
      </c>
      <c r="Z83" s="174" t="str">
        <f t="shared" si="13"/>
        <v/>
      </c>
      <c r="AA83" s="174" t="str">
        <f t="shared" si="14"/>
        <v/>
      </c>
      <c r="AC83" s="162" t="s">
        <v>660</v>
      </c>
      <c r="AD83" s="182">
        <v>0</v>
      </c>
    </row>
    <row r="84" spans="1:30" x14ac:dyDescent="0.2">
      <c r="A84" s="162" t="s">
        <v>222</v>
      </c>
      <c r="B84" s="162">
        <v>0</v>
      </c>
      <c r="C84" s="162">
        <v>0</v>
      </c>
      <c r="D84" s="162">
        <v>0</v>
      </c>
      <c r="E84" s="162">
        <v>1.52</v>
      </c>
      <c r="F84" s="178">
        <v>1.52</v>
      </c>
      <c r="G84" s="162">
        <v>0</v>
      </c>
      <c r="H84" s="162">
        <v>0</v>
      </c>
      <c r="I84" s="162">
        <v>0</v>
      </c>
      <c r="J84" s="162">
        <v>17.899999999999999</v>
      </c>
      <c r="K84" s="178">
        <v>17.899999999999999</v>
      </c>
      <c r="L84" s="162">
        <v>0</v>
      </c>
      <c r="M84" s="162">
        <v>0</v>
      </c>
      <c r="N84" s="162">
        <v>0</v>
      </c>
      <c r="O84" s="162">
        <v>1440.02</v>
      </c>
      <c r="P84" s="178">
        <v>1440.02</v>
      </c>
      <c r="Q84" s="162">
        <v>1459.44</v>
      </c>
      <c r="R84" s="180">
        <v>11.0624</v>
      </c>
      <c r="S84" s="180">
        <f t="shared" si="8"/>
        <v>0</v>
      </c>
      <c r="T84" s="180">
        <f t="shared" si="9"/>
        <v>0</v>
      </c>
      <c r="U84" s="180">
        <f t="shared" si="10"/>
        <v>0</v>
      </c>
      <c r="V84" s="180">
        <f t="shared" si="11"/>
        <v>1459.44</v>
      </c>
      <c r="W84" s="181">
        <f t="shared" si="15"/>
        <v>6136.6533120000013</v>
      </c>
      <c r="Y84" s="174">
        <f t="shared" si="12"/>
        <v>4204.8</v>
      </c>
      <c r="Z84" s="174">
        <f t="shared" si="13"/>
        <v>4204.8</v>
      </c>
      <c r="AA84" s="174">
        <f t="shared" si="14"/>
        <v>4204.8</v>
      </c>
      <c r="AC84" s="162" t="s">
        <v>123</v>
      </c>
      <c r="AD84" s="182">
        <v>77.540000000000006</v>
      </c>
    </row>
    <row r="85" spans="1:30" x14ac:dyDescent="0.2">
      <c r="A85" s="162" t="s">
        <v>70</v>
      </c>
      <c r="B85" s="162">
        <v>9.6</v>
      </c>
      <c r="C85" s="162">
        <v>11.6</v>
      </c>
      <c r="D85" s="162">
        <v>13.06</v>
      </c>
      <c r="E85" s="162">
        <v>3.6</v>
      </c>
      <c r="F85" s="178">
        <v>37.86</v>
      </c>
      <c r="G85" s="162">
        <v>10.56</v>
      </c>
      <c r="H85" s="162">
        <v>3.86</v>
      </c>
      <c r="I85" s="162">
        <v>15.58</v>
      </c>
      <c r="J85" s="162">
        <v>5.72</v>
      </c>
      <c r="K85" s="178">
        <v>35.72</v>
      </c>
      <c r="L85" s="162">
        <v>29.04</v>
      </c>
      <c r="M85" s="162">
        <v>18.2</v>
      </c>
      <c r="N85" s="162">
        <v>36.82</v>
      </c>
      <c r="O85" s="162">
        <v>3.98</v>
      </c>
      <c r="P85" s="178">
        <v>88.04</v>
      </c>
      <c r="Q85" s="162">
        <v>161.62</v>
      </c>
      <c r="R85" s="180">
        <v>548.47939499999995</v>
      </c>
      <c r="S85" s="180">
        <f t="shared" si="8"/>
        <v>49.2</v>
      </c>
      <c r="T85" s="180">
        <f t="shared" si="9"/>
        <v>33.659999999999997</v>
      </c>
      <c r="U85" s="180">
        <f t="shared" si="10"/>
        <v>65.460000000000008</v>
      </c>
      <c r="V85" s="180">
        <f t="shared" si="11"/>
        <v>13.3</v>
      </c>
      <c r="W85" s="181">
        <f t="shared" si="15"/>
        <v>581.33462399999996</v>
      </c>
      <c r="Y85" s="174">
        <f t="shared" si="12"/>
        <v>4204.8</v>
      </c>
      <c r="Z85" s="174">
        <f t="shared" si="13"/>
        <v>3153.6</v>
      </c>
      <c r="AA85" s="174">
        <f t="shared" si="14"/>
        <v>3596.9225590892211</v>
      </c>
      <c r="AC85" s="162" t="s">
        <v>661</v>
      </c>
      <c r="AD85" s="182">
        <v>250.24</v>
      </c>
    </row>
    <row r="86" spans="1:30" x14ac:dyDescent="0.2">
      <c r="A86" s="162" t="s">
        <v>71</v>
      </c>
      <c r="B86" s="162">
        <v>70.08</v>
      </c>
      <c r="C86" s="162">
        <v>120.92</v>
      </c>
      <c r="D86" s="162">
        <v>268.08</v>
      </c>
      <c r="E86" s="162">
        <v>0</v>
      </c>
      <c r="F86" s="178">
        <v>459.08</v>
      </c>
      <c r="G86" s="162">
        <v>75.88</v>
      </c>
      <c r="H86" s="162">
        <v>240.52</v>
      </c>
      <c r="I86" s="162">
        <v>7.82</v>
      </c>
      <c r="J86" s="162">
        <v>0</v>
      </c>
      <c r="K86" s="178">
        <v>324.22000000000003</v>
      </c>
      <c r="L86" s="162">
        <v>276.82</v>
      </c>
      <c r="M86" s="162">
        <v>321.06</v>
      </c>
      <c r="N86" s="162">
        <v>19.899999999999999</v>
      </c>
      <c r="O86" s="162">
        <v>0</v>
      </c>
      <c r="P86" s="178">
        <v>617.78</v>
      </c>
      <c r="Q86" s="162">
        <v>1401.08</v>
      </c>
      <c r="R86" s="180">
        <v>115.37803</v>
      </c>
      <c r="S86" s="180">
        <f t="shared" si="8"/>
        <v>422.78</v>
      </c>
      <c r="T86" s="180">
        <f t="shared" si="9"/>
        <v>682.5</v>
      </c>
      <c r="U86" s="180">
        <f t="shared" si="10"/>
        <v>295.79999999999995</v>
      </c>
      <c r="V86" s="180">
        <f t="shared" si="11"/>
        <v>0</v>
      </c>
      <c r="W86" s="181">
        <f t="shared" si="15"/>
        <v>4864.8905279999999</v>
      </c>
      <c r="Y86" s="174">
        <f t="shared" si="12"/>
        <v>3854.4</v>
      </c>
      <c r="Z86" s="174">
        <f t="shared" si="13"/>
        <v>3153.6</v>
      </c>
      <c r="AA86" s="174">
        <f t="shared" si="14"/>
        <v>3472.2432180889032</v>
      </c>
      <c r="AC86" s="162" t="s">
        <v>662</v>
      </c>
      <c r="AD86" s="182">
        <v>155.16</v>
      </c>
    </row>
    <row r="87" spans="1:30" x14ac:dyDescent="0.2">
      <c r="A87" s="162" t="s">
        <v>72</v>
      </c>
      <c r="B87" s="162">
        <v>0</v>
      </c>
      <c r="C87" s="162">
        <v>0</v>
      </c>
      <c r="D87" s="162">
        <v>0</v>
      </c>
      <c r="E87" s="162">
        <v>0</v>
      </c>
      <c r="F87" s="178">
        <v>0</v>
      </c>
      <c r="G87" s="162">
        <v>0</v>
      </c>
      <c r="H87" s="162">
        <v>0</v>
      </c>
      <c r="I87" s="162">
        <v>0</v>
      </c>
      <c r="J87" s="162">
        <v>0</v>
      </c>
      <c r="K87" s="178">
        <v>0</v>
      </c>
      <c r="L87" s="162">
        <v>0</v>
      </c>
      <c r="M87" s="162">
        <v>0</v>
      </c>
      <c r="N87" s="162">
        <v>0</v>
      </c>
      <c r="O87" s="162">
        <v>0</v>
      </c>
      <c r="P87" s="178">
        <v>0</v>
      </c>
      <c r="Q87" s="162">
        <v>0</v>
      </c>
      <c r="R87" s="180">
        <v>150.69460000000001</v>
      </c>
      <c r="S87" s="180">
        <f t="shared" si="8"/>
        <v>0</v>
      </c>
      <c r="T87" s="180">
        <f t="shared" si="9"/>
        <v>0</v>
      </c>
      <c r="U87" s="180">
        <f t="shared" si="10"/>
        <v>0</v>
      </c>
      <c r="V87" s="180">
        <f t="shared" si="11"/>
        <v>0</v>
      </c>
      <c r="W87" s="181">
        <f t="shared" si="15"/>
        <v>0</v>
      </c>
      <c r="Y87" s="174" t="str">
        <f t="shared" si="12"/>
        <v/>
      </c>
      <c r="Z87" s="174" t="str">
        <f t="shared" si="13"/>
        <v/>
      </c>
      <c r="AA87" s="174" t="str">
        <f t="shared" si="14"/>
        <v/>
      </c>
      <c r="AC87" s="162" t="s">
        <v>663</v>
      </c>
      <c r="AD87" s="182">
        <v>36.72</v>
      </c>
    </row>
    <row r="88" spans="1:30" x14ac:dyDescent="0.2">
      <c r="A88" s="162" t="s">
        <v>73</v>
      </c>
      <c r="B88" s="162">
        <v>0</v>
      </c>
      <c r="C88" s="162">
        <v>0</v>
      </c>
      <c r="D88" s="162">
        <v>0</v>
      </c>
      <c r="E88" s="162">
        <v>0</v>
      </c>
      <c r="F88" s="178">
        <v>0</v>
      </c>
      <c r="G88" s="162">
        <v>0</v>
      </c>
      <c r="H88" s="162">
        <v>0</v>
      </c>
      <c r="I88" s="162">
        <v>0</v>
      </c>
      <c r="J88" s="162">
        <v>0</v>
      </c>
      <c r="K88" s="178">
        <v>0</v>
      </c>
      <c r="L88" s="162">
        <v>0</v>
      </c>
      <c r="M88" s="162">
        <v>0</v>
      </c>
      <c r="N88" s="162">
        <v>0</v>
      </c>
      <c r="O88" s="162">
        <v>0</v>
      </c>
      <c r="P88" s="178">
        <v>0</v>
      </c>
      <c r="Q88" s="162">
        <v>0</v>
      </c>
      <c r="R88" s="180">
        <v>30.273499999999999</v>
      </c>
      <c r="S88" s="180">
        <f t="shared" si="8"/>
        <v>0</v>
      </c>
      <c r="T88" s="180">
        <f t="shared" si="9"/>
        <v>0</v>
      </c>
      <c r="U88" s="180">
        <f t="shared" si="10"/>
        <v>0</v>
      </c>
      <c r="V88" s="180">
        <f t="shared" si="11"/>
        <v>0</v>
      </c>
      <c r="W88" s="181">
        <f t="shared" si="15"/>
        <v>0</v>
      </c>
      <c r="Y88" s="174" t="str">
        <f t="shared" si="12"/>
        <v/>
      </c>
      <c r="Z88" s="174" t="str">
        <f t="shared" si="13"/>
        <v/>
      </c>
      <c r="AA88" s="174" t="str">
        <f t="shared" si="14"/>
        <v/>
      </c>
      <c r="AC88" s="162" t="s">
        <v>664</v>
      </c>
      <c r="AD88" s="182">
        <v>143.78</v>
      </c>
    </row>
    <row r="89" spans="1:30" x14ac:dyDescent="0.2">
      <c r="A89" s="162" t="s">
        <v>74</v>
      </c>
      <c r="B89" s="162">
        <v>0</v>
      </c>
      <c r="C89" s="162">
        <v>0</v>
      </c>
      <c r="D89" s="162">
        <v>0</v>
      </c>
      <c r="E89" s="162">
        <v>5.0999999999999996</v>
      </c>
      <c r="F89" s="178">
        <v>5.0999999999999996</v>
      </c>
      <c r="G89" s="162">
        <v>0</v>
      </c>
      <c r="H89" s="162">
        <v>0</v>
      </c>
      <c r="I89" s="162">
        <v>0</v>
      </c>
      <c r="J89" s="162">
        <v>34.28</v>
      </c>
      <c r="K89" s="178">
        <v>34.28</v>
      </c>
      <c r="L89" s="162">
        <v>0</v>
      </c>
      <c r="M89" s="162">
        <v>0</v>
      </c>
      <c r="N89" s="162">
        <v>0</v>
      </c>
      <c r="O89" s="162">
        <v>770.28</v>
      </c>
      <c r="P89" s="178">
        <v>770.28</v>
      </c>
      <c r="Q89" s="162">
        <v>809.66</v>
      </c>
      <c r="R89" s="180">
        <v>24.90935</v>
      </c>
      <c r="S89" s="180">
        <f t="shared" si="8"/>
        <v>0</v>
      </c>
      <c r="T89" s="180">
        <f t="shared" si="9"/>
        <v>0</v>
      </c>
      <c r="U89" s="180">
        <f t="shared" si="10"/>
        <v>0</v>
      </c>
      <c r="V89" s="180">
        <f t="shared" si="11"/>
        <v>809.66</v>
      </c>
      <c r="W89" s="181">
        <f t="shared" si="15"/>
        <v>3404.4583679999996</v>
      </c>
      <c r="Y89" s="174">
        <f t="shared" si="12"/>
        <v>4204.8</v>
      </c>
      <c r="Z89" s="174">
        <f t="shared" si="13"/>
        <v>4204.8</v>
      </c>
      <c r="AA89" s="174">
        <f t="shared" si="14"/>
        <v>4204.8</v>
      </c>
      <c r="AC89" s="162" t="s">
        <v>281</v>
      </c>
      <c r="AD89" s="182">
        <v>0</v>
      </c>
    </row>
    <row r="90" spans="1:30" x14ac:dyDescent="0.2">
      <c r="A90" s="162" t="s">
        <v>75</v>
      </c>
      <c r="B90" s="162">
        <v>0</v>
      </c>
      <c r="C90" s="162">
        <v>0</v>
      </c>
      <c r="D90" s="162">
        <v>0</v>
      </c>
      <c r="E90" s="162">
        <v>0</v>
      </c>
      <c r="F90" s="178">
        <v>0</v>
      </c>
      <c r="G90" s="162">
        <v>0</v>
      </c>
      <c r="H90" s="162">
        <v>0</v>
      </c>
      <c r="I90" s="162">
        <v>0</v>
      </c>
      <c r="J90" s="162">
        <v>0</v>
      </c>
      <c r="K90" s="178">
        <v>0</v>
      </c>
      <c r="L90" s="162">
        <v>0</v>
      </c>
      <c r="M90" s="162">
        <v>0</v>
      </c>
      <c r="N90" s="162">
        <v>0</v>
      </c>
      <c r="O90" s="162">
        <v>0</v>
      </c>
      <c r="P90" s="178">
        <v>0</v>
      </c>
      <c r="Q90" s="162">
        <v>0</v>
      </c>
      <c r="R90" s="180">
        <v>44.772199999999998</v>
      </c>
      <c r="S90" s="180">
        <f t="shared" si="8"/>
        <v>0</v>
      </c>
      <c r="T90" s="180">
        <f t="shared" si="9"/>
        <v>0</v>
      </c>
      <c r="U90" s="180">
        <f t="shared" si="10"/>
        <v>0</v>
      </c>
      <c r="V90" s="180">
        <f t="shared" si="11"/>
        <v>0</v>
      </c>
      <c r="W90" s="181">
        <f t="shared" si="15"/>
        <v>0</v>
      </c>
      <c r="Y90" s="174" t="str">
        <f t="shared" si="12"/>
        <v/>
      </c>
      <c r="Z90" s="174" t="str">
        <f t="shared" si="13"/>
        <v/>
      </c>
      <c r="AA90" s="174" t="str">
        <f t="shared" si="14"/>
        <v/>
      </c>
      <c r="AC90" s="162" t="s">
        <v>282</v>
      </c>
      <c r="AD90" s="182">
        <v>180.62</v>
      </c>
    </row>
    <row r="91" spans="1:30" x14ac:dyDescent="0.2">
      <c r="A91" s="162" t="s">
        <v>76</v>
      </c>
      <c r="B91" s="162">
        <v>0</v>
      </c>
      <c r="C91" s="162">
        <v>0.2</v>
      </c>
      <c r="D91" s="162">
        <v>0</v>
      </c>
      <c r="E91" s="162">
        <v>0</v>
      </c>
      <c r="F91" s="178">
        <v>0.2</v>
      </c>
      <c r="G91" s="162">
        <v>1.2</v>
      </c>
      <c r="H91" s="162">
        <v>2.9</v>
      </c>
      <c r="I91" s="162">
        <v>0</v>
      </c>
      <c r="J91" s="162">
        <v>0</v>
      </c>
      <c r="K91" s="178">
        <v>4.0999999999999996</v>
      </c>
      <c r="L91" s="162">
        <v>188.34</v>
      </c>
      <c r="M91" s="162">
        <v>150.19999999999999</v>
      </c>
      <c r="N91" s="162">
        <v>0</v>
      </c>
      <c r="O91" s="162">
        <v>0</v>
      </c>
      <c r="P91" s="178">
        <v>338.54</v>
      </c>
      <c r="Q91" s="162">
        <v>342.84000000000003</v>
      </c>
      <c r="R91" s="180">
        <v>312.60525000000001</v>
      </c>
      <c r="S91" s="180">
        <f t="shared" si="8"/>
        <v>189.54</v>
      </c>
      <c r="T91" s="180">
        <f t="shared" si="9"/>
        <v>153.29999999999998</v>
      </c>
      <c r="U91" s="180">
        <f t="shared" si="10"/>
        <v>0</v>
      </c>
      <c r="V91" s="180">
        <f t="shared" si="11"/>
        <v>0</v>
      </c>
      <c r="W91" s="181">
        <f t="shared" si="15"/>
        <v>1134.8965439999997</v>
      </c>
      <c r="Y91" s="174">
        <f t="shared" si="12"/>
        <v>3504</v>
      </c>
      <c r="Z91" s="174">
        <f t="shared" si="13"/>
        <v>3153.6</v>
      </c>
      <c r="AA91" s="174">
        <f t="shared" si="14"/>
        <v>3310.2804340216999</v>
      </c>
      <c r="AC91" s="162" t="s">
        <v>665</v>
      </c>
      <c r="AD91" s="182">
        <v>0.2</v>
      </c>
    </row>
    <row r="92" spans="1:30" x14ac:dyDescent="0.2">
      <c r="A92" s="162" t="s">
        <v>77</v>
      </c>
      <c r="B92" s="162">
        <v>0</v>
      </c>
      <c r="C92" s="162">
        <v>11.44</v>
      </c>
      <c r="D92" s="162">
        <v>22.68</v>
      </c>
      <c r="E92" s="162">
        <v>4.5599999999999996</v>
      </c>
      <c r="F92" s="178">
        <v>38.68</v>
      </c>
      <c r="G92" s="162">
        <v>0</v>
      </c>
      <c r="H92" s="162">
        <v>2.2599999999999998</v>
      </c>
      <c r="I92" s="162">
        <v>4.0999999999999996</v>
      </c>
      <c r="J92" s="162">
        <v>1.24</v>
      </c>
      <c r="K92" s="178">
        <v>7.6</v>
      </c>
      <c r="L92" s="162">
        <v>0.68</v>
      </c>
      <c r="M92" s="162">
        <v>38.92</v>
      </c>
      <c r="N92" s="162">
        <v>36.020000000000003</v>
      </c>
      <c r="O92" s="162">
        <v>18.64</v>
      </c>
      <c r="P92" s="178">
        <v>94.26</v>
      </c>
      <c r="Q92" s="162">
        <v>140.54000000000002</v>
      </c>
      <c r="R92" s="180">
        <v>6.2426499999999994</v>
      </c>
      <c r="S92" s="180">
        <f t="shared" si="8"/>
        <v>0.68</v>
      </c>
      <c r="T92" s="180">
        <f t="shared" si="9"/>
        <v>52.620000000000005</v>
      </c>
      <c r="U92" s="180">
        <f t="shared" si="10"/>
        <v>62.800000000000004</v>
      </c>
      <c r="V92" s="180">
        <f t="shared" si="11"/>
        <v>24.44</v>
      </c>
      <c r="W92" s="181">
        <f t="shared" si="15"/>
        <v>531.34656000000007</v>
      </c>
      <c r="Y92" s="174">
        <f t="shared" si="12"/>
        <v>4204.8</v>
      </c>
      <c r="Z92" s="174">
        <f t="shared" si="13"/>
        <v>3153.6</v>
      </c>
      <c r="AA92" s="174">
        <f t="shared" si="14"/>
        <v>3780.7496798064608</v>
      </c>
      <c r="AC92" s="162" t="s">
        <v>666</v>
      </c>
      <c r="AD92" s="182">
        <v>4.7</v>
      </c>
    </row>
    <row r="93" spans="1:30" x14ac:dyDescent="0.2">
      <c r="A93" s="162" t="s">
        <v>78</v>
      </c>
      <c r="B93" s="162">
        <v>1.48</v>
      </c>
      <c r="C93" s="162">
        <v>0.48</v>
      </c>
      <c r="D93" s="162">
        <v>1.22</v>
      </c>
      <c r="E93" s="162">
        <v>2.2400000000000002</v>
      </c>
      <c r="F93" s="178">
        <v>5.42</v>
      </c>
      <c r="G93" s="162">
        <v>2.16</v>
      </c>
      <c r="H93" s="162">
        <v>8.56</v>
      </c>
      <c r="I93" s="162">
        <v>8.68</v>
      </c>
      <c r="J93" s="162">
        <v>19.46</v>
      </c>
      <c r="K93" s="178">
        <v>38.86</v>
      </c>
      <c r="L93" s="162">
        <v>31.64</v>
      </c>
      <c r="M93" s="162">
        <v>189.9</v>
      </c>
      <c r="N93" s="162">
        <v>941.74</v>
      </c>
      <c r="O93" s="162">
        <v>1251.96</v>
      </c>
      <c r="P93" s="178">
        <v>2415.2399999999998</v>
      </c>
      <c r="Q93" s="162">
        <v>2459.52</v>
      </c>
      <c r="R93" s="180">
        <v>983.58297500000003</v>
      </c>
      <c r="S93" s="180">
        <f t="shared" si="8"/>
        <v>35.28</v>
      </c>
      <c r="T93" s="180">
        <f t="shared" si="9"/>
        <v>198.94</v>
      </c>
      <c r="U93" s="180">
        <f t="shared" si="10"/>
        <v>951.64</v>
      </c>
      <c r="V93" s="180">
        <f t="shared" si="11"/>
        <v>1273.6600000000001</v>
      </c>
      <c r="W93" s="181">
        <f t="shared" si="15"/>
        <v>9831.8315520000015</v>
      </c>
      <c r="Y93" s="174">
        <f t="shared" si="12"/>
        <v>4204.8</v>
      </c>
      <c r="Z93" s="174">
        <f t="shared" si="13"/>
        <v>3153.6</v>
      </c>
      <c r="AA93" s="174">
        <f t="shared" si="14"/>
        <v>3997.4594847775179</v>
      </c>
      <c r="AC93" s="162" t="s">
        <v>667</v>
      </c>
      <c r="AD93" s="182">
        <v>44.88</v>
      </c>
    </row>
    <row r="94" spans="1:30" x14ac:dyDescent="0.2">
      <c r="A94" s="162" t="s">
        <v>79</v>
      </c>
      <c r="B94" s="162">
        <v>0</v>
      </c>
      <c r="C94" s="162">
        <v>0</v>
      </c>
      <c r="D94" s="162">
        <v>0</v>
      </c>
      <c r="E94" s="162">
        <v>0</v>
      </c>
      <c r="F94" s="178">
        <v>0</v>
      </c>
      <c r="G94" s="162">
        <v>0</v>
      </c>
      <c r="H94" s="162">
        <v>0</v>
      </c>
      <c r="I94" s="162">
        <v>0</v>
      </c>
      <c r="J94" s="162">
        <v>0</v>
      </c>
      <c r="K94" s="178">
        <v>0</v>
      </c>
      <c r="L94" s="162">
        <v>0</v>
      </c>
      <c r="M94" s="162">
        <v>0</v>
      </c>
      <c r="N94" s="162">
        <v>0</v>
      </c>
      <c r="O94" s="162">
        <v>0</v>
      </c>
      <c r="P94" s="178">
        <v>0</v>
      </c>
      <c r="Q94" s="162">
        <v>0</v>
      </c>
      <c r="R94" s="180">
        <v>10.0229</v>
      </c>
      <c r="S94" s="180">
        <f t="shared" si="8"/>
        <v>0</v>
      </c>
      <c r="T94" s="180">
        <f t="shared" si="9"/>
        <v>0</v>
      </c>
      <c r="U94" s="180">
        <f t="shared" si="10"/>
        <v>0</v>
      </c>
      <c r="V94" s="180">
        <f t="shared" si="11"/>
        <v>0</v>
      </c>
      <c r="W94" s="181">
        <f t="shared" si="15"/>
        <v>0</v>
      </c>
      <c r="Y94" s="174" t="str">
        <f t="shared" si="12"/>
        <v/>
      </c>
      <c r="Z94" s="174" t="str">
        <f t="shared" si="13"/>
        <v/>
      </c>
      <c r="AA94" s="174" t="str">
        <f t="shared" si="14"/>
        <v/>
      </c>
      <c r="AC94" s="162" t="s">
        <v>286</v>
      </c>
      <c r="AD94" s="182">
        <v>35.76</v>
      </c>
    </row>
    <row r="95" spans="1:30" x14ac:dyDescent="0.2">
      <c r="A95" s="162" t="s">
        <v>80</v>
      </c>
      <c r="B95" s="162">
        <v>0</v>
      </c>
      <c r="C95" s="162">
        <v>0</v>
      </c>
      <c r="D95" s="162">
        <v>0</v>
      </c>
      <c r="E95" s="162">
        <v>0</v>
      </c>
      <c r="F95" s="178">
        <v>0</v>
      </c>
      <c r="G95" s="162">
        <v>0</v>
      </c>
      <c r="H95" s="162">
        <v>0</v>
      </c>
      <c r="I95" s="162">
        <v>0</v>
      </c>
      <c r="J95" s="162">
        <v>0</v>
      </c>
      <c r="K95" s="178">
        <v>0</v>
      </c>
      <c r="L95" s="162">
        <v>0</v>
      </c>
      <c r="M95" s="162">
        <v>0</v>
      </c>
      <c r="N95" s="162">
        <v>0</v>
      </c>
      <c r="O95" s="162">
        <v>0</v>
      </c>
      <c r="P95" s="178">
        <v>0</v>
      </c>
      <c r="Q95" s="162">
        <v>0</v>
      </c>
      <c r="R95" s="180">
        <v>63.384</v>
      </c>
      <c r="S95" s="180">
        <f t="shared" si="8"/>
        <v>0</v>
      </c>
      <c r="T95" s="180">
        <f t="shared" si="9"/>
        <v>0</v>
      </c>
      <c r="U95" s="180">
        <f t="shared" si="10"/>
        <v>0</v>
      </c>
      <c r="V95" s="180">
        <f t="shared" si="11"/>
        <v>0</v>
      </c>
      <c r="W95" s="181">
        <f t="shared" si="15"/>
        <v>0</v>
      </c>
      <c r="Y95" s="174" t="str">
        <f t="shared" si="12"/>
        <v/>
      </c>
      <c r="Z95" s="174" t="str">
        <f t="shared" si="13"/>
        <v/>
      </c>
      <c r="AA95" s="174" t="str">
        <f t="shared" si="14"/>
        <v/>
      </c>
      <c r="AC95" s="162" t="s">
        <v>668</v>
      </c>
      <c r="AD95" s="182">
        <v>3.72</v>
      </c>
    </row>
    <row r="96" spans="1:30" x14ac:dyDescent="0.2">
      <c r="A96" s="162" t="s">
        <v>81</v>
      </c>
      <c r="B96" s="162">
        <v>0</v>
      </c>
      <c r="C96" s="162">
        <v>2.12</v>
      </c>
      <c r="D96" s="162">
        <v>0</v>
      </c>
      <c r="E96" s="162">
        <v>0</v>
      </c>
      <c r="F96" s="178">
        <v>2.12</v>
      </c>
      <c r="G96" s="162">
        <v>0</v>
      </c>
      <c r="H96" s="162">
        <v>1.9</v>
      </c>
      <c r="I96" s="162">
        <v>0</v>
      </c>
      <c r="J96" s="162">
        <v>0</v>
      </c>
      <c r="K96" s="178">
        <v>1.9</v>
      </c>
      <c r="L96" s="162">
        <v>13.66</v>
      </c>
      <c r="M96" s="162">
        <v>99.4</v>
      </c>
      <c r="N96" s="162">
        <v>0</v>
      </c>
      <c r="O96" s="162">
        <v>0</v>
      </c>
      <c r="P96" s="178">
        <v>113.06</v>
      </c>
      <c r="Q96" s="162">
        <v>117.08</v>
      </c>
      <c r="R96" s="180">
        <v>5.3245474999999995</v>
      </c>
      <c r="S96" s="180">
        <f t="shared" si="8"/>
        <v>13.66</v>
      </c>
      <c r="T96" s="180">
        <f t="shared" si="9"/>
        <v>103.42</v>
      </c>
      <c r="U96" s="180">
        <f t="shared" si="10"/>
        <v>0</v>
      </c>
      <c r="V96" s="180">
        <f t="shared" si="11"/>
        <v>0</v>
      </c>
      <c r="W96" s="181">
        <f t="shared" si="15"/>
        <v>405.46185599999995</v>
      </c>
      <c r="Y96" s="174">
        <f t="shared" si="12"/>
        <v>3504</v>
      </c>
      <c r="Z96" s="174">
        <f t="shared" si="13"/>
        <v>3153.6</v>
      </c>
      <c r="AA96" s="174">
        <f t="shared" si="14"/>
        <v>3463.1180047830539</v>
      </c>
      <c r="AC96" s="162" t="s">
        <v>669</v>
      </c>
      <c r="AD96" s="182">
        <v>29.5</v>
      </c>
    </row>
    <row r="97" spans="1:30" x14ac:dyDescent="0.2">
      <c r="A97" s="162" t="s">
        <v>82</v>
      </c>
      <c r="B97" s="162">
        <v>0</v>
      </c>
      <c r="C97" s="162">
        <v>0</v>
      </c>
      <c r="D97" s="162">
        <v>0</v>
      </c>
      <c r="E97" s="162">
        <v>0</v>
      </c>
      <c r="F97" s="178">
        <v>0</v>
      </c>
      <c r="G97" s="162">
        <v>0</v>
      </c>
      <c r="H97" s="162">
        <v>0</v>
      </c>
      <c r="I97" s="162">
        <v>0</v>
      </c>
      <c r="J97" s="162">
        <v>0</v>
      </c>
      <c r="K97" s="178">
        <v>0</v>
      </c>
      <c r="L97" s="162">
        <v>0</v>
      </c>
      <c r="M97" s="162">
        <v>0</v>
      </c>
      <c r="N97" s="162">
        <v>0</v>
      </c>
      <c r="O97" s="162">
        <v>0</v>
      </c>
      <c r="P97" s="178">
        <v>0</v>
      </c>
      <c r="Q97" s="162">
        <v>0</v>
      </c>
      <c r="R97" s="180">
        <v>39.654249999999998</v>
      </c>
      <c r="S97" s="180">
        <f t="shared" si="8"/>
        <v>0</v>
      </c>
      <c r="T97" s="180">
        <f t="shared" si="9"/>
        <v>0</v>
      </c>
      <c r="U97" s="180">
        <f t="shared" si="10"/>
        <v>0</v>
      </c>
      <c r="V97" s="180">
        <f t="shared" si="11"/>
        <v>0</v>
      </c>
      <c r="W97" s="181">
        <f t="shared" si="15"/>
        <v>0</v>
      </c>
      <c r="Y97" s="174" t="str">
        <f t="shared" si="12"/>
        <v/>
      </c>
      <c r="Z97" s="174" t="str">
        <f t="shared" si="13"/>
        <v/>
      </c>
      <c r="AA97" s="174" t="str">
        <f t="shared" si="14"/>
        <v/>
      </c>
      <c r="AD97" s="182"/>
    </row>
    <row r="98" spans="1:30" x14ac:dyDescent="0.2">
      <c r="A98" s="162" t="s">
        <v>230</v>
      </c>
      <c r="B98" s="162">
        <v>0</v>
      </c>
      <c r="C98" s="162">
        <v>0</v>
      </c>
      <c r="D98" s="162">
        <v>0</v>
      </c>
      <c r="E98" s="162">
        <v>0</v>
      </c>
      <c r="F98" s="178">
        <v>0</v>
      </c>
      <c r="G98" s="162">
        <v>0</v>
      </c>
      <c r="H98" s="162">
        <v>0</v>
      </c>
      <c r="I98" s="162">
        <v>0</v>
      </c>
      <c r="J98" s="162">
        <v>0</v>
      </c>
      <c r="K98" s="178">
        <v>0</v>
      </c>
      <c r="L98" s="162">
        <v>0</v>
      </c>
      <c r="M98" s="162">
        <v>0</v>
      </c>
      <c r="N98" s="162">
        <v>0</v>
      </c>
      <c r="O98" s="162">
        <v>0</v>
      </c>
      <c r="P98" s="178">
        <v>0</v>
      </c>
      <c r="Q98" s="162">
        <v>0</v>
      </c>
      <c r="R98" s="180">
        <v>8.9649999999999999</v>
      </c>
      <c r="S98" s="180">
        <f t="shared" si="8"/>
        <v>0</v>
      </c>
      <c r="T98" s="180">
        <f t="shared" si="9"/>
        <v>0</v>
      </c>
      <c r="U98" s="180">
        <f t="shared" si="10"/>
        <v>0</v>
      </c>
      <c r="V98" s="180">
        <f t="shared" si="11"/>
        <v>0</v>
      </c>
      <c r="W98" s="181">
        <f t="shared" si="15"/>
        <v>0</v>
      </c>
      <c r="Y98" s="174" t="str">
        <f t="shared" si="12"/>
        <v/>
      </c>
      <c r="Z98" s="174" t="str">
        <f t="shared" si="13"/>
        <v/>
      </c>
      <c r="AA98" s="174" t="str">
        <f t="shared" si="14"/>
        <v/>
      </c>
      <c r="AD98" s="182"/>
    </row>
    <row r="99" spans="1:30" x14ac:dyDescent="0.2">
      <c r="A99" s="162" t="s">
        <v>231</v>
      </c>
      <c r="B99" s="162">
        <v>0</v>
      </c>
      <c r="C99" s="162">
        <v>0</v>
      </c>
      <c r="D99" s="162">
        <v>0</v>
      </c>
      <c r="E99" s="162">
        <v>0</v>
      </c>
      <c r="F99" s="178">
        <v>0</v>
      </c>
      <c r="G99" s="162">
        <v>0</v>
      </c>
      <c r="H99" s="162">
        <v>0</v>
      </c>
      <c r="I99" s="162">
        <v>0</v>
      </c>
      <c r="J99" s="162">
        <v>0</v>
      </c>
      <c r="K99" s="178">
        <v>0</v>
      </c>
      <c r="L99" s="162">
        <v>0</v>
      </c>
      <c r="M99" s="162">
        <v>0</v>
      </c>
      <c r="N99" s="162">
        <v>0</v>
      </c>
      <c r="O99" s="162">
        <v>0</v>
      </c>
      <c r="P99" s="178">
        <v>0</v>
      </c>
      <c r="Q99" s="162">
        <v>0</v>
      </c>
      <c r="R99" s="180">
        <v>0.7233425</v>
      </c>
      <c r="S99" s="180">
        <f t="shared" si="8"/>
        <v>0</v>
      </c>
      <c r="T99" s="180">
        <f t="shared" si="9"/>
        <v>0</v>
      </c>
      <c r="U99" s="180">
        <f t="shared" si="10"/>
        <v>0</v>
      </c>
      <c r="V99" s="180">
        <f t="shared" si="11"/>
        <v>0</v>
      </c>
      <c r="W99" s="181">
        <f t="shared" si="15"/>
        <v>0</v>
      </c>
      <c r="Y99" s="174" t="str">
        <f t="shared" si="12"/>
        <v/>
      </c>
      <c r="Z99" s="174" t="str">
        <f t="shared" si="13"/>
        <v/>
      </c>
      <c r="AA99" s="174" t="str">
        <f t="shared" si="14"/>
        <v/>
      </c>
      <c r="AD99" s="182"/>
    </row>
    <row r="100" spans="1:30" x14ac:dyDescent="0.2">
      <c r="A100" s="162" t="s">
        <v>232</v>
      </c>
      <c r="B100" s="162">
        <v>0</v>
      </c>
      <c r="C100" s="162">
        <v>0</v>
      </c>
      <c r="D100" s="162">
        <v>10.08</v>
      </c>
      <c r="E100" s="162">
        <v>0</v>
      </c>
      <c r="F100" s="178">
        <v>10.08</v>
      </c>
      <c r="G100" s="162">
        <v>0</v>
      </c>
      <c r="H100" s="162">
        <v>0</v>
      </c>
      <c r="I100" s="162">
        <v>33.46</v>
      </c>
      <c r="J100" s="162">
        <v>0</v>
      </c>
      <c r="K100" s="178">
        <v>33.46</v>
      </c>
      <c r="L100" s="162">
        <v>0</v>
      </c>
      <c r="M100" s="162">
        <v>0</v>
      </c>
      <c r="N100" s="162">
        <v>61.38</v>
      </c>
      <c r="O100" s="162">
        <v>0</v>
      </c>
      <c r="P100" s="178">
        <v>61.38</v>
      </c>
      <c r="Q100" s="162">
        <v>104.92</v>
      </c>
      <c r="R100" s="180">
        <v>6.5435499999999998</v>
      </c>
      <c r="S100" s="180">
        <f t="shared" si="8"/>
        <v>0</v>
      </c>
      <c r="T100" s="180">
        <f t="shared" si="9"/>
        <v>0</v>
      </c>
      <c r="U100" s="180">
        <f t="shared" si="10"/>
        <v>104.92</v>
      </c>
      <c r="V100" s="180">
        <f t="shared" si="11"/>
        <v>0</v>
      </c>
      <c r="W100" s="181">
        <f t="shared" si="15"/>
        <v>404.40364800000003</v>
      </c>
      <c r="Y100" s="174">
        <f t="shared" si="12"/>
        <v>3854.4</v>
      </c>
      <c r="Z100" s="174">
        <f t="shared" si="13"/>
        <v>3854.4</v>
      </c>
      <c r="AA100" s="174">
        <f t="shared" si="14"/>
        <v>3854.4000000000005</v>
      </c>
      <c r="AD100" s="182"/>
    </row>
    <row r="101" spans="1:30" x14ac:dyDescent="0.2">
      <c r="A101" s="162" t="s">
        <v>83</v>
      </c>
      <c r="B101" s="162">
        <v>0</v>
      </c>
      <c r="C101" s="162">
        <v>0</v>
      </c>
      <c r="D101" s="162">
        <v>0</v>
      </c>
      <c r="E101" s="162">
        <v>0</v>
      </c>
      <c r="F101" s="178">
        <v>0</v>
      </c>
      <c r="G101" s="162">
        <v>0</v>
      </c>
      <c r="H101" s="162">
        <v>0</v>
      </c>
      <c r="I101" s="162">
        <v>0</v>
      </c>
      <c r="J101" s="162">
        <v>0</v>
      </c>
      <c r="K101" s="178">
        <v>0</v>
      </c>
      <c r="L101" s="162">
        <v>0</v>
      </c>
      <c r="M101" s="162">
        <v>0</v>
      </c>
      <c r="N101" s="162">
        <v>0</v>
      </c>
      <c r="O101" s="162">
        <v>0</v>
      </c>
      <c r="P101" s="178">
        <v>0</v>
      </c>
      <c r="Q101" s="162">
        <v>0</v>
      </c>
      <c r="R101" s="180">
        <v>8.4770000000000003</v>
      </c>
      <c r="S101" s="180">
        <f t="shared" si="8"/>
        <v>0</v>
      </c>
      <c r="T101" s="180">
        <f t="shared" si="9"/>
        <v>0</v>
      </c>
      <c r="U101" s="180">
        <f t="shared" si="10"/>
        <v>0</v>
      </c>
      <c r="V101" s="180">
        <f t="shared" si="11"/>
        <v>0</v>
      </c>
      <c r="W101" s="181">
        <f t="shared" si="15"/>
        <v>0</v>
      </c>
      <c r="Y101" s="174" t="str">
        <f t="shared" si="12"/>
        <v/>
      </c>
      <c r="Z101" s="174" t="str">
        <f t="shared" si="13"/>
        <v/>
      </c>
      <c r="AA101" s="174" t="str">
        <f t="shared" si="14"/>
        <v/>
      </c>
      <c r="AD101" s="182"/>
    </row>
    <row r="102" spans="1:30" x14ac:dyDescent="0.2">
      <c r="A102" s="162" t="s">
        <v>233</v>
      </c>
      <c r="B102" s="162">
        <v>0</v>
      </c>
      <c r="C102" s="162">
        <v>0</v>
      </c>
      <c r="D102" s="162">
        <v>0</v>
      </c>
      <c r="E102" s="162">
        <v>0</v>
      </c>
      <c r="F102" s="178">
        <v>0</v>
      </c>
      <c r="G102" s="162">
        <v>0</v>
      </c>
      <c r="H102" s="162">
        <v>0</v>
      </c>
      <c r="I102" s="162">
        <v>0</v>
      </c>
      <c r="J102" s="162">
        <v>0</v>
      </c>
      <c r="K102" s="178">
        <v>0</v>
      </c>
      <c r="L102" s="162">
        <v>0</v>
      </c>
      <c r="M102" s="162">
        <v>0</v>
      </c>
      <c r="N102" s="162">
        <v>0</v>
      </c>
      <c r="O102" s="162">
        <v>0</v>
      </c>
      <c r="P102" s="178">
        <v>0</v>
      </c>
      <c r="Q102" s="162">
        <v>0</v>
      </c>
      <c r="R102" s="180">
        <v>0.25749749999999999</v>
      </c>
      <c r="S102" s="180">
        <f t="shared" si="8"/>
        <v>0</v>
      </c>
      <c r="T102" s="180">
        <f t="shared" si="9"/>
        <v>0</v>
      </c>
      <c r="U102" s="180">
        <f t="shared" si="10"/>
        <v>0</v>
      </c>
      <c r="V102" s="180">
        <f t="shared" si="11"/>
        <v>0</v>
      </c>
      <c r="W102" s="181">
        <f t="shared" si="15"/>
        <v>0</v>
      </c>
      <c r="Y102" s="174" t="str">
        <f t="shared" si="12"/>
        <v/>
      </c>
      <c r="Z102" s="174" t="str">
        <f t="shared" si="13"/>
        <v/>
      </c>
      <c r="AA102" s="174" t="str">
        <f t="shared" si="14"/>
        <v/>
      </c>
      <c r="AD102" s="182"/>
    </row>
    <row r="103" spans="1:30" x14ac:dyDescent="0.2">
      <c r="A103" s="162" t="s">
        <v>84</v>
      </c>
      <c r="B103" s="162">
        <v>0</v>
      </c>
      <c r="C103" s="162">
        <v>0</v>
      </c>
      <c r="D103" s="162">
        <v>0</v>
      </c>
      <c r="E103" s="162">
        <v>0</v>
      </c>
      <c r="F103" s="178">
        <v>0</v>
      </c>
      <c r="G103" s="162">
        <v>0</v>
      </c>
      <c r="H103" s="162">
        <v>0</v>
      </c>
      <c r="I103" s="162">
        <v>0</v>
      </c>
      <c r="J103" s="162">
        <v>0</v>
      </c>
      <c r="K103" s="178">
        <v>0</v>
      </c>
      <c r="L103" s="162">
        <v>0</v>
      </c>
      <c r="M103" s="162">
        <v>0</v>
      </c>
      <c r="N103" s="162">
        <v>0</v>
      </c>
      <c r="O103" s="162">
        <v>0</v>
      </c>
      <c r="P103" s="178">
        <v>0</v>
      </c>
      <c r="Q103" s="162">
        <v>0</v>
      </c>
      <c r="R103" s="180">
        <v>0.3057375</v>
      </c>
      <c r="S103" s="180">
        <f t="shared" si="8"/>
        <v>0</v>
      </c>
      <c r="T103" s="180">
        <f t="shared" si="9"/>
        <v>0</v>
      </c>
      <c r="U103" s="180">
        <f t="shared" si="10"/>
        <v>0</v>
      </c>
      <c r="V103" s="180">
        <f t="shared" si="11"/>
        <v>0</v>
      </c>
      <c r="W103" s="181">
        <f t="shared" si="15"/>
        <v>0</v>
      </c>
      <c r="Y103" s="174" t="str">
        <f t="shared" si="12"/>
        <v/>
      </c>
      <c r="Z103" s="174" t="str">
        <f t="shared" si="13"/>
        <v/>
      </c>
      <c r="AA103" s="174" t="str">
        <f t="shared" si="14"/>
        <v/>
      </c>
      <c r="AD103" s="182"/>
    </row>
    <row r="104" spans="1:30" x14ac:dyDescent="0.2">
      <c r="A104" s="162" t="s">
        <v>85</v>
      </c>
      <c r="B104" s="162">
        <v>0</v>
      </c>
      <c r="C104" s="162">
        <v>0.06</v>
      </c>
      <c r="D104" s="162">
        <v>0</v>
      </c>
      <c r="E104" s="162">
        <v>0</v>
      </c>
      <c r="F104" s="178">
        <v>0.06</v>
      </c>
      <c r="G104" s="162">
        <v>0.62</v>
      </c>
      <c r="H104" s="162">
        <v>0.82</v>
      </c>
      <c r="I104" s="162">
        <v>0</v>
      </c>
      <c r="J104" s="162">
        <v>0</v>
      </c>
      <c r="K104" s="178">
        <v>1.44</v>
      </c>
      <c r="L104" s="162">
        <v>13.4</v>
      </c>
      <c r="M104" s="162">
        <v>12.68</v>
      </c>
      <c r="N104" s="162">
        <v>0</v>
      </c>
      <c r="O104" s="162">
        <v>0</v>
      </c>
      <c r="P104" s="178">
        <v>26.08</v>
      </c>
      <c r="Q104" s="162">
        <v>27.58</v>
      </c>
      <c r="R104" s="180">
        <v>21.103249999999999</v>
      </c>
      <c r="S104" s="180">
        <f t="shared" si="8"/>
        <v>14.02</v>
      </c>
      <c r="T104" s="180">
        <f t="shared" si="9"/>
        <v>13.559999999999999</v>
      </c>
      <c r="U104" s="180">
        <f t="shared" si="10"/>
        <v>0</v>
      </c>
      <c r="V104" s="180">
        <f t="shared" si="11"/>
        <v>0</v>
      </c>
      <c r="W104" s="181">
        <f t="shared" si="15"/>
        <v>91.727711999999997</v>
      </c>
      <c r="Y104" s="174">
        <f t="shared" si="12"/>
        <v>3504</v>
      </c>
      <c r="Z104" s="174">
        <f t="shared" si="13"/>
        <v>3153.6</v>
      </c>
      <c r="AA104" s="174">
        <f t="shared" si="14"/>
        <v>3325.8778825235681</v>
      </c>
      <c r="AD104" s="182"/>
    </row>
    <row r="105" spans="1:30" x14ac:dyDescent="0.2">
      <c r="A105" s="162" t="s">
        <v>235</v>
      </c>
      <c r="B105" s="162">
        <v>0</v>
      </c>
      <c r="C105" s="162">
        <v>0</v>
      </c>
      <c r="D105" s="162">
        <v>1.04</v>
      </c>
      <c r="E105" s="162">
        <v>0</v>
      </c>
      <c r="F105" s="178">
        <v>1.04</v>
      </c>
      <c r="G105" s="162">
        <v>0</v>
      </c>
      <c r="H105" s="162">
        <v>0.08</v>
      </c>
      <c r="I105" s="162">
        <v>14.94</v>
      </c>
      <c r="J105" s="162">
        <v>0</v>
      </c>
      <c r="K105" s="178">
        <v>15.02</v>
      </c>
      <c r="L105" s="162">
        <v>0</v>
      </c>
      <c r="M105" s="162">
        <v>0</v>
      </c>
      <c r="N105" s="162">
        <v>10.9</v>
      </c>
      <c r="O105" s="162">
        <v>0</v>
      </c>
      <c r="P105" s="178">
        <v>10.9</v>
      </c>
      <c r="Q105" s="162">
        <v>26.96</v>
      </c>
      <c r="R105" s="180">
        <v>9.7544974999999994</v>
      </c>
      <c r="S105" s="180">
        <f t="shared" si="8"/>
        <v>0</v>
      </c>
      <c r="T105" s="180">
        <f t="shared" si="9"/>
        <v>0.08</v>
      </c>
      <c r="U105" s="180">
        <f t="shared" si="10"/>
        <v>26.880000000000003</v>
      </c>
      <c r="V105" s="180">
        <f t="shared" si="11"/>
        <v>0</v>
      </c>
      <c r="W105" s="181">
        <f t="shared" si="15"/>
        <v>103.88659200000002</v>
      </c>
      <c r="Y105" s="174">
        <f t="shared" si="12"/>
        <v>3854.4</v>
      </c>
      <c r="Z105" s="174">
        <f t="shared" si="13"/>
        <v>3504</v>
      </c>
      <c r="AA105" s="174">
        <f t="shared" si="14"/>
        <v>3853.3602373887247</v>
      </c>
      <c r="AD105" s="182"/>
    </row>
    <row r="106" spans="1:30" x14ac:dyDescent="0.2">
      <c r="A106" s="162" t="s">
        <v>236</v>
      </c>
      <c r="B106" s="162">
        <v>0</v>
      </c>
      <c r="C106" s="162">
        <v>0</v>
      </c>
      <c r="D106" s="162">
        <v>0</v>
      </c>
      <c r="E106" s="162">
        <v>0</v>
      </c>
      <c r="F106" s="178">
        <v>0</v>
      </c>
      <c r="G106" s="162">
        <v>0</v>
      </c>
      <c r="H106" s="162">
        <v>0</v>
      </c>
      <c r="I106" s="162">
        <v>0</v>
      </c>
      <c r="J106" s="162">
        <v>0</v>
      </c>
      <c r="K106" s="178">
        <v>0</v>
      </c>
      <c r="L106" s="162">
        <v>0</v>
      </c>
      <c r="M106" s="162">
        <v>0</v>
      </c>
      <c r="N106" s="162">
        <v>0</v>
      </c>
      <c r="O106" s="162">
        <v>0</v>
      </c>
      <c r="P106" s="178">
        <v>0</v>
      </c>
      <c r="Q106" s="162">
        <v>0</v>
      </c>
      <c r="R106" s="180">
        <v>6.3462250000000004</v>
      </c>
      <c r="S106" s="180">
        <f t="shared" si="8"/>
        <v>0</v>
      </c>
      <c r="T106" s="180">
        <f t="shared" si="9"/>
        <v>0</v>
      </c>
      <c r="U106" s="180">
        <f t="shared" si="10"/>
        <v>0</v>
      </c>
      <c r="V106" s="180">
        <f t="shared" si="11"/>
        <v>0</v>
      </c>
      <c r="W106" s="181">
        <f t="shared" si="15"/>
        <v>0</v>
      </c>
      <c r="Y106" s="174" t="str">
        <f t="shared" si="12"/>
        <v/>
      </c>
      <c r="Z106" s="174" t="str">
        <f t="shared" si="13"/>
        <v/>
      </c>
      <c r="AA106" s="174" t="str">
        <f t="shared" si="14"/>
        <v/>
      </c>
      <c r="AD106" s="182"/>
    </row>
    <row r="107" spans="1:30" x14ac:dyDescent="0.2">
      <c r="A107" s="162" t="s">
        <v>86</v>
      </c>
      <c r="B107" s="162">
        <v>2.82</v>
      </c>
      <c r="C107" s="162">
        <v>2.46</v>
      </c>
      <c r="D107" s="162">
        <v>1.42</v>
      </c>
      <c r="E107" s="162">
        <v>10.82</v>
      </c>
      <c r="F107" s="178">
        <v>17.52</v>
      </c>
      <c r="G107" s="162">
        <v>8.36</v>
      </c>
      <c r="H107" s="162">
        <v>14.74</v>
      </c>
      <c r="I107" s="162">
        <v>1.8</v>
      </c>
      <c r="J107" s="162">
        <v>34.340000000000003</v>
      </c>
      <c r="K107" s="178">
        <v>59.24</v>
      </c>
      <c r="L107" s="162">
        <v>8.18</v>
      </c>
      <c r="M107" s="162">
        <v>41.12</v>
      </c>
      <c r="N107" s="162">
        <v>14.08</v>
      </c>
      <c r="O107" s="162">
        <v>107.68</v>
      </c>
      <c r="P107" s="178">
        <v>171.06</v>
      </c>
      <c r="Q107" s="162">
        <v>247.82</v>
      </c>
      <c r="R107" s="180">
        <v>0.92604749999999991</v>
      </c>
      <c r="S107" s="180">
        <f t="shared" si="8"/>
        <v>19.36</v>
      </c>
      <c r="T107" s="180">
        <f t="shared" si="9"/>
        <v>58.319999999999993</v>
      </c>
      <c r="U107" s="180">
        <f t="shared" si="10"/>
        <v>17.3</v>
      </c>
      <c r="V107" s="180">
        <f t="shared" si="11"/>
        <v>152.84</v>
      </c>
      <c r="W107" s="181">
        <f t="shared" si="15"/>
        <v>974.74972800000012</v>
      </c>
      <c r="Y107" s="174">
        <f t="shared" si="12"/>
        <v>4204.8</v>
      </c>
      <c r="Z107" s="174">
        <f t="shared" si="13"/>
        <v>3153.6</v>
      </c>
      <c r="AA107" s="174">
        <f t="shared" si="14"/>
        <v>3933.2972641433303</v>
      </c>
      <c r="AD107" s="182"/>
    </row>
    <row r="108" spans="1:30" x14ac:dyDescent="0.2">
      <c r="A108" s="162" t="s">
        <v>87</v>
      </c>
      <c r="B108" s="162">
        <v>0</v>
      </c>
      <c r="C108" s="162">
        <v>0</v>
      </c>
      <c r="D108" s="162">
        <v>0</v>
      </c>
      <c r="E108" s="162">
        <v>0</v>
      </c>
      <c r="F108" s="178">
        <v>0</v>
      </c>
      <c r="G108" s="162">
        <v>0</v>
      </c>
      <c r="H108" s="162">
        <v>0</v>
      </c>
      <c r="I108" s="162">
        <v>0</v>
      </c>
      <c r="J108" s="162">
        <v>0</v>
      </c>
      <c r="K108" s="178">
        <v>0</v>
      </c>
      <c r="L108" s="162">
        <v>0</v>
      </c>
      <c r="M108" s="162">
        <v>0</v>
      </c>
      <c r="N108" s="162">
        <v>0</v>
      </c>
      <c r="O108" s="162">
        <v>0</v>
      </c>
      <c r="P108" s="178">
        <v>0</v>
      </c>
      <c r="Q108" s="162">
        <v>0</v>
      </c>
      <c r="R108" s="180">
        <v>1.4970674999999998</v>
      </c>
      <c r="S108" s="180">
        <f t="shared" si="8"/>
        <v>0</v>
      </c>
      <c r="T108" s="180">
        <f t="shared" si="9"/>
        <v>0</v>
      </c>
      <c r="U108" s="180">
        <f t="shared" si="10"/>
        <v>0</v>
      </c>
      <c r="V108" s="180">
        <f t="shared" si="11"/>
        <v>0</v>
      </c>
      <c r="W108" s="181">
        <f t="shared" si="15"/>
        <v>0</v>
      </c>
      <c r="Y108" s="174" t="str">
        <f t="shared" si="12"/>
        <v/>
      </c>
      <c r="Z108" s="174" t="str">
        <f t="shared" si="13"/>
        <v/>
      </c>
      <c r="AA108" s="174" t="str">
        <f t="shared" si="14"/>
        <v/>
      </c>
      <c r="AD108" s="182"/>
    </row>
    <row r="109" spans="1:30" x14ac:dyDescent="0.2">
      <c r="A109" s="162" t="s">
        <v>88</v>
      </c>
      <c r="B109" s="162">
        <v>0</v>
      </c>
      <c r="C109" s="162">
        <v>0</v>
      </c>
      <c r="D109" s="162">
        <v>0</v>
      </c>
      <c r="E109" s="162">
        <v>0</v>
      </c>
      <c r="F109" s="178">
        <v>0</v>
      </c>
      <c r="G109" s="162">
        <v>0</v>
      </c>
      <c r="H109" s="162">
        <v>0</v>
      </c>
      <c r="I109" s="162">
        <v>0</v>
      </c>
      <c r="J109" s="162">
        <v>0</v>
      </c>
      <c r="K109" s="178">
        <v>0</v>
      </c>
      <c r="L109" s="162">
        <v>0</v>
      </c>
      <c r="M109" s="162">
        <v>0</v>
      </c>
      <c r="N109" s="162">
        <v>0</v>
      </c>
      <c r="O109" s="162">
        <v>0</v>
      </c>
      <c r="P109" s="178">
        <v>0</v>
      </c>
      <c r="Q109" s="162">
        <v>0</v>
      </c>
      <c r="R109" s="180">
        <v>83.653999999999996</v>
      </c>
      <c r="S109" s="180">
        <f t="shared" si="8"/>
        <v>0</v>
      </c>
      <c r="T109" s="180">
        <f t="shared" si="9"/>
        <v>0</v>
      </c>
      <c r="U109" s="180">
        <f t="shared" si="10"/>
        <v>0</v>
      </c>
      <c r="V109" s="180">
        <f t="shared" si="11"/>
        <v>0</v>
      </c>
      <c r="W109" s="181">
        <f t="shared" si="15"/>
        <v>0</v>
      </c>
      <c r="Y109" s="174" t="str">
        <f t="shared" si="12"/>
        <v/>
      </c>
      <c r="Z109" s="174" t="str">
        <f t="shared" si="13"/>
        <v/>
      </c>
      <c r="AA109" s="174" t="str">
        <f t="shared" si="14"/>
        <v/>
      </c>
      <c r="AD109" s="182"/>
    </row>
    <row r="110" spans="1:30" x14ac:dyDescent="0.2">
      <c r="A110" s="162" t="s">
        <v>238</v>
      </c>
      <c r="B110" s="162">
        <v>0</v>
      </c>
      <c r="C110" s="162">
        <v>0</v>
      </c>
      <c r="D110" s="162">
        <v>0</v>
      </c>
      <c r="E110" s="162">
        <v>0</v>
      </c>
      <c r="F110" s="178">
        <v>0</v>
      </c>
      <c r="G110" s="162">
        <v>0</v>
      </c>
      <c r="H110" s="162">
        <v>0</v>
      </c>
      <c r="I110" s="162">
        <v>0</v>
      </c>
      <c r="J110" s="162">
        <v>0</v>
      </c>
      <c r="K110" s="178">
        <v>0</v>
      </c>
      <c r="L110" s="162">
        <v>0</v>
      </c>
      <c r="M110" s="162">
        <v>0</v>
      </c>
      <c r="N110" s="162">
        <v>0</v>
      </c>
      <c r="O110" s="162">
        <v>0</v>
      </c>
      <c r="P110" s="178">
        <v>0</v>
      </c>
      <c r="Q110" s="162">
        <v>0</v>
      </c>
      <c r="R110" s="180">
        <v>0.20064750000000001</v>
      </c>
      <c r="S110" s="180">
        <f t="shared" si="8"/>
        <v>0</v>
      </c>
      <c r="T110" s="180">
        <f t="shared" si="9"/>
        <v>0</v>
      </c>
      <c r="U110" s="180">
        <f t="shared" si="10"/>
        <v>0</v>
      </c>
      <c r="V110" s="180">
        <f t="shared" si="11"/>
        <v>0</v>
      </c>
      <c r="W110" s="181">
        <f t="shared" si="15"/>
        <v>0</v>
      </c>
      <c r="Y110" s="174" t="str">
        <f t="shared" si="12"/>
        <v/>
      </c>
      <c r="Z110" s="174" t="str">
        <f t="shared" si="13"/>
        <v/>
      </c>
      <c r="AA110" s="174" t="str">
        <f t="shared" si="14"/>
        <v/>
      </c>
      <c r="AD110" s="182"/>
    </row>
    <row r="111" spans="1:30" x14ac:dyDescent="0.2">
      <c r="A111" s="162" t="s">
        <v>89</v>
      </c>
      <c r="B111" s="162">
        <v>0</v>
      </c>
      <c r="C111" s="162">
        <v>0</v>
      </c>
      <c r="D111" s="162">
        <v>0</v>
      </c>
      <c r="E111" s="162">
        <v>0</v>
      </c>
      <c r="F111" s="178">
        <v>0</v>
      </c>
      <c r="G111" s="162">
        <v>0</v>
      </c>
      <c r="H111" s="162">
        <v>0</v>
      </c>
      <c r="I111" s="162">
        <v>0</v>
      </c>
      <c r="J111" s="162">
        <v>0</v>
      </c>
      <c r="K111" s="178">
        <v>0</v>
      </c>
      <c r="L111" s="162">
        <v>0</v>
      </c>
      <c r="M111" s="162">
        <v>0</v>
      </c>
      <c r="N111" s="162">
        <v>0</v>
      </c>
      <c r="O111" s="162">
        <v>0</v>
      </c>
      <c r="P111" s="178">
        <v>0</v>
      </c>
      <c r="Q111" s="162">
        <v>0</v>
      </c>
      <c r="R111" s="180">
        <v>0.44198749999999998</v>
      </c>
      <c r="S111" s="180">
        <f t="shared" si="8"/>
        <v>0</v>
      </c>
      <c r="T111" s="180">
        <f t="shared" si="9"/>
        <v>0</v>
      </c>
      <c r="U111" s="180">
        <f t="shared" si="10"/>
        <v>0</v>
      </c>
      <c r="V111" s="180">
        <f t="shared" si="11"/>
        <v>0</v>
      </c>
      <c r="W111" s="181">
        <f t="shared" si="15"/>
        <v>0</v>
      </c>
      <c r="Y111" s="174" t="str">
        <f t="shared" si="12"/>
        <v/>
      </c>
      <c r="Z111" s="174" t="str">
        <f t="shared" si="13"/>
        <v/>
      </c>
      <c r="AA111" s="174" t="str">
        <f t="shared" si="14"/>
        <v/>
      </c>
      <c r="AD111" s="182"/>
    </row>
    <row r="112" spans="1:30" x14ac:dyDescent="0.2">
      <c r="A112" s="162" t="s">
        <v>90</v>
      </c>
      <c r="B112" s="162">
        <v>0</v>
      </c>
      <c r="C112" s="162">
        <v>0</v>
      </c>
      <c r="D112" s="162">
        <v>0</v>
      </c>
      <c r="E112" s="162">
        <v>0</v>
      </c>
      <c r="F112" s="178">
        <v>0</v>
      </c>
      <c r="G112" s="162">
        <v>0</v>
      </c>
      <c r="H112" s="162">
        <v>0</v>
      </c>
      <c r="I112" s="162">
        <v>0</v>
      </c>
      <c r="J112" s="162">
        <v>0</v>
      </c>
      <c r="K112" s="178">
        <v>0</v>
      </c>
      <c r="L112" s="162">
        <v>39.700000000000003</v>
      </c>
      <c r="M112" s="162">
        <v>0</v>
      </c>
      <c r="N112" s="162">
        <v>0</v>
      </c>
      <c r="O112" s="162">
        <v>0</v>
      </c>
      <c r="P112" s="178">
        <v>39.700000000000003</v>
      </c>
      <c r="Q112" s="162">
        <v>39.700000000000003</v>
      </c>
      <c r="R112" s="180">
        <v>1.8460000000000001</v>
      </c>
      <c r="S112" s="180">
        <f t="shared" si="8"/>
        <v>39.700000000000003</v>
      </c>
      <c r="T112" s="180">
        <f t="shared" si="9"/>
        <v>0</v>
      </c>
      <c r="U112" s="180">
        <f t="shared" si="10"/>
        <v>0</v>
      </c>
      <c r="V112" s="180">
        <f t="shared" si="11"/>
        <v>0</v>
      </c>
      <c r="W112" s="181">
        <f t="shared" si="15"/>
        <v>125.19792</v>
      </c>
      <c r="Y112" s="174">
        <f t="shared" si="12"/>
        <v>3153.6</v>
      </c>
      <c r="Z112" s="174">
        <f t="shared" si="13"/>
        <v>3153.6</v>
      </c>
      <c r="AA112" s="174">
        <f t="shared" si="14"/>
        <v>3153.6</v>
      </c>
      <c r="AD112" s="182"/>
    </row>
    <row r="113" spans="1:30" x14ac:dyDescent="0.2">
      <c r="A113" s="162" t="s">
        <v>240</v>
      </c>
      <c r="B113" s="162">
        <v>0</v>
      </c>
      <c r="C113" s="162">
        <v>0</v>
      </c>
      <c r="D113" s="162">
        <v>0.02</v>
      </c>
      <c r="E113" s="162">
        <v>0.06</v>
      </c>
      <c r="F113" s="178">
        <v>0.08</v>
      </c>
      <c r="G113" s="162">
        <v>0</v>
      </c>
      <c r="H113" s="162">
        <v>0</v>
      </c>
      <c r="I113" s="162">
        <v>0.1</v>
      </c>
      <c r="J113" s="162">
        <v>0.5</v>
      </c>
      <c r="K113" s="178">
        <v>0.6</v>
      </c>
      <c r="L113" s="162">
        <v>0</v>
      </c>
      <c r="M113" s="162">
        <v>0</v>
      </c>
      <c r="N113" s="162">
        <v>19.98</v>
      </c>
      <c r="O113" s="162">
        <v>7.18</v>
      </c>
      <c r="P113" s="178">
        <v>27.16</v>
      </c>
      <c r="Q113" s="162">
        <v>27.84</v>
      </c>
      <c r="R113" s="180">
        <v>1.0676400000000001</v>
      </c>
      <c r="S113" s="180">
        <f t="shared" si="8"/>
        <v>0</v>
      </c>
      <c r="T113" s="180">
        <f t="shared" si="9"/>
        <v>0</v>
      </c>
      <c r="U113" s="180">
        <f t="shared" si="10"/>
        <v>20.100000000000001</v>
      </c>
      <c r="V113" s="180">
        <f t="shared" si="11"/>
        <v>7.74</v>
      </c>
      <c r="W113" s="181">
        <f t="shared" si="15"/>
        <v>110.018592</v>
      </c>
      <c r="Y113" s="174">
        <f t="shared" si="12"/>
        <v>4204.8</v>
      </c>
      <c r="Z113" s="174">
        <f t="shared" si="13"/>
        <v>3854.4</v>
      </c>
      <c r="AA113" s="174">
        <f t="shared" si="14"/>
        <v>3951.8172413793104</v>
      </c>
      <c r="AD113" s="182"/>
    </row>
    <row r="114" spans="1:30" x14ac:dyDescent="0.2">
      <c r="A114" s="162" t="s">
        <v>91</v>
      </c>
      <c r="B114" s="162">
        <v>15.32</v>
      </c>
      <c r="C114" s="162">
        <v>0.48</v>
      </c>
      <c r="D114" s="162">
        <v>0</v>
      </c>
      <c r="E114" s="162">
        <v>0</v>
      </c>
      <c r="F114" s="178">
        <v>15.8</v>
      </c>
      <c r="G114" s="162">
        <v>1.8</v>
      </c>
      <c r="H114" s="162">
        <v>0</v>
      </c>
      <c r="I114" s="162">
        <v>0</v>
      </c>
      <c r="J114" s="162">
        <v>0</v>
      </c>
      <c r="K114" s="178">
        <v>1.8</v>
      </c>
      <c r="L114" s="162">
        <v>12.06</v>
      </c>
      <c r="M114" s="162">
        <v>0.8</v>
      </c>
      <c r="N114" s="162">
        <v>0</v>
      </c>
      <c r="O114" s="162">
        <v>0</v>
      </c>
      <c r="P114" s="178">
        <v>12.86</v>
      </c>
      <c r="Q114" s="162">
        <v>30.46</v>
      </c>
      <c r="R114" s="180">
        <v>0.40264749999999999</v>
      </c>
      <c r="S114" s="180">
        <f t="shared" si="8"/>
        <v>29.18</v>
      </c>
      <c r="T114" s="180">
        <f t="shared" si="9"/>
        <v>1.28</v>
      </c>
      <c r="U114" s="180">
        <f t="shared" si="10"/>
        <v>0</v>
      </c>
      <c r="V114" s="180">
        <f t="shared" si="11"/>
        <v>0</v>
      </c>
      <c r="W114" s="181">
        <f t="shared" si="15"/>
        <v>96.507167999999993</v>
      </c>
      <c r="Y114" s="174">
        <f t="shared" si="12"/>
        <v>3504</v>
      </c>
      <c r="Z114" s="174">
        <f t="shared" si="13"/>
        <v>3153.6</v>
      </c>
      <c r="AA114" s="174">
        <f t="shared" si="14"/>
        <v>3168.3246224556792</v>
      </c>
      <c r="AD114" s="182"/>
    </row>
    <row r="115" spans="1:30" x14ac:dyDescent="0.2">
      <c r="A115" s="162" t="s">
        <v>96</v>
      </c>
      <c r="B115" s="162">
        <v>0</v>
      </c>
      <c r="C115" s="162">
        <v>0</v>
      </c>
      <c r="D115" s="162">
        <v>0</v>
      </c>
      <c r="E115" s="162">
        <v>8.84</v>
      </c>
      <c r="F115" s="178">
        <v>8.84</v>
      </c>
      <c r="G115" s="162">
        <v>0</v>
      </c>
      <c r="H115" s="162">
        <v>0</v>
      </c>
      <c r="I115" s="162">
        <v>0</v>
      </c>
      <c r="J115" s="162">
        <v>48.46</v>
      </c>
      <c r="K115" s="178">
        <v>48.46</v>
      </c>
      <c r="L115" s="162">
        <v>0</v>
      </c>
      <c r="M115" s="162">
        <v>0</v>
      </c>
      <c r="N115" s="162">
        <v>0.14000000000000001</v>
      </c>
      <c r="O115" s="162">
        <v>236.26</v>
      </c>
      <c r="P115" s="178">
        <v>236.4</v>
      </c>
      <c r="Q115" s="162">
        <v>293.7</v>
      </c>
      <c r="R115" s="180">
        <v>2.1102249999999998</v>
      </c>
      <c r="S115" s="180">
        <f t="shared" si="8"/>
        <v>0</v>
      </c>
      <c r="T115" s="180">
        <f t="shared" si="9"/>
        <v>0</v>
      </c>
      <c r="U115" s="180">
        <f t="shared" si="10"/>
        <v>0.14000000000000001</v>
      </c>
      <c r="V115" s="180">
        <f t="shared" si="11"/>
        <v>293.56</v>
      </c>
      <c r="W115" s="181">
        <f t="shared" si="15"/>
        <v>1234.9007039999999</v>
      </c>
      <c r="Y115" s="174">
        <f t="shared" si="12"/>
        <v>4204.8</v>
      </c>
      <c r="Z115" s="174">
        <f t="shared" si="13"/>
        <v>3854.4</v>
      </c>
      <c r="AA115" s="174">
        <f t="shared" si="14"/>
        <v>4204.6329724208372</v>
      </c>
      <c r="AD115" s="182"/>
    </row>
    <row r="116" spans="1:30" x14ac:dyDescent="0.2">
      <c r="A116" s="162" t="s">
        <v>97</v>
      </c>
      <c r="B116" s="162">
        <v>64.16</v>
      </c>
      <c r="C116" s="162">
        <v>130.02000000000001</v>
      </c>
      <c r="D116" s="162">
        <v>3.4</v>
      </c>
      <c r="E116" s="162">
        <v>0.66</v>
      </c>
      <c r="F116" s="178">
        <v>198.24</v>
      </c>
      <c r="G116" s="162">
        <v>82.74</v>
      </c>
      <c r="H116" s="162">
        <v>279.44</v>
      </c>
      <c r="I116" s="162">
        <v>7.1</v>
      </c>
      <c r="J116" s="162">
        <v>3.22</v>
      </c>
      <c r="K116" s="178">
        <v>372.5</v>
      </c>
      <c r="L116" s="162">
        <v>193.34</v>
      </c>
      <c r="M116" s="162">
        <v>290.88</v>
      </c>
      <c r="N116" s="162">
        <v>105.98</v>
      </c>
      <c r="O116" s="162">
        <v>8.5399999999999991</v>
      </c>
      <c r="P116" s="178">
        <v>598.74</v>
      </c>
      <c r="Q116" s="162">
        <v>1169.48</v>
      </c>
      <c r="R116" s="180">
        <v>199.5296975</v>
      </c>
      <c r="S116" s="180">
        <f t="shared" si="8"/>
        <v>340.24</v>
      </c>
      <c r="T116" s="180">
        <f t="shared" si="9"/>
        <v>700.34</v>
      </c>
      <c r="U116" s="180">
        <f t="shared" si="10"/>
        <v>116.48</v>
      </c>
      <c r="V116" s="180">
        <f t="shared" si="11"/>
        <v>12.42</v>
      </c>
      <c r="W116" s="181">
        <f t="shared" si="15"/>
        <v>4028.1563520000004</v>
      </c>
      <c r="X116" s="183"/>
      <c r="Y116" s="174">
        <f t="shared" si="12"/>
        <v>4204.8</v>
      </c>
      <c r="Z116" s="174">
        <f t="shared" si="13"/>
        <v>3153.6</v>
      </c>
      <c r="AA116" s="174">
        <f t="shared" si="14"/>
        <v>3444.3995211547017</v>
      </c>
      <c r="AD116" s="182"/>
    </row>
    <row r="117" spans="1:30" x14ac:dyDescent="0.2">
      <c r="A117" s="162" t="s">
        <v>99</v>
      </c>
      <c r="B117" s="162">
        <v>0</v>
      </c>
      <c r="C117" s="162">
        <v>0</v>
      </c>
      <c r="D117" s="162">
        <v>0</v>
      </c>
      <c r="E117" s="162">
        <v>0</v>
      </c>
      <c r="F117" s="178">
        <v>0</v>
      </c>
      <c r="G117" s="162">
        <v>0</v>
      </c>
      <c r="H117" s="162">
        <v>0</v>
      </c>
      <c r="I117" s="162">
        <v>0</v>
      </c>
      <c r="J117" s="162">
        <v>0</v>
      </c>
      <c r="K117" s="178">
        <v>0</v>
      </c>
      <c r="L117" s="162">
        <v>0</v>
      </c>
      <c r="M117" s="162">
        <v>0</v>
      </c>
      <c r="N117" s="162">
        <v>0</v>
      </c>
      <c r="O117" s="162">
        <v>0</v>
      </c>
      <c r="P117" s="178">
        <v>0</v>
      </c>
      <c r="Q117" s="162">
        <v>0</v>
      </c>
      <c r="R117" s="180">
        <v>3.2362499999999996</v>
      </c>
      <c r="S117" s="180">
        <f t="shared" si="8"/>
        <v>0</v>
      </c>
      <c r="T117" s="180">
        <f t="shared" si="9"/>
        <v>0</v>
      </c>
      <c r="U117" s="180">
        <f t="shared" si="10"/>
        <v>0</v>
      </c>
      <c r="V117" s="180">
        <f t="shared" si="11"/>
        <v>0</v>
      </c>
      <c r="W117" s="181">
        <f t="shared" si="15"/>
        <v>0</v>
      </c>
      <c r="Y117" s="174" t="str">
        <f t="shared" si="12"/>
        <v/>
      </c>
      <c r="Z117" s="174" t="str">
        <f t="shared" si="13"/>
        <v/>
      </c>
      <c r="AA117" s="174" t="str">
        <f t="shared" si="14"/>
        <v/>
      </c>
      <c r="AD117" s="182"/>
    </row>
    <row r="118" spans="1:30" x14ac:dyDescent="0.2">
      <c r="A118" s="162" t="s">
        <v>100</v>
      </c>
      <c r="B118" s="162">
        <v>0.06</v>
      </c>
      <c r="C118" s="162">
        <v>0.52</v>
      </c>
      <c r="D118" s="162">
        <v>0.64</v>
      </c>
      <c r="E118" s="162">
        <v>0</v>
      </c>
      <c r="F118" s="178">
        <v>1.22</v>
      </c>
      <c r="G118" s="162">
        <v>15.06</v>
      </c>
      <c r="H118" s="162">
        <v>11.94</v>
      </c>
      <c r="I118" s="162">
        <v>5.0999999999999996</v>
      </c>
      <c r="J118" s="162">
        <v>0</v>
      </c>
      <c r="K118" s="178">
        <v>32.1</v>
      </c>
      <c r="L118" s="162">
        <v>65.88</v>
      </c>
      <c r="M118" s="162">
        <v>92.4</v>
      </c>
      <c r="N118" s="162">
        <v>51.96</v>
      </c>
      <c r="O118" s="162">
        <v>0</v>
      </c>
      <c r="P118" s="178">
        <v>210.24</v>
      </c>
      <c r="Q118" s="162">
        <v>243.56</v>
      </c>
      <c r="R118" s="180">
        <v>20.266950000000001</v>
      </c>
      <c r="S118" s="180">
        <f t="shared" si="8"/>
        <v>81</v>
      </c>
      <c r="T118" s="180">
        <f t="shared" si="9"/>
        <v>104.86</v>
      </c>
      <c r="U118" s="180">
        <f t="shared" si="10"/>
        <v>57.7</v>
      </c>
      <c r="V118" s="180">
        <f t="shared" si="11"/>
        <v>0</v>
      </c>
      <c r="W118" s="181">
        <f t="shared" si="15"/>
        <v>845.26992000000007</v>
      </c>
      <c r="Y118" s="174">
        <f t="shared" si="12"/>
        <v>3854.4</v>
      </c>
      <c r="Z118" s="174">
        <f t="shared" si="13"/>
        <v>3153.6</v>
      </c>
      <c r="AA118" s="174">
        <f t="shared" si="14"/>
        <v>3470.4792248316639</v>
      </c>
      <c r="AD118" s="182"/>
    </row>
    <row r="119" spans="1:30" x14ac:dyDescent="0.2">
      <c r="A119" s="162" t="s">
        <v>101</v>
      </c>
      <c r="B119" s="162">
        <v>28.88</v>
      </c>
      <c r="C119" s="162">
        <v>1.26</v>
      </c>
      <c r="D119" s="162">
        <v>2.76</v>
      </c>
      <c r="E119" s="162">
        <v>0</v>
      </c>
      <c r="F119" s="178">
        <v>32.9</v>
      </c>
      <c r="G119" s="162">
        <v>79.680000000000007</v>
      </c>
      <c r="H119" s="162">
        <v>2.48</v>
      </c>
      <c r="I119" s="162">
        <v>10.48</v>
      </c>
      <c r="J119" s="162">
        <v>0</v>
      </c>
      <c r="K119" s="178">
        <v>92.64</v>
      </c>
      <c r="L119" s="162">
        <v>83</v>
      </c>
      <c r="M119" s="162">
        <v>73.64</v>
      </c>
      <c r="N119" s="162">
        <v>209.18</v>
      </c>
      <c r="O119" s="162">
        <v>18.600000000000001</v>
      </c>
      <c r="P119" s="178">
        <v>384.42</v>
      </c>
      <c r="Q119" s="162">
        <v>509.96000000000004</v>
      </c>
      <c r="R119" s="180">
        <v>9.7422500000000003</v>
      </c>
      <c r="S119" s="180">
        <f t="shared" si="8"/>
        <v>191.56</v>
      </c>
      <c r="T119" s="180">
        <f t="shared" si="9"/>
        <v>77.38</v>
      </c>
      <c r="U119" s="180">
        <f t="shared" si="10"/>
        <v>222.42000000000002</v>
      </c>
      <c r="V119" s="180">
        <f t="shared" si="11"/>
        <v>18.600000000000001</v>
      </c>
      <c r="W119" s="181">
        <f t="shared" si="15"/>
        <v>1810.7480640000001</v>
      </c>
      <c r="Y119" s="174">
        <f t="shared" si="12"/>
        <v>4204.8</v>
      </c>
      <c r="Z119" s="174">
        <f t="shared" si="13"/>
        <v>3153.6</v>
      </c>
      <c r="AA119" s="174">
        <f t="shared" si="14"/>
        <v>3550.7648913640282</v>
      </c>
      <c r="AD119" s="182"/>
    </row>
    <row r="120" spans="1:30" x14ac:dyDescent="0.2">
      <c r="A120" s="162" t="s">
        <v>102</v>
      </c>
      <c r="B120" s="162">
        <v>0</v>
      </c>
      <c r="C120" s="162">
        <v>0</v>
      </c>
      <c r="D120" s="162">
        <v>0</v>
      </c>
      <c r="E120" s="162">
        <v>0</v>
      </c>
      <c r="F120" s="178">
        <v>0</v>
      </c>
      <c r="G120" s="162">
        <v>0</v>
      </c>
      <c r="H120" s="162">
        <v>0</v>
      </c>
      <c r="I120" s="162">
        <v>0</v>
      </c>
      <c r="J120" s="162">
        <v>0</v>
      </c>
      <c r="K120" s="178">
        <v>0</v>
      </c>
      <c r="L120" s="162">
        <v>0</v>
      </c>
      <c r="M120" s="162">
        <v>0</v>
      </c>
      <c r="N120" s="162">
        <v>0</v>
      </c>
      <c r="O120" s="162">
        <v>0</v>
      </c>
      <c r="P120" s="178">
        <v>0</v>
      </c>
      <c r="Q120" s="162">
        <v>0</v>
      </c>
      <c r="R120" s="180">
        <v>4.1315</v>
      </c>
      <c r="S120" s="180">
        <f t="shared" si="8"/>
        <v>0</v>
      </c>
      <c r="T120" s="180">
        <f t="shared" si="9"/>
        <v>0</v>
      </c>
      <c r="U120" s="180">
        <f t="shared" si="10"/>
        <v>0</v>
      </c>
      <c r="V120" s="180">
        <f t="shared" si="11"/>
        <v>0</v>
      </c>
      <c r="W120" s="181">
        <f t="shared" si="15"/>
        <v>0</v>
      </c>
      <c r="Y120" s="174" t="str">
        <f t="shared" si="12"/>
        <v/>
      </c>
      <c r="Z120" s="174" t="str">
        <f t="shared" si="13"/>
        <v/>
      </c>
      <c r="AA120" s="174" t="str">
        <f t="shared" si="14"/>
        <v/>
      </c>
      <c r="AD120" s="182"/>
    </row>
    <row r="121" spans="1:30" x14ac:dyDescent="0.2">
      <c r="A121" s="162" t="s">
        <v>103</v>
      </c>
      <c r="B121" s="162">
        <v>0</v>
      </c>
      <c r="C121" s="162">
        <v>0</v>
      </c>
      <c r="D121" s="162">
        <v>0</v>
      </c>
      <c r="E121" s="162">
        <v>0</v>
      </c>
      <c r="F121" s="178">
        <v>0</v>
      </c>
      <c r="G121" s="162">
        <v>0.02</v>
      </c>
      <c r="H121" s="162">
        <v>0.02</v>
      </c>
      <c r="I121" s="162">
        <v>0.16</v>
      </c>
      <c r="J121" s="162">
        <v>0</v>
      </c>
      <c r="K121" s="178">
        <v>0.2</v>
      </c>
      <c r="L121" s="162">
        <v>58.7</v>
      </c>
      <c r="M121" s="162">
        <v>130.19999999999999</v>
      </c>
      <c r="N121" s="162">
        <v>89.92</v>
      </c>
      <c r="O121" s="162">
        <v>1.56</v>
      </c>
      <c r="P121" s="178">
        <v>280.38</v>
      </c>
      <c r="Q121" s="162">
        <v>280.58</v>
      </c>
      <c r="R121" s="180">
        <v>3.3972500000000005</v>
      </c>
      <c r="S121" s="180">
        <f t="shared" si="8"/>
        <v>58.720000000000006</v>
      </c>
      <c r="T121" s="180">
        <f t="shared" si="9"/>
        <v>130.22</v>
      </c>
      <c r="U121" s="180">
        <f t="shared" si="10"/>
        <v>90.08</v>
      </c>
      <c r="V121" s="180">
        <f t="shared" si="11"/>
        <v>1.56</v>
      </c>
      <c r="W121" s="181">
        <f t="shared" si="15"/>
        <v>995.2341120000001</v>
      </c>
      <c r="Y121" s="174">
        <f t="shared" si="12"/>
        <v>4204.8</v>
      </c>
      <c r="Z121" s="174">
        <f t="shared" si="13"/>
        <v>3153.6</v>
      </c>
      <c r="AA121" s="174">
        <f t="shared" si="14"/>
        <v>3547.0600613015899</v>
      </c>
      <c r="AD121" s="182"/>
    </row>
    <row r="122" spans="1:30" x14ac:dyDescent="0.2">
      <c r="A122" s="162" t="s">
        <v>104</v>
      </c>
      <c r="B122" s="162">
        <v>0</v>
      </c>
      <c r="C122" s="162">
        <v>0</v>
      </c>
      <c r="D122" s="162">
        <v>0</v>
      </c>
      <c r="E122" s="162">
        <v>0</v>
      </c>
      <c r="F122" s="178">
        <v>0</v>
      </c>
      <c r="G122" s="162">
        <v>0</v>
      </c>
      <c r="H122" s="162">
        <v>0</v>
      </c>
      <c r="I122" s="162">
        <v>0</v>
      </c>
      <c r="J122" s="162">
        <v>0</v>
      </c>
      <c r="K122" s="178">
        <v>0</v>
      </c>
      <c r="L122" s="162">
        <v>0</v>
      </c>
      <c r="M122" s="162">
        <v>0</v>
      </c>
      <c r="N122" s="162">
        <v>0</v>
      </c>
      <c r="O122" s="162">
        <v>0</v>
      </c>
      <c r="P122" s="178">
        <v>0</v>
      </c>
      <c r="Q122" s="162">
        <v>0</v>
      </c>
      <c r="R122" s="180">
        <v>2.3232499999999998</v>
      </c>
      <c r="S122" s="180">
        <f t="shared" si="8"/>
        <v>0</v>
      </c>
      <c r="T122" s="180">
        <f t="shared" si="9"/>
        <v>0</v>
      </c>
      <c r="U122" s="180">
        <f t="shared" si="10"/>
        <v>0</v>
      </c>
      <c r="V122" s="180">
        <f t="shared" si="11"/>
        <v>0</v>
      </c>
      <c r="W122" s="181">
        <f t="shared" si="15"/>
        <v>0</v>
      </c>
      <c r="Y122" s="174" t="str">
        <f t="shared" si="12"/>
        <v/>
      </c>
      <c r="Z122" s="174" t="str">
        <f t="shared" si="13"/>
        <v/>
      </c>
      <c r="AA122" s="174" t="str">
        <f t="shared" si="14"/>
        <v/>
      </c>
      <c r="AD122" s="182"/>
    </row>
    <row r="123" spans="1:30" x14ac:dyDescent="0.2">
      <c r="A123" s="162" t="s">
        <v>105</v>
      </c>
      <c r="B123" s="162">
        <v>0</v>
      </c>
      <c r="C123" s="162">
        <v>0</v>
      </c>
      <c r="D123" s="162">
        <v>0</v>
      </c>
      <c r="E123" s="162">
        <v>110.14</v>
      </c>
      <c r="F123" s="178">
        <v>110.14</v>
      </c>
      <c r="G123" s="162">
        <v>0</v>
      </c>
      <c r="H123" s="162">
        <v>0</v>
      </c>
      <c r="I123" s="162">
        <v>0</v>
      </c>
      <c r="J123" s="162">
        <v>150.9</v>
      </c>
      <c r="K123" s="178">
        <v>150.9</v>
      </c>
      <c r="L123" s="162">
        <v>0</v>
      </c>
      <c r="M123" s="162">
        <v>0</v>
      </c>
      <c r="N123" s="162">
        <v>0</v>
      </c>
      <c r="O123" s="162">
        <v>0.04</v>
      </c>
      <c r="P123" s="178">
        <v>0.04</v>
      </c>
      <c r="Q123" s="162">
        <v>261.08000000000004</v>
      </c>
      <c r="R123" s="180">
        <v>110.49907499999999</v>
      </c>
      <c r="S123" s="180">
        <f t="shared" si="8"/>
        <v>0</v>
      </c>
      <c r="T123" s="180">
        <f t="shared" si="9"/>
        <v>0</v>
      </c>
      <c r="U123" s="180">
        <f t="shared" si="10"/>
        <v>0</v>
      </c>
      <c r="V123" s="180">
        <f t="shared" si="11"/>
        <v>261.08000000000004</v>
      </c>
      <c r="W123" s="181">
        <f t="shared" si="15"/>
        <v>1097.7891840000002</v>
      </c>
      <c r="Y123" s="174">
        <f t="shared" si="12"/>
        <v>4204.8</v>
      </c>
      <c r="Z123" s="174">
        <f t="shared" si="13"/>
        <v>4204.8</v>
      </c>
      <c r="AA123" s="174">
        <f t="shared" si="14"/>
        <v>4204.8</v>
      </c>
      <c r="AD123" s="182"/>
    </row>
    <row r="124" spans="1:30" x14ac:dyDescent="0.2">
      <c r="A124" s="162" t="s">
        <v>248</v>
      </c>
      <c r="B124" s="162">
        <v>0</v>
      </c>
      <c r="C124" s="162">
        <v>0</v>
      </c>
      <c r="D124" s="162">
        <v>0</v>
      </c>
      <c r="E124" s="162">
        <v>0.02</v>
      </c>
      <c r="F124" s="178">
        <v>0.02</v>
      </c>
      <c r="G124" s="162">
        <v>0</v>
      </c>
      <c r="H124" s="162">
        <v>0</v>
      </c>
      <c r="I124" s="162">
        <v>0</v>
      </c>
      <c r="J124" s="162">
        <v>0.98</v>
      </c>
      <c r="K124" s="178">
        <v>0.98</v>
      </c>
      <c r="L124" s="162">
        <v>0</v>
      </c>
      <c r="M124" s="162">
        <v>0</v>
      </c>
      <c r="N124" s="162">
        <v>0</v>
      </c>
      <c r="O124" s="162">
        <v>27.14</v>
      </c>
      <c r="P124" s="178">
        <v>27.14</v>
      </c>
      <c r="Q124" s="162">
        <v>28.14</v>
      </c>
      <c r="R124" s="180">
        <v>0.96775</v>
      </c>
      <c r="S124" s="180">
        <f t="shared" si="8"/>
        <v>0</v>
      </c>
      <c r="T124" s="180">
        <f t="shared" si="9"/>
        <v>0</v>
      </c>
      <c r="U124" s="180">
        <f t="shared" si="10"/>
        <v>0</v>
      </c>
      <c r="V124" s="180">
        <f t="shared" si="11"/>
        <v>28.14</v>
      </c>
      <c r="W124" s="181">
        <f t="shared" si="15"/>
        <v>118.32307200000001</v>
      </c>
      <c r="Y124" s="174">
        <f t="shared" si="12"/>
        <v>4204.8</v>
      </c>
      <c r="Z124" s="174">
        <f t="shared" si="13"/>
        <v>4204.8</v>
      </c>
      <c r="AA124" s="174">
        <f t="shared" si="14"/>
        <v>4204.8</v>
      </c>
      <c r="AD124" s="182"/>
    </row>
    <row r="125" spans="1:30" x14ac:dyDescent="0.2">
      <c r="A125" s="162" t="s">
        <v>249</v>
      </c>
      <c r="B125" s="162">
        <v>0</v>
      </c>
      <c r="C125" s="162">
        <v>0.06</v>
      </c>
      <c r="D125" s="162">
        <v>19.86</v>
      </c>
      <c r="E125" s="162">
        <v>0</v>
      </c>
      <c r="F125" s="178">
        <v>19.920000000000002</v>
      </c>
      <c r="G125" s="162">
        <v>0</v>
      </c>
      <c r="H125" s="162">
        <v>0.06</v>
      </c>
      <c r="I125" s="162">
        <v>36.26</v>
      </c>
      <c r="J125" s="162">
        <v>0</v>
      </c>
      <c r="K125" s="178">
        <v>36.32</v>
      </c>
      <c r="L125" s="162">
        <v>0</v>
      </c>
      <c r="M125" s="162">
        <v>1</v>
      </c>
      <c r="N125" s="162">
        <v>297.76</v>
      </c>
      <c r="O125" s="162">
        <v>0.46</v>
      </c>
      <c r="P125" s="178">
        <v>299.22000000000003</v>
      </c>
      <c r="Q125" s="162">
        <v>355.46000000000004</v>
      </c>
      <c r="R125" s="180">
        <v>1.6537725000000001</v>
      </c>
      <c r="S125" s="180">
        <f t="shared" si="8"/>
        <v>0</v>
      </c>
      <c r="T125" s="180">
        <f t="shared" si="9"/>
        <v>1.1200000000000001</v>
      </c>
      <c r="U125" s="180">
        <f t="shared" si="10"/>
        <v>353.88</v>
      </c>
      <c r="V125" s="180">
        <f t="shared" si="11"/>
        <v>0.46</v>
      </c>
      <c r="W125" s="181">
        <f t="shared" si="15"/>
        <v>1369.85376</v>
      </c>
      <c r="Y125" s="174">
        <f t="shared" si="12"/>
        <v>4204.8</v>
      </c>
      <c r="Z125" s="174">
        <f t="shared" si="13"/>
        <v>3504</v>
      </c>
      <c r="AA125" s="174">
        <f t="shared" si="14"/>
        <v>3853.7493951499464</v>
      </c>
      <c r="AD125" s="182"/>
    </row>
    <row r="126" spans="1:30" x14ac:dyDescent="0.2">
      <c r="A126" s="162" t="s">
        <v>106</v>
      </c>
      <c r="B126" s="162">
        <v>2.94</v>
      </c>
      <c r="C126" s="162">
        <v>6.9</v>
      </c>
      <c r="D126" s="162">
        <v>1.24</v>
      </c>
      <c r="E126" s="162">
        <v>24.32</v>
      </c>
      <c r="F126" s="178">
        <v>35.4</v>
      </c>
      <c r="G126" s="162">
        <v>7.44</v>
      </c>
      <c r="H126" s="162">
        <v>14.3</v>
      </c>
      <c r="I126" s="162">
        <v>7.86</v>
      </c>
      <c r="J126" s="162">
        <v>87.64</v>
      </c>
      <c r="K126" s="178">
        <v>117.24</v>
      </c>
      <c r="L126" s="162">
        <v>33.44</v>
      </c>
      <c r="M126" s="162">
        <v>131.16</v>
      </c>
      <c r="N126" s="162">
        <v>357.34</v>
      </c>
      <c r="O126" s="162">
        <v>2748.12</v>
      </c>
      <c r="P126" s="178">
        <v>3270.06</v>
      </c>
      <c r="Q126" s="162">
        <v>3422.7</v>
      </c>
      <c r="R126" s="180">
        <v>38.894549999999995</v>
      </c>
      <c r="S126" s="180">
        <f t="shared" si="8"/>
        <v>43.82</v>
      </c>
      <c r="T126" s="180">
        <f t="shared" si="9"/>
        <v>152.36000000000001</v>
      </c>
      <c r="U126" s="180">
        <f t="shared" si="10"/>
        <v>366.44</v>
      </c>
      <c r="V126" s="180">
        <f t="shared" si="11"/>
        <v>2860.08</v>
      </c>
      <c r="W126" s="181">
        <f t="shared" si="15"/>
        <v>14110.530912</v>
      </c>
      <c r="Y126" s="174">
        <f t="shared" si="12"/>
        <v>4204.8</v>
      </c>
      <c r="Z126" s="174">
        <f t="shared" si="13"/>
        <v>3153.6</v>
      </c>
      <c r="AA126" s="174">
        <f t="shared" si="14"/>
        <v>4122.6315224822511</v>
      </c>
      <c r="AD126" s="182"/>
    </row>
    <row r="127" spans="1:30" x14ac:dyDescent="0.2">
      <c r="A127" s="162" t="s">
        <v>107</v>
      </c>
      <c r="B127" s="162">
        <v>6.04</v>
      </c>
      <c r="C127" s="162">
        <v>27.02</v>
      </c>
      <c r="D127" s="162">
        <v>167.96</v>
      </c>
      <c r="E127" s="162">
        <v>0</v>
      </c>
      <c r="F127" s="178">
        <v>201.02</v>
      </c>
      <c r="G127" s="162">
        <v>7.84</v>
      </c>
      <c r="H127" s="162">
        <v>5.22</v>
      </c>
      <c r="I127" s="162">
        <v>11.26</v>
      </c>
      <c r="J127" s="162">
        <v>0</v>
      </c>
      <c r="K127" s="178">
        <v>24.32</v>
      </c>
      <c r="L127" s="162">
        <v>14.52</v>
      </c>
      <c r="M127" s="162">
        <v>42.28</v>
      </c>
      <c r="N127" s="162">
        <v>39.659999999999997</v>
      </c>
      <c r="O127" s="162">
        <v>1.42</v>
      </c>
      <c r="P127" s="178">
        <v>97.88</v>
      </c>
      <c r="Q127" s="162">
        <v>323.22000000000003</v>
      </c>
      <c r="R127" s="180">
        <v>2.4957750000000001</v>
      </c>
      <c r="S127" s="180">
        <f t="shared" si="8"/>
        <v>28.4</v>
      </c>
      <c r="T127" s="180">
        <f t="shared" si="9"/>
        <v>74.52000000000001</v>
      </c>
      <c r="U127" s="180">
        <f t="shared" si="10"/>
        <v>218.88</v>
      </c>
      <c r="V127" s="180">
        <f t="shared" si="11"/>
        <v>1.42</v>
      </c>
      <c r="W127" s="181">
        <f t="shared" si="15"/>
        <v>1200.3022080000001</v>
      </c>
      <c r="Y127" s="174">
        <f t="shared" si="12"/>
        <v>4204.8</v>
      </c>
      <c r="Z127" s="174">
        <f t="shared" si="13"/>
        <v>3153.6</v>
      </c>
      <c r="AA127" s="174">
        <f t="shared" si="14"/>
        <v>3713.5765361054391</v>
      </c>
      <c r="AD127" s="182"/>
    </row>
    <row r="128" spans="1:30" x14ac:dyDescent="0.2">
      <c r="A128" s="162" t="s">
        <v>108</v>
      </c>
      <c r="B128" s="162">
        <v>0</v>
      </c>
      <c r="C128" s="162">
        <v>0</v>
      </c>
      <c r="D128" s="162">
        <v>0</v>
      </c>
      <c r="E128" s="162">
        <v>0</v>
      </c>
      <c r="F128" s="178">
        <v>0</v>
      </c>
      <c r="G128" s="162">
        <v>0</v>
      </c>
      <c r="H128" s="162">
        <v>0</v>
      </c>
      <c r="I128" s="162">
        <v>0</v>
      </c>
      <c r="J128" s="162">
        <v>0</v>
      </c>
      <c r="K128" s="178">
        <v>0</v>
      </c>
      <c r="L128" s="162">
        <v>0</v>
      </c>
      <c r="M128" s="162">
        <v>0</v>
      </c>
      <c r="N128" s="162">
        <v>0</v>
      </c>
      <c r="O128" s="162">
        <v>0</v>
      </c>
      <c r="P128" s="178">
        <v>0</v>
      </c>
      <c r="Q128" s="162">
        <v>0</v>
      </c>
      <c r="R128" s="180">
        <v>0.54549999999999998</v>
      </c>
      <c r="S128" s="180">
        <f t="shared" si="8"/>
        <v>0</v>
      </c>
      <c r="T128" s="180">
        <f t="shared" si="9"/>
        <v>0</v>
      </c>
      <c r="U128" s="180">
        <f t="shared" si="10"/>
        <v>0</v>
      </c>
      <c r="V128" s="180">
        <f t="shared" si="11"/>
        <v>0</v>
      </c>
      <c r="W128" s="181">
        <f t="shared" si="15"/>
        <v>0</v>
      </c>
      <c r="Y128" s="174" t="str">
        <f t="shared" si="12"/>
        <v/>
      </c>
      <c r="Z128" s="174" t="str">
        <f t="shared" si="13"/>
        <v/>
      </c>
      <c r="AA128" s="174" t="str">
        <f t="shared" si="14"/>
        <v/>
      </c>
      <c r="AD128" s="182"/>
    </row>
    <row r="129" spans="1:30" x14ac:dyDescent="0.2">
      <c r="A129" s="162" t="s">
        <v>109</v>
      </c>
      <c r="B129" s="162">
        <v>0</v>
      </c>
      <c r="C129" s="162">
        <v>0</v>
      </c>
      <c r="D129" s="162">
        <v>0</v>
      </c>
      <c r="E129" s="162">
        <v>0</v>
      </c>
      <c r="F129" s="178">
        <v>0</v>
      </c>
      <c r="G129" s="162">
        <v>0</v>
      </c>
      <c r="H129" s="162">
        <v>0</v>
      </c>
      <c r="I129" s="162">
        <v>0</v>
      </c>
      <c r="J129" s="162">
        <v>0</v>
      </c>
      <c r="K129" s="178">
        <v>0</v>
      </c>
      <c r="L129" s="162">
        <v>0</v>
      </c>
      <c r="M129" s="162">
        <v>0</v>
      </c>
      <c r="N129" s="162">
        <v>0</v>
      </c>
      <c r="O129" s="162">
        <v>0</v>
      </c>
      <c r="P129" s="178">
        <v>0</v>
      </c>
      <c r="Q129" s="162">
        <v>0</v>
      </c>
      <c r="R129" s="180">
        <v>17.255000000000003</v>
      </c>
      <c r="S129" s="180">
        <f t="shared" si="8"/>
        <v>0</v>
      </c>
      <c r="T129" s="180">
        <f t="shared" si="9"/>
        <v>0</v>
      </c>
      <c r="U129" s="180">
        <f t="shared" si="10"/>
        <v>0</v>
      </c>
      <c r="V129" s="180">
        <f t="shared" si="11"/>
        <v>0</v>
      </c>
      <c r="W129" s="181">
        <f t="shared" si="15"/>
        <v>0</v>
      </c>
      <c r="Y129" s="174" t="str">
        <f t="shared" si="12"/>
        <v/>
      </c>
      <c r="Z129" s="174" t="str">
        <f t="shared" si="13"/>
        <v/>
      </c>
      <c r="AA129" s="174" t="str">
        <f t="shared" si="14"/>
        <v/>
      </c>
      <c r="AD129" s="182"/>
    </row>
    <row r="130" spans="1:30" x14ac:dyDescent="0.2">
      <c r="A130" s="162" t="s">
        <v>110</v>
      </c>
      <c r="B130" s="162">
        <v>0</v>
      </c>
      <c r="C130" s="162">
        <v>0</v>
      </c>
      <c r="D130" s="162">
        <v>0.46</v>
      </c>
      <c r="E130" s="162">
        <v>4.96</v>
      </c>
      <c r="F130" s="178">
        <v>5.42</v>
      </c>
      <c r="G130" s="162">
        <v>0</v>
      </c>
      <c r="H130" s="162">
        <v>0.3</v>
      </c>
      <c r="I130" s="162">
        <v>14.54</v>
      </c>
      <c r="J130" s="162">
        <v>148.46</v>
      </c>
      <c r="K130" s="178">
        <v>163.30000000000001</v>
      </c>
      <c r="L130" s="162">
        <v>0.72</v>
      </c>
      <c r="M130" s="162">
        <v>15.86</v>
      </c>
      <c r="N130" s="162">
        <v>99.44</v>
      </c>
      <c r="O130" s="162">
        <v>3350.02</v>
      </c>
      <c r="P130" s="178">
        <v>3466.04</v>
      </c>
      <c r="Q130" s="162">
        <v>3634.7599999999998</v>
      </c>
      <c r="R130" s="180">
        <v>113.312725</v>
      </c>
      <c r="S130" s="180">
        <f t="shared" si="8"/>
        <v>0.72</v>
      </c>
      <c r="T130" s="180">
        <f t="shared" si="9"/>
        <v>16.16</v>
      </c>
      <c r="U130" s="180">
        <f t="shared" si="10"/>
        <v>114.44</v>
      </c>
      <c r="V130" s="180">
        <f t="shared" si="11"/>
        <v>3503.44</v>
      </c>
      <c r="W130" s="181">
        <f t="shared" si="15"/>
        <v>15231.25728</v>
      </c>
      <c r="Y130" s="174">
        <f t="shared" si="12"/>
        <v>4204.8</v>
      </c>
      <c r="Z130" s="174">
        <f t="shared" si="13"/>
        <v>3153.6</v>
      </c>
      <c r="AA130" s="174">
        <f t="shared" si="14"/>
        <v>4190.4437376883207</v>
      </c>
      <c r="AD130" s="182"/>
    </row>
    <row r="131" spans="1:30" x14ac:dyDescent="0.2">
      <c r="A131" s="162" t="s">
        <v>670</v>
      </c>
      <c r="B131" s="162">
        <v>0</v>
      </c>
      <c r="C131" s="162">
        <v>0</v>
      </c>
      <c r="D131" s="162">
        <v>0</v>
      </c>
      <c r="E131" s="162">
        <v>0</v>
      </c>
      <c r="F131" s="178">
        <v>0</v>
      </c>
      <c r="G131" s="162">
        <v>0</v>
      </c>
      <c r="H131" s="162">
        <v>0</v>
      </c>
      <c r="I131" s="162">
        <v>0</v>
      </c>
      <c r="J131" s="162">
        <v>0</v>
      </c>
      <c r="K131" s="178">
        <v>0</v>
      </c>
      <c r="L131" s="162">
        <v>0</v>
      </c>
      <c r="M131" s="162">
        <v>0</v>
      </c>
      <c r="N131" s="162">
        <v>0</v>
      </c>
      <c r="O131" s="162">
        <v>0</v>
      </c>
      <c r="P131" s="178">
        <v>0</v>
      </c>
      <c r="Q131" s="162">
        <v>0</v>
      </c>
      <c r="R131" s="180">
        <v>3.4552449999999997</v>
      </c>
      <c r="S131" s="180">
        <f t="shared" si="8"/>
        <v>0</v>
      </c>
      <c r="T131" s="180">
        <f t="shared" si="9"/>
        <v>0</v>
      </c>
      <c r="U131" s="180">
        <f t="shared" si="10"/>
        <v>0</v>
      </c>
      <c r="V131" s="180">
        <f t="shared" si="11"/>
        <v>0</v>
      </c>
      <c r="W131" s="181">
        <f t="shared" si="15"/>
        <v>0</v>
      </c>
      <c r="Y131" s="174" t="str">
        <f t="shared" si="12"/>
        <v/>
      </c>
      <c r="Z131" s="174" t="str">
        <f t="shared" si="13"/>
        <v/>
      </c>
      <c r="AA131" s="174" t="str">
        <f t="shared" si="14"/>
        <v/>
      </c>
      <c r="AD131" s="182"/>
    </row>
    <row r="132" spans="1:30" x14ac:dyDescent="0.2">
      <c r="A132" s="162" t="s">
        <v>111</v>
      </c>
      <c r="B132" s="162">
        <v>0.06</v>
      </c>
      <c r="C132" s="162">
        <v>0.3</v>
      </c>
      <c r="D132" s="162">
        <v>0.02</v>
      </c>
      <c r="E132" s="162">
        <v>0</v>
      </c>
      <c r="F132" s="178">
        <v>0.38</v>
      </c>
      <c r="G132" s="162">
        <v>0.26</v>
      </c>
      <c r="H132" s="162">
        <v>2.2599999999999998</v>
      </c>
      <c r="I132" s="162">
        <v>0.02</v>
      </c>
      <c r="J132" s="162">
        <v>0</v>
      </c>
      <c r="K132" s="178">
        <v>2.54</v>
      </c>
      <c r="L132" s="162">
        <v>2.7</v>
      </c>
      <c r="M132" s="162">
        <v>5.8</v>
      </c>
      <c r="N132" s="162">
        <v>0.14000000000000001</v>
      </c>
      <c r="O132" s="162">
        <v>0</v>
      </c>
      <c r="P132" s="178">
        <v>8.64</v>
      </c>
      <c r="Q132" s="162">
        <v>11.56</v>
      </c>
      <c r="R132" s="180">
        <v>11.69</v>
      </c>
      <c r="S132" s="180">
        <f t="shared" si="8"/>
        <v>3.02</v>
      </c>
      <c r="T132" s="180">
        <f t="shared" si="9"/>
        <v>8.36</v>
      </c>
      <c r="U132" s="180">
        <f t="shared" si="10"/>
        <v>0.18000000000000002</v>
      </c>
      <c r="V132" s="180">
        <f t="shared" si="11"/>
        <v>0</v>
      </c>
      <c r="W132" s="181">
        <f t="shared" si="15"/>
        <v>39.511103999999989</v>
      </c>
      <c r="Y132" s="174">
        <f t="shared" si="12"/>
        <v>3854.4</v>
      </c>
      <c r="Z132" s="174">
        <f t="shared" si="13"/>
        <v>3153.6</v>
      </c>
      <c r="AA132" s="174">
        <f t="shared" si="14"/>
        <v>3417.9155709342558</v>
      </c>
      <c r="AD132" s="182"/>
    </row>
    <row r="133" spans="1:30" x14ac:dyDescent="0.2">
      <c r="A133" s="162" t="s">
        <v>112</v>
      </c>
      <c r="B133" s="162">
        <v>0</v>
      </c>
      <c r="C133" s="162">
        <v>0</v>
      </c>
      <c r="D133" s="162">
        <v>0</v>
      </c>
      <c r="E133" s="162">
        <v>0</v>
      </c>
      <c r="F133" s="178">
        <v>0</v>
      </c>
      <c r="G133" s="162">
        <v>0</v>
      </c>
      <c r="H133" s="162">
        <v>0</v>
      </c>
      <c r="I133" s="162">
        <v>0</v>
      </c>
      <c r="J133" s="162">
        <v>0</v>
      </c>
      <c r="K133" s="178">
        <v>0</v>
      </c>
      <c r="L133" s="162">
        <v>0</v>
      </c>
      <c r="M133" s="162">
        <v>0</v>
      </c>
      <c r="N133" s="162">
        <v>0</v>
      </c>
      <c r="O133" s="162">
        <v>0</v>
      </c>
      <c r="P133" s="178">
        <v>0</v>
      </c>
      <c r="Q133" s="162">
        <v>0</v>
      </c>
      <c r="R133" s="180">
        <v>70.056962499999997</v>
      </c>
      <c r="S133" s="180">
        <f t="shared" si="8"/>
        <v>0</v>
      </c>
      <c r="T133" s="180">
        <f t="shared" si="9"/>
        <v>0</v>
      </c>
      <c r="U133" s="180">
        <f t="shared" si="10"/>
        <v>0</v>
      </c>
      <c r="V133" s="180">
        <f t="shared" si="11"/>
        <v>0</v>
      </c>
      <c r="W133" s="181">
        <f t="shared" si="15"/>
        <v>0</v>
      </c>
      <c r="Y133" s="174" t="str">
        <f t="shared" si="12"/>
        <v/>
      </c>
      <c r="Z133" s="174" t="str">
        <f t="shared" si="13"/>
        <v/>
      </c>
      <c r="AA133" s="174" t="str">
        <f t="shared" si="14"/>
        <v/>
      </c>
      <c r="AD133" s="182"/>
    </row>
    <row r="134" spans="1:30" x14ac:dyDescent="0.2">
      <c r="A134" s="162" t="s">
        <v>113</v>
      </c>
      <c r="B134" s="162">
        <v>0.28000000000000003</v>
      </c>
      <c r="C134" s="162">
        <v>0.38</v>
      </c>
      <c r="D134" s="162">
        <v>0</v>
      </c>
      <c r="E134" s="162">
        <v>0</v>
      </c>
      <c r="F134" s="178">
        <v>0.66</v>
      </c>
      <c r="G134" s="162">
        <v>0.22</v>
      </c>
      <c r="H134" s="162">
        <v>0.98</v>
      </c>
      <c r="I134" s="162">
        <v>0</v>
      </c>
      <c r="J134" s="162">
        <v>0</v>
      </c>
      <c r="K134" s="178">
        <v>1.2</v>
      </c>
      <c r="L134" s="162">
        <v>5.9</v>
      </c>
      <c r="M134" s="162">
        <v>4.0999999999999996</v>
      </c>
      <c r="N134" s="162">
        <v>0</v>
      </c>
      <c r="O134" s="162">
        <v>0</v>
      </c>
      <c r="P134" s="178">
        <v>10</v>
      </c>
      <c r="Q134" s="162">
        <v>11.86</v>
      </c>
      <c r="R134" s="180">
        <v>4.9954450000000001</v>
      </c>
      <c r="S134" s="180">
        <f t="shared" si="8"/>
        <v>6.4</v>
      </c>
      <c r="T134" s="180">
        <f t="shared" si="9"/>
        <v>5.4599999999999991</v>
      </c>
      <c r="U134" s="180">
        <f t="shared" si="10"/>
        <v>0</v>
      </c>
      <c r="V134" s="180">
        <f t="shared" si="11"/>
        <v>0</v>
      </c>
      <c r="W134" s="181">
        <f t="shared" si="15"/>
        <v>39.314879999999995</v>
      </c>
      <c r="Y134" s="174">
        <f t="shared" si="12"/>
        <v>3504</v>
      </c>
      <c r="Z134" s="174">
        <f t="shared" si="13"/>
        <v>3153.6</v>
      </c>
      <c r="AA134" s="174">
        <f t="shared" si="14"/>
        <v>3314.9139966273187</v>
      </c>
      <c r="AD134" s="182"/>
    </row>
    <row r="135" spans="1:30" x14ac:dyDescent="0.2">
      <c r="A135" s="162" t="s">
        <v>255</v>
      </c>
      <c r="B135" s="162">
        <v>10.82</v>
      </c>
      <c r="C135" s="162">
        <v>102.48</v>
      </c>
      <c r="D135" s="162">
        <v>93.64</v>
      </c>
      <c r="E135" s="162">
        <v>1.24</v>
      </c>
      <c r="F135" s="178">
        <v>208.18</v>
      </c>
      <c r="G135" s="162">
        <v>11.22</v>
      </c>
      <c r="H135" s="162">
        <v>33.64</v>
      </c>
      <c r="I135" s="162">
        <v>3.18</v>
      </c>
      <c r="J135" s="162">
        <v>0.02</v>
      </c>
      <c r="K135" s="178">
        <v>48.06</v>
      </c>
      <c r="L135" s="162">
        <v>55.38</v>
      </c>
      <c r="M135" s="162">
        <v>149.56</v>
      </c>
      <c r="N135" s="162">
        <v>36.119999999999997</v>
      </c>
      <c r="O135" s="162">
        <v>0.96</v>
      </c>
      <c r="P135" s="178">
        <v>242.02</v>
      </c>
      <c r="Q135" s="162">
        <v>498.26</v>
      </c>
      <c r="R135" s="180">
        <v>2.7004875000000004</v>
      </c>
      <c r="S135" s="180">
        <f t="shared" si="8"/>
        <v>77.42</v>
      </c>
      <c r="T135" s="180">
        <f t="shared" si="9"/>
        <v>285.68</v>
      </c>
      <c r="U135" s="180">
        <f t="shared" si="10"/>
        <v>132.94</v>
      </c>
      <c r="V135" s="180">
        <f t="shared" si="11"/>
        <v>2.2199999999999998</v>
      </c>
      <c r="W135" s="181">
        <f t="shared" si="15"/>
        <v>1766.913024</v>
      </c>
      <c r="Y135" s="174">
        <f t="shared" si="12"/>
        <v>4204.8</v>
      </c>
      <c r="Z135" s="174">
        <f t="shared" si="13"/>
        <v>3153.6</v>
      </c>
      <c r="AA135" s="174">
        <f t="shared" si="14"/>
        <v>3546.1667081443425</v>
      </c>
      <c r="AD135" s="182"/>
    </row>
    <row r="136" spans="1:30" x14ac:dyDescent="0.2">
      <c r="A136" s="162" t="s">
        <v>114</v>
      </c>
      <c r="B136" s="162">
        <v>0</v>
      </c>
      <c r="C136" s="162">
        <v>0</v>
      </c>
      <c r="D136" s="162">
        <v>0</v>
      </c>
      <c r="E136" s="162">
        <v>0</v>
      </c>
      <c r="F136" s="178">
        <v>0</v>
      </c>
      <c r="G136" s="162">
        <v>0</v>
      </c>
      <c r="H136" s="162">
        <v>0</v>
      </c>
      <c r="I136" s="162">
        <v>0</v>
      </c>
      <c r="J136" s="162">
        <v>0</v>
      </c>
      <c r="K136" s="178">
        <v>0</v>
      </c>
      <c r="L136" s="162">
        <v>0</v>
      </c>
      <c r="M136" s="162">
        <v>0</v>
      </c>
      <c r="N136" s="162">
        <v>0</v>
      </c>
      <c r="O136" s="162">
        <v>0</v>
      </c>
      <c r="P136" s="178">
        <v>0</v>
      </c>
      <c r="Q136" s="162">
        <v>0</v>
      </c>
      <c r="R136" s="180">
        <v>5.1079074999999996</v>
      </c>
      <c r="S136" s="180">
        <f t="shared" ref="S136:S192" si="16">SUM(B136,G136,L136)</f>
        <v>0</v>
      </c>
      <c r="T136" s="180">
        <f t="shared" ref="T136:T192" si="17">SUM(C136,H136,M136)</f>
        <v>0</v>
      </c>
      <c r="U136" s="180">
        <f t="shared" ref="U136:U192" si="18">SUM(D136,I136,N136)</f>
        <v>0</v>
      </c>
      <c r="V136" s="180">
        <f t="shared" ref="V136:V192" si="19">SUM(E136,J136,O136)</f>
        <v>0</v>
      </c>
      <c r="W136" s="181">
        <f t="shared" si="15"/>
        <v>0</v>
      </c>
      <c r="Y136" s="174" t="str">
        <f t="shared" ref="Y136:Y192" si="20">IF(V136&gt;0,$AJ$11,IF(U136&gt;0,$AJ$10,IF(T136&gt;0,$AJ$9,IF(S136&gt;0,$AJ$8,""))))</f>
        <v/>
      </c>
      <c r="Z136" s="174" t="str">
        <f t="shared" ref="Z136:Z192" si="21">IF(S136&gt;0,$AJ$8,IF(T136&gt;0,$AJ$9,IF(U136&gt;0,$AJ$10,IF(V136&gt;0,$AJ$11,""))))</f>
        <v/>
      </c>
      <c r="AA136" s="174" t="str">
        <f t="shared" ref="AA136:AA192" si="22">IF(Q136&gt;0,(S136*$AJ$8+T136*$AJ$9+U136*$AJ$10+V136*$AJ$11)/Q136,"")</f>
        <v/>
      </c>
      <c r="AD136" s="182"/>
    </row>
    <row r="137" spans="1:30" x14ac:dyDescent="0.2">
      <c r="A137" s="162" t="s">
        <v>115</v>
      </c>
      <c r="B137" s="162">
        <v>0</v>
      </c>
      <c r="C137" s="162">
        <v>0</v>
      </c>
      <c r="D137" s="162">
        <v>0</v>
      </c>
      <c r="E137" s="162">
        <v>0</v>
      </c>
      <c r="F137" s="178">
        <v>0</v>
      </c>
      <c r="G137" s="162">
        <v>0</v>
      </c>
      <c r="H137" s="162">
        <v>0</v>
      </c>
      <c r="I137" s="162">
        <v>0</v>
      </c>
      <c r="J137" s="162">
        <v>0</v>
      </c>
      <c r="K137" s="178">
        <v>0</v>
      </c>
      <c r="L137" s="162">
        <v>0.02</v>
      </c>
      <c r="M137" s="162">
        <v>0</v>
      </c>
      <c r="N137" s="162">
        <v>0</v>
      </c>
      <c r="O137" s="162">
        <v>0</v>
      </c>
      <c r="P137" s="178">
        <v>0.02</v>
      </c>
      <c r="Q137" s="162">
        <v>0.02</v>
      </c>
      <c r="R137" s="180">
        <v>25.734475</v>
      </c>
      <c r="S137" s="180">
        <f t="shared" si="16"/>
        <v>0.02</v>
      </c>
      <c r="T137" s="180">
        <f t="shared" si="17"/>
        <v>0</v>
      </c>
      <c r="U137" s="180">
        <f t="shared" si="18"/>
        <v>0</v>
      </c>
      <c r="V137" s="180">
        <f t="shared" si="19"/>
        <v>0</v>
      </c>
      <c r="W137" s="181">
        <f t="shared" ref="W137:W191" si="23">((B137+G137+L137)*$AJ$8*$AI$27/5+(C137+H137+M137)*$AJ$9*$AI$28/5+(D137+I137+N137)*$AJ$10*$AI$29/5+(E137+J137+O137)*$AJ$11*$AI$30/5)/1000</f>
        <v>6.3072000000000003E-2</v>
      </c>
      <c r="Y137" s="174">
        <f t="shared" si="20"/>
        <v>3153.6</v>
      </c>
      <c r="Z137" s="174">
        <f t="shared" si="21"/>
        <v>3153.6</v>
      </c>
      <c r="AA137" s="174">
        <f t="shared" si="22"/>
        <v>3153.6</v>
      </c>
      <c r="AD137" s="182"/>
    </row>
    <row r="138" spans="1:30" x14ac:dyDescent="0.2">
      <c r="A138" s="162" t="s">
        <v>116</v>
      </c>
      <c r="B138" s="162">
        <v>3.92</v>
      </c>
      <c r="C138" s="162">
        <v>30.24</v>
      </c>
      <c r="D138" s="162">
        <v>0.68</v>
      </c>
      <c r="E138" s="162">
        <v>0.16</v>
      </c>
      <c r="F138" s="178">
        <v>35</v>
      </c>
      <c r="G138" s="162">
        <v>0.62</v>
      </c>
      <c r="H138" s="162">
        <v>22.8</v>
      </c>
      <c r="I138" s="162">
        <v>0.86</v>
      </c>
      <c r="J138" s="162">
        <v>0.42</v>
      </c>
      <c r="K138" s="178">
        <v>24.7</v>
      </c>
      <c r="L138" s="162">
        <v>12.28</v>
      </c>
      <c r="M138" s="162">
        <v>91.8</v>
      </c>
      <c r="N138" s="162">
        <v>32.42</v>
      </c>
      <c r="O138" s="162">
        <v>71.459999999999994</v>
      </c>
      <c r="P138" s="178">
        <v>207.96</v>
      </c>
      <c r="Q138" s="162">
        <v>267.66000000000003</v>
      </c>
      <c r="R138" s="180">
        <v>48.159085000000005</v>
      </c>
      <c r="S138" s="180">
        <f t="shared" si="16"/>
        <v>16.82</v>
      </c>
      <c r="T138" s="180">
        <f t="shared" si="17"/>
        <v>144.84</v>
      </c>
      <c r="U138" s="180">
        <f t="shared" si="18"/>
        <v>33.96</v>
      </c>
      <c r="V138" s="180">
        <f t="shared" si="19"/>
        <v>72.039999999999992</v>
      </c>
      <c r="W138" s="181">
        <f t="shared" si="23"/>
        <v>994.37212799999998</v>
      </c>
      <c r="Y138" s="174">
        <f t="shared" si="20"/>
        <v>4204.8</v>
      </c>
      <c r="Z138" s="174">
        <f t="shared" si="21"/>
        <v>3153.6</v>
      </c>
      <c r="AA138" s="174">
        <f t="shared" si="22"/>
        <v>3715.0568930733016</v>
      </c>
      <c r="AD138" s="182"/>
    </row>
    <row r="139" spans="1:30" x14ac:dyDescent="0.2">
      <c r="A139" s="162" t="s">
        <v>257</v>
      </c>
      <c r="B139" s="162">
        <v>0.96</v>
      </c>
      <c r="C139" s="162">
        <v>0.02</v>
      </c>
      <c r="D139" s="162">
        <v>12.66</v>
      </c>
      <c r="E139" s="162">
        <v>0</v>
      </c>
      <c r="F139" s="178">
        <v>13.64</v>
      </c>
      <c r="G139" s="162">
        <v>0</v>
      </c>
      <c r="H139" s="162">
        <v>0</v>
      </c>
      <c r="I139" s="162">
        <v>32.28</v>
      </c>
      <c r="J139" s="162">
        <v>0</v>
      </c>
      <c r="K139" s="178">
        <v>32.28</v>
      </c>
      <c r="L139" s="162">
        <v>0</v>
      </c>
      <c r="M139" s="162">
        <v>0</v>
      </c>
      <c r="N139" s="162">
        <v>67.84</v>
      </c>
      <c r="O139" s="162">
        <v>0</v>
      </c>
      <c r="P139" s="178">
        <v>67.84</v>
      </c>
      <c r="Q139" s="162">
        <v>113.76</v>
      </c>
      <c r="R139" s="180">
        <v>126.78190000000001</v>
      </c>
      <c r="S139" s="180">
        <f t="shared" si="16"/>
        <v>0.96</v>
      </c>
      <c r="T139" s="180">
        <f t="shared" si="17"/>
        <v>0.02</v>
      </c>
      <c r="U139" s="180">
        <f t="shared" si="18"/>
        <v>112.78</v>
      </c>
      <c r="V139" s="180">
        <f t="shared" si="19"/>
        <v>0</v>
      </c>
      <c r="W139" s="181">
        <f t="shared" si="23"/>
        <v>437.79676800000004</v>
      </c>
      <c r="Y139" s="174">
        <f t="shared" si="20"/>
        <v>3854.4</v>
      </c>
      <c r="Z139" s="174">
        <f t="shared" si="21"/>
        <v>3153.6</v>
      </c>
      <c r="AA139" s="174">
        <f t="shared" si="22"/>
        <v>3848.4244725738399</v>
      </c>
      <c r="AD139" s="182"/>
    </row>
    <row r="140" spans="1:30" x14ac:dyDescent="0.2">
      <c r="A140" s="162" t="s">
        <v>258</v>
      </c>
      <c r="B140" s="162">
        <v>0</v>
      </c>
      <c r="C140" s="162">
        <v>0.12</v>
      </c>
      <c r="D140" s="162">
        <v>0.54</v>
      </c>
      <c r="E140" s="162">
        <v>0</v>
      </c>
      <c r="F140" s="178">
        <v>0.66</v>
      </c>
      <c r="G140" s="162">
        <v>0</v>
      </c>
      <c r="H140" s="162">
        <v>7.18</v>
      </c>
      <c r="I140" s="162">
        <v>4.1399999999999997</v>
      </c>
      <c r="J140" s="162">
        <v>0</v>
      </c>
      <c r="K140" s="178">
        <v>11.32</v>
      </c>
      <c r="L140" s="162">
        <v>17.04</v>
      </c>
      <c r="M140" s="162">
        <v>26.36</v>
      </c>
      <c r="N140" s="162">
        <v>113.86</v>
      </c>
      <c r="O140" s="162">
        <v>0</v>
      </c>
      <c r="P140" s="178">
        <v>157.26</v>
      </c>
      <c r="Q140" s="162">
        <v>169.23999999999998</v>
      </c>
      <c r="R140" s="180">
        <v>47.736699999999999</v>
      </c>
      <c r="S140" s="180">
        <f t="shared" si="16"/>
        <v>17.04</v>
      </c>
      <c r="T140" s="180">
        <f t="shared" si="17"/>
        <v>33.659999999999997</v>
      </c>
      <c r="U140" s="180">
        <f t="shared" si="18"/>
        <v>118.53999999999999</v>
      </c>
      <c r="V140" s="180">
        <f t="shared" si="19"/>
        <v>0</v>
      </c>
      <c r="W140" s="181">
        <f t="shared" si="23"/>
        <v>628.58256000000006</v>
      </c>
      <c r="Y140" s="174">
        <f t="shared" si="20"/>
        <v>3854.4</v>
      </c>
      <c r="Z140" s="174">
        <f t="shared" si="21"/>
        <v>3153.6</v>
      </c>
      <c r="AA140" s="174">
        <f t="shared" si="22"/>
        <v>3714.148900969039</v>
      </c>
      <c r="AD140" s="182"/>
    </row>
    <row r="141" spans="1:30" x14ac:dyDescent="0.2">
      <c r="A141" s="162" t="s">
        <v>117</v>
      </c>
      <c r="B141" s="162">
        <v>0</v>
      </c>
      <c r="C141" s="162">
        <v>0</v>
      </c>
      <c r="D141" s="162">
        <v>1.7</v>
      </c>
      <c r="E141" s="162">
        <v>0</v>
      </c>
      <c r="F141" s="178">
        <v>1.7</v>
      </c>
      <c r="G141" s="162">
        <v>0</v>
      </c>
      <c r="H141" s="162">
        <v>0</v>
      </c>
      <c r="I141" s="162">
        <v>3.1</v>
      </c>
      <c r="J141" s="162">
        <v>0.18</v>
      </c>
      <c r="K141" s="178">
        <v>3.28</v>
      </c>
      <c r="L141" s="162">
        <v>0</v>
      </c>
      <c r="M141" s="162">
        <v>0</v>
      </c>
      <c r="N141" s="162">
        <v>37.380000000000003</v>
      </c>
      <c r="O141" s="162">
        <v>4.0999999999999996</v>
      </c>
      <c r="P141" s="178">
        <v>41.48</v>
      </c>
      <c r="Q141" s="162">
        <v>46.459999999999994</v>
      </c>
      <c r="R141" s="180">
        <v>21.395877500000001</v>
      </c>
      <c r="S141" s="180">
        <f t="shared" si="16"/>
        <v>0</v>
      </c>
      <c r="T141" s="180">
        <f t="shared" si="17"/>
        <v>0</v>
      </c>
      <c r="U141" s="180">
        <f t="shared" si="18"/>
        <v>42.18</v>
      </c>
      <c r="V141" s="180">
        <f t="shared" si="19"/>
        <v>4.2799999999999994</v>
      </c>
      <c r="W141" s="181">
        <f t="shared" si="23"/>
        <v>180.57513599999999</v>
      </c>
      <c r="Y141" s="174">
        <f t="shared" si="20"/>
        <v>4204.8</v>
      </c>
      <c r="Z141" s="174">
        <f t="shared" si="21"/>
        <v>3854.4</v>
      </c>
      <c r="AA141" s="174">
        <f t="shared" si="22"/>
        <v>3886.679638398623</v>
      </c>
      <c r="AD141" s="182"/>
    </row>
    <row r="142" spans="1:30" x14ac:dyDescent="0.2">
      <c r="A142" s="162" t="s">
        <v>118</v>
      </c>
      <c r="B142" s="162">
        <v>0</v>
      </c>
      <c r="C142" s="162">
        <v>0</v>
      </c>
      <c r="D142" s="162">
        <v>0</v>
      </c>
      <c r="E142" s="162">
        <v>0</v>
      </c>
      <c r="F142" s="178">
        <v>0</v>
      </c>
      <c r="G142" s="162">
        <v>0</v>
      </c>
      <c r="H142" s="162">
        <v>0</v>
      </c>
      <c r="I142" s="162">
        <v>0</v>
      </c>
      <c r="J142" s="162">
        <v>0</v>
      </c>
      <c r="K142" s="178">
        <v>0</v>
      </c>
      <c r="L142" s="162">
        <v>0</v>
      </c>
      <c r="M142" s="162">
        <v>0</v>
      </c>
      <c r="N142" s="162">
        <v>0</v>
      </c>
      <c r="O142" s="162">
        <v>0</v>
      </c>
      <c r="P142" s="178">
        <v>0</v>
      </c>
      <c r="Q142" s="162">
        <v>0</v>
      </c>
      <c r="R142" s="180">
        <v>15.76225</v>
      </c>
      <c r="S142" s="180">
        <f t="shared" si="16"/>
        <v>0</v>
      </c>
      <c r="T142" s="180">
        <f t="shared" si="17"/>
        <v>0</v>
      </c>
      <c r="U142" s="180">
        <f t="shared" si="18"/>
        <v>0</v>
      </c>
      <c r="V142" s="180">
        <f t="shared" si="19"/>
        <v>0</v>
      </c>
      <c r="W142" s="181">
        <f t="shared" si="23"/>
        <v>0</v>
      </c>
      <c r="Y142" s="174" t="str">
        <f t="shared" si="20"/>
        <v/>
      </c>
      <c r="Z142" s="174" t="str">
        <f t="shared" si="21"/>
        <v/>
      </c>
      <c r="AA142" s="174" t="str">
        <f t="shared" si="22"/>
        <v/>
      </c>
      <c r="AD142" s="182"/>
    </row>
    <row r="143" spans="1:30" x14ac:dyDescent="0.2">
      <c r="A143" s="162" t="s">
        <v>259</v>
      </c>
      <c r="B143" s="162">
        <v>0</v>
      </c>
      <c r="C143" s="162">
        <v>0</v>
      </c>
      <c r="D143" s="162">
        <v>0.22</v>
      </c>
      <c r="E143" s="162">
        <v>0</v>
      </c>
      <c r="F143" s="178">
        <v>0.22</v>
      </c>
      <c r="G143" s="162">
        <v>0</v>
      </c>
      <c r="H143" s="162">
        <v>0</v>
      </c>
      <c r="I143" s="162">
        <v>0.16</v>
      </c>
      <c r="J143" s="162">
        <v>0</v>
      </c>
      <c r="K143" s="178">
        <v>0.16</v>
      </c>
      <c r="L143" s="162">
        <v>0</v>
      </c>
      <c r="M143" s="162">
        <v>0</v>
      </c>
      <c r="N143" s="162">
        <v>0.9</v>
      </c>
      <c r="O143" s="162">
        <v>1.38</v>
      </c>
      <c r="P143" s="178">
        <v>2.2799999999999998</v>
      </c>
      <c r="Q143" s="162">
        <v>2.6599999999999997</v>
      </c>
      <c r="R143" s="180">
        <v>1.5493800000000002</v>
      </c>
      <c r="S143" s="180">
        <f t="shared" si="16"/>
        <v>0</v>
      </c>
      <c r="T143" s="180">
        <f t="shared" si="17"/>
        <v>0</v>
      </c>
      <c r="U143" s="180">
        <f t="shared" si="18"/>
        <v>1.28</v>
      </c>
      <c r="V143" s="180">
        <f t="shared" si="19"/>
        <v>1.38</v>
      </c>
      <c r="W143" s="181">
        <f t="shared" si="23"/>
        <v>10.736256000000001</v>
      </c>
      <c r="Y143" s="174">
        <f t="shared" si="20"/>
        <v>4204.8</v>
      </c>
      <c r="Z143" s="174">
        <f t="shared" si="21"/>
        <v>3854.4</v>
      </c>
      <c r="AA143" s="174">
        <f t="shared" si="22"/>
        <v>4036.1864661654145</v>
      </c>
      <c r="AD143" s="182"/>
    </row>
    <row r="144" spans="1:30" x14ac:dyDescent="0.2">
      <c r="A144" s="162" t="s">
        <v>270</v>
      </c>
      <c r="B144" s="162">
        <v>0.14000000000000001</v>
      </c>
      <c r="C144" s="162">
        <v>0.36</v>
      </c>
      <c r="D144" s="162">
        <v>1.46</v>
      </c>
      <c r="E144" s="162">
        <v>0</v>
      </c>
      <c r="F144" s="178">
        <v>1.96</v>
      </c>
      <c r="G144" s="162">
        <v>25.56</v>
      </c>
      <c r="H144" s="162">
        <v>33.06</v>
      </c>
      <c r="I144" s="162">
        <v>9.94</v>
      </c>
      <c r="J144" s="162">
        <v>0.14000000000000001</v>
      </c>
      <c r="K144" s="178">
        <v>68.7</v>
      </c>
      <c r="L144" s="162">
        <v>44.9</v>
      </c>
      <c r="M144" s="162">
        <v>129.80000000000001</v>
      </c>
      <c r="N144" s="162">
        <v>190.26</v>
      </c>
      <c r="O144" s="162">
        <v>65.7</v>
      </c>
      <c r="P144" s="178">
        <v>430.66</v>
      </c>
      <c r="Q144" s="162">
        <v>501.32000000000005</v>
      </c>
      <c r="R144" s="180">
        <v>376.35147499999994</v>
      </c>
      <c r="S144" s="180">
        <f t="shared" si="16"/>
        <v>70.599999999999994</v>
      </c>
      <c r="T144" s="180">
        <f t="shared" si="17"/>
        <v>163.22000000000003</v>
      </c>
      <c r="U144" s="180">
        <f t="shared" si="18"/>
        <v>201.66</v>
      </c>
      <c r="V144" s="180">
        <f t="shared" si="19"/>
        <v>65.84</v>
      </c>
      <c r="W144" s="181">
        <f t="shared" si="23"/>
        <v>1848.6893760000003</v>
      </c>
      <c r="Y144" s="174">
        <f t="shared" si="20"/>
        <v>4204.8</v>
      </c>
      <c r="Z144" s="174">
        <f t="shared" si="21"/>
        <v>3153.6</v>
      </c>
      <c r="AA144" s="174">
        <f t="shared" si="22"/>
        <v>3687.643373493976</v>
      </c>
      <c r="AD144" s="182"/>
    </row>
    <row r="145" spans="1:30" x14ac:dyDescent="0.2">
      <c r="A145" s="162" t="s">
        <v>98</v>
      </c>
      <c r="B145" s="162">
        <v>0</v>
      </c>
      <c r="C145" s="162">
        <v>0</v>
      </c>
      <c r="D145" s="162">
        <v>0</v>
      </c>
      <c r="E145" s="162">
        <v>0</v>
      </c>
      <c r="F145" s="178">
        <v>0</v>
      </c>
      <c r="G145" s="162">
        <v>0</v>
      </c>
      <c r="H145" s="162">
        <v>0</v>
      </c>
      <c r="I145" s="162">
        <v>0</v>
      </c>
      <c r="J145" s="162">
        <v>0</v>
      </c>
      <c r="K145" s="178">
        <v>0</v>
      </c>
      <c r="L145" s="162">
        <v>0</v>
      </c>
      <c r="M145" s="162">
        <v>0</v>
      </c>
      <c r="N145" s="162">
        <v>0</v>
      </c>
      <c r="O145" s="162">
        <v>0</v>
      </c>
      <c r="P145" s="178">
        <v>0</v>
      </c>
      <c r="Q145" s="162">
        <v>0</v>
      </c>
      <c r="R145" s="180">
        <v>4.9907500000000002</v>
      </c>
      <c r="S145" s="180">
        <f t="shared" si="16"/>
        <v>0</v>
      </c>
      <c r="T145" s="180">
        <f t="shared" si="17"/>
        <v>0</v>
      </c>
      <c r="U145" s="180">
        <f t="shared" si="18"/>
        <v>0</v>
      </c>
      <c r="V145" s="180">
        <f t="shared" si="19"/>
        <v>0</v>
      </c>
      <c r="W145" s="181">
        <f t="shared" si="23"/>
        <v>0</v>
      </c>
      <c r="Y145" s="174" t="str">
        <f t="shared" si="20"/>
        <v/>
      </c>
      <c r="Z145" s="174" t="str">
        <f t="shared" si="21"/>
        <v/>
      </c>
      <c r="AA145" s="174" t="str">
        <f t="shared" si="22"/>
        <v/>
      </c>
      <c r="AD145" s="182"/>
    </row>
    <row r="146" spans="1:30" x14ac:dyDescent="0.2">
      <c r="A146" s="162" t="s">
        <v>260</v>
      </c>
      <c r="B146" s="162">
        <v>2.82</v>
      </c>
      <c r="C146" s="162">
        <v>0</v>
      </c>
      <c r="D146" s="162">
        <v>0</v>
      </c>
      <c r="E146" s="162">
        <v>0</v>
      </c>
      <c r="F146" s="178">
        <v>2.82</v>
      </c>
      <c r="G146" s="162">
        <v>27.62</v>
      </c>
      <c r="H146" s="162">
        <v>19.72</v>
      </c>
      <c r="I146" s="162">
        <v>0</v>
      </c>
      <c r="J146" s="162">
        <v>0</v>
      </c>
      <c r="K146" s="178">
        <v>47.34</v>
      </c>
      <c r="L146" s="162">
        <v>4.8600000000000003</v>
      </c>
      <c r="M146" s="162">
        <v>74.08</v>
      </c>
      <c r="N146" s="162">
        <v>0</v>
      </c>
      <c r="O146" s="162">
        <v>0</v>
      </c>
      <c r="P146" s="178">
        <v>78.94</v>
      </c>
      <c r="Q146" s="162">
        <v>129.1</v>
      </c>
      <c r="R146" s="180">
        <v>49.292234999999998</v>
      </c>
      <c r="S146" s="180">
        <f t="shared" si="16"/>
        <v>35.300000000000004</v>
      </c>
      <c r="T146" s="180">
        <f t="shared" si="17"/>
        <v>93.8</v>
      </c>
      <c r="U146" s="180">
        <f t="shared" si="18"/>
        <v>0</v>
      </c>
      <c r="V146" s="180">
        <f t="shared" si="19"/>
        <v>0</v>
      </c>
      <c r="W146" s="181">
        <f t="shared" si="23"/>
        <v>439.99728000000005</v>
      </c>
      <c r="Y146" s="174">
        <f t="shared" si="20"/>
        <v>3504</v>
      </c>
      <c r="Z146" s="174">
        <f t="shared" si="21"/>
        <v>3153.6</v>
      </c>
      <c r="AA146" s="174">
        <f t="shared" si="22"/>
        <v>3408.1896204492646</v>
      </c>
      <c r="AD146" s="182"/>
    </row>
    <row r="147" spans="1:30" x14ac:dyDescent="0.2">
      <c r="A147" s="162" t="s">
        <v>261</v>
      </c>
      <c r="B147" s="162">
        <v>7.3</v>
      </c>
      <c r="C147" s="162">
        <v>70.900000000000006</v>
      </c>
      <c r="D147" s="162">
        <v>47.6</v>
      </c>
      <c r="E147" s="162">
        <v>138.22</v>
      </c>
      <c r="F147" s="178">
        <v>264.02</v>
      </c>
      <c r="G147" s="162">
        <v>30.48</v>
      </c>
      <c r="H147" s="162">
        <v>90.8</v>
      </c>
      <c r="I147" s="162">
        <v>164.52</v>
      </c>
      <c r="J147" s="162">
        <v>586.46</v>
      </c>
      <c r="K147" s="178">
        <v>872.26</v>
      </c>
      <c r="L147" s="162">
        <v>217.62</v>
      </c>
      <c r="M147" s="162">
        <v>622.48</v>
      </c>
      <c r="N147" s="162">
        <v>1474.94</v>
      </c>
      <c r="O147" s="162">
        <v>3817</v>
      </c>
      <c r="P147" s="178">
        <v>6132.04</v>
      </c>
      <c r="Q147" s="162">
        <v>7268.32</v>
      </c>
      <c r="R147" s="180">
        <v>823.70034999999996</v>
      </c>
      <c r="S147" s="180">
        <f t="shared" si="16"/>
        <v>255.4</v>
      </c>
      <c r="T147" s="180">
        <f t="shared" si="17"/>
        <v>784.18000000000006</v>
      </c>
      <c r="U147" s="180">
        <f t="shared" si="18"/>
        <v>1687.06</v>
      </c>
      <c r="V147" s="180">
        <f t="shared" si="19"/>
        <v>4541.68</v>
      </c>
      <c r="W147" s="181">
        <f t="shared" si="23"/>
        <v>29152.656288000002</v>
      </c>
      <c r="X147" s="183"/>
      <c r="Y147" s="174">
        <f t="shared" si="20"/>
        <v>4204.8</v>
      </c>
      <c r="Z147" s="174">
        <f t="shared" si="21"/>
        <v>3153.6</v>
      </c>
      <c r="AA147" s="174">
        <f t="shared" si="22"/>
        <v>4010.92085763973</v>
      </c>
      <c r="AD147" s="182"/>
    </row>
    <row r="148" spans="1:30" x14ac:dyDescent="0.2">
      <c r="A148" s="162" t="s">
        <v>119</v>
      </c>
      <c r="B148" s="162">
        <v>0</v>
      </c>
      <c r="C148" s="162">
        <v>0</v>
      </c>
      <c r="D148" s="162">
        <v>0</v>
      </c>
      <c r="E148" s="162">
        <v>0</v>
      </c>
      <c r="F148" s="178">
        <v>0</v>
      </c>
      <c r="G148" s="162">
        <v>0</v>
      </c>
      <c r="H148" s="162">
        <v>0</v>
      </c>
      <c r="I148" s="162">
        <v>0</v>
      </c>
      <c r="J148" s="162">
        <v>0</v>
      </c>
      <c r="K148" s="178">
        <v>0</v>
      </c>
      <c r="L148" s="162">
        <v>0</v>
      </c>
      <c r="M148" s="162">
        <v>0</v>
      </c>
      <c r="N148" s="162">
        <v>0</v>
      </c>
      <c r="O148" s="162">
        <v>0</v>
      </c>
      <c r="P148" s="178">
        <v>0</v>
      </c>
      <c r="Q148" s="162">
        <v>0</v>
      </c>
      <c r="R148" s="180">
        <v>0.21742500000000001</v>
      </c>
      <c r="S148" s="180">
        <f t="shared" si="16"/>
        <v>0</v>
      </c>
      <c r="T148" s="180">
        <f t="shared" si="17"/>
        <v>0</v>
      </c>
      <c r="U148" s="180">
        <f t="shared" si="18"/>
        <v>0</v>
      </c>
      <c r="V148" s="180">
        <f t="shared" si="19"/>
        <v>0</v>
      </c>
      <c r="W148" s="181">
        <f t="shared" si="23"/>
        <v>0</v>
      </c>
      <c r="Y148" s="174" t="str">
        <f t="shared" si="20"/>
        <v/>
      </c>
      <c r="Z148" s="174" t="str">
        <f t="shared" si="21"/>
        <v/>
      </c>
      <c r="AA148" s="174" t="str">
        <f t="shared" si="22"/>
        <v/>
      </c>
      <c r="AD148" s="182"/>
    </row>
    <row r="149" spans="1:30" x14ac:dyDescent="0.2">
      <c r="A149" s="162" t="s">
        <v>262</v>
      </c>
      <c r="B149" s="162">
        <v>0</v>
      </c>
      <c r="C149" s="162">
        <v>0</v>
      </c>
      <c r="D149" s="162">
        <v>0.02</v>
      </c>
      <c r="E149" s="162">
        <v>0</v>
      </c>
      <c r="F149" s="178">
        <v>0.02</v>
      </c>
      <c r="G149" s="162">
        <v>0</v>
      </c>
      <c r="H149" s="162">
        <v>0.04</v>
      </c>
      <c r="I149" s="162">
        <v>0.08</v>
      </c>
      <c r="J149" s="162">
        <v>0</v>
      </c>
      <c r="K149" s="178">
        <v>0.12</v>
      </c>
      <c r="L149" s="162">
        <v>0</v>
      </c>
      <c r="M149" s="162">
        <v>5</v>
      </c>
      <c r="N149" s="162">
        <v>2.98</v>
      </c>
      <c r="O149" s="162">
        <v>0</v>
      </c>
      <c r="P149" s="178">
        <v>7.98</v>
      </c>
      <c r="Q149" s="162">
        <v>8.120000000000001</v>
      </c>
      <c r="R149" s="180">
        <v>0.10090500000000001</v>
      </c>
      <c r="S149" s="180">
        <f t="shared" si="16"/>
        <v>0</v>
      </c>
      <c r="T149" s="180">
        <f t="shared" si="17"/>
        <v>5.04</v>
      </c>
      <c r="U149" s="180">
        <f t="shared" si="18"/>
        <v>3.08</v>
      </c>
      <c r="V149" s="180">
        <f t="shared" si="19"/>
        <v>0</v>
      </c>
      <c r="W149" s="181">
        <f t="shared" si="23"/>
        <v>29.531711999999999</v>
      </c>
      <c r="Y149" s="174">
        <f t="shared" si="20"/>
        <v>3854.4</v>
      </c>
      <c r="Z149" s="174">
        <f t="shared" si="21"/>
        <v>3504</v>
      </c>
      <c r="AA149" s="174">
        <f t="shared" si="22"/>
        <v>3636.9103448275855</v>
      </c>
      <c r="AD149" s="182"/>
    </row>
    <row r="150" spans="1:30" x14ac:dyDescent="0.2">
      <c r="A150" s="162" t="s">
        <v>120</v>
      </c>
      <c r="B150" s="162">
        <v>0</v>
      </c>
      <c r="C150" s="162">
        <v>0</v>
      </c>
      <c r="D150" s="162">
        <v>0</v>
      </c>
      <c r="E150" s="162">
        <v>0</v>
      </c>
      <c r="F150" s="178">
        <v>0</v>
      </c>
      <c r="G150" s="162">
        <v>0</v>
      </c>
      <c r="H150" s="162">
        <v>0</v>
      </c>
      <c r="I150" s="162">
        <v>0</v>
      </c>
      <c r="J150" s="162">
        <v>0</v>
      </c>
      <c r="K150" s="178">
        <v>0</v>
      </c>
      <c r="L150" s="162">
        <v>15.06</v>
      </c>
      <c r="M150" s="162">
        <v>21.3</v>
      </c>
      <c r="N150" s="162">
        <v>0</v>
      </c>
      <c r="O150" s="162">
        <v>0</v>
      </c>
      <c r="P150" s="178">
        <v>36.36</v>
      </c>
      <c r="Q150" s="162">
        <v>36.36</v>
      </c>
      <c r="R150" s="180">
        <v>160.45425</v>
      </c>
      <c r="S150" s="180">
        <f t="shared" si="16"/>
        <v>15.06</v>
      </c>
      <c r="T150" s="180">
        <f t="shared" si="17"/>
        <v>21.3</v>
      </c>
      <c r="U150" s="180">
        <f t="shared" si="18"/>
        <v>0</v>
      </c>
      <c r="V150" s="180">
        <f t="shared" si="19"/>
        <v>0</v>
      </c>
      <c r="W150" s="181">
        <f t="shared" si="23"/>
        <v>122.128416</v>
      </c>
      <c r="Y150" s="174">
        <f t="shared" si="20"/>
        <v>3504</v>
      </c>
      <c r="Z150" s="174">
        <f t="shared" si="21"/>
        <v>3153.6</v>
      </c>
      <c r="AA150" s="174">
        <f t="shared" si="22"/>
        <v>3358.8673267326731</v>
      </c>
      <c r="AD150" s="182"/>
    </row>
    <row r="151" spans="1:30" x14ac:dyDescent="0.2">
      <c r="A151" s="162" t="s">
        <v>121</v>
      </c>
      <c r="B151" s="162">
        <v>0</v>
      </c>
      <c r="C151" s="162">
        <v>0</v>
      </c>
      <c r="D151" s="162">
        <v>0</v>
      </c>
      <c r="E151" s="162">
        <v>0</v>
      </c>
      <c r="F151" s="178">
        <v>0</v>
      </c>
      <c r="G151" s="162">
        <v>0</v>
      </c>
      <c r="H151" s="162">
        <v>0</v>
      </c>
      <c r="I151" s="162">
        <v>0</v>
      </c>
      <c r="J151" s="162">
        <v>0</v>
      </c>
      <c r="K151" s="178">
        <v>0</v>
      </c>
      <c r="L151" s="162">
        <v>0</v>
      </c>
      <c r="M151" s="162">
        <v>0</v>
      </c>
      <c r="N151" s="162">
        <v>0</v>
      </c>
      <c r="O151" s="162">
        <v>0</v>
      </c>
      <c r="P151" s="178">
        <v>0</v>
      </c>
      <c r="Q151" s="162">
        <v>0</v>
      </c>
      <c r="R151" s="180">
        <v>1.7248375</v>
      </c>
      <c r="S151" s="180">
        <f t="shared" si="16"/>
        <v>0</v>
      </c>
      <c r="T151" s="180">
        <f t="shared" si="17"/>
        <v>0</v>
      </c>
      <c r="U151" s="180">
        <f t="shared" si="18"/>
        <v>0</v>
      </c>
      <c r="V151" s="180">
        <f t="shared" si="19"/>
        <v>0</v>
      </c>
      <c r="W151" s="181">
        <f t="shared" si="23"/>
        <v>0</v>
      </c>
      <c r="Y151" s="174" t="str">
        <f t="shared" si="20"/>
        <v/>
      </c>
      <c r="Z151" s="174" t="str">
        <f t="shared" si="21"/>
        <v/>
      </c>
      <c r="AA151" s="174" t="str">
        <f t="shared" si="22"/>
        <v/>
      </c>
      <c r="AD151" s="182"/>
    </row>
    <row r="152" spans="1:30" x14ac:dyDescent="0.2">
      <c r="A152" s="162" t="s">
        <v>124</v>
      </c>
      <c r="B152" s="162">
        <v>0</v>
      </c>
      <c r="C152" s="162">
        <v>0</v>
      </c>
      <c r="D152" s="162">
        <v>0</v>
      </c>
      <c r="E152" s="162">
        <v>0</v>
      </c>
      <c r="F152" s="178">
        <v>0</v>
      </c>
      <c r="G152" s="162">
        <v>0</v>
      </c>
      <c r="H152" s="162">
        <v>0</v>
      </c>
      <c r="I152" s="162">
        <v>0</v>
      </c>
      <c r="J152" s="162">
        <v>0</v>
      </c>
      <c r="K152" s="178">
        <v>0</v>
      </c>
      <c r="L152" s="162">
        <v>0</v>
      </c>
      <c r="M152" s="162">
        <v>0</v>
      </c>
      <c r="N152" s="162">
        <v>0</v>
      </c>
      <c r="O152" s="162">
        <v>0</v>
      </c>
      <c r="P152" s="178">
        <v>0</v>
      </c>
      <c r="Q152" s="162">
        <v>0</v>
      </c>
      <c r="R152" s="180">
        <v>5.7194999999999996E-2</v>
      </c>
      <c r="S152" s="180">
        <f t="shared" si="16"/>
        <v>0</v>
      </c>
      <c r="T152" s="180">
        <f t="shared" si="17"/>
        <v>0</v>
      </c>
      <c r="U152" s="180">
        <f t="shared" si="18"/>
        <v>0</v>
      </c>
      <c r="V152" s="180">
        <f t="shared" si="19"/>
        <v>0</v>
      </c>
      <c r="W152" s="181">
        <f t="shared" si="23"/>
        <v>0</v>
      </c>
      <c r="Y152" s="174" t="str">
        <f t="shared" si="20"/>
        <v/>
      </c>
      <c r="Z152" s="174" t="str">
        <f t="shared" si="21"/>
        <v/>
      </c>
      <c r="AA152" s="174" t="str">
        <f t="shared" si="22"/>
        <v/>
      </c>
      <c r="AD152" s="182"/>
    </row>
    <row r="153" spans="1:30" x14ac:dyDescent="0.2">
      <c r="A153" s="162" t="s">
        <v>265</v>
      </c>
      <c r="B153" s="162">
        <v>0</v>
      </c>
      <c r="C153" s="162">
        <v>0</v>
      </c>
      <c r="D153" s="162">
        <v>0</v>
      </c>
      <c r="E153" s="162">
        <v>0</v>
      </c>
      <c r="F153" s="178">
        <v>0</v>
      </c>
      <c r="G153" s="162">
        <v>0</v>
      </c>
      <c r="H153" s="162">
        <v>0</v>
      </c>
      <c r="I153" s="162">
        <v>0</v>
      </c>
      <c r="J153" s="162">
        <v>0</v>
      </c>
      <c r="K153" s="178">
        <v>0</v>
      </c>
      <c r="L153" s="162">
        <v>0</v>
      </c>
      <c r="M153" s="162">
        <v>0</v>
      </c>
      <c r="N153" s="162">
        <v>0</v>
      </c>
      <c r="O153" s="162">
        <v>0</v>
      </c>
      <c r="P153" s="178">
        <v>0</v>
      </c>
      <c r="Q153" s="162">
        <v>0</v>
      </c>
      <c r="R153" s="180">
        <v>35.708749999999995</v>
      </c>
      <c r="S153" s="180">
        <f t="shared" si="16"/>
        <v>0</v>
      </c>
      <c r="T153" s="180">
        <f t="shared" si="17"/>
        <v>0</v>
      </c>
      <c r="U153" s="180">
        <f t="shared" si="18"/>
        <v>0</v>
      </c>
      <c r="V153" s="180">
        <f t="shared" si="19"/>
        <v>0</v>
      </c>
      <c r="W153" s="181">
        <f t="shared" si="23"/>
        <v>0</v>
      </c>
      <c r="Y153" s="174" t="str">
        <f t="shared" si="20"/>
        <v/>
      </c>
      <c r="Z153" s="174" t="str">
        <f t="shared" si="21"/>
        <v/>
      </c>
      <c r="AA153" s="174" t="str">
        <f t="shared" si="22"/>
        <v/>
      </c>
      <c r="AD153" s="182"/>
    </row>
    <row r="154" spans="1:30" x14ac:dyDescent="0.2">
      <c r="A154" s="162" t="s">
        <v>266</v>
      </c>
      <c r="B154" s="162">
        <v>0</v>
      </c>
      <c r="C154" s="162">
        <v>0</v>
      </c>
      <c r="D154" s="162">
        <v>0</v>
      </c>
      <c r="E154" s="162">
        <v>0</v>
      </c>
      <c r="F154" s="178">
        <v>0</v>
      </c>
      <c r="G154" s="162">
        <v>0</v>
      </c>
      <c r="H154" s="162">
        <v>0</v>
      </c>
      <c r="I154" s="162">
        <v>0</v>
      </c>
      <c r="J154" s="162">
        <v>0</v>
      </c>
      <c r="K154" s="178">
        <v>0</v>
      </c>
      <c r="L154" s="162">
        <v>0</v>
      </c>
      <c r="M154" s="162">
        <v>0</v>
      </c>
      <c r="N154" s="162">
        <v>0</v>
      </c>
      <c r="O154" s="162">
        <v>0</v>
      </c>
      <c r="P154" s="178">
        <v>0</v>
      </c>
      <c r="Q154" s="162">
        <v>0</v>
      </c>
      <c r="R154" s="180">
        <v>26.128474999999998</v>
      </c>
      <c r="S154" s="180">
        <f t="shared" si="16"/>
        <v>0</v>
      </c>
      <c r="T154" s="180">
        <f t="shared" si="17"/>
        <v>0</v>
      </c>
      <c r="U154" s="180">
        <f t="shared" si="18"/>
        <v>0</v>
      </c>
      <c r="V154" s="180">
        <f t="shared" si="19"/>
        <v>0</v>
      </c>
      <c r="W154" s="181">
        <f t="shared" si="23"/>
        <v>0</v>
      </c>
      <c r="Y154" s="174" t="str">
        <f t="shared" si="20"/>
        <v/>
      </c>
      <c r="Z154" s="174" t="str">
        <f t="shared" si="21"/>
        <v/>
      </c>
      <c r="AA154" s="174" t="str">
        <f t="shared" si="22"/>
        <v/>
      </c>
      <c r="AD154" s="182"/>
    </row>
    <row r="155" spans="1:30" x14ac:dyDescent="0.2">
      <c r="A155" s="162" t="s">
        <v>267</v>
      </c>
      <c r="B155" s="162">
        <v>0</v>
      </c>
      <c r="C155" s="162">
        <v>0</v>
      </c>
      <c r="D155" s="162">
        <v>0</v>
      </c>
      <c r="E155" s="162">
        <v>0</v>
      </c>
      <c r="F155" s="178">
        <v>0</v>
      </c>
      <c r="G155" s="162">
        <v>0</v>
      </c>
      <c r="H155" s="162">
        <v>0</v>
      </c>
      <c r="I155" s="162">
        <v>0</v>
      </c>
      <c r="J155" s="162">
        <v>0</v>
      </c>
      <c r="K155" s="178">
        <v>0</v>
      </c>
      <c r="L155" s="162">
        <v>0</v>
      </c>
      <c r="M155" s="162">
        <v>0</v>
      </c>
      <c r="N155" s="162">
        <v>0</v>
      </c>
      <c r="O155" s="162">
        <v>0</v>
      </c>
      <c r="P155" s="178">
        <v>0</v>
      </c>
      <c r="Q155" s="162">
        <v>0</v>
      </c>
      <c r="R155" s="180">
        <v>13.283972500000001</v>
      </c>
      <c r="S155" s="180">
        <f t="shared" si="16"/>
        <v>0</v>
      </c>
      <c r="T155" s="180">
        <f t="shared" si="17"/>
        <v>0</v>
      </c>
      <c r="U155" s="180">
        <f t="shared" si="18"/>
        <v>0</v>
      </c>
      <c r="V155" s="180">
        <f t="shared" si="19"/>
        <v>0</v>
      </c>
      <c r="W155" s="181">
        <f t="shared" si="23"/>
        <v>0</v>
      </c>
      <c r="Y155" s="174" t="str">
        <f t="shared" si="20"/>
        <v/>
      </c>
      <c r="Z155" s="174" t="str">
        <f t="shared" si="21"/>
        <v/>
      </c>
      <c r="AA155" s="174" t="str">
        <f t="shared" si="22"/>
        <v/>
      </c>
      <c r="AD155" s="182"/>
    </row>
    <row r="156" spans="1:30" x14ac:dyDescent="0.2">
      <c r="A156" s="162" t="s">
        <v>671</v>
      </c>
      <c r="B156" s="162">
        <v>0.04</v>
      </c>
      <c r="C156" s="162">
        <v>2.1</v>
      </c>
      <c r="D156" s="162">
        <v>1.24</v>
      </c>
      <c r="E156" s="162">
        <v>0</v>
      </c>
      <c r="F156" s="178">
        <v>3.38</v>
      </c>
      <c r="G156" s="162">
        <v>0.02</v>
      </c>
      <c r="H156" s="162">
        <v>1.54</v>
      </c>
      <c r="I156" s="162">
        <v>0.42</v>
      </c>
      <c r="J156" s="162">
        <v>0</v>
      </c>
      <c r="K156" s="178">
        <v>1.98</v>
      </c>
      <c r="L156" s="162">
        <v>22.6</v>
      </c>
      <c r="M156" s="162">
        <v>36.68</v>
      </c>
      <c r="N156" s="162">
        <v>7.26</v>
      </c>
      <c r="O156" s="162">
        <v>0</v>
      </c>
      <c r="P156" s="178">
        <v>66.540000000000006</v>
      </c>
      <c r="Q156" s="162">
        <v>71.900000000000006</v>
      </c>
      <c r="R156" s="180">
        <v>6.951750000000001E-2</v>
      </c>
      <c r="S156" s="180">
        <f t="shared" si="16"/>
        <v>22.66</v>
      </c>
      <c r="T156" s="180">
        <f t="shared" si="17"/>
        <v>40.32</v>
      </c>
      <c r="U156" s="180">
        <f t="shared" si="18"/>
        <v>8.92</v>
      </c>
      <c r="V156" s="180">
        <f t="shared" si="19"/>
        <v>0</v>
      </c>
      <c r="W156" s="181">
        <f t="shared" si="23"/>
        <v>247.12310399999998</v>
      </c>
      <c r="Y156" s="174">
        <f t="shared" si="20"/>
        <v>3854.4</v>
      </c>
      <c r="Z156" s="174">
        <f t="shared" si="21"/>
        <v>3153.6</v>
      </c>
      <c r="AA156" s="174">
        <f t="shared" si="22"/>
        <v>3437.0389986091791</v>
      </c>
      <c r="AD156" s="182"/>
    </row>
    <row r="157" spans="1:30" x14ac:dyDescent="0.2">
      <c r="A157" s="162" t="s">
        <v>125</v>
      </c>
      <c r="B157" s="162">
        <v>0</v>
      </c>
      <c r="C157" s="162">
        <v>0</v>
      </c>
      <c r="D157" s="162">
        <v>0.42</v>
      </c>
      <c r="E157" s="162">
        <v>0.92</v>
      </c>
      <c r="F157" s="178">
        <v>1.34</v>
      </c>
      <c r="G157" s="162">
        <v>0</v>
      </c>
      <c r="H157" s="162">
        <v>0</v>
      </c>
      <c r="I157" s="162">
        <v>7.98</v>
      </c>
      <c r="J157" s="162">
        <v>19.079999999999998</v>
      </c>
      <c r="K157" s="178">
        <v>27.06</v>
      </c>
      <c r="L157" s="162">
        <v>4.84</v>
      </c>
      <c r="M157" s="162">
        <v>70.42</v>
      </c>
      <c r="N157" s="162">
        <v>70.3</v>
      </c>
      <c r="O157" s="162">
        <v>157.02000000000001</v>
      </c>
      <c r="P157" s="178">
        <v>302.58</v>
      </c>
      <c r="Q157" s="162">
        <v>330.97999999999996</v>
      </c>
      <c r="R157" s="180">
        <v>0.27783750000000002</v>
      </c>
      <c r="S157" s="180">
        <f t="shared" si="16"/>
        <v>4.84</v>
      </c>
      <c r="T157" s="180">
        <f t="shared" si="17"/>
        <v>70.42</v>
      </c>
      <c r="U157" s="180">
        <f t="shared" si="18"/>
        <v>78.7</v>
      </c>
      <c r="V157" s="180">
        <f t="shared" si="19"/>
        <v>177.02</v>
      </c>
      <c r="W157" s="181">
        <f t="shared" si="23"/>
        <v>1309.6900800000001</v>
      </c>
      <c r="Y157" s="174">
        <f t="shared" si="20"/>
        <v>4204.8</v>
      </c>
      <c r="Z157" s="174">
        <f t="shared" si="21"/>
        <v>3153.6</v>
      </c>
      <c r="AA157" s="174">
        <f t="shared" si="22"/>
        <v>3957.0067073539194</v>
      </c>
      <c r="AD157" s="182"/>
    </row>
    <row r="158" spans="1:30" x14ac:dyDescent="0.2">
      <c r="A158" s="162" t="s">
        <v>126</v>
      </c>
      <c r="B158" s="162">
        <v>0.12</v>
      </c>
      <c r="C158" s="162">
        <v>0.02</v>
      </c>
      <c r="D158" s="162">
        <v>0</v>
      </c>
      <c r="E158" s="162">
        <v>1.28</v>
      </c>
      <c r="F158" s="178">
        <v>1.42</v>
      </c>
      <c r="G158" s="162">
        <v>0.18</v>
      </c>
      <c r="H158" s="162">
        <v>1.2</v>
      </c>
      <c r="I158" s="162">
        <v>0.64</v>
      </c>
      <c r="J158" s="162">
        <v>17.5</v>
      </c>
      <c r="K158" s="178">
        <v>19.52</v>
      </c>
      <c r="L158" s="162">
        <v>46.54</v>
      </c>
      <c r="M158" s="162">
        <v>111.8</v>
      </c>
      <c r="N158" s="162">
        <v>143.47999999999999</v>
      </c>
      <c r="O158" s="162">
        <v>576.94000000000005</v>
      </c>
      <c r="P158" s="178">
        <v>878.76</v>
      </c>
      <c r="Q158" s="162">
        <v>899.7</v>
      </c>
      <c r="R158" s="180">
        <v>211.87857500000001</v>
      </c>
      <c r="S158" s="180">
        <f t="shared" si="16"/>
        <v>46.839999999999996</v>
      </c>
      <c r="T158" s="180">
        <f t="shared" si="17"/>
        <v>113.02</v>
      </c>
      <c r="U158" s="180">
        <f t="shared" si="18"/>
        <v>144.11999999999998</v>
      </c>
      <c r="V158" s="180">
        <f t="shared" si="19"/>
        <v>595.72</v>
      </c>
      <c r="W158" s="181">
        <f t="shared" si="23"/>
        <v>3604.1162880000002</v>
      </c>
      <c r="X158" s="183"/>
      <c r="Y158" s="174">
        <f t="shared" si="20"/>
        <v>4204.8</v>
      </c>
      <c r="Z158" s="174">
        <f t="shared" si="21"/>
        <v>3153.6</v>
      </c>
      <c r="AA158" s="174">
        <f t="shared" si="22"/>
        <v>4005.9089563187731</v>
      </c>
      <c r="AD158" s="182"/>
    </row>
    <row r="159" spans="1:30" x14ac:dyDescent="0.2">
      <c r="A159" s="162" t="s">
        <v>127</v>
      </c>
      <c r="B159" s="162">
        <v>3.04</v>
      </c>
      <c r="C159" s="162">
        <v>8.08</v>
      </c>
      <c r="D159" s="162">
        <v>3.22</v>
      </c>
      <c r="E159" s="162">
        <v>7.02</v>
      </c>
      <c r="F159" s="178">
        <v>21.36</v>
      </c>
      <c r="G159" s="162">
        <v>2.2999999999999998</v>
      </c>
      <c r="H159" s="162">
        <v>4.22</v>
      </c>
      <c r="I159" s="162">
        <v>1.98</v>
      </c>
      <c r="J159" s="162">
        <v>1.42</v>
      </c>
      <c r="K159" s="178">
        <v>9.92</v>
      </c>
      <c r="L159" s="162">
        <v>100.94</v>
      </c>
      <c r="M159" s="162">
        <v>77.88</v>
      </c>
      <c r="N159" s="162">
        <v>27.68</v>
      </c>
      <c r="O159" s="162">
        <v>79.34</v>
      </c>
      <c r="P159" s="178">
        <v>285.83999999999997</v>
      </c>
      <c r="Q159" s="162">
        <v>317.12</v>
      </c>
      <c r="R159" s="180">
        <v>259.43324999999999</v>
      </c>
      <c r="S159" s="180">
        <f t="shared" si="16"/>
        <v>106.28</v>
      </c>
      <c r="T159" s="180">
        <f t="shared" si="17"/>
        <v>90.179999999999993</v>
      </c>
      <c r="U159" s="180">
        <f t="shared" si="18"/>
        <v>32.880000000000003</v>
      </c>
      <c r="V159" s="180">
        <f t="shared" si="19"/>
        <v>87.78</v>
      </c>
      <c r="W159" s="181">
        <f t="shared" si="23"/>
        <v>1146.9853439999999</v>
      </c>
      <c r="Y159" s="174">
        <f t="shared" si="20"/>
        <v>4204.8</v>
      </c>
      <c r="Z159" s="174">
        <f t="shared" si="21"/>
        <v>3153.6</v>
      </c>
      <c r="AA159" s="174">
        <f t="shared" si="22"/>
        <v>3616.8811301715441</v>
      </c>
      <c r="AD159" s="182"/>
    </row>
    <row r="160" spans="1:30" x14ac:dyDescent="0.2">
      <c r="A160" s="162" t="s">
        <v>128</v>
      </c>
      <c r="B160" s="162">
        <v>9.2200000000000006</v>
      </c>
      <c r="C160" s="162">
        <v>12.9</v>
      </c>
      <c r="D160" s="162">
        <v>11.86</v>
      </c>
      <c r="E160" s="162">
        <v>2</v>
      </c>
      <c r="F160" s="178">
        <v>35.979999999999997</v>
      </c>
      <c r="G160" s="162">
        <v>4.58</v>
      </c>
      <c r="H160" s="162">
        <v>13.38</v>
      </c>
      <c r="I160" s="162">
        <v>3.68</v>
      </c>
      <c r="J160" s="162">
        <v>2.68</v>
      </c>
      <c r="K160" s="178">
        <v>24.32</v>
      </c>
      <c r="L160" s="162">
        <v>13.12</v>
      </c>
      <c r="M160" s="162">
        <v>19.48</v>
      </c>
      <c r="N160" s="162">
        <v>27.38</v>
      </c>
      <c r="O160" s="162">
        <v>5.9</v>
      </c>
      <c r="P160" s="178">
        <v>65.88</v>
      </c>
      <c r="Q160" s="162">
        <v>126.17999999999999</v>
      </c>
      <c r="R160" s="180">
        <v>7.5320750000000007</v>
      </c>
      <c r="S160" s="180">
        <f t="shared" si="16"/>
        <v>26.92</v>
      </c>
      <c r="T160" s="180">
        <f t="shared" si="17"/>
        <v>45.760000000000005</v>
      </c>
      <c r="U160" s="180">
        <f t="shared" si="18"/>
        <v>42.92</v>
      </c>
      <c r="V160" s="180">
        <f t="shared" si="19"/>
        <v>10.58</v>
      </c>
      <c r="W160" s="181">
        <f t="shared" si="23"/>
        <v>455.15558399999998</v>
      </c>
      <c r="Y160" s="174">
        <f t="shared" si="20"/>
        <v>4204.8</v>
      </c>
      <c r="Z160" s="174">
        <f t="shared" si="21"/>
        <v>3153.6</v>
      </c>
      <c r="AA160" s="174">
        <f t="shared" si="22"/>
        <v>3607.1927722301475</v>
      </c>
      <c r="AD160" s="182"/>
    </row>
    <row r="161" spans="1:30" x14ac:dyDescent="0.2">
      <c r="A161" s="162" t="s">
        <v>129</v>
      </c>
      <c r="B161" s="162">
        <v>0</v>
      </c>
      <c r="C161" s="162">
        <v>0</v>
      </c>
      <c r="D161" s="162">
        <v>0</v>
      </c>
      <c r="E161" s="162">
        <v>0</v>
      </c>
      <c r="F161" s="178">
        <v>0</v>
      </c>
      <c r="G161" s="162">
        <v>0</v>
      </c>
      <c r="H161" s="162">
        <v>0</v>
      </c>
      <c r="I161" s="162">
        <v>0</v>
      </c>
      <c r="J161" s="162">
        <v>0</v>
      </c>
      <c r="K161" s="178">
        <v>0</v>
      </c>
      <c r="L161" s="162">
        <v>0</v>
      </c>
      <c r="M161" s="162">
        <v>0</v>
      </c>
      <c r="N161" s="162">
        <v>0</v>
      </c>
      <c r="O161" s="162">
        <v>0</v>
      </c>
      <c r="P161" s="178">
        <v>0</v>
      </c>
      <c r="Q161" s="162">
        <v>0</v>
      </c>
      <c r="R161" s="180">
        <v>3.3345000000000002</v>
      </c>
      <c r="S161" s="180">
        <f t="shared" si="16"/>
        <v>0</v>
      </c>
      <c r="T161" s="180">
        <f t="shared" si="17"/>
        <v>0</v>
      </c>
      <c r="U161" s="180">
        <f t="shared" si="18"/>
        <v>0</v>
      </c>
      <c r="V161" s="180">
        <f t="shared" si="19"/>
        <v>0</v>
      </c>
      <c r="W161" s="181">
        <f t="shared" si="23"/>
        <v>0</v>
      </c>
      <c r="Y161" s="174" t="str">
        <f t="shared" si="20"/>
        <v/>
      </c>
      <c r="Z161" s="174" t="str">
        <f t="shared" si="21"/>
        <v/>
      </c>
      <c r="AA161" s="174" t="str">
        <f t="shared" si="22"/>
        <v/>
      </c>
      <c r="AD161" s="182"/>
    </row>
    <row r="162" spans="1:30" x14ac:dyDescent="0.2">
      <c r="A162" s="162" t="s">
        <v>130</v>
      </c>
      <c r="B162" s="162">
        <v>61.08</v>
      </c>
      <c r="C162" s="162">
        <v>2.96</v>
      </c>
      <c r="D162" s="162">
        <v>0</v>
      </c>
      <c r="E162" s="162">
        <v>0</v>
      </c>
      <c r="F162" s="178">
        <v>64.040000000000006</v>
      </c>
      <c r="G162" s="162">
        <v>84.5</v>
      </c>
      <c r="H162" s="162">
        <v>37.54</v>
      </c>
      <c r="I162" s="162">
        <v>0</v>
      </c>
      <c r="J162" s="162">
        <v>0</v>
      </c>
      <c r="K162" s="178">
        <v>122.04</v>
      </c>
      <c r="L162" s="162">
        <v>3.04</v>
      </c>
      <c r="M162" s="162">
        <v>127.8</v>
      </c>
      <c r="N162" s="162">
        <v>0</v>
      </c>
      <c r="O162" s="162">
        <v>0</v>
      </c>
      <c r="P162" s="178">
        <v>130.84</v>
      </c>
      <c r="Q162" s="162">
        <v>316.92</v>
      </c>
      <c r="R162" s="180">
        <v>1.41825</v>
      </c>
      <c r="S162" s="180">
        <f t="shared" si="16"/>
        <v>148.61999999999998</v>
      </c>
      <c r="T162" s="180">
        <f t="shared" si="17"/>
        <v>168.3</v>
      </c>
      <c r="U162" s="180">
        <f t="shared" si="18"/>
        <v>0</v>
      </c>
      <c r="V162" s="180">
        <f t="shared" si="19"/>
        <v>0</v>
      </c>
      <c r="W162" s="181">
        <f t="shared" si="23"/>
        <v>1058.4112319999999</v>
      </c>
      <c r="Y162" s="174">
        <f t="shared" si="20"/>
        <v>3504</v>
      </c>
      <c r="Z162" s="174">
        <f t="shared" si="21"/>
        <v>3153.6</v>
      </c>
      <c r="AA162" s="174">
        <f t="shared" si="22"/>
        <v>3339.6795153350995</v>
      </c>
      <c r="AD162" s="182"/>
    </row>
    <row r="163" spans="1:30" x14ac:dyDescent="0.2">
      <c r="A163" s="162" t="s">
        <v>131</v>
      </c>
      <c r="B163" s="162">
        <v>0</v>
      </c>
      <c r="C163" s="162">
        <v>0</v>
      </c>
      <c r="D163" s="162">
        <v>0</v>
      </c>
      <c r="E163" s="162">
        <v>0</v>
      </c>
      <c r="F163" s="178">
        <v>0</v>
      </c>
      <c r="G163" s="162">
        <v>0</v>
      </c>
      <c r="H163" s="162">
        <v>0</v>
      </c>
      <c r="I163" s="162">
        <v>0</v>
      </c>
      <c r="J163" s="162">
        <v>0</v>
      </c>
      <c r="K163" s="178">
        <v>0</v>
      </c>
      <c r="L163" s="162">
        <v>0</v>
      </c>
      <c r="M163" s="162">
        <v>0</v>
      </c>
      <c r="N163" s="162">
        <v>0</v>
      </c>
      <c r="O163" s="162">
        <v>0</v>
      </c>
      <c r="P163" s="178">
        <v>0</v>
      </c>
      <c r="Q163" s="162">
        <v>0</v>
      </c>
      <c r="R163" s="180">
        <v>1.2125400000000002</v>
      </c>
      <c r="S163" s="180">
        <f t="shared" si="16"/>
        <v>0</v>
      </c>
      <c r="T163" s="180">
        <f t="shared" si="17"/>
        <v>0</v>
      </c>
      <c r="U163" s="180">
        <f t="shared" si="18"/>
        <v>0</v>
      </c>
      <c r="V163" s="180">
        <f t="shared" si="19"/>
        <v>0</v>
      </c>
      <c r="W163" s="181">
        <f t="shared" si="23"/>
        <v>0</v>
      </c>
      <c r="Y163" s="174" t="str">
        <f t="shared" si="20"/>
        <v/>
      </c>
      <c r="Z163" s="174" t="str">
        <f t="shared" si="21"/>
        <v/>
      </c>
      <c r="AA163" s="174" t="str">
        <f t="shared" si="22"/>
        <v/>
      </c>
      <c r="AD163" s="182"/>
    </row>
    <row r="164" spans="1:30" x14ac:dyDescent="0.2">
      <c r="A164" s="162" t="s">
        <v>132</v>
      </c>
      <c r="B164" s="162">
        <v>2.16</v>
      </c>
      <c r="C164" s="162">
        <v>0.92</v>
      </c>
      <c r="D164" s="162">
        <v>18.72</v>
      </c>
      <c r="E164" s="162">
        <v>0</v>
      </c>
      <c r="F164" s="178">
        <v>21.8</v>
      </c>
      <c r="G164" s="162">
        <v>3.92</v>
      </c>
      <c r="H164" s="162">
        <v>13.6</v>
      </c>
      <c r="I164" s="162">
        <v>120.64</v>
      </c>
      <c r="J164" s="162">
        <v>0</v>
      </c>
      <c r="K164" s="178">
        <v>138.16</v>
      </c>
      <c r="L164" s="162">
        <v>0.44</v>
      </c>
      <c r="M164" s="162">
        <v>17.32</v>
      </c>
      <c r="N164" s="162">
        <v>239.58</v>
      </c>
      <c r="O164" s="162">
        <v>2.2999999999999998</v>
      </c>
      <c r="P164" s="178">
        <v>259.64</v>
      </c>
      <c r="Q164" s="162">
        <v>419.6</v>
      </c>
      <c r="R164" s="180">
        <v>133.64429999999999</v>
      </c>
      <c r="S164" s="180">
        <f t="shared" si="16"/>
        <v>6.5200000000000005</v>
      </c>
      <c r="T164" s="180">
        <f t="shared" si="17"/>
        <v>31.84</v>
      </c>
      <c r="U164" s="180">
        <f t="shared" si="18"/>
        <v>378.94000000000005</v>
      </c>
      <c r="V164" s="180">
        <f t="shared" si="19"/>
        <v>2.2999999999999998</v>
      </c>
      <c r="W164" s="181">
        <f t="shared" si="23"/>
        <v>1602.3862080000004</v>
      </c>
      <c r="Y164" s="174">
        <f t="shared" si="20"/>
        <v>4204.8</v>
      </c>
      <c r="Z164" s="174">
        <f t="shared" si="21"/>
        <v>3153.6</v>
      </c>
      <c r="AA164" s="174">
        <f t="shared" si="22"/>
        <v>3818.8422497616784</v>
      </c>
      <c r="AD164" s="182"/>
    </row>
    <row r="165" spans="1:30" x14ac:dyDescent="0.2">
      <c r="A165" s="162" t="s">
        <v>133</v>
      </c>
      <c r="B165" s="162">
        <v>0</v>
      </c>
      <c r="C165" s="162">
        <v>0</v>
      </c>
      <c r="D165" s="162">
        <v>0</v>
      </c>
      <c r="E165" s="162">
        <v>0</v>
      </c>
      <c r="F165" s="178">
        <v>0</v>
      </c>
      <c r="G165" s="162">
        <v>0</v>
      </c>
      <c r="H165" s="162">
        <v>0</v>
      </c>
      <c r="I165" s="162">
        <v>0</v>
      </c>
      <c r="J165" s="162">
        <v>0</v>
      </c>
      <c r="K165" s="178">
        <v>0</v>
      </c>
      <c r="L165" s="162">
        <v>0</v>
      </c>
      <c r="M165" s="162">
        <v>0</v>
      </c>
      <c r="N165" s="162">
        <v>0</v>
      </c>
      <c r="O165" s="162">
        <v>0</v>
      </c>
      <c r="P165" s="178">
        <v>0</v>
      </c>
      <c r="Q165" s="162">
        <v>0</v>
      </c>
      <c r="R165" s="180">
        <v>58.007300000000001</v>
      </c>
      <c r="S165" s="180">
        <f t="shared" si="16"/>
        <v>0</v>
      </c>
      <c r="T165" s="180">
        <f t="shared" si="17"/>
        <v>0</v>
      </c>
      <c r="U165" s="180">
        <f t="shared" si="18"/>
        <v>0</v>
      </c>
      <c r="V165" s="180">
        <f t="shared" si="19"/>
        <v>0</v>
      </c>
      <c r="W165" s="181">
        <f t="shared" si="23"/>
        <v>0</v>
      </c>
      <c r="Y165" s="174" t="str">
        <f t="shared" si="20"/>
        <v/>
      </c>
      <c r="Z165" s="174" t="str">
        <f t="shared" si="21"/>
        <v/>
      </c>
      <c r="AA165" s="174" t="str">
        <f t="shared" si="22"/>
        <v/>
      </c>
      <c r="AD165" s="182"/>
    </row>
    <row r="166" spans="1:30" x14ac:dyDescent="0.2">
      <c r="A166" s="162" t="s">
        <v>277</v>
      </c>
      <c r="B166" s="162">
        <v>0</v>
      </c>
      <c r="C166" s="162">
        <v>0</v>
      </c>
      <c r="D166" s="162">
        <v>0</v>
      </c>
      <c r="E166" s="162">
        <v>0</v>
      </c>
      <c r="F166" s="178">
        <v>0</v>
      </c>
      <c r="G166" s="162">
        <v>0</v>
      </c>
      <c r="H166" s="162">
        <v>0</v>
      </c>
      <c r="I166" s="162">
        <v>0</v>
      </c>
      <c r="J166" s="162">
        <v>0</v>
      </c>
      <c r="K166" s="178">
        <v>0</v>
      </c>
      <c r="L166" s="162">
        <v>0</v>
      </c>
      <c r="M166" s="162">
        <v>0</v>
      </c>
      <c r="N166" s="162">
        <v>0</v>
      </c>
      <c r="O166" s="162">
        <v>0</v>
      </c>
      <c r="P166" s="178">
        <v>0</v>
      </c>
      <c r="Q166" s="162">
        <v>0</v>
      </c>
      <c r="R166" s="180">
        <v>26.874750000000002</v>
      </c>
      <c r="S166" s="180">
        <f t="shared" si="16"/>
        <v>0</v>
      </c>
      <c r="T166" s="180">
        <f t="shared" si="17"/>
        <v>0</v>
      </c>
      <c r="U166" s="180">
        <f t="shared" si="18"/>
        <v>0</v>
      </c>
      <c r="V166" s="180">
        <f t="shared" si="19"/>
        <v>0</v>
      </c>
      <c r="W166" s="181">
        <f t="shared" si="23"/>
        <v>0</v>
      </c>
      <c r="Y166" s="174" t="str">
        <f t="shared" si="20"/>
        <v/>
      </c>
      <c r="Z166" s="174" t="str">
        <f t="shared" si="21"/>
        <v/>
      </c>
      <c r="AA166" s="174" t="str">
        <f t="shared" si="22"/>
        <v/>
      </c>
      <c r="AD166" s="182"/>
    </row>
    <row r="167" spans="1:30" x14ac:dyDescent="0.2">
      <c r="A167" s="162" t="s">
        <v>26</v>
      </c>
      <c r="B167" s="162">
        <v>0</v>
      </c>
      <c r="C167" s="162">
        <v>0</v>
      </c>
      <c r="D167" s="162">
        <v>0</v>
      </c>
      <c r="E167" s="162">
        <v>44.74</v>
      </c>
      <c r="F167" s="178">
        <v>44.74</v>
      </c>
      <c r="G167" s="162">
        <v>0</v>
      </c>
      <c r="H167" s="162">
        <v>0</v>
      </c>
      <c r="I167" s="162">
        <v>0.1</v>
      </c>
      <c r="J167" s="162">
        <v>68.959999999999994</v>
      </c>
      <c r="K167" s="178">
        <v>69.06</v>
      </c>
      <c r="L167" s="162">
        <v>0</v>
      </c>
      <c r="M167" s="162">
        <v>0.18</v>
      </c>
      <c r="N167" s="162">
        <v>39.4</v>
      </c>
      <c r="O167" s="162">
        <v>498.9</v>
      </c>
      <c r="P167" s="178">
        <v>538.48</v>
      </c>
      <c r="Q167" s="162">
        <v>652.28</v>
      </c>
      <c r="R167" s="180">
        <v>208.41354999999999</v>
      </c>
      <c r="S167" s="180">
        <f t="shared" si="16"/>
        <v>0</v>
      </c>
      <c r="T167" s="180">
        <f t="shared" si="17"/>
        <v>0.18</v>
      </c>
      <c r="U167" s="180">
        <f t="shared" si="18"/>
        <v>39.5</v>
      </c>
      <c r="V167" s="180">
        <f t="shared" si="19"/>
        <v>612.59999999999991</v>
      </c>
      <c r="W167" s="181">
        <f t="shared" si="23"/>
        <v>2728.7399999999993</v>
      </c>
      <c r="Y167" s="174">
        <f t="shared" si="20"/>
        <v>4204.8</v>
      </c>
      <c r="Z167" s="174">
        <f t="shared" si="21"/>
        <v>3504</v>
      </c>
      <c r="AA167" s="174">
        <f t="shared" si="22"/>
        <v>4183.3875022996253</v>
      </c>
      <c r="AD167" s="182"/>
    </row>
    <row r="168" spans="1:30" x14ac:dyDescent="0.2">
      <c r="A168" s="162" t="s">
        <v>134</v>
      </c>
      <c r="B168" s="162">
        <v>0</v>
      </c>
      <c r="C168" s="162">
        <v>0</v>
      </c>
      <c r="D168" s="162">
        <v>0</v>
      </c>
      <c r="E168" s="162">
        <v>0</v>
      </c>
      <c r="F168" s="178">
        <v>0</v>
      </c>
      <c r="G168" s="162">
        <v>0</v>
      </c>
      <c r="H168" s="162">
        <v>0</v>
      </c>
      <c r="I168" s="162">
        <v>0</v>
      </c>
      <c r="J168" s="162">
        <v>0</v>
      </c>
      <c r="K168" s="178">
        <v>0</v>
      </c>
      <c r="L168" s="162">
        <v>0</v>
      </c>
      <c r="M168" s="162">
        <v>0</v>
      </c>
      <c r="N168" s="162">
        <v>0</v>
      </c>
      <c r="O168" s="162">
        <v>0</v>
      </c>
      <c r="P168" s="178">
        <v>0</v>
      </c>
      <c r="Q168" s="162">
        <v>0</v>
      </c>
      <c r="R168" s="180">
        <v>14.36825</v>
      </c>
      <c r="S168" s="180">
        <f t="shared" si="16"/>
        <v>0</v>
      </c>
      <c r="T168" s="180">
        <f t="shared" si="17"/>
        <v>0</v>
      </c>
      <c r="U168" s="180">
        <f t="shared" si="18"/>
        <v>0</v>
      </c>
      <c r="V168" s="180">
        <f t="shared" si="19"/>
        <v>0</v>
      </c>
      <c r="W168" s="181">
        <f t="shared" si="23"/>
        <v>0</v>
      </c>
      <c r="Y168" s="174" t="str">
        <f t="shared" si="20"/>
        <v/>
      </c>
      <c r="Z168" s="174" t="str">
        <f t="shared" si="21"/>
        <v/>
      </c>
      <c r="AA168" s="174" t="str">
        <f t="shared" si="22"/>
        <v/>
      </c>
      <c r="AD168" s="182"/>
    </row>
    <row r="169" spans="1:30" x14ac:dyDescent="0.2">
      <c r="A169" s="162" t="s">
        <v>237</v>
      </c>
      <c r="B169" s="162">
        <v>0</v>
      </c>
      <c r="C169" s="162">
        <v>0</v>
      </c>
      <c r="D169" s="162">
        <v>0</v>
      </c>
      <c r="E169" s="162">
        <v>0</v>
      </c>
      <c r="F169" s="178">
        <v>0</v>
      </c>
      <c r="G169" s="162">
        <v>0</v>
      </c>
      <c r="H169" s="162">
        <v>0</v>
      </c>
      <c r="I169" s="162">
        <v>0</v>
      </c>
      <c r="J169" s="162">
        <v>0</v>
      </c>
      <c r="K169" s="178">
        <v>0</v>
      </c>
      <c r="L169" s="162">
        <v>0</v>
      </c>
      <c r="M169" s="162">
        <v>0</v>
      </c>
      <c r="N169" s="162">
        <v>0</v>
      </c>
      <c r="O169" s="162">
        <v>0</v>
      </c>
      <c r="P169" s="178">
        <v>0</v>
      </c>
      <c r="Q169" s="162">
        <v>0</v>
      </c>
      <c r="R169" s="180">
        <v>6.9494999999999996</v>
      </c>
      <c r="S169" s="180">
        <f t="shared" si="16"/>
        <v>0</v>
      </c>
      <c r="T169" s="180">
        <f t="shared" si="17"/>
        <v>0</v>
      </c>
      <c r="U169" s="180">
        <f t="shared" si="18"/>
        <v>0</v>
      </c>
      <c r="V169" s="180">
        <f t="shared" si="19"/>
        <v>0</v>
      </c>
      <c r="W169" s="181">
        <f t="shared" si="23"/>
        <v>0</v>
      </c>
      <c r="Y169" s="174" t="str">
        <f t="shared" si="20"/>
        <v/>
      </c>
      <c r="Z169" s="174" t="str">
        <f t="shared" si="21"/>
        <v/>
      </c>
      <c r="AA169" s="174" t="str">
        <f t="shared" si="22"/>
        <v/>
      </c>
      <c r="AD169" s="182"/>
    </row>
    <row r="170" spans="1:30" x14ac:dyDescent="0.2">
      <c r="A170" s="162" t="s">
        <v>136</v>
      </c>
      <c r="B170" s="162">
        <v>0</v>
      </c>
      <c r="C170" s="162">
        <v>0</v>
      </c>
      <c r="D170" s="162">
        <v>0</v>
      </c>
      <c r="E170" s="162">
        <v>0</v>
      </c>
      <c r="F170" s="178">
        <v>0</v>
      </c>
      <c r="G170" s="162">
        <v>0</v>
      </c>
      <c r="H170" s="162">
        <v>0</v>
      </c>
      <c r="I170" s="162">
        <v>0</v>
      </c>
      <c r="J170" s="162">
        <v>0</v>
      </c>
      <c r="K170" s="178">
        <v>0</v>
      </c>
      <c r="L170" s="162">
        <v>0</v>
      </c>
      <c r="M170" s="162">
        <v>0</v>
      </c>
      <c r="N170" s="162">
        <v>0</v>
      </c>
      <c r="O170" s="162">
        <v>0</v>
      </c>
      <c r="P170" s="178">
        <v>0</v>
      </c>
      <c r="Q170" s="162">
        <v>0</v>
      </c>
      <c r="R170" s="180">
        <v>125.72475</v>
      </c>
      <c r="S170" s="180">
        <f t="shared" si="16"/>
        <v>0</v>
      </c>
      <c r="T170" s="180">
        <f t="shared" si="17"/>
        <v>0</v>
      </c>
      <c r="U170" s="180">
        <f t="shared" si="18"/>
        <v>0</v>
      </c>
      <c r="V170" s="180">
        <f t="shared" si="19"/>
        <v>0</v>
      </c>
      <c r="W170" s="181">
        <f t="shared" si="23"/>
        <v>0</v>
      </c>
      <c r="Y170" s="174" t="str">
        <f t="shared" si="20"/>
        <v/>
      </c>
      <c r="Z170" s="174" t="str">
        <f t="shared" si="21"/>
        <v/>
      </c>
      <c r="AA170" s="174" t="str">
        <f t="shared" si="22"/>
        <v/>
      </c>
      <c r="AD170" s="182"/>
    </row>
    <row r="171" spans="1:30" x14ac:dyDescent="0.2">
      <c r="A171" s="162" t="s">
        <v>137</v>
      </c>
      <c r="B171" s="162">
        <v>0</v>
      </c>
      <c r="C171" s="162">
        <v>0</v>
      </c>
      <c r="D171" s="162">
        <v>0</v>
      </c>
      <c r="E171" s="162">
        <v>0</v>
      </c>
      <c r="F171" s="178">
        <v>0</v>
      </c>
      <c r="G171" s="162">
        <v>0</v>
      </c>
      <c r="H171" s="162">
        <v>0</v>
      </c>
      <c r="I171" s="162">
        <v>0</v>
      </c>
      <c r="J171" s="162">
        <v>0</v>
      </c>
      <c r="K171" s="178">
        <v>0</v>
      </c>
      <c r="L171" s="162">
        <v>0</v>
      </c>
      <c r="M171" s="162">
        <v>0</v>
      </c>
      <c r="N171" s="162">
        <v>0</v>
      </c>
      <c r="O171" s="162">
        <v>0</v>
      </c>
      <c r="P171" s="178">
        <v>0</v>
      </c>
      <c r="Q171" s="162">
        <v>0</v>
      </c>
      <c r="R171" s="180">
        <v>0.623525</v>
      </c>
      <c r="S171" s="180">
        <f t="shared" si="16"/>
        <v>0</v>
      </c>
      <c r="T171" s="180">
        <f t="shared" si="17"/>
        <v>0</v>
      </c>
      <c r="U171" s="180">
        <f t="shared" si="18"/>
        <v>0</v>
      </c>
      <c r="V171" s="180">
        <f t="shared" si="19"/>
        <v>0</v>
      </c>
      <c r="W171" s="181">
        <f t="shared" si="23"/>
        <v>0</v>
      </c>
      <c r="Y171" s="174" t="str">
        <f t="shared" si="20"/>
        <v/>
      </c>
      <c r="Z171" s="174" t="str">
        <f t="shared" si="21"/>
        <v/>
      </c>
      <c r="AA171" s="174" t="str">
        <f t="shared" si="22"/>
        <v/>
      </c>
      <c r="AD171" s="182"/>
    </row>
    <row r="172" spans="1:30" x14ac:dyDescent="0.2">
      <c r="A172" s="162" t="s">
        <v>283</v>
      </c>
      <c r="B172" s="162">
        <v>2.2999999999999998</v>
      </c>
      <c r="C172" s="162">
        <v>2.7</v>
      </c>
      <c r="D172" s="162">
        <v>2.82</v>
      </c>
      <c r="E172" s="162">
        <v>0</v>
      </c>
      <c r="F172" s="178">
        <v>7.82</v>
      </c>
      <c r="G172" s="162">
        <v>0</v>
      </c>
      <c r="H172" s="162">
        <v>2.2400000000000002</v>
      </c>
      <c r="I172" s="162">
        <v>33.6</v>
      </c>
      <c r="J172" s="162">
        <v>0</v>
      </c>
      <c r="K172" s="178">
        <v>35.840000000000003</v>
      </c>
      <c r="L172" s="162">
        <v>0.04</v>
      </c>
      <c r="M172" s="162">
        <v>12.08</v>
      </c>
      <c r="N172" s="162">
        <v>80.959999999999994</v>
      </c>
      <c r="O172" s="162">
        <v>0</v>
      </c>
      <c r="P172" s="178">
        <v>93.08</v>
      </c>
      <c r="Q172" s="162">
        <v>136.74</v>
      </c>
      <c r="R172" s="180">
        <v>6.6879249999999999</v>
      </c>
      <c r="S172" s="180">
        <f t="shared" si="16"/>
        <v>2.34</v>
      </c>
      <c r="T172" s="180">
        <f t="shared" si="17"/>
        <v>17.02</v>
      </c>
      <c r="U172" s="180">
        <f t="shared" si="18"/>
        <v>117.38</v>
      </c>
      <c r="V172" s="180">
        <f t="shared" si="19"/>
        <v>0</v>
      </c>
      <c r="W172" s="181">
        <f t="shared" si="23"/>
        <v>519.44697599999995</v>
      </c>
      <c r="Y172" s="174">
        <f t="shared" si="20"/>
        <v>3854.4</v>
      </c>
      <c r="Z172" s="174">
        <f t="shared" si="21"/>
        <v>3153.6</v>
      </c>
      <c r="AA172" s="174">
        <f t="shared" si="22"/>
        <v>3798.7931548924967</v>
      </c>
      <c r="AD172" s="182"/>
    </row>
    <row r="173" spans="1:30" x14ac:dyDescent="0.2">
      <c r="A173" s="162" t="s">
        <v>27</v>
      </c>
      <c r="B173" s="162">
        <v>1.62</v>
      </c>
      <c r="C173" s="162">
        <v>0.96</v>
      </c>
      <c r="D173" s="162">
        <v>0</v>
      </c>
      <c r="E173" s="162">
        <v>0</v>
      </c>
      <c r="F173" s="178">
        <v>2.58</v>
      </c>
      <c r="G173" s="162">
        <v>18.12</v>
      </c>
      <c r="H173" s="162">
        <v>8.5399999999999991</v>
      </c>
      <c r="I173" s="162">
        <v>0.56000000000000005</v>
      </c>
      <c r="J173" s="162">
        <v>0</v>
      </c>
      <c r="K173" s="178">
        <v>27.22</v>
      </c>
      <c r="L173" s="162">
        <v>58.86</v>
      </c>
      <c r="M173" s="162">
        <v>174.72</v>
      </c>
      <c r="N173" s="162">
        <v>2.86</v>
      </c>
      <c r="O173" s="162">
        <v>0</v>
      </c>
      <c r="P173" s="178">
        <v>236.44</v>
      </c>
      <c r="Q173" s="162">
        <v>266.24</v>
      </c>
      <c r="R173" s="180">
        <v>11.788</v>
      </c>
      <c r="S173" s="180">
        <f t="shared" si="16"/>
        <v>78.599999999999994</v>
      </c>
      <c r="T173" s="180">
        <f t="shared" si="17"/>
        <v>184.22</v>
      </c>
      <c r="U173" s="180">
        <f t="shared" si="18"/>
        <v>3.42</v>
      </c>
      <c r="V173" s="180">
        <f t="shared" si="19"/>
        <v>0</v>
      </c>
      <c r="W173" s="181">
        <f t="shared" si="23"/>
        <v>906.56188799999995</v>
      </c>
      <c r="Y173" s="174">
        <f t="shared" si="20"/>
        <v>3854.4</v>
      </c>
      <c r="Z173" s="174">
        <f t="shared" si="21"/>
        <v>3153.6</v>
      </c>
      <c r="AA173" s="174">
        <f t="shared" si="22"/>
        <v>3405.0551682692303</v>
      </c>
      <c r="AD173" s="182"/>
    </row>
    <row r="174" spans="1:30" x14ac:dyDescent="0.2">
      <c r="A174" s="162" t="s">
        <v>284</v>
      </c>
      <c r="B174" s="162">
        <v>0</v>
      </c>
      <c r="C174" s="162">
        <v>0</v>
      </c>
      <c r="D174" s="162">
        <v>0</v>
      </c>
      <c r="E174" s="162">
        <v>0.02</v>
      </c>
      <c r="F174" s="178">
        <v>0.02</v>
      </c>
      <c r="G174" s="162">
        <v>0</v>
      </c>
      <c r="H174" s="162">
        <v>0</v>
      </c>
      <c r="I174" s="162">
        <v>0</v>
      </c>
      <c r="J174" s="162">
        <v>0.14000000000000001</v>
      </c>
      <c r="K174" s="178">
        <v>0.14000000000000001</v>
      </c>
      <c r="L174" s="162">
        <v>0</v>
      </c>
      <c r="M174" s="162">
        <v>0.48</v>
      </c>
      <c r="N174" s="162">
        <v>0.94</v>
      </c>
      <c r="O174" s="162">
        <v>2.9</v>
      </c>
      <c r="P174" s="178">
        <v>4.32</v>
      </c>
      <c r="Q174" s="162">
        <v>4.4800000000000004</v>
      </c>
      <c r="R174" s="180">
        <v>146.33710000000002</v>
      </c>
      <c r="S174" s="180">
        <f t="shared" si="16"/>
        <v>0</v>
      </c>
      <c r="T174" s="180">
        <f t="shared" si="17"/>
        <v>0.48</v>
      </c>
      <c r="U174" s="180">
        <f t="shared" si="18"/>
        <v>0.94</v>
      </c>
      <c r="V174" s="180">
        <f t="shared" si="19"/>
        <v>3.06</v>
      </c>
      <c r="W174" s="181">
        <f t="shared" si="23"/>
        <v>18.171744</v>
      </c>
      <c r="Y174" s="174">
        <f t="shared" si="20"/>
        <v>4204.8</v>
      </c>
      <c r="Z174" s="174">
        <f t="shared" si="21"/>
        <v>3504</v>
      </c>
      <c r="AA174" s="174">
        <f t="shared" si="22"/>
        <v>4056.1928571428566</v>
      </c>
      <c r="AD174" s="182"/>
    </row>
    <row r="175" spans="1:30" x14ac:dyDescent="0.2">
      <c r="A175" s="162" t="s">
        <v>138</v>
      </c>
      <c r="B175" s="162">
        <v>0</v>
      </c>
      <c r="C175" s="162">
        <v>0</v>
      </c>
      <c r="D175" s="162">
        <v>0</v>
      </c>
      <c r="E175" s="162">
        <v>0</v>
      </c>
      <c r="F175" s="178">
        <v>0</v>
      </c>
      <c r="G175" s="162">
        <v>0</v>
      </c>
      <c r="H175" s="162">
        <v>0</v>
      </c>
      <c r="I175" s="162">
        <v>0</v>
      </c>
      <c r="J175" s="162">
        <v>0</v>
      </c>
      <c r="K175" s="178">
        <v>0</v>
      </c>
      <c r="L175" s="162">
        <v>0</v>
      </c>
      <c r="M175" s="162">
        <v>0</v>
      </c>
      <c r="N175" s="162">
        <v>0</v>
      </c>
      <c r="O175" s="162">
        <v>0</v>
      </c>
      <c r="P175" s="178">
        <v>0</v>
      </c>
      <c r="Q175" s="162">
        <v>0</v>
      </c>
      <c r="R175" s="180">
        <v>9.8982500000000009</v>
      </c>
      <c r="S175" s="180">
        <f t="shared" si="16"/>
        <v>0</v>
      </c>
      <c r="T175" s="180">
        <f t="shared" si="17"/>
        <v>0</v>
      </c>
      <c r="U175" s="180">
        <f t="shared" si="18"/>
        <v>0</v>
      </c>
      <c r="V175" s="180">
        <f t="shared" si="19"/>
        <v>0</v>
      </c>
      <c r="W175" s="181">
        <f t="shared" si="23"/>
        <v>0</v>
      </c>
      <c r="Y175" s="174" t="str">
        <f t="shared" si="20"/>
        <v/>
      </c>
      <c r="Z175" s="174" t="str">
        <f t="shared" si="21"/>
        <v/>
      </c>
      <c r="AA175" s="174" t="str">
        <f t="shared" si="22"/>
        <v/>
      </c>
      <c r="AD175" s="182"/>
    </row>
    <row r="176" spans="1:30" x14ac:dyDescent="0.2">
      <c r="A176" s="162" t="s">
        <v>139</v>
      </c>
      <c r="B176" s="162">
        <v>0</v>
      </c>
      <c r="C176" s="162">
        <v>0</v>
      </c>
      <c r="D176" s="162">
        <v>0</v>
      </c>
      <c r="E176" s="162">
        <v>0</v>
      </c>
      <c r="F176" s="178">
        <v>0</v>
      </c>
      <c r="G176" s="162">
        <v>0</v>
      </c>
      <c r="H176" s="162">
        <v>0</v>
      </c>
      <c r="I176" s="162">
        <v>0</v>
      </c>
      <c r="J176" s="162">
        <v>0</v>
      </c>
      <c r="K176" s="178">
        <v>0</v>
      </c>
      <c r="L176" s="162">
        <v>0</v>
      </c>
      <c r="M176" s="162">
        <v>0</v>
      </c>
      <c r="N176" s="162">
        <v>0</v>
      </c>
      <c r="O176" s="162">
        <v>0</v>
      </c>
      <c r="P176" s="178">
        <v>0</v>
      </c>
      <c r="Q176" s="162">
        <v>0</v>
      </c>
      <c r="R176" s="180">
        <v>1.6813400000000001</v>
      </c>
      <c r="S176" s="180">
        <f t="shared" si="16"/>
        <v>0</v>
      </c>
      <c r="T176" s="180">
        <f t="shared" si="17"/>
        <v>0</v>
      </c>
      <c r="U176" s="180">
        <f t="shared" si="18"/>
        <v>0</v>
      </c>
      <c r="V176" s="180">
        <f t="shared" si="19"/>
        <v>0</v>
      </c>
      <c r="W176" s="181">
        <f t="shared" si="23"/>
        <v>0</v>
      </c>
      <c r="Y176" s="174" t="str">
        <f t="shared" si="20"/>
        <v/>
      </c>
      <c r="Z176" s="174" t="str">
        <f t="shared" si="21"/>
        <v/>
      </c>
      <c r="AA176" s="174" t="str">
        <f t="shared" si="22"/>
        <v/>
      </c>
      <c r="AD176" s="182"/>
    </row>
    <row r="177" spans="1:30" x14ac:dyDescent="0.2">
      <c r="A177" s="162" t="s">
        <v>287</v>
      </c>
      <c r="B177" s="162">
        <v>51.72</v>
      </c>
      <c r="C177" s="162">
        <v>94.56</v>
      </c>
      <c r="D177" s="162">
        <v>0</v>
      </c>
      <c r="E177" s="162">
        <v>0</v>
      </c>
      <c r="F177" s="178">
        <v>146.28</v>
      </c>
      <c r="G177" s="162">
        <v>19.559999999999999</v>
      </c>
      <c r="H177" s="162">
        <v>64.819999999999993</v>
      </c>
      <c r="I177" s="162">
        <v>0</v>
      </c>
      <c r="J177" s="162">
        <v>0</v>
      </c>
      <c r="K177" s="178">
        <v>84.38</v>
      </c>
      <c r="L177" s="162">
        <v>17.22</v>
      </c>
      <c r="M177" s="162">
        <v>62.58</v>
      </c>
      <c r="N177" s="162">
        <v>0</v>
      </c>
      <c r="O177" s="162">
        <v>0</v>
      </c>
      <c r="P177" s="178">
        <v>79.8</v>
      </c>
      <c r="Q177" s="162">
        <v>310.45999999999998</v>
      </c>
      <c r="R177" s="180">
        <v>148.76296500000001</v>
      </c>
      <c r="S177" s="180">
        <f t="shared" si="16"/>
        <v>88.5</v>
      </c>
      <c r="T177" s="180">
        <f t="shared" si="17"/>
        <v>221.95999999999998</v>
      </c>
      <c r="U177" s="180">
        <f t="shared" si="18"/>
        <v>0</v>
      </c>
      <c r="V177" s="180">
        <f t="shared" si="19"/>
        <v>0</v>
      </c>
      <c r="W177" s="181">
        <f t="shared" si="23"/>
        <v>1056.8414399999999</v>
      </c>
      <c r="Y177" s="174">
        <f t="shared" si="20"/>
        <v>3504</v>
      </c>
      <c r="Z177" s="174">
        <f t="shared" si="21"/>
        <v>3153.6</v>
      </c>
      <c r="AA177" s="174">
        <f t="shared" si="22"/>
        <v>3404.1146685563358</v>
      </c>
      <c r="AD177" s="182"/>
    </row>
    <row r="178" spans="1:30" x14ac:dyDescent="0.2">
      <c r="A178" s="162" t="s">
        <v>92</v>
      </c>
      <c r="B178" s="162">
        <v>0</v>
      </c>
      <c r="C178" s="162">
        <v>0</v>
      </c>
      <c r="D178" s="162">
        <v>0</v>
      </c>
      <c r="E178" s="162">
        <v>0</v>
      </c>
      <c r="F178" s="178">
        <v>0</v>
      </c>
      <c r="G178" s="162">
        <v>0</v>
      </c>
      <c r="H178" s="162">
        <v>0</v>
      </c>
      <c r="I178" s="162">
        <v>0</v>
      </c>
      <c r="J178" s="162">
        <v>0</v>
      </c>
      <c r="K178" s="178">
        <v>0</v>
      </c>
      <c r="L178" s="162">
        <v>0</v>
      </c>
      <c r="M178" s="162">
        <v>0</v>
      </c>
      <c r="N178" s="162">
        <v>0</v>
      </c>
      <c r="O178" s="162">
        <v>0</v>
      </c>
      <c r="P178" s="178">
        <v>0</v>
      </c>
      <c r="Q178" s="162">
        <v>0</v>
      </c>
      <c r="R178" s="180">
        <v>61.765000000000001</v>
      </c>
      <c r="S178" s="180">
        <f t="shared" si="16"/>
        <v>0</v>
      </c>
      <c r="T178" s="180">
        <f t="shared" si="17"/>
        <v>0</v>
      </c>
      <c r="U178" s="180">
        <f t="shared" si="18"/>
        <v>0</v>
      </c>
      <c r="V178" s="180">
        <f t="shared" si="19"/>
        <v>0</v>
      </c>
      <c r="W178" s="181">
        <f t="shared" si="23"/>
        <v>0</v>
      </c>
      <c r="Y178" s="174" t="str">
        <f t="shared" si="20"/>
        <v/>
      </c>
      <c r="Z178" s="174" t="str">
        <f t="shared" si="21"/>
        <v/>
      </c>
      <c r="AA178" s="174" t="str">
        <f t="shared" si="22"/>
        <v/>
      </c>
      <c r="AD178" s="182"/>
    </row>
    <row r="179" spans="1:30" x14ac:dyDescent="0.2">
      <c r="A179" s="162" t="s">
        <v>140</v>
      </c>
      <c r="B179" s="162">
        <v>0</v>
      </c>
      <c r="C179" s="162">
        <v>0</v>
      </c>
      <c r="D179" s="162">
        <v>53.88</v>
      </c>
      <c r="E179" s="162">
        <v>113.96</v>
      </c>
      <c r="F179" s="178">
        <v>167.84</v>
      </c>
      <c r="G179" s="162">
        <v>0</v>
      </c>
      <c r="H179" s="162">
        <v>0</v>
      </c>
      <c r="I179" s="162">
        <v>46.28</v>
      </c>
      <c r="J179" s="162">
        <v>417.48</v>
      </c>
      <c r="K179" s="178">
        <v>463.76</v>
      </c>
      <c r="L179" s="162">
        <v>0</v>
      </c>
      <c r="M179" s="162">
        <v>0</v>
      </c>
      <c r="N179" s="162">
        <v>0.54</v>
      </c>
      <c r="O179" s="162">
        <v>1840.86</v>
      </c>
      <c r="P179" s="178">
        <v>1841.4</v>
      </c>
      <c r="Q179" s="162">
        <v>2473</v>
      </c>
      <c r="R179" s="180">
        <v>347.78375000000005</v>
      </c>
      <c r="S179" s="180">
        <f t="shared" si="16"/>
        <v>0</v>
      </c>
      <c r="T179" s="180">
        <f t="shared" si="17"/>
        <v>0</v>
      </c>
      <c r="U179" s="180">
        <f t="shared" si="18"/>
        <v>100.7</v>
      </c>
      <c r="V179" s="180">
        <f t="shared" si="19"/>
        <v>2372.3000000000002</v>
      </c>
      <c r="W179" s="181">
        <f t="shared" si="23"/>
        <v>10363.185120000002</v>
      </c>
      <c r="X179" s="183"/>
      <c r="Y179" s="174">
        <f t="shared" si="20"/>
        <v>4204.8</v>
      </c>
      <c r="Z179" s="174">
        <f t="shared" si="21"/>
        <v>3854.4</v>
      </c>
      <c r="AA179" s="174">
        <f t="shared" si="22"/>
        <v>4190.5317913465433</v>
      </c>
      <c r="AD179" s="182"/>
    </row>
    <row r="180" spans="1:30" x14ac:dyDescent="0.2">
      <c r="A180" s="162" t="s">
        <v>672</v>
      </c>
      <c r="B180" s="162">
        <v>0.62</v>
      </c>
      <c r="C180" s="162">
        <v>2.74</v>
      </c>
      <c r="D180" s="162">
        <v>0</v>
      </c>
      <c r="E180" s="162">
        <v>0</v>
      </c>
      <c r="F180" s="178">
        <v>3.36</v>
      </c>
      <c r="G180" s="162">
        <v>0.56000000000000005</v>
      </c>
      <c r="H180" s="162">
        <v>1</v>
      </c>
      <c r="I180" s="162">
        <v>0</v>
      </c>
      <c r="J180" s="162">
        <v>0</v>
      </c>
      <c r="K180" s="178">
        <v>1.56</v>
      </c>
      <c r="L180" s="162">
        <v>40.06</v>
      </c>
      <c r="M180" s="162">
        <v>5.74</v>
      </c>
      <c r="N180" s="162">
        <v>0</v>
      </c>
      <c r="O180" s="162">
        <v>0</v>
      </c>
      <c r="P180" s="178">
        <v>45.8</v>
      </c>
      <c r="Q180" s="162">
        <v>50.72</v>
      </c>
      <c r="R180" s="180">
        <v>2.6777500000000001</v>
      </c>
      <c r="S180" s="180">
        <f t="shared" si="16"/>
        <v>41.24</v>
      </c>
      <c r="T180" s="180">
        <f t="shared" si="17"/>
        <v>9.48</v>
      </c>
      <c r="U180" s="180">
        <f t="shared" si="18"/>
        <v>0</v>
      </c>
      <c r="V180" s="180">
        <f t="shared" si="19"/>
        <v>0</v>
      </c>
      <c r="W180" s="181">
        <f t="shared" si="23"/>
        <v>163.27238400000002</v>
      </c>
      <c r="Y180" s="174">
        <f t="shared" si="20"/>
        <v>3504</v>
      </c>
      <c r="Z180" s="174">
        <f t="shared" si="21"/>
        <v>3153.6</v>
      </c>
      <c r="AA180" s="174">
        <f t="shared" si="22"/>
        <v>3219.0927444794957</v>
      </c>
      <c r="AD180" s="182"/>
    </row>
    <row r="181" spans="1:30" x14ac:dyDescent="0.2">
      <c r="A181" s="162" t="s">
        <v>93</v>
      </c>
      <c r="B181" s="162">
        <v>33.159999999999997</v>
      </c>
      <c r="C181" s="162">
        <v>128.34</v>
      </c>
      <c r="D181" s="162">
        <v>56.88</v>
      </c>
      <c r="E181" s="162">
        <v>15.68</v>
      </c>
      <c r="F181" s="178">
        <v>234.06</v>
      </c>
      <c r="G181" s="162">
        <v>7.8</v>
      </c>
      <c r="H181" s="162">
        <v>285.56</v>
      </c>
      <c r="I181" s="162">
        <v>52</v>
      </c>
      <c r="J181" s="162">
        <v>49.22</v>
      </c>
      <c r="K181" s="178">
        <v>394.58</v>
      </c>
      <c r="L181" s="162">
        <v>107.86</v>
      </c>
      <c r="M181" s="162">
        <v>700.18</v>
      </c>
      <c r="N181" s="162">
        <v>404.82</v>
      </c>
      <c r="O181" s="162">
        <v>248.2</v>
      </c>
      <c r="P181" s="178">
        <v>1461.06</v>
      </c>
      <c r="Q181" s="162">
        <v>2089.6999999999998</v>
      </c>
      <c r="R181" s="180">
        <v>3864.5216550000005</v>
      </c>
      <c r="S181" s="180">
        <f t="shared" si="16"/>
        <v>148.82</v>
      </c>
      <c r="T181" s="180">
        <f t="shared" si="17"/>
        <v>1114.08</v>
      </c>
      <c r="U181" s="180">
        <f t="shared" si="18"/>
        <v>513.70000000000005</v>
      </c>
      <c r="V181" s="180">
        <f t="shared" si="19"/>
        <v>313.10000000000002</v>
      </c>
      <c r="W181" s="181">
        <f t="shared" si="23"/>
        <v>7669.583232</v>
      </c>
      <c r="X181" s="183"/>
      <c r="Y181" s="174">
        <f t="shared" si="20"/>
        <v>4204.8</v>
      </c>
      <c r="Z181" s="174">
        <f t="shared" si="21"/>
        <v>3153.6</v>
      </c>
      <c r="AA181" s="174">
        <f t="shared" si="22"/>
        <v>3670.183869454946</v>
      </c>
      <c r="AD181" s="182"/>
    </row>
    <row r="182" spans="1:30" x14ac:dyDescent="0.2">
      <c r="A182" s="162" t="s">
        <v>28</v>
      </c>
      <c r="B182" s="162">
        <v>0</v>
      </c>
      <c r="C182" s="162">
        <v>121.32</v>
      </c>
      <c r="D182" s="162">
        <v>26.1</v>
      </c>
      <c r="E182" s="162">
        <v>0</v>
      </c>
      <c r="F182" s="178">
        <v>147.41999999999999</v>
      </c>
      <c r="G182" s="162">
        <v>0</v>
      </c>
      <c r="H182" s="162">
        <v>86.1</v>
      </c>
      <c r="I182" s="162">
        <v>7.64</v>
      </c>
      <c r="J182" s="162">
        <v>0</v>
      </c>
      <c r="K182" s="178">
        <v>93.74</v>
      </c>
      <c r="L182" s="162">
        <v>0</v>
      </c>
      <c r="M182" s="162">
        <v>59.48</v>
      </c>
      <c r="N182" s="162">
        <v>51</v>
      </c>
      <c r="O182" s="162">
        <v>5.4</v>
      </c>
      <c r="P182" s="178">
        <v>115.88</v>
      </c>
      <c r="Q182" s="162">
        <v>357.03999999999996</v>
      </c>
      <c r="R182" s="180">
        <v>6.9859499999999999</v>
      </c>
      <c r="S182" s="180">
        <f t="shared" si="16"/>
        <v>0</v>
      </c>
      <c r="T182" s="180">
        <f t="shared" si="17"/>
        <v>266.89999999999998</v>
      </c>
      <c r="U182" s="180">
        <f t="shared" si="18"/>
        <v>84.740000000000009</v>
      </c>
      <c r="V182" s="180">
        <f t="shared" si="19"/>
        <v>5.4</v>
      </c>
      <c r="W182" s="181">
        <f t="shared" si="23"/>
        <v>1284.545376</v>
      </c>
      <c r="Y182" s="174">
        <f t="shared" si="20"/>
        <v>4204.8</v>
      </c>
      <c r="Z182" s="174">
        <f t="shared" si="21"/>
        <v>3504</v>
      </c>
      <c r="AA182" s="174">
        <f t="shared" si="22"/>
        <v>3597.763208604078</v>
      </c>
      <c r="AD182" s="182"/>
    </row>
    <row r="183" spans="1:30" x14ac:dyDescent="0.2">
      <c r="A183" s="162" t="s">
        <v>94</v>
      </c>
      <c r="B183" s="162">
        <v>0</v>
      </c>
      <c r="C183" s="162">
        <v>0</v>
      </c>
      <c r="D183" s="162">
        <v>0</v>
      </c>
      <c r="E183" s="162">
        <v>0</v>
      </c>
      <c r="F183" s="178">
        <v>0</v>
      </c>
      <c r="G183" s="162">
        <v>0</v>
      </c>
      <c r="H183" s="162">
        <v>0</v>
      </c>
      <c r="I183" s="162">
        <v>0</v>
      </c>
      <c r="J183" s="162">
        <v>0</v>
      </c>
      <c r="K183" s="178">
        <v>0</v>
      </c>
      <c r="L183" s="162">
        <v>0</v>
      </c>
      <c r="M183" s="162">
        <v>0</v>
      </c>
      <c r="N183" s="162">
        <v>0</v>
      </c>
      <c r="O183" s="162">
        <v>0</v>
      </c>
      <c r="P183" s="178">
        <v>0</v>
      </c>
      <c r="Q183" s="162">
        <v>0</v>
      </c>
      <c r="R183" s="180">
        <v>42.60575</v>
      </c>
      <c r="S183" s="180">
        <f t="shared" si="16"/>
        <v>0</v>
      </c>
      <c r="T183" s="180">
        <f t="shared" si="17"/>
        <v>0</v>
      </c>
      <c r="U183" s="180">
        <f t="shared" si="18"/>
        <v>0</v>
      </c>
      <c r="V183" s="180">
        <f t="shared" si="19"/>
        <v>0</v>
      </c>
      <c r="W183" s="181">
        <f t="shared" si="23"/>
        <v>0</v>
      </c>
      <c r="Y183" s="174" t="str">
        <f t="shared" si="20"/>
        <v/>
      </c>
      <c r="Z183" s="174" t="str">
        <f t="shared" si="21"/>
        <v/>
      </c>
      <c r="AA183" s="174" t="str">
        <f t="shared" si="22"/>
        <v/>
      </c>
      <c r="AD183" s="182"/>
    </row>
    <row r="184" spans="1:30" x14ac:dyDescent="0.2">
      <c r="A184" s="162" t="s">
        <v>288</v>
      </c>
      <c r="B184" s="162">
        <v>0</v>
      </c>
      <c r="C184" s="162">
        <v>0</v>
      </c>
      <c r="D184" s="162">
        <v>0.06</v>
      </c>
      <c r="E184" s="162">
        <v>0</v>
      </c>
      <c r="F184" s="178">
        <v>0.06</v>
      </c>
      <c r="G184" s="162">
        <v>0</v>
      </c>
      <c r="H184" s="162">
        <v>0</v>
      </c>
      <c r="I184" s="162">
        <v>0.1</v>
      </c>
      <c r="J184" s="162">
        <v>0</v>
      </c>
      <c r="K184" s="178">
        <v>0.1</v>
      </c>
      <c r="L184" s="162">
        <v>0</v>
      </c>
      <c r="M184" s="162">
        <v>21.58</v>
      </c>
      <c r="N184" s="162">
        <v>83.24</v>
      </c>
      <c r="O184" s="162">
        <v>11.68</v>
      </c>
      <c r="P184" s="178">
        <v>116.5</v>
      </c>
      <c r="Q184" s="162">
        <v>116.66</v>
      </c>
      <c r="R184" s="180">
        <v>3.9524999999999998E-2</v>
      </c>
      <c r="S184" s="180">
        <f t="shared" si="16"/>
        <v>0</v>
      </c>
      <c r="T184" s="180">
        <f t="shared" si="17"/>
        <v>21.58</v>
      </c>
      <c r="U184" s="180">
        <f t="shared" si="18"/>
        <v>83.399999999999991</v>
      </c>
      <c r="V184" s="180">
        <f t="shared" si="19"/>
        <v>11.68</v>
      </c>
      <c r="W184" s="181">
        <f t="shared" si="23"/>
        <v>446.18534399999999</v>
      </c>
      <c r="Y184" s="174">
        <f t="shared" si="20"/>
        <v>4204.8</v>
      </c>
      <c r="Z184" s="174">
        <f t="shared" si="21"/>
        <v>3504</v>
      </c>
      <c r="AA184" s="174">
        <f t="shared" si="22"/>
        <v>3824.6643579633123</v>
      </c>
      <c r="AD184" s="182"/>
    </row>
    <row r="185" spans="1:30" x14ac:dyDescent="0.2">
      <c r="A185" s="162" t="s">
        <v>290</v>
      </c>
      <c r="B185" s="162">
        <v>10.58</v>
      </c>
      <c r="C185" s="162">
        <v>23.4</v>
      </c>
      <c r="D185" s="162">
        <v>1.1000000000000001</v>
      </c>
      <c r="E185" s="162">
        <v>55.24</v>
      </c>
      <c r="F185" s="178">
        <v>90.32</v>
      </c>
      <c r="G185" s="162">
        <v>10.14</v>
      </c>
      <c r="H185" s="162">
        <v>62.76</v>
      </c>
      <c r="I185" s="162">
        <v>20.079999999999998</v>
      </c>
      <c r="J185" s="162">
        <v>14.78</v>
      </c>
      <c r="K185" s="178">
        <v>107.76</v>
      </c>
      <c r="L185" s="162">
        <v>29.98</v>
      </c>
      <c r="M185" s="162">
        <v>159.19999999999999</v>
      </c>
      <c r="N185" s="162">
        <v>108.98</v>
      </c>
      <c r="O185" s="162">
        <v>73.22</v>
      </c>
      <c r="P185" s="178">
        <v>371.38</v>
      </c>
      <c r="Q185" s="162">
        <v>569.46</v>
      </c>
      <c r="R185" s="180">
        <v>78.680750000000003</v>
      </c>
      <c r="S185" s="180">
        <f t="shared" si="16"/>
        <v>50.7</v>
      </c>
      <c r="T185" s="180">
        <f t="shared" si="17"/>
        <v>245.35999999999999</v>
      </c>
      <c r="U185" s="180">
        <f t="shared" si="18"/>
        <v>130.16</v>
      </c>
      <c r="V185" s="180">
        <f t="shared" si="19"/>
        <v>143.24</v>
      </c>
      <c r="W185" s="181">
        <f t="shared" si="23"/>
        <v>2123.6132160000002</v>
      </c>
      <c r="Y185" s="174">
        <f t="shared" si="20"/>
        <v>4204.8</v>
      </c>
      <c r="Z185" s="174">
        <f t="shared" si="21"/>
        <v>3153.6</v>
      </c>
      <c r="AA185" s="174">
        <f t="shared" si="22"/>
        <v>3729.1701190601621</v>
      </c>
      <c r="AD185" s="182"/>
    </row>
    <row r="186" spans="1:30" x14ac:dyDescent="0.2">
      <c r="A186" s="162" t="s">
        <v>95</v>
      </c>
      <c r="B186" s="162">
        <v>47.12</v>
      </c>
      <c r="C186" s="162">
        <v>54.64</v>
      </c>
      <c r="D186" s="162">
        <v>69.099999999999994</v>
      </c>
      <c r="E186" s="162">
        <v>25.58</v>
      </c>
      <c r="F186" s="178">
        <v>196.44</v>
      </c>
      <c r="G186" s="162">
        <v>75.58</v>
      </c>
      <c r="H186" s="162">
        <v>70.78</v>
      </c>
      <c r="I186" s="162">
        <v>74.459999999999994</v>
      </c>
      <c r="J186" s="162">
        <v>59.2</v>
      </c>
      <c r="K186" s="178">
        <v>280.02</v>
      </c>
      <c r="L186" s="162">
        <v>81.02</v>
      </c>
      <c r="M186" s="162">
        <v>122.06</v>
      </c>
      <c r="N186" s="162">
        <v>101.3</v>
      </c>
      <c r="O186" s="162">
        <v>161.36000000000001</v>
      </c>
      <c r="P186" s="178">
        <v>465.74</v>
      </c>
      <c r="Q186" s="162">
        <v>942.2</v>
      </c>
      <c r="R186" s="180">
        <v>53.879249999999999</v>
      </c>
      <c r="S186" s="180">
        <f t="shared" si="16"/>
        <v>203.71999999999997</v>
      </c>
      <c r="T186" s="180">
        <f t="shared" si="17"/>
        <v>247.48000000000002</v>
      </c>
      <c r="U186" s="180">
        <f t="shared" si="18"/>
        <v>244.86</v>
      </c>
      <c r="V186" s="180">
        <f t="shared" si="19"/>
        <v>246.14000000000001</v>
      </c>
      <c r="W186" s="181">
        <f t="shared" si="23"/>
        <v>3488.3791679999999</v>
      </c>
      <c r="Y186" s="174">
        <f t="shared" si="20"/>
        <v>4204.8</v>
      </c>
      <c r="Z186" s="174">
        <f t="shared" si="21"/>
        <v>3153.6</v>
      </c>
      <c r="AA186" s="174">
        <f t="shared" si="22"/>
        <v>3702.3765315219698</v>
      </c>
      <c r="AD186" s="182"/>
    </row>
    <row r="187" spans="1:30" x14ac:dyDescent="0.2">
      <c r="A187" s="162" t="s">
        <v>295</v>
      </c>
      <c r="B187" s="162">
        <v>10.02</v>
      </c>
      <c r="C187" s="162">
        <v>17.260000000000002</v>
      </c>
      <c r="D187" s="162">
        <v>2.8</v>
      </c>
      <c r="E187" s="162">
        <v>0</v>
      </c>
      <c r="F187" s="178">
        <v>30.08</v>
      </c>
      <c r="G187" s="162">
        <v>27</v>
      </c>
      <c r="H187" s="162">
        <v>70.36</v>
      </c>
      <c r="I187" s="162">
        <v>17.52</v>
      </c>
      <c r="J187" s="162">
        <v>0</v>
      </c>
      <c r="K187" s="178">
        <v>114.88</v>
      </c>
      <c r="L187" s="162">
        <v>9.6999999999999993</v>
      </c>
      <c r="M187" s="162">
        <v>158.44</v>
      </c>
      <c r="N187" s="162">
        <v>96.52</v>
      </c>
      <c r="O187" s="162">
        <v>0</v>
      </c>
      <c r="P187" s="178">
        <v>264.66000000000003</v>
      </c>
      <c r="Q187" s="162">
        <v>409.62</v>
      </c>
      <c r="R187" s="180">
        <v>8.25375E-2</v>
      </c>
      <c r="S187" s="180">
        <f t="shared" si="16"/>
        <v>46.72</v>
      </c>
      <c r="T187" s="180">
        <f t="shared" si="17"/>
        <v>246.06</v>
      </c>
      <c r="U187" s="180">
        <f t="shared" si="18"/>
        <v>116.84</v>
      </c>
      <c r="V187" s="180">
        <f t="shared" si="19"/>
        <v>0</v>
      </c>
      <c r="W187" s="181">
        <f t="shared" si="23"/>
        <v>1459.878528</v>
      </c>
      <c r="Y187" s="174">
        <f t="shared" si="20"/>
        <v>3854.4</v>
      </c>
      <c r="Z187" s="174">
        <f t="shared" si="21"/>
        <v>3153.6</v>
      </c>
      <c r="AA187" s="174">
        <f t="shared" si="22"/>
        <v>3563.9825399150432</v>
      </c>
      <c r="AD187" s="182"/>
    </row>
    <row r="188" spans="1:30" x14ac:dyDescent="0.2">
      <c r="A188" s="162" t="s">
        <v>296</v>
      </c>
      <c r="B188" s="162">
        <v>1.02</v>
      </c>
      <c r="C188" s="162">
        <v>2.96</v>
      </c>
      <c r="D188" s="162">
        <v>3.06</v>
      </c>
      <c r="E188" s="162">
        <v>0</v>
      </c>
      <c r="F188" s="178">
        <v>7.04</v>
      </c>
      <c r="G188" s="162">
        <v>1.8</v>
      </c>
      <c r="H188" s="162">
        <v>7.46</v>
      </c>
      <c r="I188" s="162">
        <v>15.16</v>
      </c>
      <c r="J188" s="162">
        <v>0</v>
      </c>
      <c r="K188" s="178">
        <v>24.42</v>
      </c>
      <c r="L188" s="162">
        <v>12.04</v>
      </c>
      <c r="M188" s="162">
        <v>13.34</v>
      </c>
      <c r="N188" s="162">
        <v>74.86</v>
      </c>
      <c r="O188" s="162">
        <v>0</v>
      </c>
      <c r="P188" s="178">
        <v>100.24</v>
      </c>
      <c r="Q188" s="162">
        <v>131.69999999999999</v>
      </c>
      <c r="R188" s="180">
        <v>3.9685000000000006</v>
      </c>
      <c r="S188" s="180">
        <f t="shared" si="16"/>
        <v>14.86</v>
      </c>
      <c r="T188" s="180">
        <f t="shared" si="17"/>
        <v>23.759999999999998</v>
      </c>
      <c r="U188" s="180">
        <f t="shared" si="18"/>
        <v>93.08</v>
      </c>
      <c r="V188" s="180">
        <f t="shared" si="19"/>
        <v>0</v>
      </c>
      <c r="W188" s="181">
        <f t="shared" si="23"/>
        <v>488.885088</v>
      </c>
      <c r="Y188" s="174">
        <f t="shared" si="20"/>
        <v>3854.4</v>
      </c>
      <c r="Z188" s="174">
        <f t="shared" si="21"/>
        <v>3153.6</v>
      </c>
      <c r="AA188" s="174">
        <f t="shared" si="22"/>
        <v>3712.1115261958998</v>
      </c>
      <c r="AD188" s="182"/>
    </row>
    <row r="189" spans="1:30" x14ac:dyDescent="0.2">
      <c r="A189" s="162" t="s">
        <v>673</v>
      </c>
      <c r="B189" s="162">
        <v>0</v>
      </c>
      <c r="C189" s="162">
        <v>0</v>
      </c>
      <c r="D189" s="162">
        <v>0</v>
      </c>
      <c r="E189" s="162">
        <v>0</v>
      </c>
      <c r="F189" s="178">
        <v>0</v>
      </c>
      <c r="G189" s="162">
        <v>0</v>
      </c>
      <c r="H189" s="162">
        <v>0</v>
      </c>
      <c r="I189" s="162">
        <v>0</v>
      </c>
      <c r="J189" s="162">
        <v>0</v>
      </c>
      <c r="K189" s="178">
        <v>0</v>
      </c>
      <c r="L189" s="162">
        <v>0</v>
      </c>
      <c r="M189" s="162">
        <v>0</v>
      </c>
      <c r="N189" s="162">
        <v>0</v>
      </c>
      <c r="O189" s="162">
        <v>0</v>
      </c>
      <c r="P189" s="178">
        <v>0</v>
      </c>
      <c r="Q189" s="162">
        <v>0</v>
      </c>
      <c r="R189" s="180">
        <v>28.537666666666667</v>
      </c>
      <c r="S189" s="180">
        <f t="shared" si="16"/>
        <v>0</v>
      </c>
      <c r="T189" s="180">
        <f t="shared" si="17"/>
        <v>0</v>
      </c>
      <c r="U189" s="180">
        <f t="shared" si="18"/>
        <v>0</v>
      </c>
      <c r="V189" s="180">
        <f t="shared" si="19"/>
        <v>0</v>
      </c>
      <c r="W189" s="181">
        <f t="shared" si="23"/>
        <v>0</v>
      </c>
      <c r="Y189" s="174" t="str">
        <f t="shared" si="20"/>
        <v/>
      </c>
      <c r="Z189" s="174" t="str">
        <f t="shared" si="21"/>
        <v/>
      </c>
      <c r="AA189" s="174" t="str">
        <f t="shared" si="22"/>
        <v/>
      </c>
      <c r="AD189" s="182"/>
    </row>
    <row r="190" spans="1:30" x14ac:dyDescent="0.2">
      <c r="A190" s="162" t="s">
        <v>29</v>
      </c>
      <c r="B190" s="162">
        <v>0</v>
      </c>
      <c r="C190" s="162">
        <v>0</v>
      </c>
      <c r="D190" s="162">
        <v>0</v>
      </c>
      <c r="E190" s="162">
        <v>0</v>
      </c>
      <c r="F190" s="178">
        <v>0</v>
      </c>
      <c r="G190" s="162">
        <v>0</v>
      </c>
      <c r="H190" s="162">
        <v>0</v>
      </c>
      <c r="I190" s="162">
        <v>0</v>
      </c>
      <c r="J190" s="162">
        <v>0</v>
      </c>
      <c r="K190" s="178">
        <v>0</v>
      </c>
      <c r="L190" s="162">
        <v>0</v>
      </c>
      <c r="M190" s="162">
        <v>0</v>
      </c>
      <c r="N190" s="162">
        <v>0</v>
      </c>
      <c r="O190" s="162">
        <v>0</v>
      </c>
      <c r="P190" s="178">
        <v>0</v>
      </c>
      <c r="Q190" s="162">
        <v>0</v>
      </c>
      <c r="R190" s="180">
        <v>8.2514999999999983</v>
      </c>
      <c r="S190" s="180">
        <f t="shared" si="16"/>
        <v>0</v>
      </c>
      <c r="T190" s="180">
        <f t="shared" si="17"/>
        <v>0</v>
      </c>
      <c r="U190" s="180">
        <f t="shared" si="18"/>
        <v>0</v>
      </c>
      <c r="V190" s="180">
        <f t="shared" si="19"/>
        <v>0</v>
      </c>
      <c r="W190" s="181">
        <f t="shared" si="23"/>
        <v>0</v>
      </c>
      <c r="Y190" s="174" t="str">
        <f t="shared" si="20"/>
        <v/>
      </c>
      <c r="Z190" s="174" t="str">
        <f t="shared" si="21"/>
        <v/>
      </c>
      <c r="AA190" s="174" t="str">
        <f t="shared" si="22"/>
        <v/>
      </c>
      <c r="AD190" s="182"/>
    </row>
    <row r="191" spans="1:30" x14ac:dyDescent="0.2">
      <c r="A191" s="179" t="s">
        <v>141</v>
      </c>
      <c r="B191" s="179">
        <v>0</v>
      </c>
      <c r="C191" s="179">
        <v>0</v>
      </c>
      <c r="D191" s="179">
        <v>0</v>
      </c>
      <c r="E191" s="179">
        <v>0</v>
      </c>
      <c r="F191" s="185">
        <v>0</v>
      </c>
      <c r="G191" s="179">
        <v>0</v>
      </c>
      <c r="H191" s="179">
        <v>0</v>
      </c>
      <c r="I191" s="179">
        <v>0</v>
      </c>
      <c r="J191" s="179">
        <v>0</v>
      </c>
      <c r="K191" s="185">
        <v>0</v>
      </c>
      <c r="L191" s="179">
        <v>0</v>
      </c>
      <c r="M191" s="179">
        <v>0</v>
      </c>
      <c r="N191" s="179">
        <v>0</v>
      </c>
      <c r="O191" s="179">
        <v>0</v>
      </c>
      <c r="P191" s="185">
        <v>0</v>
      </c>
      <c r="Q191" s="179">
        <v>0</v>
      </c>
      <c r="R191" s="186">
        <v>12.325249999999999</v>
      </c>
      <c r="S191" s="180">
        <f t="shared" si="16"/>
        <v>0</v>
      </c>
      <c r="T191" s="180">
        <f t="shared" si="17"/>
        <v>0</v>
      </c>
      <c r="U191" s="180">
        <f t="shared" si="18"/>
        <v>0</v>
      </c>
      <c r="V191" s="180">
        <f t="shared" si="19"/>
        <v>0</v>
      </c>
      <c r="W191" s="181">
        <f t="shared" si="23"/>
        <v>0</v>
      </c>
      <c r="Y191" s="174" t="str">
        <f t="shared" si="20"/>
        <v/>
      </c>
      <c r="Z191" s="174" t="str">
        <f t="shared" si="21"/>
        <v/>
      </c>
      <c r="AA191" s="174" t="str">
        <f t="shared" si="22"/>
        <v/>
      </c>
      <c r="AD191" s="182"/>
    </row>
    <row r="192" spans="1:30" x14ac:dyDescent="0.2">
      <c r="A192" s="162" t="s">
        <v>674</v>
      </c>
      <c r="B192" s="162">
        <v>901.02</v>
      </c>
      <c r="C192" s="162">
        <v>1761.6000000000004</v>
      </c>
      <c r="D192" s="162">
        <v>2137.5000000000009</v>
      </c>
      <c r="E192" s="162">
        <v>1261.3999999999996</v>
      </c>
      <c r="F192" s="178">
        <v>6061.5199999999986</v>
      </c>
      <c r="G192" s="162">
        <v>871.71999999999969</v>
      </c>
      <c r="H192" s="162">
        <v>2602.6200000000003</v>
      </c>
      <c r="I192" s="162">
        <v>2271.639999999999</v>
      </c>
      <c r="J192" s="162">
        <v>3296.3599999999997</v>
      </c>
      <c r="K192" s="178">
        <v>9042.340000000002</v>
      </c>
      <c r="L192" s="162">
        <v>2687.44</v>
      </c>
      <c r="M192" s="162">
        <v>6871.8599999999988</v>
      </c>
      <c r="N192" s="162">
        <v>10698.439999999997</v>
      </c>
      <c r="O192" s="162">
        <v>25610.620000000006</v>
      </c>
      <c r="P192" s="178">
        <v>45868.360000000008</v>
      </c>
      <c r="Q192" s="162">
        <v>60972.220000000008</v>
      </c>
      <c r="R192" s="180">
        <v>16672.598864166659</v>
      </c>
      <c r="S192" s="180">
        <f t="shared" si="16"/>
        <v>4460.18</v>
      </c>
      <c r="T192" s="180">
        <f t="shared" si="17"/>
        <v>11236.08</v>
      </c>
      <c r="U192" s="180">
        <f t="shared" si="18"/>
        <v>15107.579999999996</v>
      </c>
      <c r="V192" s="180">
        <f t="shared" si="19"/>
        <v>30168.380000000005</v>
      </c>
      <c r="W192" s="181">
        <f>(B192+G192+L192)*$AI$8+(C192+H192+M192)*$AI$9+(D192+I192+N192)*$AI$10+(E192+J192+O192)*$AI$11</f>
        <v>27228.254399999998</v>
      </c>
      <c r="Y192" s="174">
        <f t="shared" si="20"/>
        <v>4204.8</v>
      </c>
      <c r="Z192" s="174">
        <f t="shared" si="21"/>
        <v>3153.6</v>
      </c>
      <c r="AA192" s="174">
        <f t="shared" si="22"/>
        <v>3911.9374125462382</v>
      </c>
      <c r="AD192" s="182"/>
    </row>
    <row r="193" spans="1:30" x14ac:dyDescent="0.2">
      <c r="F193" s="178"/>
      <c r="K193" s="178"/>
      <c r="P193" s="178"/>
      <c r="AD193" s="182"/>
    </row>
    <row r="194" spans="1:30" x14ac:dyDescent="0.2">
      <c r="A194" s="162" t="s">
        <v>675</v>
      </c>
      <c r="B194" s="180">
        <v>973.4000000000002</v>
      </c>
      <c r="C194" s="180">
        <v>1881.9399999999998</v>
      </c>
      <c r="D194" s="180">
        <v>2332.8199999999997</v>
      </c>
      <c r="E194" s="180">
        <v>1740.4999999999995</v>
      </c>
      <c r="F194" s="187">
        <v>6928.6600000000017</v>
      </c>
      <c r="G194" s="180">
        <v>952.07999999999993</v>
      </c>
      <c r="H194" s="180">
        <v>2689.04</v>
      </c>
      <c r="I194" s="180">
        <v>2395.2799999999997</v>
      </c>
      <c r="J194" s="180">
        <v>4419.2999999999984</v>
      </c>
      <c r="K194" s="187">
        <v>10455.700000000001</v>
      </c>
      <c r="L194" s="180">
        <v>2935.4399999999991</v>
      </c>
      <c r="M194" s="180">
        <v>7595.1400000000012</v>
      </c>
      <c r="N194" s="180">
        <v>11743</v>
      </c>
      <c r="O194" s="180">
        <v>34511.039999999994</v>
      </c>
      <c r="P194" s="187">
        <v>56784.62000000001</v>
      </c>
      <c r="Q194" s="180">
        <v>74168.98000000001</v>
      </c>
      <c r="R194" s="180"/>
      <c r="S194" s="180"/>
      <c r="T194" s="180"/>
      <c r="U194" s="180"/>
      <c r="V194" s="180"/>
      <c r="W194" s="180"/>
      <c r="AD194" s="182"/>
    </row>
    <row r="195" spans="1:30" x14ac:dyDescent="0.2">
      <c r="A195" s="162" t="s">
        <v>676</v>
      </c>
      <c r="B195" s="180">
        <v>72.380000000000223</v>
      </c>
      <c r="C195" s="180">
        <v>120.33999999999946</v>
      </c>
      <c r="D195" s="180">
        <v>195.3199999999988</v>
      </c>
      <c r="E195" s="180">
        <v>479.09999999999991</v>
      </c>
      <c r="F195" s="187">
        <v>867.14000000000306</v>
      </c>
      <c r="G195" s="180">
        <v>80.360000000000241</v>
      </c>
      <c r="H195" s="180">
        <v>86.419999999999618</v>
      </c>
      <c r="I195" s="180">
        <v>123.64000000000078</v>
      </c>
      <c r="J195" s="180">
        <v>1122.9399999999987</v>
      </c>
      <c r="K195" s="187">
        <v>1413.3599999999988</v>
      </c>
      <c r="L195" s="180">
        <v>247.99999999999909</v>
      </c>
      <c r="M195" s="180">
        <v>723.28000000000247</v>
      </c>
      <c r="N195" s="180">
        <v>1044.5600000000031</v>
      </c>
      <c r="O195" s="180">
        <v>8900.4199999999873</v>
      </c>
      <c r="P195" s="187">
        <v>10916.260000000002</v>
      </c>
      <c r="Q195" s="180">
        <v>13196.760000000002</v>
      </c>
      <c r="R195" s="180"/>
      <c r="S195" s="180"/>
      <c r="T195" s="180"/>
      <c r="U195" s="180"/>
      <c r="V195" s="180"/>
      <c r="W195" s="180"/>
      <c r="AD195" s="182"/>
    </row>
    <row r="196" spans="1:30" x14ac:dyDescent="0.2">
      <c r="AD196" s="182"/>
    </row>
    <row r="197" spans="1:30" x14ac:dyDescent="0.2">
      <c r="D197" s="182"/>
      <c r="AD197" s="182"/>
    </row>
    <row r="198" spans="1:30" x14ac:dyDescent="0.2">
      <c r="D198" s="182"/>
      <c r="AD198" s="182"/>
    </row>
    <row r="199" spans="1:30" x14ac:dyDescent="0.2">
      <c r="D199" s="182"/>
      <c r="AD199" s="182"/>
    </row>
    <row r="200" spans="1:30" x14ac:dyDescent="0.2">
      <c r="D200" s="182"/>
      <c r="AD200" s="182"/>
    </row>
    <row r="201" spans="1:30" x14ac:dyDescent="0.2">
      <c r="D201" s="182"/>
      <c r="AD201" s="182"/>
    </row>
    <row r="202" spans="1:30" x14ac:dyDescent="0.2">
      <c r="D202" s="182"/>
      <c r="AD202" s="182"/>
    </row>
    <row r="203" spans="1:30" x14ac:dyDescent="0.2">
      <c r="D203" s="182"/>
      <c r="AD203" s="182"/>
    </row>
    <row r="204" spans="1:30" x14ac:dyDescent="0.2">
      <c r="D204" s="182"/>
      <c r="AD204" s="182"/>
    </row>
    <row r="205" spans="1:30" x14ac:dyDescent="0.2">
      <c r="D205" s="182"/>
      <c r="AD205" s="182"/>
    </row>
    <row r="206" spans="1:30" x14ac:dyDescent="0.2">
      <c r="D206" s="182"/>
      <c r="AD206" s="182"/>
    </row>
    <row r="207" spans="1:30" x14ac:dyDescent="0.2">
      <c r="D207" s="182"/>
      <c r="AD207" s="182"/>
    </row>
    <row r="208" spans="1:30" x14ac:dyDescent="0.2">
      <c r="D208" s="182"/>
      <c r="E208" s="182"/>
      <c r="AD208" s="182"/>
    </row>
    <row r="209" spans="4:30" x14ac:dyDescent="0.2">
      <c r="D209" s="182"/>
      <c r="AD209" s="182"/>
    </row>
    <row r="210" spans="4:30" x14ac:dyDescent="0.2">
      <c r="D210" s="182"/>
      <c r="AD210" s="182"/>
    </row>
    <row r="211" spans="4:30" x14ac:dyDescent="0.2">
      <c r="D211" s="182"/>
      <c r="AD211" s="182"/>
    </row>
    <row r="212" spans="4:30" x14ac:dyDescent="0.2">
      <c r="D212" s="182"/>
      <c r="AD212" s="182"/>
    </row>
    <row r="213" spans="4:30" x14ac:dyDescent="0.2">
      <c r="D213" s="182"/>
      <c r="AD213" s="182"/>
    </row>
    <row r="214" spans="4:30" x14ac:dyDescent="0.2">
      <c r="D214" s="182"/>
      <c r="AD214" s="182"/>
    </row>
    <row r="215" spans="4:30" x14ac:dyDescent="0.2">
      <c r="D215" s="182"/>
      <c r="AD215" s="182"/>
    </row>
    <row r="216" spans="4:30" x14ac:dyDescent="0.2">
      <c r="D216" s="182"/>
      <c r="AD216" s="182"/>
    </row>
    <row r="217" spans="4:30" x14ac:dyDescent="0.2">
      <c r="D217" s="182"/>
      <c r="AD217" s="182"/>
    </row>
    <row r="218" spans="4:30" x14ac:dyDescent="0.2">
      <c r="D218" s="182"/>
      <c r="AD218" s="182"/>
    </row>
    <row r="219" spans="4:30" x14ac:dyDescent="0.2">
      <c r="D219" s="182"/>
      <c r="AD219" s="182"/>
    </row>
    <row r="220" spans="4:30" x14ac:dyDescent="0.2">
      <c r="D220" s="182"/>
      <c r="AD220" s="182"/>
    </row>
    <row r="221" spans="4:30" x14ac:dyDescent="0.2">
      <c r="D221" s="182"/>
      <c r="AD221" s="182"/>
    </row>
    <row r="222" spans="4:30" x14ac:dyDescent="0.2">
      <c r="D222" s="182"/>
      <c r="AD222" s="182"/>
    </row>
    <row r="223" spans="4:30" x14ac:dyDescent="0.2">
      <c r="D223" s="182"/>
      <c r="E223" s="182"/>
      <c r="AD223" s="182"/>
    </row>
    <row r="224" spans="4:30" x14ac:dyDescent="0.2">
      <c r="D224" s="182"/>
      <c r="AD224" s="182"/>
    </row>
    <row r="225" spans="4:30" x14ac:dyDescent="0.2">
      <c r="D225" s="182"/>
      <c r="AD225" s="182"/>
    </row>
    <row r="226" spans="4:30" x14ac:dyDescent="0.2">
      <c r="D226" s="182"/>
      <c r="AD226" s="182"/>
    </row>
    <row r="227" spans="4:30" x14ac:dyDescent="0.2">
      <c r="D227" s="182"/>
      <c r="AD227" s="182"/>
    </row>
    <row r="228" spans="4:30" x14ac:dyDescent="0.2">
      <c r="D228" s="182"/>
      <c r="AD228" s="182"/>
    </row>
    <row r="229" spans="4:30" x14ac:dyDescent="0.2">
      <c r="D229" s="182"/>
      <c r="AD229" s="182"/>
    </row>
    <row r="230" spans="4:30" x14ac:dyDescent="0.2">
      <c r="D230" s="182"/>
      <c r="AD230" s="182"/>
    </row>
    <row r="231" spans="4:30" x14ac:dyDescent="0.2">
      <c r="D231" s="182"/>
      <c r="AD231" s="182"/>
    </row>
    <row r="232" spans="4:30" x14ac:dyDescent="0.2">
      <c r="D232" s="182"/>
      <c r="AD232" s="182"/>
    </row>
    <row r="233" spans="4:30" x14ac:dyDescent="0.2">
      <c r="D233" s="182"/>
      <c r="AD233" s="182"/>
    </row>
    <row r="234" spans="4:30" x14ac:dyDescent="0.2">
      <c r="D234" s="182"/>
      <c r="AD234" s="182"/>
    </row>
    <row r="235" spans="4:30" x14ac:dyDescent="0.2">
      <c r="D235" s="182"/>
      <c r="AD235" s="182"/>
    </row>
    <row r="236" spans="4:30" x14ac:dyDescent="0.2">
      <c r="D236" s="182"/>
      <c r="AD236" s="182"/>
    </row>
    <row r="237" spans="4:30" x14ac:dyDescent="0.2">
      <c r="AD237" s="18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1"/>
  <sheetViews>
    <sheetView zoomScaleNormal="100" workbookViewId="0">
      <selection activeCell="A28" sqref="A28"/>
    </sheetView>
  </sheetViews>
  <sheetFormatPr defaultColWidth="11" defaultRowHeight="12.75" x14ac:dyDescent="0.2"/>
  <cols>
    <col min="1" max="1" width="25.875" style="2" customWidth="1"/>
    <col min="2" max="2" width="17.5" style="2" customWidth="1"/>
    <col min="3" max="16384" width="11" style="2"/>
  </cols>
  <sheetData>
    <row r="1" spans="1:37" s="210" customFormat="1" ht="23.25" x14ac:dyDescent="0.35">
      <c r="A1" s="207" t="s">
        <v>1624</v>
      </c>
      <c r="B1" s="209"/>
    </row>
    <row r="2" spans="1:37" x14ac:dyDescent="0.2">
      <c r="A2" s="1"/>
      <c r="B2" s="1"/>
      <c r="C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 x14ac:dyDescent="0.2">
      <c r="A3" s="40" t="s">
        <v>1520</v>
      </c>
      <c r="B3" s="15">
        <v>13600</v>
      </c>
      <c r="C3" s="12" t="s">
        <v>1458</v>
      </c>
      <c r="D3" s="12" t="s">
        <v>1547</v>
      </c>
      <c r="E3" s="12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 x14ac:dyDescent="0.2">
      <c r="A4" s="40"/>
      <c r="B4" s="16">
        <f>h2_demand_kt*Carrier_properties!W10/1000</f>
        <v>453.33333333333337</v>
      </c>
      <c r="C4" s="12" t="s">
        <v>1318</v>
      </c>
      <c r="D4" s="10" t="s">
        <v>1591</v>
      </c>
      <c r="E4" s="12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 x14ac:dyDescent="0.2">
      <c r="A5" s="40"/>
      <c r="B5" s="16">
        <f>h2_demand_e_lhv*3.6</f>
        <v>1632.0000000000002</v>
      </c>
      <c r="C5" s="12" t="s">
        <v>1605</v>
      </c>
      <c r="D5" s="12" t="s">
        <v>1607</v>
      </c>
      <c r="E5" s="12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 x14ac:dyDescent="0.2">
      <c r="A6" s="40"/>
      <c r="B6" s="16"/>
      <c r="C6" s="12"/>
      <c r="D6" s="12"/>
      <c r="E6" s="12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 x14ac:dyDescent="0.2">
      <c r="A7" s="40" t="s">
        <v>1521</v>
      </c>
      <c r="B7" s="15">
        <v>1.1599999999999999</v>
      </c>
      <c r="C7" s="12" t="s">
        <v>967</v>
      </c>
      <c r="D7" s="12"/>
      <c r="E7" s="12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 x14ac:dyDescent="0.2">
      <c r="A8" s="40"/>
      <c r="B8" s="12"/>
      <c r="C8" s="12"/>
      <c r="D8" s="12"/>
      <c r="E8" s="12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 x14ac:dyDescent="0.2">
      <c r="A9" s="40" t="s">
        <v>13</v>
      </c>
      <c r="B9" s="15" t="s">
        <v>1430</v>
      </c>
      <c r="C9" s="12"/>
      <c r="D9" s="12" t="s">
        <v>1548</v>
      </c>
      <c r="E9" s="17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</row>
    <row r="10" spans="1:37" x14ac:dyDescent="0.2">
      <c r="A10" s="40" t="s">
        <v>1431</v>
      </c>
      <c r="B10" s="18">
        <v>0.5</v>
      </c>
      <c r="C10" s="12"/>
      <c r="D10" s="12" t="s">
        <v>1549</v>
      </c>
      <c r="E10" s="17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</row>
    <row r="11" spans="1:37" x14ac:dyDescent="0.2">
      <c r="A11" s="40" t="s">
        <v>1429</v>
      </c>
      <c r="B11" s="18">
        <v>0.08</v>
      </c>
      <c r="C11" s="12"/>
      <c r="D11" s="12" t="s">
        <v>1550</v>
      </c>
      <c r="E11" s="17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 x14ac:dyDescent="0.2">
      <c r="A12" s="40"/>
      <c r="B12" s="19"/>
      <c r="C12" s="12"/>
      <c r="D12" s="12"/>
      <c r="E12" s="17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 x14ac:dyDescent="0.2">
      <c r="A13" s="40" t="s">
        <v>1522</v>
      </c>
      <c r="B13" s="18" t="s">
        <v>1606</v>
      </c>
      <c r="C13" s="12"/>
      <c r="D13" s="12" t="s">
        <v>1544</v>
      </c>
      <c r="E13" s="17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 x14ac:dyDescent="0.2">
      <c r="A14" s="40"/>
      <c r="B14" s="12"/>
      <c r="C14" s="12"/>
      <c r="D14" s="12" t="s">
        <v>1476</v>
      </c>
      <c r="E14" s="17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 x14ac:dyDescent="0.2">
      <c r="A15" s="40" t="s">
        <v>1523</v>
      </c>
      <c r="B15" s="15" t="s">
        <v>1432</v>
      </c>
      <c r="C15" s="12"/>
      <c r="D15" s="12" t="s">
        <v>1543</v>
      </c>
      <c r="E15" s="12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 x14ac:dyDescent="0.2">
      <c r="A16" s="40" t="s">
        <v>1524</v>
      </c>
      <c r="B16" s="15" t="s">
        <v>1346</v>
      </c>
      <c r="C16" s="12"/>
      <c r="D16" s="12" t="s">
        <v>1545</v>
      </c>
      <c r="E16" s="12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 x14ac:dyDescent="0.2">
      <c r="A17" s="40" t="s">
        <v>1426</v>
      </c>
      <c r="B17" s="15" t="s">
        <v>1477</v>
      </c>
      <c r="C17" s="12"/>
      <c r="D17" s="12" t="s">
        <v>1487</v>
      </c>
      <c r="E17" s="12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 x14ac:dyDescent="0.2">
      <c r="A18" s="40"/>
      <c r="B18" s="12"/>
      <c r="C18" s="12"/>
      <c r="D18" s="12"/>
      <c r="E18" s="12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 x14ac:dyDescent="0.2">
      <c r="A19" s="40" t="s">
        <v>1444</v>
      </c>
      <c r="B19" s="20" t="s">
        <v>1505</v>
      </c>
      <c r="C19" s="12"/>
      <c r="D19" s="12" t="s">
        <v>1546</v>
      </c>
      <c r="E19" s="12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 x14ac:dyDescent="0.2">
      <c r="A20" s="40" t="s">
        <v>1445</v>
      </c>
      <c r="B20" s="21">
        <v>7500</v>
      </c>
      <c r="C20" s="12" t="s">
        <v>1479</v>
      </c>
      <c r="D20" s="12" t="s">
        <v>1551</v>
      </c>
      <c r="E20" s="12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 x14ac:dyDescent="0.2">
      <c r="A23" s="3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 x14ac:dyDescent="0.2">
      <c r="A25" s="1"/>
      <c r="B25" s="1"/>
      <c r="C25" s="1"/>
      <c r="D25" s="1"/>
      <c r="E25" s="1"/>
      <c r="F25" s="1"/>
      <c r="G25" s="1"/>
      <c r="I25" s="1"/>
      <c r="J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2" t="s">
        <v>1541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</row>
    <row r="41" spans="1:37" x14ac:dyDescent="0.2">
      <c r="A41" s="3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</row>
    <row r="42" spans="1:37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</row>
    <row r="43" spans="1:37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</row>
    <row r="44" spans="1:37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</row>
    <row r="45" spans="1:37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</row>
    <row r="46" spans="1:37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</row>
    <row r="47" spans="1:37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</row>
    <row r="48" spans="1:37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</row>
    <row r="49" spans="1:37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</row>
    <row r="50" spans="1:37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</row>
    <row r="51" spans="1:37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</row>
    <row r="52" spans="1:37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</row>
    <row r="53" spans="1:37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</row>
    <row r="54" spans="1:37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</row>
    <row r="55" spans="1:37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</row>
    <row r="56" spans="1:37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</row>
    <row r="57" spans="1:37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</row>
    <row r="58" spans="1:37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</row>
    <row r="59" spans="1:37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</row>
    <row r="60" spans="1:37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</row>
    <row r="61" spans="1:37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</row>
    <row r="62" spans="1:37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</row>
    <row r="63" spans="1:37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</row>
    <row r="64" spans="1:37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</row>
    <row r="65" spans="1:37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</row>
    <row r="66" spans="1:37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</row>
    <row r="67" spans="1:37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</row>
    <row r="68" spans="1:37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</row>
    <row r="69" spans="1:37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x14ac:dyDescent="0.2">
      <c r="A84" s="1"/>
    </row>
    <row r="85" spans="1:37" x14ac:dyDescent="0.2">
      <c r="A85" s="1"/>
    </row>
    <row r="86" spans="1:37" x14ac:dyDescent="0.2">
      <c r="A86" s="1"/>
    </row>
    <row r="87" spans="1:37" x14ac:dyDescent="0.2">
      <c r="A87" s="3"/>
    </row>
    <row r="88" spans="1:37" x14ac:dyDescent="0.2">
      <c r="A88" s="1"/>
    </row>
    <row r="89" spans="1:37" x14ac:dyDescent="0.2">
      <c r="A89" s="1"/>
    </row>
    <row r="90" spans="1:37" x14ac:dyDescent="0.2">
      <c r="A90" s="1"/>
    </row>
    <row r="91" spans="1:37" x14ac:dyDescent="0.2">
      <c r="A91" s="1"/>
    </row>
  </sheetData>
  <dataValidations count="10">
    <dataValidation type="list" allowBlank="1" showInputMessage="1" showErrorMessage="1" sqref="B16">
      <formula1>"HFO, hydrogen, carrier"</formula1>
    </dataValidation>
    <dataValidation type="list" allowBlank="1" showInputMessage="1" showErrorMessage="1" sqref="B15">
      <formula1>"hv dc grid, pipeline, ignore"</formula1>
    </dataValidation>
    <dataValidation type="list" allowBlank="1" showInputMessage="1" showErrorMessage="1" sqref="B9">
      <formula1>"dataset, dataset rv, uniform"</formula1>
    </dataValidation>
    <dataValidation type="decimal" showInputMessage="1" showErrorMessage="1" errorTitle="Value error" error="Set a variance between 0% and 100% of the original variance." sqref="B10">
      <formula1>0</formula1>
      <formula2>1</formula2>
    </dataValidation>
    <dataValidation type="decimal" operator="greaterThan" showInputMessage="1" showErrorMessage="1" errorTitle="Value error" error="Choose a WACC greater than 0%." sqref="B11:B12">
      <formula1>0</formula1>
    </dataValidation>
    <dataValidation type="decimal" operator="greaterThan" showInputMessage="1" showErrorMessage="1" errorTitle="Value error" error="Choose an exchange rate greater than 0." sqref="B7">
      <formula1>0</formula1>
    </dataValidation>
    <dataValidation type="decimal" operator="greaterThan" allowBlank="1" showInputMessage="1" showErrorMessage="1" errorTitle="Value error" error="Choose a positive demand." sqref="B3">
      <formula1>0</formula1>
    </dataValidation>
    <dataValidation type="list" allowBlank="1" showInputMessage="1" showErrorMessage="1" sqref="B19">
      <formula1>"electricity FLH, custom"</formula1>
    </dataValidation>
    <dataValidation type="list" operator="greaterThan" showInputMessage="1" sqref="B13">
      <formula1>"min solar, weighted solar, max solar, min hybrid, weighted hybrid, max hybrid"</formula1>
    </dataValidation>
    <dataValidation type="list" allowBlank="1" showInputMessage="1" showErrorMessage="1" sqref="B17">
      <formula1>"standard, VLCC"</formula1>
    </dataValidation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94"/>
  <sheetViews>
    <sheetView zoomScaleNormal="100" workbookViewId="0">
      <pane xSplit="1" ySplit="5" topLeftCell="B6" activePane="bottomRight" state="frozen"/>
      <selection activeCell="B3" sqref="B3"/>
      <selection pane="topRight" activeCell="B3" sqref="B3"/>
      <selection pane="bottomLeft" activeCell="B3" sqref="B3"/>
      <selection pane="bottomRight" activeCell="A2" sqref="A2:XFD2"/>
    </sheetView>
  </sheetViews>
  <sheetFormatPr defaultColWidth="11" defaultRowHeight="12.75" x14ac:dyDescent="0.2"/>
  <cols>
    <col min="1" max="1" width="23.5" style="26" customWidth="1"/>
    <col min="2" max="2" width="14.125" style="26" customWidth="1"/>
    <col min="3" max="12" width="11.875" style="26" customWidth="1"/>
    <col min="13" max="13" width="12.875" style="26" customWidth="1"/>
    <col min="14" max="17" width="10.875" style="26" customWidth="1"/>
    <col min="18" max="128" width="12.125" style="26" customWidth="1"/>
    <col min="129" max="129" width="11.125" style="26" customWidth="1"/>
    <col min="130" max="139" width="12.125" style="26" customWidth="1"/>
    <col min="140" max="140" width="11.125" style="26" customWidth="1"/>
    <col min="141" max="144" width="12.125" style="26" customWidth="1"/>
    <col min="145" max="145" width="5.5" style="26" customWidth="1"/>
    <col min="146" max="146" width="12.125" style="26" customWidth="1"/>
    <col min="147" max="147" width="21.375" style="26" bestFit="1" customWidth="1"/>
    <col min="148" max="148" width="13.875" style="26" bestFit="1" customWidth="1"/>
    <col min="149" max="149" width="21.375" style="26" bestFit="1" customWidth="1"/>
    <col min="150" max="150" width="13.875" style="26" bestFit="1" customWidth="1"/>
    <col min="151" max="151" width="21.375" style="26" bestFit="1" customWidth="1"/>
    <col min="152" max="152" width="13.875" style="26" bestFit="1" customWidth="1"/>
    <col min="153" max="153" width="21.375" style="26" bestFit="1" customWidth="1"/>
    <col min="154" max="154" width="13.875" style="26" bestFit="1" customWidth="1"/>
    <col min="155" max="155" width="21.375" style="26" bestFit="1" customWidth="1"/>
    <col min="156" max="156" width="13.875" style="26" bestFit="1" customWidth="1"/>
    <col min="157" max="157" width="21.375" style="26" bestFit="1" customWidth="1"/>
    <col min="158" max="158" width="13.875" style="26" bestFit="1" customWidth="1"/>
    <col min="159" max="159" width="21.375" style="26" bestFit="1" customWidth="1"/>
    <col min="160" max="160" width="13.875" style="26" bestFit="1" customWidth="1"/>
    <col min="161" max="161" width="21.375" style="26" bestFit="1" customWidth="1"/>
    <col min="162" max="162" width="13.875" style="26" bestFit="1" customWidth="1"/>
    <col min="163" max="163" width="21.375" style="26" bestFit="1" customWidth="1"/>
    <col min="164" max="164" width="13.875" style="26" bestFit="1" customWidth="1"/>
    <col min="165" max="165" width="21.375" style="26" bestFit="1" customWidth="1"/>
    <col min="166" max="166" width="13.875" style="26" bestFit="1" customWidth="1"/>
    <col min="167" max="167" width="21.375" style="26" bestFit="1" customWidth="1"/>
    <col min="168" max="168" width="13.875" style="26" bestFit="1" customWidth="1"/>
    <col min="169" max="169" width="21.375" style="26" bestFit="1" customWidth="1"/>
    <col min="170" max="170" width="13.875" style="26" bestFit="1" customWidth="1"/>
    <col min="171" max="171" width="21.375" style="26" bestFit="1" customWidth="1"/>
    <col min="172" max="172" width="13.875" style="26" bestFit="1" customWidth="1"/>
    <col min="173" max="173" width="21.375" style="26" bestFit="1" customWidth="1"/>
    <col min="174" max="174" width="13.875" style="26" bestFit="1" customWidth="1"/>
    <col min="175" max="175" width="21.375" style="26" bestFit="1" customWidth="1"/>
    <col min="176" max="176" width="13.875" style="26" bestFit="1" customWidth="1"/>
    <col min="177" max="177" width="21.375" style="26" bestFit="1" customWidth="1"/>
    <col min="178" max="178" width="13.875" style="26" bestFit="1" customWidth="1"/>
    <col min="179" max="179" width="21.375" style="26" bestFit="1" customWidth="1"/>
    <col min="180" max="180" width="13.875" style="26" bestFit="1" customWidth="1"/>
    <col min="181" max="181" width="21.375" style="26" bestFit="1" customWidth="1"/>
    <col min="182" max="182" width="13.875" style="26" bestFit="1" customWidth="1"/>
    <col min="183" max="183" width="21.375" style="26" bestFit="1" customWidth="1"/>
    <col min="184" max="184" width="13.875" style="26" bestFit="1" customWidth="1"/>
    <col min="185" max="185" width="21.375" style="26" bestFit="1" customWidth="1"/>
    <col min="186" max="186" width="13.875" style="26" bestFit="1" customWidth="1"/>
    <col min="187" max="187" width="20.375" style="26" bestFit="1" customWidth="1"/>
    <col min="188" max="188" width="13.875" style="26" bestFit="1" customWidth="1"/>
    <col min="189" max="189" width="21.375" style="26" bestFit="1" customWidth="1"/>
    <col min="190" max="190" width="12.875" style="26" bestFit="1" customWidth="1"/>
    <col min="191" max="191" width="21.375" style="26" bestFit="1" customWidth="1"/>
    <col min="192" max="192" width="13.875" style="26" bestFit="1" customWidth="1"/>
    <col min="193" max="193" width="19.375" style="26" bestFit="1" customWidth="1"/>
    <col min="194" max="194" width="13.875" style="26" bestFit="1" customWidth="1"/>
    <col min="195" max="195" width="21.375" style="26" bestFit="1" customWidth="1"/>
    <col min="196" max="196" width="13.875" style="26" bestFit="1" customWidth="1"/>
    <col min="197" max="197" width="21.375" style="26" bestFit="1" customWidth="1"/>
    <col min="198" max="198" width="13.875" style="26" bestFit="1" customWidth="1"/>
    <col min="199" max="199" width="20.375" style="26" bestFit="1" customWidth="1"/>
    <col min="200" max="200" width="13.875" style="26" bestFit="1" customWidth="1"/>
    <col min="201" max="201" width="21.375" style="26" bestFit="1" customWidth="1"/>
    <col min="202" max="202" width="13.875" style="26" bestFit="1" customWidth="1"/>
    <col min="203" max="203" width="21.375" style="26" bestFit="1" customWidth="1"/>
    <col min="204" max="204" width="13.875" style="26" bestFit="1" customWidth="1"/>
    <col min="205" max="205" width="21.375" style="26" bestFit="1" customWidth="1"/>
    <col min="206" max="206" width="13.875" style="26" bestFit="1" customWidth="1"/>
    <col min="207" max="207" width="21.375" style="26" bestFit="1" customWidth="1"/>
    <col min="208" max="208" width="13.875" style="26" bestFit="1" customWidth="1"/>
    <col min="209" max="209" width="21.375" style="26" bestFit="1" customWidth="1"/>
    <col min="210" max="210" width="13.875" style="26" bestFit="1" customWidth="1"/>
    <col min="211" max="211" width="21.375" style="26" bestFit="1" customWidth="1"/>
    <col min="212" max="212" width="13.875" style="26" bestFit="1" customWidth="1"/>
    <col min="213" max="213" width="21.375" style="26" bestFit="1" customWidth="1"/>
    <col min="214" max="214" width="13.875" style="26" bestFit="1" customWidth="1"/>
    <col min="215" max="215" width="21.375" style="26" bestFit="1" customWidth="1"/>
    <col min="216" max="216" width="13.875" style="26" bestFit="1" customWidth="1"/>
    <col min="217" max="217" width="21.375" style="26" bestFit="1" customWidth="1"/>
    <col min="218" max="218" width="13.875" style="26" bestFit="1" customWidth="1"/>
    <col min="219" max="219" width="21.375" style="26" bestFit="1" customWidth="1"/>
    <col min="220" max="220" width="13.875" style="26" bestFit="1" customWidth="1"/>
    <col min="221" max="221" width="21.375" style="26" bestFit="1" customWidth="1"/>
    <col min="222" max="222" width="13.875" style="26" bestFit="1" customWidth="1"/>
    <col min="223" max="223" width="21.375" style="26" bestFit="1" customWidth="1"/>
    <col min="224" max="224" width="13.875" style="26" bestFit="1" customWidth="1"/>
    <col min="225" max="225" width="21.375" style="26" bestFit="1" customWidth="1"/>
    <col min="226" max="226" width="13.875" style="26" bestFit="1" customWidth="1"/>
    <col min="227" max="227" width="21.375" style="26" bestFit="1" customWidth="1"/>
    <col min="228" max="228" width="13.875" style="26" bestFit="1" customWidth="1"/>
    <col min="229" max="229" width="21.375" style="26" bestFit="1" customWidth="1"/>
    <col min="230" max="230" width="13.875" style="26" bestFit="1" customWidth="1"/>
    <col min="231" max="231" width="21.375" style="26" bestFit="1" customWidth="1"/>
    <col min="232" max="232" width="13.875" style="26" bestFit="1" customWidth="1"/>
    <col min="233" max="233" width="21.375" style="26" bestFit="1" customWidth="1"/>
    <col min="234" max="234" width="13.875" style="26" bestFit="1" customWidth="1"/>
    <col min="235" max="235" width="21.375" style="26" bestFit="1" customWidth="1"/>
    <col min="236" max="236" width="13.875" style="26" bestFit="1" customWidth="1"/>
    <col min="237" max="237" width="21.375" style="26" bestFit="1" customWidth="1"/>
    <col min="238" max="238" width="13.875" style="26" bestFit="1" customWidth="1"/>
    <col min="239" max="239" width="21.375" style="26" bestFit="1" customWidth="1"/>
    <col min="240" max="240" width="13.875" style="26" bestFit="1" customWidth="1"/>
    <col min="241" max="241" width="21.375" style="26" bestFit="1" customWidth="1"/>
    <col min="242" max="242" width="13.875" style="26" bestFit="1" customWidth="1"/>
    <col min="243" max="243" width="21.375" style="26" bestFit="1" customWidth="1"/>
    <col min="244" max="244" width="13.875" style="26" bestFit="1" customWidth="1"/>
    <col min="245" max="245" width="21.375" style="26" bestFit="1" customWidth="1"/>
    <col min="246" max="246" width="13.875" style="26" bestFit="1" customWidth="1"/>
    <col min="247" max="247" width="21.375" style="26" bestFit="1" customWidth="1"/>
    <col min="248" max="248" width="13.875" style="26" bestFit="1" customWidth="1"/>
    <col min="249" max="249" width="21.375" style="26" bestFit="1" customWidth="1"/>
    <col min="250" max="250" width="13.875" style="26" bestFit="1" customWidth="1"/>
    <col min="251" max="251" width="21.375" style="26" bestFit="1" customWidth="1"/>
    <col min="252" max="252" width="13.875" style="26" bestFit="1" customWidth="1"/>
    <col min="253" max="253" width="20.375" style="26" bestFit="1" customWidth="1"/>
    <col min="254" max="254" width="13.875" style="26" bestFit="1" customWidth="1"/>
    <col min="255" max="255" width="21.375" style="26" bestFit="1" customWidth="1"/>
    <col min="256" max="256" width="12.875" style="26" bestFit="1" customWidth="1"/>
    <col min="257" max="257" width="21.375" style="26" bestFit="1" customWidth="1"/>
    <col min="258" max="258" width="13.875" style="26" bestFit="1" customWidth="1"/>
    <col min="259" max="259" width="21.375" style="26" bestFit="1" customWidth="1"/>
    <col min="260" max="260" width="13.875" style="26" bestFit="1" customWidth="1"/>
    <col min="261" max="261" width="21.375" style="26" bestFit="1" customWidth="1"/>
    <col min="262" max="262" width="13.875" style="26" bestFit="1" customWidth="1"/>
    <col min="263" max="263" width="20.375" style="26" bestFit="1" customWidth="1"/>
    <col min="264" max="264" width="13.875" style="26" bestFit="1" customWidth="1"/>
    <col min="265" max="265" width="21.375" style="26" bestFit="1" customWidth="1"/>
    <col min="266" max="266" width="13.875" style="26" bestFit="1" customWidth="1"/>
    <col min="267" max="267" width="21.375" style="26" bestFit="1" customWidth="1"/>
    <col min="268" max="268" width="13.875" style="26" bestFit="1" customWidth="1"/>
    <col min="269" max="269" width="21.375" style="26" bestFit="1" customWidth="1"/>
    <col min="270" max="270" width="13.875" style="26" bestFit="1" customWidth="1"/>
    <col min="271" max="271" width="21.375" style="26" bestFit="1" customWidth="1"/>
    <col min="272" max="272" width="13.875" style="26" bestFit="1" customWidth="1"/>
    <col min="273" max="273" width="21.375" style="26" bestFit="1" customWidth="1"/>
    <col min="274" max="274" width="13.875" style="26" bestFit="1" customWidth="1"/>
    <col min="275" max="275" width="21.375" style="26" bestFit="1" customWidth="1"/>
    <col min="276" max="276" width="13.875" style="26" bestFit="1" customWidth="1"/>
    <col min="277" max="277" width="21.375" style="26" bestFit="1" customWidth="1"/>
    <col min="278" max="278" width="12.875" style="26" bestFit="1" customWidth="1"/>
    <col min="279" max="279" width="21.375" style="26" bestFit="1" customWidth="1"/>
    <col min="280" max="280" width="13.875" style="26" bestFit="1" customWidth="1"/>
    <col min="281" max="281" width="20.375" style="26" bestFit="1" customWidth="1"/>
    <col min="282" max="282" width="13.875" style="26" bestFit="1" customWidth="1"/>
    <col min="283" max="283" width="21.375" style="26" bestFit="1" customWidth="1"/>
    <col min="284" max="284" width="13.875" style="26" bestFit="1" customWidth="1"/>
    <col min="285" max="285" width="21.375" style="26" bestFit="1" customWidth="1"/>
    <col min="286" max="286" width="13.875" style="26" bestFit="1" customWidth="1"/>
    <col min="287" max="287" width="21.375" style="26" bestFit="1" customWidth="1"/>
    <col min="288" max="288" width="7" style="26" customWidth="1"/>
    <col min="289" max="289" width="9.875" style="26" customWidth="1"/>
    <col min="290" max="290" width="10.625" style="26" customWidth="1"/>
    <col min="291" max="16384" width="11" style="26"/>
  </cols>
  <sheetData>
    <row r="1" spans="1:37" s="211" customFormat="1" ht="23.25" x14ac:dyDescent="0.35">
      <c r="A1" s="264" t="s">
        <v>1622</v>
      </c>
      <c r="B1" s="264"/>
    </row>
    <row r="2" spans="1:37" s="2" customForma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 s="25" customFormat="1" x14ac:dyDescent="0.2">
      <c r="B3" s="40" t="s">
        <v>1582</v>
      </c>
      <c r="C3" s="40" t="s">
        <v>1515</v>
      </c>
      <c r="D3" s="40" t="s">
        <v>1590</v>
      </c>
      <c r="E3" s="40"/>
      <c r="V3" s="40" t="s">
        <v>1581</v>
      </c>
    </row>
    <row r="4" spans="1:37" s="25" customFormat="1" x14ac:dyDescent="0.2">
      <c r="A4" s="40" t="s">
        <v>1583</v>
      </c>
      <c r="C4" s="203">
        <f>nl_hydrogen_price</f>
        <v>3015.0423355485573</v>
      </c>
      <c r="E4" s="255" t="s">
        <v>1572</v>
      </c>
      <c r="F4" s="203"/>
      <c r="G4" s="203"/>
      <c r="H4" s="203"/>
      <c r="I4" s="203"/>
      <c r="J4" s="203"/>
      <c r="K4" s="203"/>
      <c r="L4" s="203"/>
      <c r="M4" s="203"/>
      <c r="N4" s="253"/>
      <c r="O4" s="253">
        <f>nl_min_offshore_price_nl</f>
        <v>4.7226011236875838</v>
      </c>
      <c r="P4" s="203">
        <f>Country_details!BY4</f>
        <v>708.98809963293684</v>
      </c>
      <c r="Q4" s="203">
        <f>Country_details!CK4</f>
        <v>482.58939325608668</v>
      </c>
      <c r="R4" s="203">
        <f>Country_details!CX4</f>
        <v>766.21871722134017</v>
      </c>
      <c r="S4" s="203">
        <f>Country_details!EG4</f>
        <v>1116.4631816782523</v>
      </c>
      <c r="T4" s="203">
        <f>Country_details!ET4</f>
        <v>1914.8360394941569</v>
      </c>
      <c r="U4" s="203">
        <f>Country_details!FG4</f>
        <v>2067.3433860663758</v>
      </c>
      <c r="V4" s="203">
        <f>nl_hydrogen_price</f>
        <v>3015.0423355485573</v>
      </c>
      <c r="W4" s="254">
        <f>nl_min_offshore_price_nl</f>
        <v>4.7226011236875838</v>
      </c>
      <c r="X4" s="241">
        <f t="shared" ref="X4:AC4" si="0">P4</f>
        <v>708.98809963293684</v>
      </c>
      <c r="Y4" s="241">
        <f t="shared" si="0"/>
        <v>482.58939325608668</v>
      </c>
      <c r="Z4" s="241">
        <f t="shared" si="0"/>
        <v>766.21871722134017</v>
      </c>
      <c r="AA4" s="241">
        <f t="shared" si="0"/>
        <v>1116.4631816782523</v>
      </c>
      <c r="AB4" s="241">
        <f t="shared" si="0"/>
        <v>1914.8360394941569</v>
      </c>
      <c r="AC4" s="241">
        <f t="shared" si="0"/>
        <v>2067.3433860663758</v>
      </c>
    </row>
    <row r="5" spans="1:37" s="246" customFormat="1" ht="60" customHeight="1" x14ac:dyDescent="0.2">
      <c r="A5" s="244" t="s">
        <v>1258</v>
      </c>
      <c r="B5" s="245" t="s">
        <v>1542</v>
      </c>
      <c r="C5" s="256" t="s">
        <v>1260</v>
      </c>
      <c r="D5" s="256" t="s">
        <v>1264</v>
      </c>
      <c r="E5" s="256" t="s">
        <v>1263</v>
      </c>
      <c r="F5" s="256" t="s">
        <v>1261</v>
      </c>
      <c r="G5" s="256" t="s">
        <v>1262</v>
      </c>
      <c r="H5" s="256" t="s">
        <v>1265</v>
      </c>
      <c r="I5" s="256" t="s">
        <v>1266</v>
      </c>
      <c r="J5" s="256" t="s">
        <v>1267</v>
      </c>
      <c r="K5" s="256" t="s">
        <v>1501</v>
      </c>
      <c r="L5" s="256" t="s">
        <v>1502</v>
      </c>
      <c r="M5" s="256" t="s">
        <v>1268</v>
      </c>
      <c r="N5" s="256" t="s">
        <v>1269</v>
      </c>
      <c r="O5" s="257" t="s">
        <v>1270</v>
      </c>
      <c r="P5" s="245" t="s">
        <v>1271</v>
      </c>
      <c r="Q5" s="245" t="s">
        <v>1272</v>
      </c>
      <c r="R5" s="245" t="s">
        <v>1273</v>
      </c>
      <c r="S5" s="245" t="s">
        <v>1503</v>
      </c>
      <c r="T5" s="245" t="s">
        <v>1504</v>
      </c>
      <c r="U5" s="245" t="s">
        <v>1274</v>
      </c>
      <c r="V5" s="256" t="s">
        <v>1507</v>
      </c>
      <c r="W5" s="257" t="s">
        <v>1508</v>
      </c>
      <c r="X5" s="256" t="s">
        <v>1509</v>
      </c>
      <c r="Y5" s="256" t="s">
        <v>1510</v>
      </c>
      <c r="Z5" s="256" t="s">
        <v>1511</v>
      </c>
      <c r="AA5" s="256" t="s">
        <v>1512</v>
      </c>
      <c r="AB5" s="256" t="s">
        <v>1513</v>
      </c>
      <c r="AC5" s="256" t="s">
        <v>1514</v>
      </c>
      <c r="AD5" s="8"/>
      <c r="AE5" s="8"/>
      <c r="AF5" s="8"/>
      <c r="AG5" s="8"/>
      <c r="AH5" s="8"/>
    </row>
    <row r="6" spans="1:37" x14ac:dyDescent="0.2">
      <c r="A6" s="188" t="s">
        <v>30</v>
      </c>
      <c r="B6" s="156">
        <v>2857.5364891400604</v>
      </c>
      <c r="C6" s="156">
        <v>3907.3010404646056</v>
      </c>
      <c r="D6" s="156">
        <v>5671.81732991437</v>
      </c>
      <c r="E6" s="156">
        <v>3907.3010404646056</v>
      </c>
      <c r="F6" s="156">
        <v>0</v>
      </c>
      <c r="G6" s="156">
        <v>0</v>
      </c>
      <c r="H6" s="156">
        <v>0</v>
      </c>
      <c r="I6" s="156">
        <v>0</v>
      </c>
      <c r="J6" s="156">
        <v>0</v>
      </c>
      <c r="K6" s="156">
        <v>0</v>
      </c>
      <c r="L6" s="156">
        <v>0</v>
      </c>
      <c r="M6" s="156">
        <v>0</v>
      </c>
      <c r="N6" s="156">
        <v>0</v>
      </c>
      <c r="O6" s="189">
        <v>10.410299630226255</v>
      </c>
      <c r="P6" s="156">
        <v>0</v>
      </c>
      <c r="Q6" s="156">
        <v>0</v>
      </c>
      <c r="R6" s="156">
        <v>0</v>
      </c>
      <c r="S6" s="156">
        <v>0</v>
      </c>
      <c r="T6" s="156">
        <v>0</v>
      </c>
      <c r="U6" s="156">
        <v>0</v>
      </c>
      <c r="V6" s="156">
        <v>2918.0856827912239</v>
      </c>
      <c r="W6" s="190">
        <v>2.8367088617348855</v>
      </c>
      <c r="X6" s="156">
        <v>689.5977802331787</v>
      </c>
      <c r="Y6" s="156">
        <v>502.50540641010235</v>
      </c>
      <c r="Z6" s="156">
        <v>778.61165707505143</v>
      </c>
      <c r="AA6" s="156">
        <v>1140.2093041637506</v>
      </c>
      <c r="AB6" s="156">
        <v>2001.1010123219862</v>
      </c>
      <c r="AC6" s="156">
        <v>2067.1060444240366</v>
      </c>
      <c r="AD6" s="12"/>
      <c r="AE6" s="12"/>
      <c r="AF6" s="12"/>
      <c r="AG6" s="12"/>
      <c r="AH6" s="12"/>
    </row>
    <row r="7" spans="1:37" x14ac:dyDescent="0.2">
      <c r="A7" s="188" t="s">
        <v>31</v>
      </c>
      <c r="B7" s="156">
        <v>160.25076768618806</v>
      </c>
      <c r="C7" s="156">
        <v>2782.4379861969055</v>
      </c>
      <c r="D7" s="156">
        <v>2782.4379861969055</v>
      </c>
      <c r="E7" s="156">
        <v>3736.9382582311291</v>
      </c>
      <c r="F7" s="156">
        <v>5225.1396876906529</v>
      </c>
      <c r="G7" s="156">
        <v>10253.347332703872</v>
      </c>
      <c r="H7" s="156">
        <v>7310.1775185123342</v>
      </c>
      <c r="I7" s="156">
        <v>5214.1427328834407</v>
      </c>
      <c r="J7" s="156">
        <v>4241.2866271254288</v>
      </c>
      <c r="K7" s="156">
        <v>9594.3901427516048</v>
      </c>
      <c r="L7" s="156">
        <v>18570.256985012184</v>
      </c>
      <c r="M7" s="156">
        <v>7656.5566445861805</v>
      </c>
      <c r="N7" s="156">
        <v>8867.034876764028</v>
      </c>
      <c r="O7" s="189">
        <v>4.7856561735054735</v>
      </c>
      <c r="P7" s="156">
        <v>855.45835603464968</v>
      </c>
      <c r="Q7" s="156">
        <v>514.90833134037837</v>
      </c>
      <c r="R7" s="156">
        <v>900.18999935167415</v>
      </c>
      <c r="S7" s="156">
        <v>1297.0698034850516</v>
      </c>
      <c r="T7" s="156">
        <v>2190.7019848983468</v>
      </c>
      <c r="U7" s="156">
        <v>2442.0542734005153</v>
      </c>
      <c r="V7" s="156">
        <v>3444.8218156678972</v>
      </c>
      <c r="W7" s="190">
        <v>2.7339377089900689</v>
      </c>
      <c r="X7" s="156">
        <v>762.19863168464951</v>
      </c>
      <c r="Y7" s="156">
        <v>467.2403317045011</v>
      </c>
      <c r="Z7" s="156">
        <v>849.80935658752423</v>
      </c>
      <c r="AA7" s="156">
        <v>1234.5456457846149</v>
      </c>
      <c r="AB7" s="156">
        <v>2147.0200948626348</v>
      </c>
      <c r="AC7" s="156">
        <v>2259.8928448156885</v>
      </c>
      <c r="AD7" s="12"/>
      <c r="AE7" s="12"/>
      <c r="AF7" s="12"/>
      <c r="AG7" s="12"/>
      <c r="AH7" s="12"/>
    </row>
    <row r="8" spans="1:37" x14ac:dyDescent="0.2">
      <c r="A8" s="188" t="s">
        <v>32</v>
      </c>
      <c r="B8" s="156">
        <v>15511.583660693541</v>
      </c>
      <c r="C8" s="156">
        <v>2890.0558020629569</v>
      </c>
      <c r="D8" s="156">
        <v>3048.7454887733179</v>
      </c>
      <c r="E8" s="156">
        <v>2890.0558020629569</v>
      </c>
      <c r="F8" s="156">
        <v>4192.3404160228911</v>
      </c>
      <c r="G8" s="156">
        <v>8203.0090794957832</v>
      </c>
      <c r="H8" s="156">
        <v>5816.254456891993</v>
      </c>
      <c r="I8" s="156">
        <v>4112.7867442017314</v>
      </c>
      <c r="J8" s="156">
        <v>3792.6224991477661</v>
      </c>
      <c r="K8" s="156">
        <v>7528.0103910328853</v>
      </c>
      <c r="L8" s="156">
        <v>14107.427419383774</v>
      </c>
      <c r="M8" s="156">
        <v>6178.8091651560489</v>
      </c>
      <c r="N8" s="156">
        <v>7595.0452960785215</v>
      </c>
      <c r="O8" s="189">
        <v>5.3040667294260748</v>
      </c>
      <c r="P8" s="156">
        <v>672.00059067261304</v>
      </c>
      <c r="Q8" s="156">
        <v>416.61701903764521</v>
      </c>
      <c r="R8" s="156">
        <v>696.82397123707142</v>
      </c>
      <c r="S8" s="156">
        <v>1003.3585364074989</v>
      </c>
      <c r="T8" s="156">
        <v>1678.6845394563434</v>
      </c>
      <c r="U8" s="156">
        <v>1914.1526236532457</v>
      </c>
      <c r="V8" s="156">
        <v>2462.7231909650122</v>
      </c>
      <c r="W8" s="190">
        <v>2.1527060076320712</v>
      </c>
      <c r="X8" s="156">
        <v>572.49805862259166</v>
      </c>
      <c r="Y8" s="156">
        <v>374.63892984874303</v>
      </c>
      <c r="Z8" s="156">
        <v>640.17704406998519</v>
      </c>
      <c r="AA8" s="156">
        <v>934.08099382634009</v>
      </c>
      <c r="AB8" s="156">
        <v>1630.6978299071125</v>
      </c>
      <c r="AC8" s="156">
        <v>1712.8918888253143</v>
      </c>
      <c r="AD8" s="12"/>
      <c r="AE8" s="12"/>
      <c r="AF8" s="12"/>
      <c r="AG8" s="12"/>
      <c r="AH8" s="12"/>
    </row>
    <row r="9" spans="1:37" x14ac:dyDescent="0.2">
      <c r="A9" s="188" t="s">
        <v>33</v>
      </c>
      <c r="B9" s="156">
        <v>5599.9478904854059</v>
      </c>
      <c r="C9" s="156">
        <v>4618.6122573121993</v>
      </c>
      <c r="D9" s="156">
        <v>6631.0177382194479</v>
      </c>
      <c r="E9" s="156">
        <v>4618.6122573121993</v>
      </c>
      <c r="F9" s="156">
        <v>5436.2741850847633</v>
      </c>
      <c r="G9" s="156">
        <v>10877.671460292206</v>
      </c>
      <c r="H9" s="156">
        <v>7364.7993497925918</v>
      </c>
      <c r="I9" s="156">
        <v>5698.9898778497827</v>
      </c>
      <c r="J9" s="156">
        <v>4623.4113912554703</v>
      </c>
      <c r="K9" s="156">
        <v>9579.2807137333493</v>
      </c>
      <c r="L9" s="156">
        <v>18257.142841903173</v>
      </c>
      <c r="M9" s="156">
        <v>7700.8148553732381</v>
      </c>
      <c r="N9" s="156">
        <v>9310.3218473181678</v>
      </c>
      <c r="O9" s="189">
        <v>12.277538112424187</v>
      </c>
      <c r="P9" s="156">
        <v>892.96251017702468</v>
      </c>
      <c r="Q9" s="156">
        <v>548.42758004073949</v>
      </c>
      <c r="R9" s="156">
        <v>918.2763171805617</v>
      </c>
      <c r="S9" s="156">
        <v>1311.4228483739098</v>
      </c>
      <c r="T9" s="156">
        <v>2186.0850254759785</v>
      </c>
      <c r="U9" s="156">
        <v>2483.0145929281944</v>
      </c>
      <c r="V9" s="156">
        <v>3280.7012922975837</v>
      </c>
      <c r="W9" s="190">
        <v>2.8038257586242801</v>
      </c>
      <c r="X9" s="156">
        <v>743.9095025836051</v>
      </c>
      <c r="Y9" s="156">
        <v>473.43083545998576</v>
      </c>
      <c r="Z9" s="156">
        <v>831.46313092817331</v>
      </c>
      <c r="AA9" s="156">
        <v>1210.6296027165592</v>
      </c>
      <c r="AB9" s="156">
        <v>2109.7880582601019</v>
      </c>
      <c r="AC9" s="156">
        <v>2215.5642531101971</v>
      </c>
      <c r="AD9" s="12"/>
      <c r="AE9" s="12"/>
      <c r="AF9" s="12"/>
      <c r="AG9" s="12"/>
      <c r="AH9" s="12"/>
    </row>
    <row r="10" spans="1:37" x14ac:dyDescent="0.2">
      <c r="A10" s="188" t="s">
        <v>169</v>
      </c>
      <c r="B10" s="156">
        <v>75987.557650087314</v>
      </c>
      <c r="C10" s="156">
        <v>5312.9532877756228</v>
      </c>
      <c r="D10" s="156">
        <v>20223.020403405841</v>
      </c>
      <c r="E10" s="156">
        <v>5312.9532877756228</v>
      </c>
      <c r="F10" s="156">
        <v>0</v>
      </c>
      <c r="G10" s="156">
        <v>0</v>
      </c>
      <c r="H10" s="156">
        <v>0</v>
      </c>
      <c r="I10" s="156">
        <v>0</v>
      </c>
      <c r="J10" s="156">
        <v>0</v>
      </c>
      <c r="K10" s="156">
        <v>0</v>
      </c>
      <c r="L10" s="156">
        <v>0</v>
      </c>
      <c r="M10" s="156">
        <v>0</v>
      </c>
      <c r="N10" s="156">
        <v>0</v>
      </c>
      <c r="O10" s="189">
        <v>39.494497356067711</v>
      </c>
      <c r="P10" s="156">
        <v>0</v>
      </c>
      <c r="Q10" s="156">
        <v>0</v>
      </c>
      <c r="R10" s="156">
        <v>0</v>
      </c>
      <c r="S10" s="156">
        <v>0</v>
      </c>
      <c r="T10" s="156">
        <v>0</v>
      </c>
      <c r="U10" s="156">
        <v>0</v>
      </c>
      <c r="V10" s="156">
        <v>2996.905847899427</v>
      </c>
      <c r="W10" s="190" t="e">
        <v>#N/A</v>
      </c>
      <c r="X10" s="156">
        <v>658.59527314413583</v>
      </c>
      <c r="Y10" s="156">
        <v>401.57206891665152</v>
      </c>
      <c r="Z10" s="156">
        <v>733.50115303389828</v>
      </c>
      <c r="AA10" s="156">
        <v>1065.0907515964382</v>
      </c>
      <c r="AB10" s="156">
        <v>1851.7589821871402</v>
      </c>
      <c r="AC10" s="156">
        <v>1950.2655050956964</v>
      </c>
      <c r="AD10" s="12"/>
      <c r="AE10" s="12"/>
      <c r="AF10" s="12"/>
      <c r="AG10" s="12"/>
      <c r="AH10" s="12"/>
    </row>
    <row r="11" spans="1:37" x14ac:dyDescent="0.2">
      <c r="A11" s="188" t="s">
        <v>34</v>
      </c>
      <c r="B11" s="156">
        <v>33465.577249690519</v>
      </c>
      <c r="C11" s="156">
        <v>4977.4936546584768</v>
      </c>
      <c r="D11" s="156">
        <v>17399.71153233933</v>
      </c>
      <c r="E11" s="156">
        <v>4977.4936546584768</v>
      </c>
      <c r="F11" s="156">
        <v>5109.0009883964967</v>
      </c>
      <c r="G11" s="156">
        <v>11323.569082893382</v>
      </c>
      <c r="H11" s="156">
        <v>6816.620784864971</v>
      </c>
      <c r="I11" s="156">
        <v>5474.5374789758534</v>
      </c>
      <c r="J11" s="156">
        <v>5625.5807380405895</v>
      </c>
      <c r="K11" s="156">
        <v>8836.6104332078048</v>
      </c>
      <c r="L11" s="156">
        <v>16659.365865301344</v>
      </c>
      <c r="M11" s="156">
        <v>7112.4564220551965</v>
      </c>
      <c r="N11" s="156">
        <v>8889.6284289057949</v>
      </c>
      <c r="O11" s="189">
        <v>33.82975243017183</v>
      </c>
      <c r="P11" s="156">
        <v>834.82845550213517</v>
      </c>
      <c r="Q11" s="156">
        <v>568.65759518985703</v>
      </c>
      <c r="R11" s="156">
        <v>852.21759023509549</v>
      </c>
      <c r="S11" s="156">
        <v>1216.9079727053495</v>
      </c>
      <c r="T11" s="156">
        <v>2022.5555757405375</v>
      </c>
      <c r="U11" s="156">
        <v>2291.9422875354048</v>
      </c>
      <c r="V11" s="156">
        <v>2831.2412431098792</v>
      </c>
      <c r="W11" s="190">
        <v>3.0522721120115612</v>
      </c>
      <c r="X11" s="156">
        <v>667.26162577617458</v>
      </c>
      <c r="Y11" s="156">
        <v>485.62151315857716</v>
      </c>
      <c r="Z11" s="156">
        <v>753.22078883719371</v>
      </c>
      <c r="AA11" s="156">
        <v>1102.8512429525927</v>
      </c>
      <c r="AB11" s="156">
        <v>1935.359704753944</v>
      </c>
      <c r="AC11" s="156">
        <v>1999.2388216380962</v>
      </c>
      <c r="AD11" s="12"/>
      <c r="AE11" s="12"/>
      <c r="AF11" s="12"/>
      <c r="AG11" s="12"/>
      <c r="AH11" s="12"/>
    </row>
    <row r="12" spans="1:37" x14ac:dyDescent="0.2">
      <c r="A12" s="188" t="s">
        <v>35</v>
      </c>
      <c r="B12" s="156">
        <v>101.49477081949692</v>
      </c>
      <c r="C12" s="156">
        <v>3723.2206881685311</v>
      </c>
      <c r="D12" s="156">
        <v>4709.6458042346603</v>
      </c>
      <c r="E12" s="156">
        <v>3723.2206881685311</v>
      </c>
      <c r="F12" s="156">
        <v>0</v>
      </c>
      <c r="G12" s="156">
        <v>0</v>
      </c>
      <c r="H12" s="156">
        <v>0</v>
      </c>
      <c r="I12" s="156">
        <v>0</v>
      </c>
      <c r="J12" s="156">
        <v>0</v>
      </c>
      <c r="K12" s="156">
        <v>0</v>
      </c>
      <c r="L12" s="156">
        <v>0</v>
      </c>
      <c r="M12" s="156">
        <v>0</v>
      </c>
      <c r="N12" s="156">
        <v>0</v>
      </c>
      <c r="O12" s="189">
        <v>8.5372773882957311</v>
      </c>
      <c r="P12" s="156">
        <v>0</v>
      </c>
      <c r="Q12" s="156">
        <v>0</v>
      </c>
      <c r="R12" s="156">
        <v>0</v>
      </c>
      <c r="S12" s="156">
        <v>0</v>
      </c>
      <c r="T12" s="156">
        <v>0</v>
      </c>
      <c r="U12" s="156">
        <v>0</v>
      </c>
      <c r="V12" s="156">
        <v>3103.2212136038415</v>
      </c>
      <c r="W12" s="190">
        <v>3.1459680952779476</v>
      </c>
      <c r="X12" s="156">
        <v>723.80655000438185</v>
      </c>
      <c r="Y12" s="156">
        <v>521.21125996676437</v>
      </c>
      <c r="Z12" s="156">
        <v>816.69632827928672</v>
      </c>
      <c r="AA12" s="156">
        <v>1194.7728258506509</v>
      </c>
      <c r="AB12" s="156">
        <v>2095.1892752087588</v>
      </c>
      <c r="AC12" s="156">
        <v>2164.6087497159415</v>
      </c>
      <c r="AD12" s="12"/>
      <c r="AE12" s="12"/>
      <c r="AF12" s="12"/>
      <c r="AG12" s="12"/>
      <c r="AH12" s="12"/>
    </row>
    <row r="13" spans="1:37" x14ac:dyDescent="0.2">
      <c r="A13" s="188" t="s">
        <v>36</v>
      </c>
      <c r="B13" s="156">
        <v>86029.997494464871</v>
      </c>
      <c r="C13" s="156">
        <v>4381.0854877682386</v>
      </c>
      <c r="D13" s="156">
        <v>10452.238869367595</v>
      </c>
      <c r="E13" s="156">
        <v>4381.0854877682386</v>
      </c>
      <c r="F13" s="156">
        <v>4741.7182309925065</v>
      </c>
      <c r="G13" s="156">
        <v>10482.573523284262</v>
      </c>
      <c r="H13" s="156">
        <v>6219.9612525871935</v>
      </c>
      <c r="I13" s="156">
        <v>5950.1903307683924</v>
      </c>
      <c r="J13" s="156">
        <v>4979.4072917730591</v>
      </c>
      <c r="K13" s="156">
        <v>7872.2074666213302</v>
      </c>
      <c r="L13" s="156">
        <v>14173.864762718043</v>
      </c>
      <c r="M13" s="156">
        <v>6329.0600824747962</v>
      </c>
      <c r="N13" s="156">
        <v>8021.6824917841595</v>
      </c>
      <c r="O13" s="189">
        <v>19.890200538173954</v>
      </c>
      <c r="P13" s="156">
        <v>769.5874393843211</v>
      </c>
      <c r="Q13" s="156">
        <v>513.32563360115398</v>
      </c>
      <c r="R13" s="156">
        <v>744.84392029354137</v>
      </c>
      <c r="S13" s="156">
        <v>1043.3981406266478</v>
      </c>
      <c r="T13" s="156">
        <v>1678.5520948752414</v>
      </c>
      <c r="U13" s="156">
        <v>1968.0273828572424</v>
      </c>
      <c r="V13" s="156">
        <v>2260.5465030993951</v>
      </c>
      <c r="W13" s="190">
        <v>1.9729100600722784</v>
      </c>
      <c r="X13" s="156">
        <v>535.24870488395607</v>
      </c>
      <c r="Y13" s="156">
        <v>390.228386677321</v>
      </c>
      <c r="Z13" s="156">
        <v>603.4950096689879</v>
      </c>
      <c r="AA13" s="156">
        <v>883.95859086337305</v>
      </c>
      <c r="AB13" s="156">
        <v>1551.6160512564834</v>
      </c>
      <c r="AC13" s="156">
        <v>1605.254823786237</v>
      </c>
      <c r="AD13" s="12"/>
      <c r="AE13" s="12"/>
      <c r="AF13" s="12"/>
      <c r="AG13" s="12"/>
      <c r="AH13" s="12"/>
    </row>
    <row r="14" spans="1:37" x14ac:dyDescent="0.2">
      <c r="A14" s="188" t="s">
        <v>37</v>
      </c>
      <c r="B14" s="156">
        <v>547.66840565040684</v>
      </c>
      <c r="C14" s="156">
        <v>4056.2800588858845</v>
      </c>
      <c r="D14" s="156">
        <v>4056.2800588858845</v>
      </c>
      <c r="E14" s="156">
        <v>4579.0545383316885</v>
      </c>
      <c r="F14" s="156">
        <v>0</v>
      </c>
      <c r="G14" s="156">
        <v>0</v>
      </c>
      <c r="H14" s="156">
        <v>0</v>
      </c>
      <c r="I14" s="156">
        <v>0</v>
      </c>
      <c r="J14" s="156">
        <v>0</v>
      </c>
      <c r="K14" s="156">
        <v>0</v>
      </c>
      <c r="L14" s="156">
        <v>0</v>
      </c>
      <c r="M14" s="156">
        <v>0</v>
      </c>
      <c r="N14" s="156">
        <v>0</v>
      </c>
      <c r="O14" s="189">
        <v>7.2653954623685832</v>
      </c>
      <c r="P14" s="156">
        <v>0</v>
      </c>
      <c r="Q14" s="156">
        <v>0</v>
      </c>
      <c r="R14" s="156">
        <v>0</v>
      </c>
      <c r="S14" s="156">
        <v>0</v>
      </c>
      <c r="T14" s="156">
        <v>0</v>
      </c>
      <c r="U14" s="156">
        <v>0</v>
      </c>
      <c r="V14" s="156">
        <v>3928.7820935154004</v>
      </c>
      <c r="W14" s="190">
        <v>3.1369311072162192</v>
      </c>
      <c r="X14" s="156">
        <v>861.16958679422453</v>
      </c>
      <c r="Y14" s="156">
        <v>522.96506469571909</v>
      </c>
      <c r="Z14" s="156">
        <v>960.08676076830102</v>
      </c>
      <c r="AA14" s="156">
        <v>1393.6605844107999</v>
      </c>
      <c r="AB14" s="156">
        <v>2422.2801680996126</v>
      </c>
      <c r="AC14" s="156">
        <v>2548.6376804438128</v>
      </c>
      <c r="AD14" s="12"/>
      <c r="AE14" s="12"/>
      <c r="AF14" s="12"/>
      <c r="AG14" s="12"/>
      <c r="AH14" s="12"/>
    </row>
    <row r="15" spans="1:37" x14ac:dyDescent="0.2">
      <c r="A15" s="188" t="s">
        <v>38</v>
      </c>
      <c r="B15" s="156">
        <v>-9068.8536941601415</v>
      </c>
      <c r="C15" s="156">
        <v>4423.0056142787462</v>
      </c>
      <c r="D15" s="156">
        <v>5722.8490315613526</v>
      </c>
      <c r="E15" s="156">
        <v>4601.7909143288289</v>
      </c>
      <c r="F15" s="156">
        <v>5502.8449949668793</v>
      </c>
      <c r="G15" s="156">
        <v>11213.377949941474</v>
      </c>
      <c r="H15" s="156">
        <v>7451.8513762839057</v>
      </c>
      <c r="I15" s="156">
        <v>6258.3775529341438</v>
      </c>
      <c r="J15" s="156">
        <v>4423.0056142787462</v>
      </c>
      <c r="K15" s="156">
        <v>9619.5151325074785</v>
      </c>
      <c r="L15" s="156">
        <v>18203.656711784108</v>
      </c>
      <c r="M15" s="156">
        <v>7652.5415575419383</v>
      </c>
      <c r="N15" s="156">
        <v>9240.409148354478</v>
      </c>
      <c r="O15" s="189">
        <v>10.509641077855187</v>
      </c>
      <c r="P15" s="156">
        <v>904.78758824818999</v>
      </c>
      <c r="Q15" s="156">
        <v>557.80198019723423</v>
      </c>
      <c r="R15" s="156">
        <v>919.97701692634735</v>
      </c>
      <c r="S15" s="156">
        <v>1303.4186332544723</v>
      </c>
      <c r="T15" s="156">
        <v>2157.7234291683885</v>
      </c>
      <c r="U15" s="156">
        <v>2450.9655029119381</v>
      </c>
      <c r="V15" s="156">
        <v>3249.7762699655764</v>
      </c>
      <c r="W15" s="190">
        <v>2.5848817491514664</v>
      </c>
      <c r="X15" s="156">
        <v>729.87149185752571</v>
      </c>
      <c r="Y15" s="156">
        <v>454.91818723975194</v>
      </c>
      <c r="Z15" s="156">
        <v>814.50588393880605</v>
      </c>
      <c r="AA15" s="156">
        <v>1184.7226686946472</v>
      </c>
      <c r="AB15" s="156">
        <v>2062.4154650643632</v>
      </c>
      <c r="AC15" s="156">
        <v>2170.1671632700873</v>
      </c>
      <c r="AD15" s="12"/>
      <c r="AE15" s="12"/>
      <c r="AF15" s="12"/>
      <c r="AG15" s="12"/>
      <c r="AH15" s="12"/>
    </row>
    <row r="16" spans="1:37" x14ac:dyDescent="0.2">
      <c r="A16" s="188" t="s">
        <v>39</v>
      </c>
      <c r="B16" s="156">
        <v>-356.45430572165719</v>
      </c>
      <c r="C16" s="156">
        <v>2558.6333078519951</v>
      </c>
      <c r="D16" s="156">
        <v>2558.6333078519951</v>
      </c>
      <c r="E16" s="156">
        <v>2678.7552635028469</v>
      </c>
      <c r="F16" s="156">
        <v>4112.2897585075671</v>
      </c>
      <c r="G16" s="156">
        <v>8996.2776659752053</v>
      </c>
      <c r="H16" s="156">
        <v>5899.0913681117408</v>
      </c>
      <c r="I16" s="156">
        <v>3817.7853558400407</v>
      </c>
      <c r="J16" s="156">
        <v>4676.284844677768</v>
      </c>
      <c r="K16" s="156">
        <v>7750.4028123401349</v>
      </c>
      <c r="L16" s="156">
        <v>14926.843164811205</v>
      </c>
      <c r="M16" s="156">
        <v>6226.6555459645615</v>
      </c>
      <c r="N16" s="156">
        <v>7287.1688196786963</v>
      </c>
      <c r="O16" s="189">
        <v>4.3499842281192347</v>
      </c>
      <c r="P16" s="156">
        <v>657.78106598239106</v>
      </c>
      <c r="Q16" s="156">
        <v>449.93753737597734</v>
      </c>
      <c r="R16" s="156">
        <v>705.70923444885898</v>
      </c>
      <c r="S16" s="156">
        <v>1029.8362674247448</v>
      </c>
      <c r="T16" s="156">
        <v>1761.2149543663368</v>
      </c>
      <c r="U16" s="156">
        <v>1925.0915387134762</v>
      </c>
      <c r="V16" s="156">
        <v>2643.251507149716</v>
      </c>
      <c r="W16" s="190">
        <v>3.2660498895352803</v>
      </c>
      <c r="X16" s="156">
        <v>604.14384293699322</v>
      </c>
      <c r="Y16" s="156">
        <v>427.4985255293164</v>
      </c>
      <c r="Z16" s="156">
        <v>680.12873947242406</v>
      </c>
      <c r="AA16" s="156">
        <v>993.52815137692198</v>
      </c>
      <c r="AB16" s="156">
        <v>1740.3690386199394</v>
      </c>
      <c r="AC16" s="156">
        <v>1800.3059249411135</v>
      </c>
      <c r="AD16" s="12"/>
      <c r="AE16" s="12"/>
      <c r="AF16" s="12"/>
      <c r="AG16" s="12"/>
      <c r="AH16" s="12"/>
    </row>
    <row r="17" spans="1:34" x14ac:dyDescent="0.2">
      <c r="A17" s="188" t="s">
        <v>40</v>
      </c>
      <c r="B17" s="156">
        <v>211.99870274641853</v>
      </c>
      <c r="C17" s="156">
        <v>4537.5127672340486</v>
      </c>
      <c r="D17" s="156">
        <v>16288.40307047555</v>
      </c>
      <c r="E17" s="156">
        <v>4537.5127672340486</v>
      </c>
      <c r="F17" s="156">
        <v>4972.9472121550316</v>
      </c>
      <c r="G17" s="156">
        <v>11173.117004773307</v>
      </c>
      <c r="H17" s="156">
        <v>6744.6508268213856</v>
      </c>
      <c r="I17" s="156">
        <v>5142.9472637273966</v>
      </c>
      <c r="J17" s="156">
        <v>5504.9656200110276</v>
      </c>
      <c r="K17" s="156">
        <v>8842.5632339991389</v>
      </c>
      <c r="L17" s="156">
        <v>16966.095575320367</v>
      </c>
      <c r="M17" s="156">
        <v>7077.6486816636025</v>
      </c>
      <c r="N17" s="156">
        <v>8783.2128041805681</v>
      </c>
      <c r="O17" s="189">
        <v>31.600000299626519</v>
      </c>
      <c r="P17" s="156">
        <v>810.6610084066117</v>
      </c>
      <c r="Q17" s="156">
        <v>563.7754623383687</v>
      </c>
      <c r="R17" s="156">
        <v>846.60343171014665</v>
      </c>
      <c r="S17" s="156">
        <v>1221.881986768936</v>
      </c>
      <c r="T17" s="156">
        <v>2062.1785841770647</v>
      </c>
      <c r="U17" s="156">
        <v>2284.5014883385038</v>
      </c>
      <c r="V17" s="156">
        <v>2954.8516757852312</v>
      </c>
      <c r="W17" s="190">
        <v>2.6688210123229816</v>
      </c>
      <c r="X17" s="156">
        <v>691.93139981987588</v>
      </c>
      <c r="Y17" s="156">
        <v>499.77580203259936</v>
      </c>
      <c r="Z17" s="156">
        <v>780.74811031597187</v>
      </c>
      <c r="AA17" s="156">
        <v>1142.5281156701224</v>
      </c>
      <c r="AB17" s="156">
        <v>2004.0203878938971</v>
      </c>
      <c r="AC17" s="156">
        <v>2070.8094662119779</v>
      </c>
      <c r="AD17" s="12"/>
      <c r="AE17" s="12"/>
      <c r="AF17" s="12"/>
      <c r="AG17" s="12"/>
      <c r="AH17" s="12"/>
    </row>
    <row r="18" spans="1:34" x14ac:dyDescent="0.2">
      <c r="A18" s="188" t="s">
        <v>41</v>
      </c>
      <c r="B18" s="156">
        <v>-297.95633603558736</v>
      </c>
      <c r="C18" s="156">
        <v>4174.9719247408639</v>
      </c>
      <c r="D18" s="156">
        <v>4999.503397249413</v>
      </c>
      <c r="E18" s="156">
        <v>4174.9719247408639</v>
      </c>
      <c r="F18" s="156">
        <v>5257.5335985641959</v>
      </c>
      <c r="G18" s="156">
        <v>10494.962465498671</v>
      </c>
      <c r="H18" s="156">
        <v>7207.7382445674975</v>
      </c>
      <c r="I18" s="156">
        <v>5401.0225922383925</v>
      </c>
      <c r="J18" s="156">
        <v>4398.6060170864257</v>
      </c>
      <c r="K18" s="156">
        <v>9422.3201568726727</v>
      </c>
      <c r="L18" s="156">
        <v>18094.047489809815</v>
      </c>
      <c r="M18" s="156">
        <v>7560.3018450843529</v>
      </c>
      <c r="N18" s="156">
        <v>9087.6757739140121</v>
      </c>
      <c r="O18" s="189">
        <v>9.1015319980188227</v>
      </c>
      <c r="P18" s="156">
        <v>861.21253757139755</v>
      </c>
      <c r="Q18" s="156">
        <v>530.43580218181887</v>
      </c>
      <c r="R18" s="156">
        <v>896.20133673120222</v>
      </c>
      <c r="S18" s="156">
        <v>1287.4088050543796</v>
      </c>
      <c r="T18" s="156">
        <v>2162.7627775941191</v>
      </c>
      <c r="U18" s="156">
        <v>2429.8853893424812</v>
      </c>
      <c r="V18" s="156">
        <v>3291.1789035065913</v>
      </c>
      <c r="W18" s="190">
        <v>2.7149275122216259</v>
      </c>
      <c r="X18" s="156">
        <v>743.3943722050758</v>
      </c>
      <c r="Y18" s="156">
        <v>468.67369943620093</v>
      </c>
      <c r="Z18" s="156">
        <v>830.32135109446881</v>
      </c>
      <c r="AA18" s="156">
        <v>1208.4321120027937</v>
      </c>
      <c r="AB18" s="156">
        <v>2104.9419638406048</v>
      </c>
      <c r="AC18" s="156">
        <v>2212.5568613714158</v>
      </c>
      <c r="AD18" s="12"/>
      <c r="AE18" s="12"/>
      <c r="AF18" s="12"/>
      <c r="AG18" s="12"/>
      <c r="AH18" s="12"/>
    </row>
    <row r="19" spans="1:34" x14ac:dyDescent="0.2">
      <c r="A19" s="188" t="s">
        <v>16</v>
      </c>
      <c r="B19" s="156">
        <v>6842.0828683284744</v>
      </c>
      <c r="C19" s="156">
        <v>4572.8383933495334</v>
      </c>
      <c r="D19" s="156">
        <v>14480.272038967831</v>
      </c>
      <c r="E19" s="156">
        <v>4572.8383933495334</v>
      </c>
      <c r="F19" s="156">
        <v>0</v>
      </c>
      <c r="G19" s="156">
        <v>0</v>
      </c>
      <c r="H19" s="156">
        <v>0</v>
      </c>
      <c r="I19" s="156">
        <v>0</v>
      </c>
      <c r="J19" s="156">
        <v>0</v>
      </c>
      <c r="K19" s="156">
        <v>0</v>
      </c>
      <c r="L19" s="156">
        <v>0</v>
      </c>
      <c r="M19" s="156">
        <v>0</v>
      </c>
      <c r="N19" s="156">
        <v>0</v>
      </c>
      <c r="O19" s="189">
        <v>27.972129048607819</v>
      </c>
      <c r="P19" s="156">
        <v>0</v>
      </c>
      <c r="Q19" s="156">
        <v>0</v>
      </c>
      <c r="R19" s="156">
        <v>0</v>
      </c>
      <c r="S19" s="156">
        <v>0</v>
      </c>
      <c r="T19" s="156">
        <v>0</v>
      </c>
      <c r="U19" s="156">
        <v>0</v>
      </c>
      <c r="V19" s="156">
        <v>2842.2261683249521</v>
      </c>
      <c r="W19" s="190">
        <v>2.7875456376764625</v>
      </c>
      <c r="X19" s="156">
        <v>665.01104594208334</v>
      </c>
      <c r="Y19" s="156">
        <v>481.17906288424314</v>
      </c>
      <c r="Z19" s="156">
        <v>750.31656620891988</v>
      </c>
      <c r="AA19" s="156">
        <v>1098.0180854320258</v>
      </c>
      <c r="AB19" s="156">
        <v>1926.1210438301084</v>
      </c>
      <c r="AC19" s="156">
        <v>1989.9115183342144</v>
      </c>
      <c r="AD19" s="12"/>
      <c r="AE19" s="12"/>
      <c r="AF19" s="12"/>
      <c r="AG19" s="12"/>
      <c r="AH19" s="12"/>
    </row>
    <row r="20" spans="1:34" x14ac:dyDescent="0.2">
      <c r="A20" s="188" t="s">
        <v>184</v>
      </c>
      <c r="B20" s="156">
        <v>170.42113783448355</v>
      </c>
      <c r="C20" s="156">
        <v>2532.3980998158604</v>
      </c>
      <c r="D20" s="156">
        <v>2532.3980998158604</v>
      </c>
      <c r="E20" s="156">
        <v>3698.0177658613111</v>
      </c>
      <c r="F20" s="156">
        <v>0</v>
      </c>
      <c r="G20" s="156">
        <v>0</v>
      </c>
      <c r="H20" s="156">
        <v>0</v>
      </c>
      <c r="I20" s="156">
        <v>0</v>
      </c>
      <c r="J20" s="156">
        <v>0</v>
      </c>
      <c r="K20" s="156">
        <v>0</v>
      </c>
      <c r="L20" s="156">
        <v>0</v>
      </c>
      <c r="M20" s="156">
        <v>0</v>
      </c>
      <c r="N20" s="156">
        <v>0</v>
      </c>
      <c r="O20" s="189">
        <v>4.298913159331744</v>
      </c>
      <c r="P20" s="156">
        <v>0</v>
      </c>
      <c r="Q20" s="156">
        <v>0</v>
      </c>
      <c r="R20" s="156">
        <v>0</v>
      </c>
      <c r="S20" s="156">
        <v>0</v>
      </c>
      <c r="T20" s="156">
        <v>0</v>
      </c>
      <c r="U20" s="156">
        <v>0</v>
      </c>
      <c r="V20" s="156">
        <v>3487.1067070016966</v>
      </c>
      <c r="W20" s="190">
        <v>2.7475103894496677</v>
      </c>
      <c r="X20" s="156">
        <v>759.86821889004409</v>
      </c>
      <c r="Y20" s="156">
        <v>457.34926189748188</v>
      </c>
      <c r="Z20" s="156">
        <v>846.1793762187051</v>
      </c>
      <c r="AA20" s="156">
        <v>1227.6870012646223</v>
      </c>
      <c r="AB20" s="156">
        <v>2132.8422613721414</v>
      </c>
      <c r="AC20" s="156">
        <v>2246.4515662234126</v>
      </c>
      <c r="AD20" s="12"/>
      <c r="AE20" s="12"/>
      <c r="AF20" s="12"/>
      <c r="AG20" s="12"/>
      <c r="AH20" s="12"/>
    </row>
    <row r="21" spans="1:34" x14ac:dyDescent="0.2">
      <c r="A21" s="188" t="s">
        <v>43</v>
      </c>
      <c r="B21" s="156">
        <v>4840.4091855400029</v>
      </c>
      <c r="C21" s="156">
        <v>3989.2993250461723</v>
      </c>
      <c r="D21" s="156">
        <v>6497.4161381936901</v>
      </c>
      <c r="E21" s="156">
        <v>3989.2993250461723</v>
      </c>
      <c r="F21" s="156">
        <v>0</v>
      </c>
      <c r="G21" s="156">
        <v>0</v>
      </c>
      <c r="H21" s="156">
        <v>0</v>
      </c>
      <c r="I21" s="156">
        <v>0</v>
      </c>
      <c r="J21" s="156">
        <v>0</v>
      </c>
      <c r="K21" s="156">
        <v>0</v>
      </c>
      <c r="L21" s="156">
        <v>0</v>
      </c>
      <c r="M21" s="156">
        <v>0</v>
      </c>
      <c r="N21" s="156">
        <v>0</v>
      </c>
      <c r="O21" s="189">
        <v>12.017461024579614</v>
      </c>
      <c r="P21" s="156">
        <v>0</v>
      </c>
      <c r="Q21" s="156">
        <v>0</v>
      </c>
      <c r="R21" s="156">
        <v>0</v>
      </c>
      <c r="S21" s="156">
        <v>0</v>
      </c>
      <c r="T21" s="156">
        <v>0</v>
      </c>
      <c r="U21" s="156">
        <v>0</v>
      </c>
      <c r="V21" s="156">
        <v>2552.5471013547326</v>
      </c>
      <c r="W21" s="190">
        <v>2.1654955272287553</v>
      </c>
      <c r="X21" s="156">
        <v>597.22879129977446</v>
      </c>
      <c r="Y21" s="156">
        <v>391.59606945016236</v>
      </c>
      <c r="Z21" s="156">
        <v>668.06609186893252</v>
      </c>
      <c r="AA21" s="156">
        <v>975.13212832098986</v>
      </c>
      <c r="AB21" s="156">
        <v>1702.6616396582003</v>
      </c>
      <c r="AC21" s="156">
        <v>1788.96468793382</v>
      </c>
      <c r="AD21" s="12"/>
      <c r="AE21" s="12"/>
      <c r="AF21" s="12"/>
      <c r="AG21" s="12"/>
      <c r="AH21" s="12"/>
    </row>
    <row r="22" spans="1:34" x14ac:dyDescent="0.2">
      <c r="A22" s="188" t="s">
        <v>17</v>
      </c>
      <c r="B22" s="156">
        <v>113613.01356229674</v>
      </c>
      <c r="C22" s="156">
        <v>6595.6082028847377</v>
      </c>
      <c r="D22" s="156">
        <v>24711.669492432648</v>
      </c>
      <c r="E22" s="156">
        <v>6595.6082028847377</v>
      </c>
      <c r="F22" s="156">
        <v>7317.2402980139641</v>
      </c>
      <c r="G22" s="156">
        <v>16024.101974250485</v>
      </c>
      <c r="H22" s="156">
        <v>9389.1872812668662</v>
      </c>
      <c r="I22" s="156">
        <v>7306.5045499130665</v>
      </c>
      <c r="J22" s="156">
        <v>8058.5177198106376</v>
      </c>
      <c r="K22" s="156">
        <v>12294.411146036064</v>
      </c>
      <c r="L22" s="156">
        <v>23692.196154171852</v>
      </c>
      <c r="M22" s="156">
        <v>9887.2021987033859</v>
      </c>
      <c r="N22" s="156">
        <v>12447.770241904369</v>
      </c>
      <c r="O22" s="189">
        <v>48.500615110936906</v>
      </c>
      <c r="P22" s="156">
        <v>1227.0814907631327</v>
      </c>
      <c r="Q22" s="156">
        <v>819.2683166159826</v>
      </c>
      <c r="R22" s="156">
        <v>1256.5063642536177</v>
      </c>
      <c r="S22" s="156">
        <v>1786.896232727079</v>
      </c>
      <c r="T22" s="156">
        <v>2968.9812140445547</v>
      </c>
      <c r="U22" s="156">
        <v>3387.405341900007</v>
      </c>
      <c r="V22" s="156">
        <v>4139.2983926772558</v>
      </c>
      <c r="W22" s="190">
        <v>4.3780494197704707</v>
      </c>
      <c r="X22" s="156">
        <v>976.59610014284715</v>
      </c>
      <c r="Y22" s="156">
        <v>711.56321951041696</v>
      </c>
      <c r="Z22" s="156">
        <v>1104.3543362978428</v>
      </c>
      <c r="AA22" s="156">
        <v>1616.9229840646472</v>
      </c>
      <c r="AB22" s="156">
        <v>2837.3586290058929</v>
      </c>
      <c r="AC22" s="156">
        <v>2926.1804253779815</v>
      </c>
      <c r="AD22" s="12"/>
      <c r="AE22" s="12"/>
      <c r="AF22" s="12"/>
      <c r="AG22" s="12"/>
      <c r="AH22" s="12"/>
    </row>
    <row r="23" spans="1:34" x14ac:dyDescent="0.2">
      <c r="A23" s="188" t="s">
        <v>18</v>
      </c>
      <c r="B23" s="156">
        <v>21.545972512939009</v>
      </c>
      <c r="C23" s="156">
        <v>4067.6088898257394</v>
      </c>
      <c r="D23" s="156">
        <v>5710.7548296696432</v>
      </c>
      <c r="E23" s="156">
        <v>4067.6088898257394</v>
      </c>
      <c r="F23" s="156">
        <v>0</v>
      </c>
      <c r="G23" s="156">
        <v>0</v>
      </c>
      <c r="H23" s="156">
        <v>0</v>
      </c>
      <c r="I23" s="156">
        <v>0</v>
      </c>
      <c r="J23" s="156">
        <v>0</v>
      </c>
      <c r="K23" s="156">
        <v>0</v>
      </c>
      <c r="L23" s="156">
        <v>0</v>
      </c>
      <c r="M23" s="156">
        <v>0</v>
      </c>
      <c r="N23" s="156">
        <v>0</v>
      </c>
      <c r="O23" s="189">
        <v>10.486097760954838</v>
      </c>
      <c r="P23" s="156">
        <v>0</v>
      </c>
      <c r="Q23" s="156">
        <v>0</v>
      </c>
      <c r="R23" s="156">
        <v>0</v>
      </c>
      <c r="S23" s="156">
        <v>0</v>
      </c>
      <c r="T23" s="156">
        <v>0</v>
      </c>
      <c r="U23" s="156">
        <v>0</v>
      </c>
      <c r="V23" s="156">
        <v>2524.2427663672038</v>
      </c>
      <c r="W23" s="190" t="e">
        <v>#N/A</v>
      </c>
      <c r="X23" s="156">
        <v>571.26624934284325</v>
      </c>
      <c r="Y23" s="156">
        <v>357.76320865371423</v>
      </c>
      <c r="Z23" s="156">
        <v>636.79952485871991</v>
      </c>
      <c r="AA23" s="156">
        <v>926.81339855995759</v>
      </c>
      <c r="AB23" s="156">
        <v>1614.1221646241586</v>
      </c>
      <c r="AC23" s="156">
        <v>1701.1899903087751</v>
      </c>
      <c r="AD23" s="12"/>
      <c r="AE23" s="12"/>
      <c r="AF23" s="12"/>
      <c r="AG23" s="12"/>
      <c r="AH23" s="12"/>
    </row>
    <row r="24" spans="1:34" x14ac:dyDescent="0.2">
      <c r="A24" s="188" t="s">
        <v>45</v>
      </c>
      <c r="B24" s="156">
        <v>113.13535073685853</v>
      </c>
      <c r="C24" s="156">
        <v>3888.2852468695432</v>
      </c>
      <c r="D24" s="156">
        <v>4737.1283446361067</v>
      </c>
      <c r="E24" s="156">
        <v>3888.2852468695432</v>
      </c>
      <c r="F24" s="156">
        <v>0</v>
      </c>
      <c r="G24" s="156">
        <v>0</v>
      </c>
      <c r="H24" s="156">
        <v>0</v>
      </c>
      <c r="I24" s="156">
        <v>0</v>
      </c>
      <c r="J24" s="156">
        <v>0</v>
      </c>
      <c r="K24" s="156">
        <v>0</v>
      </c>
      <c r="L24" s="156">
        <v>0</v>
      </c>
      <c r="M24" s="156">
        <v>0</v>
      </c>
      <c r="N24" s="156">
        <v>0</v>
      </c>
      <c r="O24" s="189">
        <v>8.5907765909460068</v>
      </c>
      <c r="P24" s="156">
        <v>0</v>
      </c>
      <c r="Q24" s="156">
        <v>0</v>
      </c>
      <c r="R24" s="156">
        <v>0</v>
      </c>
      <c r="S24" s="156">
        <v>0</v>
      </c>
      <c r="T24" s="156">
        <v>0</v>
      </c>
      <c r="U24" s="156">
        <v>0</v>
      </c>
      <c r="V24" s="156">
        <v>3050.3267835044044</v>
      </c>
      <c r="W24" s="190">
        <v>2.5180425948868481</v>
      </c>
      <c r="X24" s="156">
        <v>700.44271540086345</v>
      </c>
      <c r="Y24" s="156">
        <v>449.15543993542417</v>
      </c>
      <c r="Z24" s="156">
        <v>782.99444608576039</v>
      </c>
      <c r="AA24" s="156">
        <v>1141.0580317362374</v>
      </c>
      <c r="AB24" s="156">
        <v>1989.6652529067715</v>
      </c>
      <c r="AC24" s="156">
        <v>2091.0329564865979</v>
      </c>
      <c r="AD24" s="12"/>
      <c r="AE24" s="12"/>
      <c r="AF24" s="12"/>
      <c r="AG24" s="12"/>
      <c r="AH24" s="12"/>
    </row>
    <row r="25" spans="1:34" x14ac:dyDescent="0.2">
      <c r="A25" s="188" t="s">
        <v>44</v>
      </c>
      <c r="B25" s="156">
        <v>-1085.7721809711043</v>
      </c>
      <c r="C25" s="156">
        <v>4632.8369653068967</v>
      </c>
      <c r="D25" s="156">
        <v>6131.3965202232739</v>
      </c>
      <c r="E25" s="156">
        <v>4632.8369653068967</v>
      </c>
      <c r="F25" s="156">
        <v>0</v>
      </c>
      <c r="G25" s="156">
        <v>0</v>
      </c>
      <c r="H25" s="156">
        <v>0</v>
      </c>
      <c r="I25" s="156">
        <v>0</v>
      </c>
      <c r="J25" s="156">
        <v>0</v>
      </c>
      <c r="K25" s="156">
        <v>0</v>
      </c>
      <c r="L25" s="156">
        <v>0</v>
      </c>
      <c r="M25" s="156">
        <v>0</v>
      </c>
      <c r="N25" s="156">
        <v>0</v>
      </c>
      <c r="O25" s="189">
        <v>11.304944734973974</v>
      </c>
      <c r="P25" s="156">
        <v>0</v>
      </c>
      <c r="Q25" s="156">
        <v>0</v>
      </c>
      <c r="R25" s="156">
        <v>0</v>
      </c>
      <c r="S25" s="156">
        <v>0</v>
      </c>
      <c r="T25" s="156">
        <v>0</v>
      </c>
      <c r="U25" s="156">
        <v>0</v>
      </c>
      <c r="V25" s="156">
        <v>3421.8955977494006</v>
      </c>
      <c r="W25" s="190">
        <v>2.7288574697010617</v>
      </c>
      <c r="X25" s="156">
        <v>765.88931593552638</v>
      </c>
      <c r="Y25" s="156">
        <v>475.77815424119848</v>
      </c>
      <c r="Z25" s="156">
        <v>854.67991846911514</v>
      </c>
      <c r="AA25" s="156">
        <v>1242.8036386326728</v>
      </c>
      <c r="AB25" s="156">
        <v>2163.0544676730465</v>
      </c>
      <c r="AC25" s="156">
        <v>2275.7071745224348</v>
      </c>
      <c r="AD25" s="12"/>
      <c r="AE25" s="12"/>
      <c r="AF25" s="12"/>
      <c r="AG25" s="12"/>
      <c r="AH25" s="12"/>
    </row>
    <row r="26" spans="1:34" x14ac:dyDescent="0.2">
      <c r="A26" s="188" t="s">
        <v>46</v>
      </c>
      <c r="B26" s="156">
        <v>371.72862454213418</v>
      </c>
      <c r="C26" s="156">
        <v>4704.5336993578821</v>
      </c>
      <c r="D26" s="156">
        <v>6509.3530528088804</v>
      </c>
      <c r="E26" s="156">
        <v>4704.5336993578821</v>
      </c>
      <c r="F26" s="156">
        <v>0</v>
      </c>
      <c r="G26" s="156">
        <v>0</v>
      </c>
      <c r="H26" s="156">
        <v>0</v>
      </c>
      <c r="I26" s="156">
        <v>0</v>
      </c>
      <c r="J26" s="156">
        <v>0</v>
      </c>
      <c r="K26" s="156">
        <v>0</v>
      </c>
      <c r="L26" s="156">
        <v>0</v>
      </c>
      <c r="M26" s="156">
        <v>0</v>
      </c>
      <c r="N26" s="156">
        <v>0</v>
      </c>
      <c r="O26" s="189">
        <v>12.040698156398166</v>
      </c>
      <c r="P26" s="156">
        <v>0</v>
      </c>
      <c r="Q26" s="156">
        <v>0</v>
      </c>
      <c r="R26" s="156">
        <v>0</v>
      </c>
      <c r="S26" s="156">
        <v>0</v>
      </c>
      <c r="T26" s="156">
        <v>0</v>
      </c>
      <c r="U26" s="156">
        <v>0</v>
      </c>
      <c r="V26" s="156">
        <v>3035.3969088836693</v>
      </c>
      <c r="W26" s="190">
        <v>2.4117234315368345</v>
      </c>
      <c r="X26" s="156">
        <v>688.78363169590091</v>
      </c>
      <c r="Y26" s="156">
        <v>433.88604296318465</v>
      </c>
      <c r="Z26" s="156">
        <v>768.93873558416919</v>
      </c>
      <c r="AA26" s="156">
        <v>1119.3767386901786</v>
      </c>
      <c r="AB26" s="156">
        <v>1949.9428770490192</v>
      </c>
      <c r="AC26" s="156">
        <v>2051.9086130565415</v>
      </c>
      <c r="AD26" s="12"/>
      <c r="AE26" s="12"/>
      <c r="AF26" s="12"/>
      <c r="AG26" s="12"/>
      <c r="AH26" s="12"/>
    </row>
    <row r="27" spans="1:34" x14ac:dyDescent="0.2">
      <c r="A27" s="188" t="s">
        <v>47</v>
      </c>
      <c r="B27" s="156">
        <v>798.26690250983802</v>
      </c>
      <c r="C27" s="156">
        <v>4296.1785965795116</v>
      </c>
      <c r="D27" s="156">
        <v>5087.0500042970179</v>
      </c>
      <c r="E27" s="156">
        <v>4296.1785965795116</v>
      </c>
      <c r="F27" s="156">
        <v>5416.0119237973022</v>
      </c>
      <c r="G27" s="156">
        <v>10770.220037047144</v>
      </c>
      <c r="H27" s="156">
        <v>7437.9440847305332</v>
      </c>
      <c r="I27" s="156">
        <v>5635.5639082558719</v>
      </c>
      <c r="J27" s="156">
        <v>4478.2959969310323</v>
      </c>
      <c r="K27" s="156">
        <v>9703.3863560328482</v>
      </c>
      <c r="L27" s="156">
        <v>18611.262921108315</v>
      </c>
      <c r="M27" s="156">
        <v>7759.3754199222676</v>
      </c>
      <c r="N27" s="156">
        <v>9167.7211499491423</v>
      </c>
      <c r="O27" s="189">
        <v>9.2719556052752097</v>
      </c>
      <c r="P27" s="156">
        <v>889.36329271148873</v>
      </c>
      <c r="Q27" s="156">
        <v>540.37422135848738</v>
      </c>
      <c r="R27" s="156">
        <v>921.48847596784162</v>
      </c>
      <c r="S27" s="156">
        <v>1319.0289086156045</v>
      </c>
      <c r="T27" s="156">
        <v>2208.5226636254615</v>
      </c>
      <c r="U27" s="156">
        <v>2489.5357696158203</v>
      </c>
      <c r="V27" s="156">
        <v>3394.120789855901</v>
      </c>
      <c r="W27" s="190">
        <v>2.7935860267036161</v>
      </c>
      <c r="X27" s="156">
        <v>758.37501988880308</v>
      </c>
      <c r="Y27" s="156">
        <v>472.50300588607041</v>
      </c>
      <c r="Z27" s="156">
        <v>846.47011860697262</v>
      </c>
      <c r="AA27" s="156">
        <v>1230.8457307481451</v>
      </c>
      <c r="AB27" s="156">
        <v>2142.4648559118973</v>
      </c>
      <c r="AC27" s="156">
        <v>2252.5969258629138</v>
      </c>
      <c r="AD27" s="12"/>
      <c r="AE27" s="12"/>
      <c r="AF27" s="12"/>
      <c r="AG27" s="12"/>
      <c r="AH27" s="12"/>
    </row>
    <row r="28" spans="1:34" x14ac:dyDescent="0.2">
      <c r="A28" s="188" t="s">
        <v>19</v>
      </c>
      <c r="B28" s="156">
        <v>118778.19380131936</v>
      </c>
      <c r="C28" s="156">
        <v>2877.2052845120766</v>
      </c>
      <c r="D28" s="156">
        <v>7865.3890357099008</v>
      </c>
      <c r="E28" s="156">
        <v>2877.2052845120766</v>
      </c>
      <c r="F28" s="156">
        <v>3806.031526577151</v>
      </c>
      <c r="G28" s="156">
        <v>8082.8943674427301</v>
      </c>
      <c r="H28" s="156">
        <v>5335.2424316619581</v>
      </c>
      <c r="I28" s="156">
        <v>3904.5056160805298</v>
      </c>
      <c r="J28" s="156">
        <v>4270.0106501793089</v>
      </c>
      <c r="K28" s="156">
        <v>6833.0456497932018</v>
      </c>
      <c r="L28" s="156">
        <v>12548.817752317384</v>
      </c>
      <c r="M28" s="156">
        <v>5592.0648314411756</v>
      </c>
      <c r="N28" s="156">
        <v>6749.0005588955619</v>
      </c>
      <c r="O28" s="189">
        <v>14.699891883162532</v>
      </c>
      <c r="P28" s="156">
        <v>603.37993267896195</v>
      </c>
      <c r="Q28" s="156">
        <v>400.12122943946417</v>
      </c>
      <c r="R28" s="156">
        <v>617.52171585899021</v>
      </c>
      <c r="S28" s="156">
        <v>884.09569608889819</v>
      </c>
      <c r="T28" s="156">
        <v>1465.4808356791168</v>
      </c>
      <c r="U28" s="156">
        <v>1678.8547085327953</v>
      </c>
      <c r="V28" s="156">
        <v>2074.4597569468783</v>
      </c>
      <c r="W28" s="190">
        <v>2.2192544404716674</v>
      </c>
      <c r="X28" s="156">
        <v>486.1421366796734</v>
      </c>
      <c r="Y28" s="156">
        <v>350.74409330512037</v>
      </c>
      <c r="Z28" s="156">
        <v>547.29258761338815</v>
      </c>
      <c r="AA28" s="156">
        <v>801.02227997067507</v>
      </c>
      <c r="AB28" s="156">
        <v>1405.1651752616756</v>
      </c>
      <c r="AC28" s="156">
        <v>1455.4117211214161</v>
      </c>
      <c r="AD28" s="12"/>
      <c r="AE28" s="12"/>
      <c r="AF28" s="12"/>
      <c r="AG28" s="12"/>
      <c r="AH28" s="12"/>
    </row>
    <row r="29" spans="1:34" x14ac:dyDescent="0.2">
      <c r="A29" s="188" t="s">
        <v>194</v>
      </c>
      <c r="B29" s="156">
        <v>4229.4319886480116</v>
      </c>
      <c r="C29" s="156">
        <v>4257.0106901677837</v>
      </c>
      <c r="D29" s="156">
        <v>5282.2301087465848</v>
      </c>
      <c r="E29" s="156">
        <v>4257.0106901677837</v>
      </c>
      <c r="F29" s="156">
        <v>0</v>
      </c>
      <c r="G29" s="156">
        <v>0</v>
      </c>
      <c r="H29" s="156">
        <v>0</v>
      </c>
      <c r="I29" s="156">
        <v>0</v>
      </c>
      <c r="J29" s="156">
        <v>0</v>
      </c>
      <c r="K29" s="156">
        <v>0</v>
      </c>
      <c r="L29" s="156">
        <v>0</v>
      </c>
      <c r="M29" s="156">
        <v>0</v>
      </c>
      <c r="N29" s="156">
        <v>0</v>
      </c>
      <c r="O29" s="189">
        <v>9.6519051954047939</v>
      </c>
      <c r="P29" s="156">
        <v>0</v>
      </c>
      <c r="Q29" s="156">
        <v>0</v>
      </c>
      <c r="R29" s="156">
        <v>0</v>
      </c>
      <c r="S29" s="156">
        <v>0</v>
      </c>
      <c r="T29" s="156">
        <v>0</v>
      </c>
      <c r="U29" s="156">
        <v>0</v>
      </c>
      <c r="V29" s="156">
        <v>3289.4346258186565</v>
      </c>
      <c r="W29" s="190">
        <v>2.71217413736353</v>
      </c>
      <c r="X29" s="156">
        <v>742.21390052897766</v>
      </c>
      <c r="Y29" s="156">
        <v>467.35407049221459</v>
      </c>
      <c r="Z29" s="156">
        <v>828.9114142319637</v>
      </c>
      <c r="AA29" s="156">
        <v>1206.2744918468265</v>
      </c>
      <c r="AB29" s="156">
        <v>2101.0345151324464</v>
      </c>
      <c r="AC29" s="156">
        <v>2208.5927005237904</v>
      </c>
      <c r="AD29" s="12"/>
      <c r="AE29" s="12"/>
      <c r="AF29" s="12"/>
      <c r="AG29" s="12"/>
      <c r="AH29" s="12"/>
    </row>
    <row r="30" spans="1:34" x14ac:dyDescent="0.2">
      <c r="A30" s="188" t="s">
        <v>48</v>
      </c>
      <c r="B30" s="156">
        <v>8496.6534506222233</v>
      </c>
      <c r="C30" s="156">
        <v>2346.9788066254682</v>
      </c>
      <c r="D30" s="156">
        <v>2859.5923603872502</v>
      </c>
      <c r="E30" s="156">
        <v>2346.9788066254682</v>
      </c>
      <c r="F30" s="156">
        <v>0</v>
      </c>
      <c r="G30" s="156">
        <v>0</v>
      </c>
      <c r="H30" s="156">
        <v>0</v>
      </c>
      <c r="I30" s="156">
        <v>0</v>
      </c>
      <c r="J30" s="156">
        <v>0</v>
      </c>
      <c r="K30" s="156">
        <v>0</v>
      </c>
      <c r="L30" s="156">
        <v>0</v>
      </c>
      <c r="M30" s="156">
        <v>0</v>
      </c>
      <c r="N30" s="156">
        <v>0</v>
      </c>
      <c r="O30" s="189">
        <v>4.9358496214134835</v>
      </c>
      <c r="P30" s="156">
        <v>0</v>
      </c>
      <c r="Q30" s="156">
        <v>0</v>
      </c>
      <c r="R30" s="156">
        <v>0</v>
      </c>
      <c r="S30" s="156">
        <v>0</v>
      </c>
      <c r="T30" s="156">
        <v>0</v>
      </c>
      <c r="U30" s="156">
        <v>0</v>
      </c>
      <c r="V30" s="156">
        <v>1834.5678419542398</v>
      </c>
      <c r="W30" s="190">
        <v>1.5616135380261003</v>
      </c>
      <c r="X30" s="156">
        <v>430.5066736809315</v>
      </c>
      <c r="Y30" s="156">
        <v>283.0383697446847</v>
      </c>
      <c r="Z30" s="156">
        <v>480.54073071775775</v>
      </c>
      <c r="AA30" s="156">
        <v>701.67823588602334</v>
      </c>
      <c r="AB30" s="156">
        <v>1225.584707212518</v>
      </c>
      <c r="AC30" s="156">
        <v>1290.4853331581603</v>
      </c>
      <c r="AD30" s="12"/>
      <c r="AE30" s="12"/>
      <c r="AF30" s="12"/>
      <c r="AG30" s="12"/>
      <c r="AH30" s="12"/>
    </row>
    <row r="31" spans="1:34" x14ac:dyDescent="0.2">
      <c r="A31" s="188" t="s">
        <v>20</v>
      </c>
      <c r="B31" s="156">
        <v>8139.9283339327903</v>
      </c>
      <c r="C31" s="156">
        <v>4213.6362816263072</v>
      </c>
      <c r="D31" s="156">
        <v>14450.519608652598</v>
      </c>
      <c r="E31" s="156">
        <v>4213.6362816263072</v>
      </c>
      <c r="F31" s="156">
        <v>4438.940766205792</v>
      </c>
      <c r="G31" s="156">
        <v>9921.3650402250896</v>
      </c>
      <c r="H31" s="156">
        <v>5989.7633769205331</v>
      </c>
      <c r="I31" s="156">
        <v>5038.8164459259488</v>
      </c>
      <c r="J31" s="156">
        <v>4890.5382008165916</v>
      </c>
      <c r="K31" s="156">
        <v>7701.9501935609187</v>
      </c>
      <c r="L31" s="156">
        <v>14287.563850545148</v>
      </c>
      <c r="M31" s="156">
        <v>0</v>
      </c>
      <c r="N31" s="156">
        <v>0</v>
      </c>
      <c r="O31" s="189">
        <v>27.91243316113745</v>
      </c>
      <c r="P31" s="156">
        <v>715.80460024457579</v>
      </c>
      <c r="Q31" s="156">
        <v>492.93397132048955</v>
      </c>
      <c r="R31" s="156">
        <v>722.56436619015096</v>
      </c>
      <c r="S31" s="156">
        <v>1030.9342677463408</v>
      </c>
      <c r="T31" s="156">
        <v>1707.1318678903976</v>
      </c>
      <c r="U31" s="156">
        <v>0</v>
      </c>
      <c r="V31" s="156">
        <v>2371.3383477159332</v>
      </c>
      <c r="W31" s="190">
        <v>2.448392436138862</v>
      </c>
      <c r="X31" s="156">
        <v>561.02626450317291</v>
      </c>
      <c r="Y31" s="156">
        <v>409.2215283271679</v>
      </c>
      <c r="Z31" s="156">
        <v>632.76776053647166</v>
      </c>
      <c r="AA31" s="156">
        <v>926.78959873341819</v>
      </c>
      <c r="AB31" s="156">
        <v>1626.7833981112983</v>
      </c>
      <c r="AC31" s="156">
        <v>1682.2398948473033</v>
      </c>
      <c r="AD31" s="12"/>
      <c r="AE31" s="12"/>
      <c r="AF31" s="12"/>
      <c r="AG31" s="12"/>
      <c r="AH31" s="12"/>
    </row>
    <row r="32" spans="1:34" x14ac:dyDescent="0.2">
      <c r="A32" s="188" t="s">
        <v>21</v>
      </c>
      <c r="B32" s="156">
        <v>11899.6755981069</v>
      </c>
      <c r="C32" s="156">
        <v>3359.0764577975751</v>
      </c>
      <c r="D32" s="156">
        <v>5258.9626200833081</v>
      </c>
      <c r="E32" s="156">
        <v>3359.0764577975751</v>
      </c>
      <c r="F32" s="156">
        <v>4696.899491881426</v>
      </c>
      <c r="G32" s="156">
        <v>10394.045769126837</v>
      </c>
      <c r="H32" s="156">
        <v>6234.4368341922627</v>
      </c>
      <c r="I32" s="156">
        <v>5734.2048814923228</v>
      </c>
      <c r="J32" s="156">
        <v>4994.6850160898402</v>
      </c>
      <c r="K32" s="156">
        <v>7886.2884461717085</v>
      </c>
      <c r="L32" s="156">
        <v>14247.027587653134</v>
      </c>
      <c r="M32" s="156">
        <v>6336.7108917573269</v>
      </c>
      <c r="N32" s="156">
        <v>7969.9101695512181</v>
      </c>
      <c r="O32" s="189">
        <v>9.6066112715907437</v>
      </c>
      <c r="P32" s="156">
        <v>761.6262159895897</v>
      </c>
      <c r="Q32" s="156">
        <v>509.89954549786239</v>
      </c>
      <c r="R32" s="156">
        <v>746.98414141536307</v>
      </c>
      <c r="S32" s="156">
        <v>1046.0261353859748</v>
      </c>
      <c r="T32" s="156">
        <v>1687.3991463509924</v>
      </c>
      <c r="U32" s="156">
        <v>1969.5766572757598</v>
      </c>
      <c r="V32" s="156">
        <v>2281.8634201495665</v>
      </c>
      <c r="W32" s="190">
        <v>2.304028735049775</v>
      </c>
      <c r="X32" s="156">
        <v>539.37496781345533</v>
      </c>
      <c r="Y32" s="156">
        <v>393.08430830038378</v>
      </c>
      <c r="Z32" s="156">
        <v>608.16037870198977</v>
      </c>
      <c r="AA32" s="156">
        <v>890.70247170591767</v>
      </c>
      <c r="AB32" s="156">
        <v>1563.3787473718435</v>
      </c>
      <c r="AC32" s="156">
        <v>1617.1139339695353</v>
      </c>
      <c r="AD32" s="12"/>
      <c r="AE32" s="12"/>
      <c r="AF32" s="12"/>
      <c r="AG32" s="12"/>
      <c r="AH32" s="12"/>
    </row>
    <row r="33" spans="1:34" x14ac:dyDescent="0.2">
      <c r="A33" s="188" t="s">
        <v>22</v>
      </c>
      <c r="B33" s="156">
        <v>5812.4957143368574</v>
      </c>
      <c r="C33" s="156">
        <v>4233.4082078616475</v>
      </c>
      <c r="D33" s="156">
        <v>15355.198924165748</v>
      </c>
      <c r="E33" s="156">
        <v>4233.4082078616475</v>
      </c>
      <c r="F33" s="156">
        <v>4742.0455186127692</v>
      </c>
      <c r="G33" s="156">
        <v>10512.759819214074</v>
      </c>
      <c r="H33" s="156">
        <v>6435.0916927133012</v>
      </c>
      <c r="I33" s="156">
        <v>4913.6419273736492</v>
      </c>
      <c r="J33" s="156">
        <v>5283.0241268547743</v>
      </c>
      <c r="K33" s="156">
        <v>8376.2217544370742</v>
      </c>
      <c r="L33" s="156">
        <v>15875.593317504781</v>
      </c>
      <c r="M33" s="156">
        <v>6750.6020628512597</v>
      </c>
      <c r="N33" s="156">
        <v>8390.9962736293946</v>
      </c>
      <c r="O33" s="189">
        <v>29.727600327094812</v>
      </c>
      <c r="P33" s="156">
        <v>769.64557600107833</v>
      </c>
      <c r="Q33" s="156">
        <v>529.33297710090324</v>
      </c>
      <c r="R33" s="156">
        <v>796.97640938873997</v>
      </c>
      <c r="S33" s="156">
        <v>1146.2165616613024</v>
      </c>
      <c r="T33" s="156">
        <v>1921.5047587342838</v>
      </c>
      <c r="U33" s="156">
        <v>2153.9193182925551</v>
      </c>
      <c r="V33" s="156">
        <v>2719.3406262476324</v>
      </c>
      <c r="W33" s="190">
        <v>3.0981844332270341</v>
      </c>
      <c r="X33" s="156">
        <v>640.4033811782532</v>
      </c>
      <c r="Y33" s="156">
        <v>465.26557129152098</v>
      </c>
      <c r="Z33" s="156">
        <v>722.63284418729404</v>
      </c>
      <c r="AA33" s="156">
        <v>1057.9896615629239</v>
      </c>
      <c r="AB33" s="156">
        <v>1856.4831839858005</v>
      </c>
      <c r="AC33" s="156">
        <v>1918.5618708611707</v>
      </c>
      <c r="AD33" s="12"/>
      <c r="AE33" s="12"/>
      <c r="AF33" s="12"/>
      <c r="AG33" s="12"/>
      <c r="AH33" s="12"/>
    </row>
    <row r="34" spans="1:34" x14ac:dyDescent="0.2">
      <c r="A34" s="188" t="s">
        <v>198</v>
      </c>
      <c r="B34" s="156">
        <v>-1150</v>
      </c>
      <c r="C34" s="156">
        <v>11486.372798329092</v>
      </c>
      <c r="D34" s="156">
        <v>15009.944803594495</v>
      </c>
      <c r="E34" s="156">
        <v>11942.339709832522</v>
      </c>
      <c r="F34" s="156">
        <v>14279.337217071065</v>
      </c>
      <c r="G34" s="156">
        <v>28295.127281533387</v>
      </c>
      <c r="H34" s="156">
        <v>19155.880476217018</v>
      </c>
      <c r="I34" s="156">
        <v>14540.501847749152</v>
      </c>
      <c r="J34" s="156">
        <v>11486.372798329092</v>
      </c>
      <c r="K34" s="156">
        <v>25163.13454780617</v>
      </c>
      <c r="L34" s="156">
        <v>49073.049839368672</v>
      </c>
      <c r="M34" s="156">
        <v>19983.760811658336</v>
      </c>
      <c r="N34" s="156">
        <v>23473.899087431608</v>
      </c>
      <c r="O34" s="189">
        <v>28.069664519613294</v>
      </c>
      <c r="P34" s="156">
        <v>2391.0783023694539</v>
      </c>
      <c r="Q34" s="156">
        <v>1430.7535590458874</v>
      </c>
      <c r="R34" s="156">
        <v>2478.4143552750479</v>
      </c>
      <c r="S34" s="156">
        <v>3534.3053140249267</v>
      </c>
      <c r="T34" s="156">
        <v>5916.5256567177075</v>
      </c>
      <c r="U34" s="156">
        <v>6677.5048633564138</v>
      </c>
      <c r="V34" s="156">
        <v>9157.1939650797431</v>
      </c>
      <c r="W34" s="190">
        <v>7.4212234844176335</v>
      </c>
      <c r="X34" s="156">
        <v>2030.6159937561347</v>
      </c>
      <c r="Y34" s="156">
        <v>1252.289608340016</v>
      </c>
      <c r="Z34" s="156">
        <v>2267.6560337833489</v>
      </c>
      <c r="AA34" s="156">
        <v>3294.9404303773163</v>
      </c>
      <c r="AB34" s="156">
        <v>5731.5783337980247</v>
      </c>
      <c r="AC34" s="156">
        <v>6022.4609993498207</v>
      </c>
      <c r="AD34" s="12"/>
      <c r="AE34" s="12"/>
      <c r="AF34" s="12"/>
      <c r="AG34" s="12"/>
      <c r="AH34" s="12"/>
    </row>
    <row r="35" spans="1:34" x14ac:dyDescent="0.2">
      <c r="A35" s="188" t="s">
        <v>23</v>
      </c>
      <c r="B35" s="156">
        <v>204.99648449094934</v>
      </c>
      <c r="C35" s="156">
        <v>4396.7868767083191</v>
      </c>
      <c r="D35" s="156">
        <v>16782.381212994467</v>
      </c>
      <c r="E35" s="156">
        <v>4396.7868767083191</v>
      </c>
      <c r="F35" s="156">
        <v>4753.5621509806024</v>
      </c>
      <c r="G35" s="156">
        <v>10671.673250596987</v>
      </c>
      <c r="H35" s="156">
        <v>6407.558840863383</v>
      </c>
      <c r="I35" s="156">
        <v>4926.0997749952239</v>
      </c>
      <c r="J35" s="156">
        <v>5304.0289051725185</v>
      </c>
      <c r="K35" s="156">
        <v>8377.6261447036595</v>
      </c>
      <c r="L35" s="156">
        <v>15965.27168223133</v>
      </c>
      <c r="M35" s="156">
        <v>6753.1765530689072</v>
      </c>
      <c r="N35" s="156">
        <v>8586.3712332991272</v>
      </c>
      <c r="O35" s="189">
        <v>32.59112819392611</v>
      </c>
      <c r="P35" s="156">
        <v>771.6912935927329</v>
      </c>
      <c r="Q35" s="156">
        <v>541.5202079015944</v>
      </c>
      <c r="R35" s="156">
        <v>803.09562853597458</v>
      </c>
      <c r="S35" s="156">
        <v>1159.8691716568326</v>
      </c>
      <c r="T35" s="156">
        <v>1954.3405182654983</v>
      </c>
      <c r="U35" s="156">
        <v>2174.4272025929818</v>
      </c>
      <c r="V35" s="156">
        <v>2739.1749071558438</v>
      </c>
      <c r="W35" s="190">
        <v>2.8351890352510791</v>
      </c>
      <c r="X35" s="156">
        <v>652.709360363158</v>
      </c>
      <c r="Y35" s="156">
        <v>478.2130011573845</v>
      </c>
      <c r="Z35" s="156">
        <v>737.05888770124773</v>
      </c>
      <c r="AA35" s="156">
        <v>1079.9941285839666</v>
      </c>
      <c r="AB35" s="156">
        <v>1896.2011922701815</v>
      </c>
      <c r="AC35" s="156">
        <v>1959.4666331815258</v>
      </c>
      <c r="AD35" s="12"/>
      <c r="AE35" s="12"/>
      <c r="AF35" s="12"/>
      <c r="AG35" s="12"/>
      <c r="AH35" s="12"/>
    </row>
    <row r="36" spans="1:34" x14ac:dyDescent="0.2">
      <c r="A36" s="188" t="s">
        <v>24</v>
      </c>
      <c r="B36" s="156">
        <v>-150.43649015317806</v>
      </c>
      <c r="C36" s="156">
        <v>4374.5182572616195</v>
      </c>
      <c r="D36" s="156">
        <v>5196.9608188910988</v>
      </c>
      <c r="E36" s="156">
        <v>4374.5182572616195</v>
      </c>
      <c r="F36" s="156">
        <v>0</v>
      </c>
      <c r="G36" s="156">
        <v>0</v>
      </c>
      <c r="H36" s="156">
        <v>0</v>
      </c>
      <c r="I36" s="156">
        <v>0</v>
      </c>
      <c r="J36" s="156">
        <v>0</v>
      </c>
      <c r="K36" s="156">
        <v>0</v>
      </c>
      <c r="L36" s="156">
        <v>0</v>
      </c>
      <c r="M36" s="156">
        <v>0</v>
      </c>
      <c r="N36" s="156">
        <v>0</v>
      </c>
      <c r="O36" s="189">
        <v>9.4859147537939581</v>
      </c>
      <c r="P36" s="156">
        <v>0</v>
      </c>
      <c r="Q36" s="156">
        <v>0</v>
      </c>
      <c r="R36" s="156">
        <v>0</v>
      </c>
      <c r="S36" s="156">
        <v>0</v>
      </c>
      <c r="T36" s="156">
        <v>0</v>
      </c>
      <c r="U36" s="156">
        <v>0</v>
      </c>
      <c r="V36" s="156">
        <v>3438.1105192625892</v>
      </c>
      <c r="W36" s="190">
        <v>2.7431492689129904</v>
      </c>
      <c r="X36" s="156">
        <v>769.74305188261235</v>
      </c>
      <c r="Y36" s="156">
        <v>478.36106907508582</v>
      </c>
      <c r="Z36" s="156">
        <v>859.02345836701136</v>
      </c>
      <c r="AA36" s="156">
        <v>1249.1496938506789</v>
      </c>
      <c r="AB36" s="156">
        <v>2174.1446437027344</v>
      </c>
      <c r="AC36" s="156">
        <v>2287.2758542497936</v>
      </c>
      <c r="AD36" s="12"/>
      <c r="AE36" s="12"/>
      <c r="AF36" s="12"/>
      <c r="AG36" s="12"/>
      <c r="AH36" s="12"/>
    </row>
    <row r="37" spans="1:34" x14ac:dyDescent="0.2">
      <c r="A37" s="188" t="s">
        <v>25</v>
      </c>
      <c r="B37" s="156">
        <v>767.84252158275467</v>
      </c>
      <c r="C37" s="156">
        <v>4688.5039054500221</v>
      </c>
      <c r="D37" s="156">
        <v>16055.129693028359</v>
      </c>
      <c r="E37" s="156">
        <v>4688.5039054500221</v>
      </c>
      <c r="F37" s="156">
        <v>5298.2581155526168</v>
      </c>
      <c r="G37" s="156">
        <v>11907.643973661536</v>
      </c>
      <c r="H37" s="156">
        <v>7137.131713734957</v>
      </c>
      <c r="I37" s="156">
        <v>5355.130698105344</v>
      </c>
      <c r="J37" s="156">
        <v>5906.5689785349159</v>
      </c>
      <c r="K37" s="156">
        <v>9391.3880615239996</v>
      </c>
      <c r="L37" s="156">
        <v>18139.416041711615</v>
      </c>
      <c r="M37" s="156">
        <v>7512.9488780826523</v>
      </c>
      <c r="N37" s="156">
        <v>9339.4630285684452</v>
      </c>
      <c r="O37" s="189">
        <v>31.131955802340826</v>
      </c>
      <c r="P37" s="156">
        <v>868.44649782591966</v>
      </c>
      <c r="Q37" s="156">
        <v>603.84581826421413</v>
      </c>
      <c r="R37" s="156">
        <v>910.2244474736782</v>
      </c>
      <c r="S37" s="156">
        <v>1314.3807761415285</v>
      </c>
      <c r="T37" s="156">
        <v>2221.9332944712705</v>
      </c>
      <c r="U37" s="156">
        <v>2459.0429129339486</v>
      </c>
      <c r="V37" s="156">
        <v>3183.0045512230681</v>
      </c>
      <c r="W37" s="190">
        <v>2.9056286370558935</v>
      </c>
      <c r="X37" s="156">
        <v>746.02190568083688</v>
      </c>
      <c r="Y37" s="156">
        <v>540.27973072799921</v>
      </c>
      <c r="Z37" s="156">
        <v>842.27659399353638</v>
      </c>
      <c r="AA37" s="156">
        <v>1232.6820495933671</v>
      </c>
      <c r="AB37" s="156">
        <v>2162.407649133037</v>
      </c>
      <c r="AC37" s="156">
        <v>2232.9242293168236</v>
      </c>
      <c r="AD37" s="12"/>
      <c r="AE37" s="12"/>
      <c r="AF37" s="12"/>
      <c r="AG37" s="12"/>
      <c r="AH37" s="12"/>
    </row>
    <row r="38" spans="1:34" x14ac:dyDescent="0.2">
      <c r="A38" s="188" t="s">
        <v>42</v>
      </c>
      <c r="B38" s="156">
        <v>8.5355708701161745</v>
      </c>
      <c r="C38" s="156">
        <v>2688.4642861179259</v>
      </c>
      <c r="D38" s="156">
        <v>2688.4642861179259</v>
      </c>
      <c r="E38" s="156">
        <v>2974.4047468730555</v>
      </c>
      <c r="F38" s="156">
        <v>4153.3954803774268</v>
      </c>
      <c r="G38" s="156">
        <v>8171.3630806369247</v>
      </c>
      <c r="H38" s="156">
        <v>5860.4307844399482</v>
      </c>
      <c r="I38" s="156">
        <v>4310.1019013695122</v>
      </c>
      <c r="J38" s="156">
        <v>3477.9176986583952</v>
      </c>
      <c r="K38" s="156">
        <v>7598.7615732299691</v>
      </c>
      <c r="L38" s="156">
        <v>14322.932803738013</v>
      </c>
      <c r="M38" s="156">
        <v>6153.5912841971376</v>
      </c>
      <c r="N38" s="156">
        <v>7379.2378411098016</v>
      </c>
      <c r="O38" s="189">
        <v>4.6027211918450117</v>
      </c>
      <c r="P38" s="156">
        <v>665.08274026190566</v>
      </c>
      <c r="Q38" s="156">
        <v>409.24272573335259</v>
      </c>
      <c r="R38" s="156">
        <v>691.85345215984455</v>
      </c>
      <c r="S38" s="156">
        <v>997.46790069893143</v>
      </c>
      <c r="T38" s="156">
        <v>1675.4158265653671</v>
      </c>
      <c r="U38" s="156">
        <v>1885.5237129909367</v>
      </c>
      <c r="V38" s="156">
        <v>2548.6246926073768</v>
      </c>
      <c r="W38" s="190">
        <v>1.991228065759381</v>
      </c>
      <c r="X38" s="156">
        <v>577.92727122567567</v>
      </c>
      <c r="Y38" s="156">
        <v>362.82683801580214</v>
      </c>
      <c r="Z38" s="156">
        <v>644.38900204146285</v>
      </c>
      <c r="AA38" s="156">
        <v>938.01210084449951</v>
      </c>
      <c r="AB38" s="156">
        <v>1633.8484747399696</v>
      </c>
      <c r="AC38" s="156">
        <v>1721.6497775394337</v>
      </c>
      <c r="AD38" s="12"/>
      <c r="AE38" s="12"/>
      <c r="AF38" s="12"/>
      <c r="AG38" s="12"/>
      <c r="AH38" s="12"/>
    </row>
    <row r="39" spans="1:34" x14ac:dyDescent="0.2">
      <c r="A39" s="188" t="s">
        <v>49</v>
      </c>
      <c r="B39" s="156">
        <v>1612.1956340009228</v>
      </c>
      <c r="C39" s="156">
        <v>2375.008841484404</v>
      </c>
      <c r="D39" s="156">
        <v>2417.0516824202277</v>
      </c>
      <c r="E39" s="156">
        <v>2375.008841484404</v>
      </c>
      <c r="F39" s="156">
        <v>3750.110961168627</v>
      </c>
      <c r="G39" s="156">
        <v>8189.7338445550722</v>
      </c>
      <c r="H39" s="156">
        <v>5365.3973390508081</v>
      </c>
      <c r="I39" s="156">
        <v>3542.172106345507</v>
      </c>
      <c r="J39" s="156">
        <v>4293.4927016516167</v>
      </c>
      <c r="K39" s="156">
        <v>7001.8593359517945</v>
      </c>
      <c r="L39" s="156">
        <v>13296.391706396391</v>
      </c>
      <c r="M39" s="156">
        <v>5686.1204805750294</v>
      </c>
      <c r="N39" s="156">
        <v>6861.5600559853674</v>
      </c>
      <c r="O39" s="189">
        <v>4.0743727322427175</v>
      </c>
      <c r="P39" s="156">
        <v>593.44667434981625</v>
      </c>
      <c r="Q39" s="156">
        <v>411.18436969000544</v>
      </c>
      <c r="R39" s="156">
        <v>632.0627841702966</v>
      </c>
      <c r="S39" s="156">
        <v>922.46361922349843</v>
      </c>
      <c r="T39" s="156">
        <v>1572.5798256527441</v>
      </c>
      <c r="U39" s="156">
        <v>1731.494564497069</v>
      </c>
      <c r="V39" s="156">
        <v>2294.7224389120674</v>
      </c>
      <c r="W39" s="190">
        <v>3.0241141706481822</v>
      </c>
      <c r="X39" s="156">
        <v>535.89086545716646</v>
      </c>
      <c r="Y39" s="156">
        <v>385.7551599134224</v>
      </c>
      <c r="Z39" s="156">
        <v>603.60260080023238</v>
      </c>
      <c r="AA39" s="156">
        <v>883.18328299743428</v>
      </c>
      <c r="AB39" s="156">
        <v>1548.9646904365839</v>
      </c>
      <c r="AC39" s="156">
        <v>1603.2454204303558</v>
      </c>
      <c r="AD39" s="12"/>
      <c r="AE39" s="12"/>
      <c r="AF39" s="12"/>
      <c r="AG39" s="12"/>
      <c r="AH39" s="12"/>
    </row>
    <row r="40" spans="1:34" x14ac:dyDescent="0.2">
      <c r="A40" s="188" t="s">
        <v>50</v>
      </c>
      <c r="B40" s="156">
        <v>114.60295179975122</v>
      </c>
      <c r="C40" s="156">
        <v>3511.5856867154043</v>
      </c>
      <c r="D40" s="156">
        <v>4740.3268131405557</v>
      </c>
      <c r="E40" s="156">
        <v>3511.5856867154043</v>
      </c>
      <c r="F40" s="156">
        <v>4434.7552976980423</v>
      </c>
      <c r="G40" s="156">
        <v>9000.1777412656302</v>
      </c>
      <c r="H40" s="156">
        <v>6099.3962617827938</v>
      </c>
      <c r="I40" s="156">
        <v>4772.5592414491402</v>
      </c>
      <c r="J40" s="156">
        <v>3805.9413991686965</v>
      </c>
      <c r="K40" s="156">
        <v>7880.0319460575274</v>
      </c>
      <c r="L40" s="156">
        <v>14788.111849708268</v>
      </c>
      <c r="M40" s="156">
        <v>6377.4778879934547</v>
      </c>
      <c r="N40" s="156">
        <v>7987.843525783881</v>
      </c>
      <c r="O40" s="189">
        <v>8.5970029263644392</v>
      </c>
      <c r="P40" s="156">
        <v>715.06112886490973</v>
      </c>
      <c r="Q40" s="156">
        <v>454.91903734847324</v>
      </c>
      <c r="R40" s="156">
        <v>738.72505713330327</v>
      </c>
      <c r="S40" s="156">
        <v>1058.7719841356568</v>
      </c>
      <c r="T40" s="156">
        <v>1767.0607594069545</v>
      </c>
      <c r="U40" s="156">
        <v>1996.6736142999353</v>
      </c>
      <c r="V40" s="156">
        <v>2581.8050077209741</v>
      </c>
      <c r="W40" s="190">
        <v>2.1125705914566999</v>
      </c>
      <c r="X40" s="156">
        <v>599.86488951431465</v>
      </c>
      <c r="Y40" s="156">
        <v>388.66013895588958</v>
      </c>
      <c r="Z40" s="156">
        <v>670.46793334253505</v>
      </c>
      <c r="AA40" s="156">
        <v>977.98551825024208</v>
      </c>
      <c r="AB40" s="156">
        <v>1706.5256370212146</v>
      </c>
      <c r="AC40" s="156">
        <v>1794.7359098228051</v>
      </c>
      <c r="AD40" s="12"/>
      <c r="AE40" s="12"/>
      <c r="AF40" s="12"/>
      <c r="AG40" s="12"/>
      <c r="AH40" s="12"/>
    </row>
    <row r="41" spans="1:34" x14ac:dyDescent="0.2">
      <c r="A41" s="188" t="s">
        <v>51</v>
      </c>
      <c r="B41" s="156">
        <v>25.602416324937167</v>
      </c>
      <c r="C41" s="156">
        <v>4204.0152016562279</v>
      </c>
      <c r="D41" s="156">
        <v>7393.413066525346</v>
      </c>
      <c r="E41" s="156">
        <v>4204.0152016562279</v>
      </c>
      <c r="F41" s="156">
        <v>4876.3682473220888</v>
      </c>
      <c r="G41" s="156">
        <v>10932.983722038429</v>
      </c>
      <c r="H41" s="156">
        <v>6591.4562038882914</v>
      </c>
      <c r="I41" s="156">
        <v>4929.7809716802549</v>
      </c>
      <c r="J41" s="156">
        <v>5462.1273956609302</v>
      </c>
      <c r="K41" s="156">
        <v>8654.3178605942358</v>
      </c>
      <c r="L41" s="156">
        <v>16606.105793873718</v>
      </c>
      <c r="M41" s="156">
        <v>6963.5378715728475</v>
      </c>
      <c r="N41" s="156">
        <v>8771.140465849212</v>
      </c>
      <c r="O41" s="189">
        <v>13.761663727191362</v>
      </c>
      <c r="P41" s="156">
        <v>793.50553439023383</v>
      </c>
      <c r="Q41" s="156">
        <v>555.63874123417861</v>
      </c>
      <c r="R41" s="156">
        <v>831.48999188953826</v>
      </c>
      <c r="S41" s="156">
        <v>1203.0535147058715</v>
      </c>
      <c r="T41" s="156">
        <v>2034.0788349182214</v>
      </c>
      <c r="U41" s="156">
        <v>2253.7332437442269</v>
      </c>
      <c r="V41" s="156">
        <v>2880.6754222632053</v>
      </c>
      <c r="W41" s="190">
        <v>2.5266037546061662</v>
      </c>
      <c r="X41" s="156">
        <v>682.41205102797346</v>
      </c>
      <c r="Y41" s="156">
        <v>497.78483930237473</v>
      </c>
      <c r="Z41" s="156">
        <v>770.52485683706095</v>
      </c>
      <c r="AA41" s="156">
        <v>1128.5421798789471</v>
      </c>
      <c r="AB41" s="156">
        <v>1980.8041510043745</v>
      </c>
      <c r="AC41" s="156">
        <v>2046.4878155648878</v>
      </c>
      <c r="AD41" s="12"/>
      <c r="AE41" s="12"/>
      <c r="AF41" s="12"/>
      <c r="AG41" s="12"/>
      <c r="AH41" s="12"/>
    </row>
    <row r="42" spans="1:34" x14ac:dyDescent="0.2">
      <c r="A42" s="188" t="s">
        <v>52</v>
      </c>
      <c r="B42" s="156">
        <v>4523.0767320283185</v>
      </c>
      <c r="C42" s="156">
        <v>4608.9747675342051</v>
      </c>
      <c r="D42" s="156">
        <v>16915.356158263585</v>
      </c>
      <c r="E42" s="156">
        <v>4608.9747675342051</v>
      </c>
      <c r="F42" s="156">
        <v>4990.9138326828779</v>
      </c>
      <c r="G42" s="156">
        <v>11187.176767292773</v>
      </c>
      <c r="H42" s="156">
        <v>6678.4142191373921</v>
      </c>
      <c r="I42" s="156">
        <v>5280.3215735200611</v>
      </c>
      <c r="J42" s="156">
        <v>5547.7608186481539</v>
      </c>
      <c r="K42" s="156">
        <v>8695.7797110270276</v>
      </c>
      <c r="L42" s="156">
        <v>16527.475896653974</v>
      </c>
      <c r="M42" s="156">
        <v>0</v>
      </c>
      <c r="N42" s="156">
        <v>0</v>
      </c>
      <c r="O42" s="189">
        <v>32.857931856183569</v>
      </c>
      <c r="P42" s="156">
        <v>813.85244757932128</v>
      </c>
      <c r="Q42" s="156">
        <v>564.72882344368202</v>
      </c>
      <c r="R42" s="156">
        <v>838.0499020884738</v>
      </c>
      <c r="S42" s="156">
        <v>1203.5064848806651</v>
      </c>
      <c r="T42" s="156">
        <v>2017.2877502443785</v>
      </c>
      <c r="U42" s="156">
        <v>0</v>
      </c>
      <c r="V42" s="156">
        <v>2829.825578440797</v>
      </c>
      <c r="W42" s="190">
        <v>3.3407621826758369</v>
      </c>
      <c r="X42" s="156">
        <v>670.22079836024216</v>
      </c>
      <c r="Y42" s="156">
        <v>488.78240298698324</v>
      </c>
      <c r="Z42" s="156">
        <v>756.68048227604561</v>
      </c>
      <c r="AA42" s="156">
        <v>1108.2537333851258</v>
      </c>
      <c r="AB42" s="156">
        <v>1945.1787183677166</v>
      </c>
      <c r="AC42" s="156">
        <v>2009.8765102040256</v>
      </c>
      <c r="AD42" s="12"/>
      <c r="AE42" s="12"/>
      <c r="AF42" s="12"/>
      <c r="AG42" s="12"/>
      <c r="AH42" s="12"/>
    </row>
    <row r="43" spans="1:34" x14ac:dyDescent="0.2">
      <c r="A43" s="188" t="s">
        <v>53</v>
      </c>
      <c r="B43" s="156">
        <v>881.59575290787325</v>
      </c>
      <c r="C43" s="156">
        <v>3126.4039265215451</v>
      </c>
      <c r="D43" s="156">
        <v>3661.9179344827776</v>
      </c>
      <c r="E43" s="156">
        <v>3126.4039265215451</v>
      </c>
      <c r="F43" s="156">
        <v>4353.1171569411026</v>
      </c>
      <c r="G43" s="156">
        <v>8671.6593684044747</v>
      </c>
      <c r="H43" s="156">
        <v>5976.7420561225226</v>
      </c>
      <c r="I43" s="156">
        <v>4417.7861597219699</v>
      </c>
      <c r="J43" s="156">
        <v>3913.5769114432919</v>
      </c>
      <c r="K43" s="156">
        <v>7744.0105669727063</v>
      </c>
      <c r="L43" s="156">
        <v>14541.599937785815</v>
      </c>
      <c r="M43" s="156">
        <v>6332.3241747513557</v>
      </c>
      <c r="N43" s="156">
        <v>7899.8790178945264</v>
      </c>
      <c r="O43" s="189">
        <v>6.4977059073693475</v>
      </c>
      <c r="P43" s="156">
        <v>700.55961701992703</v>
      </c>
      <c r="Q43" s="156">
        <v>441.1354697005678</v>
      </c>
      <c r="R43" s="156">
        <v>724.26243035503433</v>
      </c>
      <c r="S43" s="156">
        <v>1042.2715235523592</v>
      </c>
      <c r="T43" s="156">
        <v>1743.1410848056248</v>
      </c>
      <c r="U43" s="156">
        <v>1981.9843678748309</v>
      </c>
      <c r="V43" s="156">
        <v>2536.6635685945944</v>
      </c>
      <c r="W43" s="190">
        <v>2.2275422067593516</v>
      </c>
      <c r="X43" s="156">
        <v>592.68343165840645</v>
      </c>
      <c r="Y43" s="156">
        <v>390.04886679490716</v>
      </c>
      <c r="Z43" s="156">
        <v>663.15828929783606</v>
      </c>
      <c r="AA43" s="156">
        <v>967.99341962730909</v>
      </c>
      <c r="AB43" s="156">
        <v>1690.4489479584608</v>
      </c>
      <c r="AC43" s="156">
        <v>1774.8448874143319</v>
      </c>
      <c r="AD43" s="12"/>
      <c r="AE43" s="12"/>
      <c r="AF43" s="12"/>
      <c r="AG43" s="12"/>
      <c r="AH43" s="12"/>
    </row>
    <row r="44" spans="1:34" x14ac:dyDescent="0.2">
      <c r="A44" s="188" t="s">
        <v>54</v>
      </c>
      <c r="B44" s="156">
        <v>-141.13314325381438</v>
      </c>
      <c r="C44" s="156">
        <v>4109.4063227595416</v>
      </c>
      <c r="D44" s="156">
        <v>15682.974626966683</v>
      </c>
      <c r="E44" s="156">
        <v>4109.4063227595416</v>
      </c>
      <c r="F44" s="156">
        <v>4561.6746750556858</v>
      </c>
      <c r="G44" s="156">
        <v>10252.667594680595</v>
      </c>
      <c r="H44" s="156">
        <v>6130.7618675049853</v>
      </c>
      <c r="I44" s="156">
        <v>4879.8459419858964</v>
      </c>
      <c r="J44" s="156">
        <v>5098.993990898477</v>
      </c>
      <c r="K44" s="156">
        <v>7971.4787367308882</v>
      </c>
      <c r="L44" s="156">
        <v>15043.939240155805</v>
      </c>
      <c r="M44" s="156">
        <v>0</v>
      </c>
      <c r="N44" s="156">
        <v>0</v>
      </c>
      <c r="O44" s="189">
        <v>30.385256231591072</v>
      </c>
      <c r="P44" s="156">
        <v>737.60601826396476</v>
      </c>
      <c r="Q44" s="156">
        <v>517.86711768102737</v>
      </c>
      <c r="R44" s="156">
        <v>759.12498715496349</v>
      </c>
      <c r="S44" s="156">
        <v>1092.8760459414971</v>
      </c>
      <c r="T44" s="156">
        <v>1833.062133196137</v>
      </c>
      <c r="U44" s="156">
        <v>0</v>
      </c>
      <c r="V44" s="156">
        <v>2542.379577570835</v>
      </c>
      <c r="W44" s="190">
        <v>2.2503551717081112</v>
      </c>
      <c r="X44" s="156">
        <v>608.68243046841201</v>
      </c>
      <c r="Y44" s="156">
        <v>447.4565237836361</v>
      </c>
      <c r="Z44" s="156">
        <v>687.2480360792016</v>
      </c>
      <c r="AA44" s="156">
        <v>1007.3670640960232</v>
      </c>
      <c r="AB44" s="156">
        <v>1769.1527747475925</v>
      </c>
      <c r="AC44" s="156">
        <v>1828.8642694676721</v>
      </c>
      <c r="AD44" s="12"/>
      <c r="AE44" s="12"/>
      <c r="AF44" s="12"/>
      <c r="AG44" s="12"/>
      <c r="AH44" s="12"/>
    </row>
    <row r="45" spans="1:34" x14ac:dyDescent="0.2">
      <c r="A45" s="188" t="s">
        <v>55</v>
      </c>
      <c r="B45" s="156">
        <v>649.91822141942612</v>
      </c>
      <c r="C45" s="156">
        <v>3727.442056998575</v>
      </c>
      <c r="D45" s="156">
        <v>4949.13835731787</v>
      </c>
      <c r="E45" s="156">
        <v>3727.442056998575</v>
      </c>
      <c r="F45" s="156">
        <v>4755.3624400732642</v>
      </c>
      <c r="G45" s="156">
        <v>9682.7723942016146</v>
      </c>
      <c r="H45" s="156">
        <v>6483.561930130405</v>
      </c>
      <c r="I45" s="156">
        <v>5010.1544585395586</v>
      </c>
      <c r="J45" s="156">
        <v>4139.0170306063619</v>
      </c>
      <c r="K45" s="156">
        <v>8409.7962490263835</v>
      </c>
      <c r="L45" s="156">
        <v>15905.986476293087</v>
      </c>
      <c r="M45" s="156">
        <v>6798.6948935836681</v>
      </c>
      <c r="N45" s="156">
        <v>8529.3871887917558</v>
      </c>
      <c r="O45" s="189">
        <v>9.0034883150685729</v>
      </c>
      <c r="P45" s="156">
        <v>772.01108178682409</v>
      </c>
      <c r="Q45" s="156">
        <v>492.09436927594402</v>
      </c>
      <c r="R45" s="156">
        <v>800.05136731170865</v>
      </c>
      <c r="S45" s="156">
        <v>1147.1429206284176</v>
      </c>
      <c r="T45" s="156">
        <v>1918.1192473987719</v>
      </c>
      <c r="U45" s="156">
        <v>2164.4392201321025</v>
      </c>
      <c r="V45" s="156">
        <v>2800.24179992155</v>
      </c>
      <c r="W45" s="190">
        <v>2.3875610722848921</v>
      </c>
      <c r="X45" s="156">
        <v>651.10845962817586</v>
      </c>
      <c r="Y45" s="156">
        <v>424.719792225878</v>
      </c>
      <c r="Z45" s="156">
        <v>728.45751924893239</v>
      </c>
      <c r="AA45" s="156">
        <v>1062.7634421088264</v>
      </c>
      <c r="AB45" s="156">
        <v>1854.9915192306205</v>
      </c>
      <c r="AC45" s="156">
        <v>1948.1220098622528</v>
      </c>
      <c r="AD45" s="12"/>
      <c r="AE45" s="12"/>
      <c r="AF45" s="12"/>
      <c r="AG45" s="12"/>
      <c r="AH45" s="12"/>
    </row>
    <row r="46" spans="1:34" x14ac:dyDescent="0.2">
      <c r="A46" s="188" t="s">
        <v>56</v>
      </c>
      <c r="B46" s="156">
        <v>-425.83166220330531</v>
      </c>
      <c r="C46" s="156">
        <v>3507.0596954091325</v>
      </c>
      <c r="D46" s="156">
        <v>4723.6106358874486</v>
      </c>
      <c r="E46" s="156">
        <v>3507.0596954091325</v>
      </c>
      <c r="F46" s="156">
        <v>0</v>
      </c>
      <c r="G46" s="156">
        <v>0</v>
      </c>
      <c r="H46" s="156">
        <v>0</v>
      </c>
      <c r="I46" s="156">
        <v>0</v>
      </c>
      <c r="J46" s="156">
        <v>0</v>
      </c>
      <c r="K46" s="156">
        <v>0</v>
      </c>
      <c r="L46" s="156">
        <v>0</v>
      </c>
      <c r="M46" s="156">
        <v>0</v>
      </c>
      <c r="N46" s="156">
        <v>0</v>
      </c>
      <c r="O46" s="189">
        <v>8.5644621880870258</v>
      </c>
      <c r="P46" s="156">
        <v>0</v>
      </c>
      <c r="Q46" s="156">
        <v>0</v>
      </c>
      <c r="R46" s="156">
        <v>0</v>
      </c>
      <c r="S46" s="156">
        <v>0</v>
      </c>
      <c r="T46" s="156">
        <v>0</v>
      </c>
      <c r="U46" s="156">
        <v>0</v>
      </c>
      <c r="V46" s="156">
        <v>2586.4678828954002</v>
      </c>
      <c r="W46" s="190">
        <v>2.1843551153571359</v>
      </c>
      <c r="X46" s="156">
        <v>596.9033033610441</v>
      </c>
      <c r="Y46" s="156">
        <v>385.87391055535596</v>
      </c>
      <c r="Z46" s="156">
        <v>667.04513896545882</v>
      </c>
      <c r="AA46" s="156">
        <v>972.59601453509765</v>
      </c>
      <c r="AB46" s="156">
        <v>1696.7715443945724</v>
      </c>
      <c r="AC46" s="156">
        <v>1783.6252418440979</v>
      </c>
      <c r="AD46" s="12"/>
      <c r="AE46" s="12"/>
      <c r="AF46" s="12"/>
      <c r="AG46" s="12"/>
      <c r="AH46" s="12"/>
    </row>
    <row r="47" spans="1:34" x14ac:dyDescent="0.2">
      <c r="A47" s="188" t="s">
        <v>57</v>
      </c>
      <c r="B47" s="156">
        <v>1244.5341053535385</v>
      </c>
      <c r="C47" s="156">
        <v>4056.7378280962294</v>
      </c>
      <c r="D47" s="156">
        <v>16799.026947570223</v>
      </c>
      <c r="E47" s="156">
        <v>5261.9317103962958</v>
      </c>
      <c r="F47" s="156">
        <v>5007.8123318678436</v>
      </c>
      <c r="G47" s="156">
        <v>10269.344249960446</v>
      </c>
      <c r="H47" s="156">
        <v>6705.7980450882651</v>
      </c>
      <c r="I47" s="156">
        <v>6120.1889893283796</v>
      </c>
      <c r="J47" s="156">
        <v>4056.7378280962294</v>
      </c>
      <c r="K47" s="156">
        <v>8569.4340849033924</v>
      </c>
      <c r="L47" s="156">
        <v>15869.631272864413</v>
      </c>
      <c r="M47" s="156">
        <v>0</v>
      </c>
      <c r="N47" s="156">
        <v>0</v>
      </c>
      <c r="O47" s="189">
        <v>32.624526537777946</v>
      </c>
      <c r="P47" s="156">
        <v>816.85415467138762</v>
      </c>
      <c r="Q47" s="156">
        <v>505.6592665695274</v>
      </c>
      <c r="R47" s="156">
        <v>807.0877134651513</v>
      </c>
      <c r="S47" s="156">
        <v>1138.1232264990733</v>
      </c>
      <c r="T47" s="156">
        <v>1863.1881668714773</v>
      </c>
      <c r="U47" s="156">
        <v>0</v>
      </c>
      <c r="V47" s="156">
        <v>2744.6119665064616</v>
      </c>
      <c r="W47" s="190">
        <v>2.1602184806158689</v>
      </c>
      <c r="X47" s="156">
        <v>622.21397051925146</v>
      </c>
      <c r="Y47" s="156">
        <v>391.01833111831024</v>
      </c>
      <c r="Z47" s="156">
        <v>694.15337987215457</v>
      </c>
      <c r="AA47" s="156">
        <v>1010.435851273804</v>
      </c>
      <c r="AB47" s="156">
        <v>1760.015906181186</v>
      </c>
      <c r="AC47" s="156">
        <v>1853.4387362368063</v>
      </c>
      <c r="AD47" s="12"/>
      <c r="AE47" s="12"/>
      <c r="AF47" s="12"/>
      <c r="AG47" s="12"/>
      <c r="AH47" s="12"/>
    </row>
    <row r="48" spans="1:34" x14ac:dyDescent="0.2">
      <c r="A48" s="188" t="s">
        <v>58</v>
      </c>
      <c r="B48" s="156">
        <v>1712.2245318409637</v>
      </c>
      <c r="C48" s="156">
        <v>2627.8936158727083</v>
      </c>
      <c r="D48" s="156">
        <v>2961.9195233481155</v>
      </c>
      <c r="E48" s="156">
        <v>2627.8936158727083</v>
      </c>
      <c r="F48" s="156">
        <v>3890.4679887181005</v>
      </c>
      <c r="G48" s="156">
        <v>8476.0287498056587</v>
      </c>
      <c r="H48" s="156">
        <v>5602.522994646687</v>
      </c>
      <c r="I48" s="156">
        <v>3773.3158836583543</v>
      </c>
      <c r="J48" s="156">
        <v>4391.5473425328128</v>
      </c>
      <c r="K48" s="156">
        <v>7299.4538503997255</v>
      </c>
      <c r="L48" s="156">
        <v>13867.3240119864</v>
      </c>
      <c r="M48" s="156">
        <v>5878.6045054983297</v>
      </c>
      <c r="N48" s="156">
        <v>6865.0859757923527</v>
      </c>
      <c r="O48" s="189">
        <v>5.1350459674537117</v>
      </c>
      <c r="P48" s="156">
        <v>618.37851476978847</v>
      </c>
      <c r="Q48" s="156">
        <v>420.09045284029452</v>
      </c>
      <c r="R48" s="156">
        <v>655.63803743150436</v>
      </c>
      <c r="S48" s="156">
        <v>952.45695511547433</v>
      </c>
      <c r="T48" s="156">
        <v>1617.5145028687664</v>
      </c>
      <c r="U48" s="156">
        <v>1783.6625440780842</v>
      </c>
      <c r="V48" s="156">
        <v>2414.8591799611172</v>
      </c>
      <c r="W48" s="190">
        <v>3.1313111931447049</v>
      </c>
      <c r="X48" s="156">
        <v>551.55720739246181</v>
      </c>
      <c r="Y48" s="156">
        <v>389.86513817458996</v>
      </c>
      <c r="Z48" s="156">
        <v>620.53029967304815</v>
      </c>
      <c r="AA48" s="156">
        <v>906.4417630902085</v>
      </c>
      <c r="AB48" s="156">
        <v>1587.7798731755911</v>
      </c>
      <c r="AC48" s="156">
        <v>1643.4839166486995</v>
      </c>
      <c r="AD48" s="12"/>
      <c r="AE48" s="12"/>
      <c r="AF48" s="12"/>
      <c r="AG48" s="12"/>
      <c r="AH48" s="12"/>
    </row>
    <row r="49" spans="1:34" x14ac:dyDescent="0.2">
      <c r="A49" s="188" t="s">
        <v>59</v>
      </c>
      <c r="B49" s="156">
        <v>3076.8598370655232</v>
      </c>
      <c r="C49" s="156">
        <v>2340.1815250562054</v>
      </c>
      <c r="D49" s="156">
        <v>2419.2564168671952</v>
      </c>
      <c r="E49" s="156">
        <v>2340.1815250562054</v>
      </c>
      <c r="F49" s="156">
        <v>3799.5493309247854</v>
      </c>
      <c r="G49" s="156">
        <v>8289.7611702386621</v>
      </c>
      <c r="H49" s="156">
        <v>5392.6672109849897</v>
      </c>
      <c r="I49" s="156">
        <v>3783.190093593551</v>
      </c>
      <c r="J49" s="156">
        <v>4295.8033056994891</v>
      </c>
      <c r="K49" s="156">
        <v>6998.8935696303542</v>
      </c>
      <c r="L49" s="156">
        <v>13154.656598023848</v>
      </c>
      <c r="M49" s="156">
        <v>5677.9789435126604</v>
      </c>
      <c r="N49" s="156">
        <v>6852.6981761807001</v>
      </c>
      <c r="O49" s="189">
        <v>4.0786646038544898</v>
      </c>
      <c r="P49" s="156">
        <v>602.22849003018644</v>
      </c>
      <c r="Q49" s="156">
        <v>413.27400632944716</v>
      </c>
      <c r="R49" s="156">
        <v>632.14337442089732</v>
      </c>
      <c r="S49" s="156">
        <v>916.41095774815358</v>
      </c>
      <c r="T49" s="156">
        <v>1547.914516939476</v>
      </c>
      <c r="U49" s="156">
        <v>1722.0316447310095</v>
      </c>
      <c r="V49" s="156">
        <v>2241.7379399906949</v>
      </c>
      <c r="W49" s="190">
        <v>2.3441255652022392</v>
      </c>
      <c r="X49" s="156">
        <v>522.86488974151428</v>
      </c>
      <c r="Y49" s="156">
        <v>375.95296042485609</v>
      </c>
      <c r="Z49" s="156">
        <v>588.787036115462</v>
      </c>
      <c r="AA49" s="156">
        <v>861.43345191332469</v>
      </c>
      <c r="AB49" s="156">
        <v>1510.7235521802338</v>
      </c>
      <c r="AC49" s="156">
        <v>1563.9572341136891</v>
      </c>
      <c r="AD49" s="12"/>
      <c r="AE49" s="12"/>
      <c r="AF49" s="12"/>
      <c r="AG49" s="12"/>
      <c r="AH49" s="12"/>
    </row>
    <row r="50" spans="1:34" x14ac:dyDescent="0.2">
      <c r="A50" s="188" t="s">
        <v>60</v>
      </c>
      <c r="B50" s="156">
        <v>1543.9945879763222</v>
      </c>
      <c r="C50" s="156">
        <v>4575.7680821045587</v>
      </c>
      <c r="D50" s="156">
        <v>5656.2368957125209</v>
      </c>
      <c r="E50" s="156">
        <v>4788.5829455771045</v>
      </c>
      <c r="F50" s="156">
        <v>5757.4929041047735</v>
      </c>
      <c r="G50" s="156">
        <v>11371.199289378124</v>
      </c>
      <c r="H50" s="156">
        <v>7980.186384259986</v>
      </c>
      <c r="I50" s="156">
        <v>5996.4851226012652</v>
      </c>
      <c r="J50" s="156">
        <v>4575.7680821045587</v>
      </c>
      <c r="K50" s="156">
        <v>10437.741998721969</v>
      </c>
      <c r="L50" s="156">
        <v>20177.525612780904</v>
      </c>
      <c r="M50" s="156">
        <v>8274.8370885449531</v>
      </c>
      <c r="N50" s="156">
        <v>9456.0910962492908</v>
      </c>
      <c r="O50" s="189">
        <v>10.379969799192871</v>
      </c>
      <c r="P50" s="156">
        <v>950.02109842400012</v>
      </c>
      <c r="Q50" s="156">
        <v>565.80406563902307</v>
      </c>
      <c r="R50" s="156">
        <v>988.21455546557138</v>
      </c>
      <c r="S50" s="156">
        <v>1413.3102820203508</v>
      </c>
      <c r="T50" s="156">
        <v>2370.8833768258824</v>
      </c>
      <c r="U50" s="156">
        <v>2659.1838263285604</v>
      </c>
      <c r="V50" s="156">
        <v>3747.9730739398224</v>
      </c>
      <c r="W50" s="190">
        <v>2.9787129497989606</v>
      </c>
      <c r="X50" s="156">
        <v>820.04917213078613</v>
      </c>
      <c r="Y50" s="156">
        <v>496.61129056867753</v>
      </c>
      <c r="Z50" s="156">
        <v>913.90305761053719</v>
      </c>
      <c r="AA50" s="156">
        <v>1326.4154981551926</v>
      </c>
      <c r="AB50" s="156">
        <v>2305.0831735977063</v>
      </c>
      <c r="AC50" s="156">
        <v>2426.1886334228325</v>
      </c>
      <c r="AD50" s="12"/>
      <c r="AE50" s="12"/>
      <c r="AF50" s="12"/>
      <c r="AG50" s="12"/>
      <c r="AH50" s="12"/>
    </row>
    <row r="51" spans="1:34" x14ac:dyDescent="0.2">
      <c r="A51" s="188" t="s">
        <v>298</v>
      </c>
      <c r="B51" s="156">
        <v>-146.75780118671327</v>
      </c>
      <c r="C51" s="156">
        <v>4725.7068630492113</v>
      </c>
      <c r="D51" s="156">
        <v>5790.6071516760876</v>
      </c>
      <c r="E51" s="156">
        <v>4725.7068630492113</v>
      </c>
      <c r="F51" s="156">
        <v>5733.0417778564497</v>
      </c>
      <c r="G51" s="156">
        <v>11398.456535630025</v>
      </c>
      <c r="H51" s="156">
        <v>7775.9299851432788</v>
      </c>
      <c r="I51" s="156">
        <v>5583.5053319605722</v>
      </c>
      <c r="J51" s="156">
        <v>4787.1576489637191</v>
      </c>
      <c r="K51" s="156">
        <v>10262.794443552497</v>
      </c>
      <c r="L51" s="156">
        <v>19992.257311363344</v>
      </c>
      <c r="M51" s="156">
        <v>8246.4350271766689</v>
      </c>
      <c r="N51" s="156">
        <v>10082.170540261959</v>
      </c>
      <c r="O51" s="189">
        <v>10.641543199939544</v>
      </c>
      <c r="P51" s="156">
        <v>945.67780626146896</v>
      </c>
      <c r="Q51" s="156">
        <v>586.25763356703658</v>
      </c>
      <c r="R51" s="156">
        <v>996.48814211611182</v>
      </c>
      <c r="S51" s="156">
        <v>1439.3654057513081</v>
      </c>
      <c r="T51" s="156">
        <v>2435.7847970330854</v>
      </c>
      <c r="U51" s="156">
        <v>2717.346375109018</v>
      </c>
      <c r="V51" s="156">
        <v>3692.1669486982032</v>
      </c>
      <c r="W51" s="190">
        <v>2.9807921690029193</v>
      </c>
      <c r="X51" s="156">
        <v>841.75768453596902</v>
      </c>
      <c r="Y51" s="156">
        <v>534.2364255882236</v>
      </c>
      <c r="Z51" s="156">
        <v>941.10689539767213</v>
      </c>
      <c r="AA51" s="156">
        <v>1370.5239024483546</v>
      </c>
      <c r="AB51" s="156">
        <v>2388.2708364577957</v>
      </c>
      <c r="AC51" s="156">
        <v>2509.5287105748253</v>
      </c>
      <c r="AD51" s="12"/>
      <c r="AE51" s="12"/>
      <c r="AF51" s="12"/>
      <c r="AG51" s="12"/>
      <c r="AH51" s="12"/>
    </row>
    <row r="52" spans="1:34" x14ac:dyDescent="0.2">
      <c r="A52" s="188" t="s">
        <v>61</v>
      </c>
      <c r="B52" s="156">
        <v>245.99667655335179</v>
      </c>
      <c r="C52" s="156">
        <v>4406.7670149306059</v>
      </c>
      <c r="D52" s="156">
        <v>4406.7670149306059</v>
      </c>
      <c r="E52" s="156">
        <v>5448.534169646493</v>
      </c>
      <c r="F52" s="156">
        <v>6985.9934270003068</v>
      </c>
      <c r="G52" s="156">
        <v>13780.774106744348</v>
      </c>
      <c r="H52" s="156">
        <v>9690.1462553713682</v>
      </c>
      <c r="I52" s="156">
        <v>7052.149137374462</v>
      </c>
      <c r="J52" s="156">
        <v>5413.4604287942157</v>
      </c>
      <c r="K52" s="156">
        <v>12797.315236812903</v>
      </c>
      <c r="L52" s="156">
        <v>25234.946293963723</v>
      </c>
      <c r="M52" s="156">
        <v>10027.263675217489</v>
      </c>
      <c r="N52" s="156">
        <v>11085.090295226448</v>
      </c>
      <c r="O52" s="189">
        <v>7.9476749173904278</v>
      </c>
      <c r="P52" s="156">
        <v>1168.2415860436015</v>
      </c>
      <c r="Q52" s="156">
        <v>685.8703042188564</v>
      </c>
      <c r="R52" s="156">
        <v>1229.4405695770454</v>
      </c>
      <c r="S52" s="156">
        <v>1760.9379036632922</v>
      </c>
      <c r="T52" s="156">
        <v>2972.4846262030023</v>
      </c>
      <c r="U52" s="156">
        <v>3299.6168990494398</v>
      </c>
      <c r="V52" s="156">
        <v>4829.5570762336811</v>
      </c>
      <c r="W52" s="190">
        <v>3.8775236465372549</v>
      </c>
      <c r="X52" s="156">
        <v>1037.5598060497289</v>
      </c>
      <c r="Y52" s="156">
        <v>616.38208408739956</v>
      </c>
      <c r="Z52" s="156">
        <v>1155.9678126059605</v>
      </c>
      <c r="AA52" s="156">
        <v>1675.1516577622613</v>
      </c>
      <c r="AB52" s="156">
        <v>2907.6370718071817</v>
      </c>
      <c r="AC52" s="156">
        <v>3058.5787493880612</v>
      </c>
      <c r="AD52" s="12"/>
      <c r="AE52" s="12"/>
      <c r="AF52" s="12"/>
      <c r="AG52" s="12"/>
      <c r="AH52" s="12"/>
    </row>
    <row r="53" spans="1:34" x14ac:dyDescent="0.2">
      <c r="A53" s="188" t="s">
        <v>62</v>
      </c>
      <c r="B53" s="156">
        <v>-1528.0591779761089</v>
      </c>
      <c r="C53" s="156">
        <v>2741.1008060194822</v>
      </c>
      <c r="D53" s="156">
        <v>2741.1008060194822</v>
      </c>
      <c r="E53" s="156">
        <v>2816.831666668666</v>
      </c>
      <c r="F53" s="156">
        <v>4330.8089178744285</v>
      </c>
      <c r="G53" s="156">
        <v>9456.8653958120922</v>
      </c>
      <c r="H53" s="156">
        <v>6140.1553488051331</v>
      </c>
      <c r="I53" s="156">
        <v>4022.2630582947436</v>
      </c>
      <c r="J53" s="156">
        <v>4918.9046324947303</v>
      </c>
      <c r="K53" s="156">
        <v>8069.26403628972</v>
      </c>
      <c r="L53" s="156">
        <v>15550.340749537032</v>
      </c>
      <c r="M53" s="156">
        <v>6487.0889118413788</v>
      </c>
      <c r="N53" s="156">
        <v>7652.6040903268586</v>
      </c>
      <c r="O53" s="189">
        <v>4.7051866773454121</v>
      </c>
      <c r="P53" s="156">
        <v>696.59696929097834</v>
      </c>
      <c r="Q53" s="156">
        <v>474.83331603451143</v>
      </c>
      <c r="R53" s="156">
        <v>744.51308146312408</v>
      </c>
      <c r="S53" s="156">
        <v>1083.9631932366303</v>
      </c>
      <c r="T53" s="156">
        <v>1848.5664318372251</v>
      </c>
      <c r="U53" s="156">
        <v>2029.8321393818605</v>
      </c>
      <c r="V53" s="156">
        <v>2752.096825165539</v>
      </c>
      <c r="W53" s="190">
        <v>3.4105984698557261</v>
      </c>
      <c r="X53" s="156">
        <v>631.60029364748436</v>
      </c>
      <c r="Y53" s="156">
        <v>448.56298535506318</v>
      </c>
      <c r="Z53" s="156">
        <v>711.41367996782583</v>
      </c>
      <c r="AA53" s="156">
        <v>1039.5370914241112</v>
      </c>
      <c r="AB53" s="156">
        <v>1821.3700847192274</v>
      </c>
      <c r="AC53" s="156">
        <v>1883.4836011867553</v>
      </c>
      <c r="AD53" s="12"/>
      <c r="AE53" s="12"/>
      <c r="AF53" s="12"/>
      <c r="AG53" s="12"/>
      <c r="AH53" s="12"/>
    </row>
    <row r="54" spans="1:34" x14ac:dyDescent="0.2">
      <c r="A54" s="188" t="s">
        <v>63</v>
      </c>
      <c r="B54" s="156">
        <v>-747.19977741638081</v>
      </c>
      <c r="C54" s="156">
        <v>4455.4934276956792</v>
      </c>
      <c r="D54" s="156">
        <v>6948.4023269457657</v>
      </c>
      <c r="E54" s="156">
        <v>4455.4934276956792</v>
      </c>
      <c r="F54" s="156">
        <v>5624.3287997063317</v>
      </c>
      <c r="G54" s="156">
        <v>12614.639467165722</v>
      </c>
      <c r="H54" s="156">
        <v>7523.2350287888066</v>
      </c>
      <c r="I54" s="156">
        <v>5587.8184505963318</v>
      </c>
      <c r="J54" s="156">
        <v>6270.253095993754</v>
      </c>
      <c r="K54" s="156">
        <v>9926.0983460863408</v>
      </c>
      <c r="L54" s="156">
        <v>19268.802945660493</v>
      </c>
      <c r="M54" s="156">
        <v>7940.3198650652876</v>
      </c>
      <c r="N54" s="156">
        <v>9904.5474181697537</v>
      </c>
      <c r="O54" s="189">
        <v>12.895378464237147</v>
      </c>
      <c r="P54" s="156">
        <v>926.36694830059275</v>
      </c>
      <c r="Q54" s="156">
        <v>642.71243562105326</v>
      </c>
      <c r="R54" s="156">
        <v>972.89288881486686</v>
      </c>
      <c r="S54" s="156">
        <v>1405.0133319583017</v>
      </c>
      <c r="T54" s="156">
        <v>2377.0060644744945</v>
      </c>
      <c r="U54" s="156">
        <v>2631.0286172815499</v>
      </c>
      <c r="V54" s="156">
        <v>3401.3976378533071</v>
      </c>
      <c r="W54" s="190">
        <v>3.221916497703746</v>
      </c>
      <c r="X54" s="156">
        <v>798.32596577860056</v>
      </c>
      <c r="Y54" s="156">
        <v>578.43070592448782</v>
      </c>
      <c r="Z54" s="156">
        <v>901.63426467824445</v>
      </c>
      <c r="AA54" s="156">
        <v>1319.6351675839685</v>
      </c>
      <c r="AB54" s="156">
        <v>2314.9954207566784</v>
      </c>
      <c r="AC54" s="156">
        <v>2390.0203569224582</v>
      </c>
      <c r="AD54" s="12"/>
      <c r="AE54" s="12"/>
      <c r="AF54" s="12"/>
      <c r="AG54" s="12"/>
      <c r="AH54" s="12"/>
    </row>
    <row r="55" spans="1:34" x14ac:dyDescent="0.2">
      <c r="A55" s="188" t="s">
        <v>214</v>
      </c>
      <c r="B55" s="156">
        <v>20759.170596802724</v>
      </c>
      <c r="C55" s="156">
        <v>3115.5304915914403</v>
      </c>
      <c r="D55" s="156">
        <v>6182.8212127389024</v>
      </c>
      <c r="E55" s="156">
        <v>3115.5304915914403</v>
      </c>
      <c r="F55" s="156">
        <v>4314.7006773262137</v>
      </c>
      <c r="G55" s="156">
        <v>9481.7925578626273</v>
      </c>
      <c r="H55" s="156">
        <v>6090.5028648491761</v>
      </c>
      <c r="I55" s="156">
        <v>4272.601025701133</v>
      </c>
      <c r="J55" s="156">
        <v>4829.8757161823787</v>
      </c>
      <c r="K55" s="156">
        <v>7959.4657301073867</v>
      </c>
      <c r="L55" s="156">
        <v>15198.240690111355</v>
      </c>
      <c r="M55" s="156">
        <v>6382.2482626194924</v>
      </c>
      <c r="N55" s="156">
        <v>7534.0755182932635</v>
      </c>
      <c r="O55" s="189">
        <v>11.405051202787151</v>
      </c>
      <c r="P55" s="156">
        <v>693.7356370883349</v>
      </c>
      <c r="Q55" s="156">
        <v>472.06255442247902</v>
      </c>
      <c r="R55" s="156">
        <v>731.99902729862845</v>
      </c>
      <c r="S55" s="156">
        <v>1059.8942106784848</v>
      </c>
      <c r="T55" s="156">
        <v>1794.7451225133957</v>
      </c>
      <c r="U55" s="156">
        <v>1982.8940646169938</v>
      </c>
      <c r="V55" s="156">
        <v>2659.4305702358629</v>
      </c>
      <c r="W55" s="190">
        <v>2.8212375151903162</v>
      </c>
      <c r="X55" s="156">
        <v>608.92385064211692</v>
      </c>
      <c r="Y55" s="156">
        <v>431.55175609468012</v>
      </c>
      <c r="Z55" s="156">
        <v>685.62711194568055</v>
      </c>
      <c r="AA55" s="156">
        <v>1001.6931149662902</v>
      </c>
      <c r="AB55" s="156">
        <v>1754.8466130583604</v>
      </c>
      <c r="AC55" s="156">
        <v>1815.140567640213</v>
      </c>
      <c r="AD55" s="12"/>
      <c r="AE55" s="12"/>
      <c r="AF55" s="12"/>
      <c r="AG55" s="12"/>
      <c r="AH55" s="12"/>
    </row>
    <row r="56" spans="1:34" x14ac:dyDescent="0.2">
      <c r="A56" s="188" t="s">
        <v>64</v>
      </c>
      <c r="B56" s="156">
        <v>-3.6317412482690301</v>
      </c>
      <c r="C56" s="156">
        <v>3826.5279628868275</v>
      </c>
      <c r="D56" s="156">
        <v>11472.33746233485</v>
      </c>
      <c r="E56" s="156">
        <v>4061.628795204907</v>
      </c>
      <c r="F56" s="156">
        <v>4628.2674847690023</v>
      </c>
      <c r="G56" s="156">
        <v>9177.1804945266522</v>
      </c>
      <c r="H56" s="156">
        <v>6451.1237318474668</v>
      </c>
      <c r="I56" s="156">
        <v>4826.7425067965041</v>
      </c>
      <c r="J56" s="156">
        <v>3826.5279628868275</v>
      </c>
      <c r="K56" s="156">
        <v>8397.370326407814</v>
      </c>
      <c r="L56" s="156">
        <v>15977.137312552859</v>
      </c>
      <c r="M56" s="156">
        <v>6757.5507962234697</v>
      </c>
      <c r="N56" s="156">
        <v>8087.6743691792308</v>
      </c>
      <c r="O56" s="189">
        <v>21.936947313790441</v>
      </c>
      <c r="P56" s="156">
        <v>749.43500419988288</v>
      </c>
      <c r="Q56" s="156">
        <v>460.72450687104879</v>
      </c>
      <c r="R56" s="156">
        <v>779.534104382294</v>
      </c>
      <c r="S56" s="156">
        <v>1121.7147271731376</v>
      </c>
      <c r="T56" s="156">
        <v>1884.4361074261624</v>
      </c>
      <c r="U56" s="156">
        <v>2116.2372740819146</v>
      </c>
      <c r="V56" s="156">
        <v>2879.4375532126614</v>
      </c>
      <c r="W56" s="190" t="e">
        <v>#N/A</v>
      </c>
      <c r="X56" s="156">
        <v>649.61796435620636</v>
      </c>
      <c r="Y56" s="156">
        <v>406.26389873883392</v>
      </c>
      <c r="Z56" s="156">
        <v>724.64600959300083</v>
      </c>
      <c r="AA56" s="156">
        <v>1054.4030725715029</v>
      </c>
      <c r="AB56" s="156">
        <v>1836.0318381422762</v>
      </c>
      <c r="AC56" s="156">
        <v>1933.2631669806383</v>
      </c>
      <c r="AD56" s="12"/>
      <c r="AE56" s="12"/>
      <c r="AF56" s="12"/>
      <c r="AG56" s="12"/>
      <c r="AH56" s="12"/>
    </row>
    <row r="57" spans="1:34" x14ac:dyDescent="0.2">
      <c r="A57" s="188" t="s">
        <v>65</v>
      </c>
      <c r="B57" s="156">
        <v>-452.3494714158353</v>
      </c>
      <c r="C57" s="156">
        <v>4223.5924134332936</v>
      </c>
      <c r="D57" s="156">
        <v>15620.67613346878</v>
      </c>
      <c r="E57" s="156">
        <v>4223.5924134332936</v>
      </c>
      <c r="F57" s="156">
        <v>4736.8106902938871</v>
      </c>
      <c r="G57" s="156">
        <v>10627.563933124971</v>
      </c>
      <c r="H57" s="156">
        <v>6378.6933957541905</v>
      </c>
      <c r="I57" s="156">
        <v>5064.990003216577</v>
      </c>
      <c r="J57" s="156">
        <v>5267.3232622146325</v>
      </c>
      <c r="K57" s="156">
        <v>8297.062957023847</v>
      </c>
      <c r="L57" s="156">
        <v>15706.390303463615</v>
      </c>
      <c r="M57" s="156">
        <v>0</v>
      </c>
      <c r="N57" s="156">
        <v>0</v>
      </c>
      <c r="O57" s="189">
        <v>30.260259254267837</v>
      </c>
      <c r="P57" s="156">
        <v>768.71570518127692</v>
      </c>
      <c r="Q57" s="156">
        <v>534.71481688271774</v>
      </c>
      <c r="R57" s="156">
        <v>791.1331758354105</v>
      </c>
      <c r="S57" s="156">
        <v>1136.8819165083362</v>
      </c>
      <c r="T57" s="156">
        <v>1905.5177866975068</v>
      </c>
      <c r="U57" s="156">
        <v>0</v>
      </c>
      <c r="V57" s="156">
        <v>2676.2577282999991</v>
      </c>
      <c r="W57" s="190">
        <v>2.4734819584310621</v>
      </c>
      <c r="X57" s="156">
        <v>633.47175865829672</v>
      </c>
      <c r="Y57" s="156">
        <v>461.6615025020929</v>
      </c>
      <c r="Z57" s="156">
        <v>714.9323838380277</v>
      </c>
      <c r="AA57" s="156">
        <v>1047.079406879011</v>
      </c>
      <c r="AB57" s="156">
        <v>1837.7676349629978</v>
      </c>
      <c r="AC57" s="156">
        <v>1899.5287225958455</v>
      </c>
      <c r="AD57" s="12"/>
      <c r="AE57" s="12"/>
      <c r="AF57" s="12"/>
      <c r="AG57" s="12"/>
      <c r="AH57" s="12"/>
    </row>
    <row r="58" spans="1:34" x14ac:dyDescent="0.2">
      <c r="A58" s="188" t="s">
        <v>66</v>
      </c>
      <c r="B58" s="156">
        <v>626.03544898745849</v>
      </c>
      <c r="C58" s="156">
        <v>4385.716704044863</v>
      </c>
      <c r="D58" s="156">
        <v>5325.5186264249078</v>
      </c>
      <c r="E58" s="156">
        <v>4385.716704044863</v>
      </c>
      <c r="F58" s="156">
        <v>5356.4546477006552</v>
      </c>
      <c r="G58" s="156">
        <v>10614.688994076012</v>
      </c>
      <c r="H58" s="156">
        <v>7341.7633006286742</v>
      </c>
      <c r="I58" s="156">
        <v>5324.5669062206025</v>
      </c>
      <c r="J58" s="156">
        <v>4447.4553374724564</v>
      </c>
      <c r="K58" s="156">
        <v>9644.7846845610093</v>
      </c>
      <c r="L58" s="156">
        <v>18652.69201671223</v>
      </c>
      <c r="M58" s="156">
        <v>7748.0149521743733</v>
      </c>
      <c r="N58" s="156">
        <v>9352.0673309968188</v>
      </c>
      <c r="O58" s="189">
        <v>9.7361732851036891</v>
      </c>
      <c r="P58" s="156">
        <v>878.784039720637</v>
      </c>
      <c r="Q58" s="156">
        <v>540.87758916422172</v>
      </c>
      <c r="R58" s="156">
        <v>922.19317269438579</v>
      </c>
      <c r="S58" s="156">
        <v>1329.7659710506564</v>
      </c>
      <c r="T58" s="156">
        <v>2244.5771643388534</v>
      </c>
      <c r="U58" s="156">
        <v>2510.2499252933862</v>
      </c>
      <c r="V58" s="156">
        <v>3424.3004002657299</v>
      </c>
      <c r="W58" s="190">
        <v>2.7441138731752091</v>
      </c>
      <c r="X58" s="156">
        <v>775.5093035050827</v>
      </c>
      <c r="Y58" s="156">
        <v>488.21113957278379</v>
      </c>
      <c r="Z58" s="156">
        <v>866.24702447953575</v>
      </c>
      <c r="AA58" s="156">
        <v>1260.8338643107077</v>
      </c>
      <c r="AB58" s="156">
        <v>2196.1448684490288</v>
      </c>
      <c r="AC58" s="156">
        <v>2309.3077789675312</v>
      </c>
      <c r="AD58" s="12"/>
      <c r="AE58" s="12"/>
      <c r="AF58" s="12"/>
      <c r="AG58" s="12"/>
      <c r="AH58" s="12"/>
    </row>
    <row r="59" spans="1:34" x14ac:dyDescent="0.2">
      <c r="A59" s="188" t="s">
        <v>67</v>
      </c>
      <c r="B59" s="156">
        <v>2524.5163697267135</v>
      </c>
      <c r="C59" s="156">
        <v>4322.7378856696178</v>
      </c>
      <c r="D59" s="156">
        <v>13698.243131092844</v>
      </c>
      <c r="E59" s="156">
        <v>4748.3785198367004</v>
      </c>
      <c r="F59" s="156">
        <v>5297.4071945183714</v>
      </c>
      <c r="G59" s="156">
        <v>10475.97922813335</v>
      </c>
      <c r="H59" s="156">
        <v>7309.5871789536095</v>
      </c>
      <c r="I59" s="156">
        <v>5464.7147435946918</v>
      </c>
      <c r="J59" s="156">
        <v>4322.7378856696178</v>
      </c>
      <c r="K59" s="156">
        <v>9548.8410295353569</v>
      </c>
      <c r="L59" s="156">
        <v>18342.961678275235</v>
      </c>
      <c r="M59" s="156">
        <v>7639.4185480735641</v>
      </c>
      <c r="N59" s="156">
        <v>9017.1047860796862</v>
      </c>
      <c r="O59" s="189">
        <v>26.403050180479838</v>
      </c>
      <c r="P59" s="156">
        <v>868.29534737904714</v>
      </c>
      <c r="Q59" s="156">
        <v>526.32415506928567</v>
      </c>
      <c r="R59" s="156">
        <v>903.18376769073063</v>
      </c>
      <c r="S59" s="156">
        <v>1295.5775923987908</v>
      </c>
      <c r="T59" s="156">
        <v>2174.5262961291219</v>
      </c>
      <c r="U59" s="156">
        <v>2444.288380936172</v>
      </c>
      <c r="V59" s="156">
        <v>3357.1995358054442</v>
      </c>
      <c r="W59" s="190">
        <v>2.6703265355726136</v>
      </c>
      <c r="X59" s="156">
        <v>749.6116325648577</v>
      </c>
      <c r="Y59" s="156">
        <v>464.28877754256411</v>
      </c>
      <c r="Z59" s="156">
        <v>836.28100064023863</v>
      </c>
      <c r="AA59" s="156">
        <v>1215.8113467946637</v>
      </c>
      <c r="AB59" s="156">
        <v>2115.7278107980719</v>
      </c>
      <c r="AC59" s="156">
        <v>2226.3964569296268</v>
      </c>
      <c r="AD59" s="12"/>
      <c r="AE59" s="12"/>
      <c r="AF59" s="12"/>
      <c r="AG59" s="12"/>
      <c r="AH59" s="12"/>
    </row>
    <row r="60" spans="1:34" x14ac:dyDescent="0.2">
      <c r="A60" s="188" t="s">
        <v>68</v>
      </c>
      <c r="B60" s="156">
        <v>-423.42349411511918</v>
      </c>
      <c r="C60" s="156">
        <v>4280.232120914251</v>
      </c>
      <c r="D60" s="156">
        <v>11731.769413538119</v>
      </c>
      <c r="E60" s="156">
        <v>4489.4661271389868</v>
      </c>
      <c r="F60" s="156">
        <v>5016.4750963345068</v>
      </c>
      <c r="G60" s="156">
        <v>10075.182698572775</v>
      </c>
      <c r="H60" s="156">
        <v>6819.1074594088286</v>
      </c>
      <c r="I60" s="156">
        <v>5148.1987534795289</v>
      </c>
      <c r="J60" s="156">
        <v>4280.232120914251</v>
      </c>
      <c r="K60" s="156">
        <v>8907.9121685149803</v>
      </c>
      <c r="L60" s="156">
        <v>17028.822780109407</v>
      </c>
      <c r="M60" s="156">
        <v>7199.0284939272196</v>
      </c>
      <c r="N60" s="156">
        <v>8935.0240249828366</v>
      </c>
      <c r="O60" s="189">
        <v>22.457476910907754</v>
      </c>
      <c r="P60" s="156">
        <v>818.39293520165006</v>
      </c>
      <c r="Q60" s="156">
        <v>513.96640005865095</v>
      </c>
      <c r="R60" s="156">
        <v>850.62870568089204</v>
      </c>
      <c r="S60" s="156">
        <v>1224.6452085454255</v>
      </c>
      <c r="T60" s="156">
        <v>2058.0727979477128</v>
      </c>
      <c r="U60" s="156">
        <v>2315.7319652202309</v>
      </c>
      <c r="V60" s="156">
        <v>3055.8158903091444</v>
      </c>
      <c r="W60" s="190">
        <v>2.5266299843234683</v>
      </c>
      <c r="X60" s="156">
        <v>704.49726986233713</v>
      </c>
      <c r="Y60" s="156">
        <v>453.70066470835832</v>
      </c>
      <c r="Z60" s="156">
        <v>787.79756018433011</v>
      </c>
      <c r="AA60" s="156">
        <v>1148.4200755396355</v>
      </c>
      <c r="AB60" s="156">
        <v>2003.0122177091246</v>
      </c>
      <c r="AC60" s="156">
        <v>2104.6560633673157</v>
      </c>
      <c r="AD60" s="12"/>
      <c r="AE60" s="12"/>
      <c r="AF60" s="12"/>
      <c r="AG60" s="12"/>
      <c r="AH60" s="12"/>
    </row>
    <row r="61" spans="1:34" x14ac:dyDescent="0.2">
      <c r="A61" s="188" t="s">
        <v>69</v>
      </c>
      <c r="B61" s="156">
        <v>1707.983001020084</v>
      </c>
      <c r="C61" s="156">
        <v>4708.4392974618168</v>
      </c>
      <c r="D61" s="156">
        <v>17289.603996939546</v>
      </c>
      <c r="E61" s="156">
        <v>4708.4392974618168</v>
      </c>
      <c r="F61" s="156">
        <v>5142.9146999310724</v>
      </c>
      <c r="G61" s="156">
        <v>11551.0760648981</v>
      </c>
      <c r="H61" s="156">
        <v>6921.8966561140242</v>
      </c>
      <c r="I61" s="156">
        <v>5287.2367682507365</v>
      </c>
      <c r="J61" s="156">
        <v>5708.6429888324892</v>
      </c>
      <c r="K61" s="156">
        <v>9079.2770714924554</v>
      </c>
      <c r="L61" s="156">
        <v>17439.92968910062</v>
      </c>
      <c r="M61" s="156">
        <v>7276.4088026771396</v>
      </c>
      <c r="N61" s="156">
        <v>9101.4580128504476</v>
      </c>
      <c r="O61" s="189">
        <v>33.608830408904204</v>
      </c>
      <c r="P61" s="156">
        <v>840.85260162998748</v>
      </c>
      <c r="Q61" s="156">
        <v>584.97592347714078</v>
      </c>
      <c r="R61" s="156">
        <v>877.07374308335136</v>
      </c>
      <c r="S61" s="156">
        <v>1264.984264117162</v>
      </c>
      <c r="T61" s="156">
        <v>2133.2325403027767</v>
      </c>
      <c r="U61" s="156">
        <v>2368.3922326756456</v>
      </c>
      <c r="V61" s="156">
        <v>3035.5775736707665</v>
      </c>
      <c r="W61" s="190">
        <v>2.9332337468871437</v>
      </c>
      <c r="X61" s="156">
        <v>714.20042736048799</v>
      </c>
      <c r="Y61" s="156">
        <v>518.27290680926922</v>
      </c>
      <c r="Z61" s="156">
        <v>806.29357150346243</v>
      </c>
      <c r="AA61" s="156">
        <v>1180.3331675222582</v>
      </c>
      <c r="AB61" s="156">
        <v>2070.9302708375094</v>
      </c>
      <c r="AC61" s="156">
        <v>2139.1960472858027</v>
      </c>
      <c r="AD61" s="12"/>
      <c r="AE61" s="12"/>
      <c r="AF61" s="12"/>
      <c r="AG61" s="12"/>
      <c r="AH61" s="12"/>
    </row>
    <row r="62" spans="1:34" x14ac:dyDescent="0.2">
      <c r="A62" s="188" t="s">
        <v>70</v>
      </c>
      <c r="B62" s="156">
        <v>-60145.201175924347</v>
      </c>
      <c r="C62" s="156">
        <v>4067.6881148942052</v>
      </c>
      <c r="D62" s="156">
        <v>5119.8339427204201</v>
      </c>
      <c r="E62" s="156">
        <v>4067.6881148942052</v>
      </c>
      <c r="F62" s="156">
        <v>5072.1405892707835</v>
      </c>
      <c r="G62" s="156">
        <v>10264.128985313493</v>
      </c>
      <c r="H62" s="156">
        <v>6903.5174520899354</v>
      </c>
      <c r="I62" s="156">
        <v>5627.8200971673996</v>
      </c>
      <c r="J62" s="156">
        <v>4357.7916762292616</v>
      </c>
      <c r="K62" s="156">
        <v>8868.8308125975364</v>
      </c>
      <c r="L62" s="156">
        <v>16586.081760555586</v>
      </c>
      <c r="M62" s="156">
        <v>7119.6913880899383</v>
      </c>
      <c r="N62" s="156">
        <v>8603.901414721222</v>
      </c>
      <c r="O62" s="189">
        <v>9.3357748352214838</v>
      </c>
      <c r="P62" s="156">
        <v>828.28088460480456</v>
      </c>
      <c r="Q62" s="156">
        <v>510.57339056623852</v>
      </c>
      <c r="R62" s="156">
        <v>840.76615684679189</v>
      </c>
      <c r="S62" s="156">
        <v>1190.0048171332242</v>
      </c>
      <c r="T62" s="156">
        <v>1960.3908954736116</v>
      </c>
      <c r="U62" s="156">
        <v>2249.1678487693689</v>
      </c>
      <c r="V62" s="156">
        <v>2902.1641106577226</v>
      </c>
      <c r="W62" s="190">
        <v>2.5455272572904866</v>
      </c>
      <c r="X62" s="156">
        <v>658.25593985677926</v>
      </c>
      <c r="Y62" s="156">
        <v>420.65571003008989</v>
      </c>
      <c r="Z62" s="156">
        <v>735.49991134156949</v>
      </c>
      <c r="AA62" s="156">
        <v>1071.0757074821743</v>
      </c>
      <c r="AB62" s="156">
        <v>1867.0148406657388</v>
      </c>
      <c r="AC62" s="156">
        <v>1960.6031373541034</v>
      </c>
      <c r="AD62" s="12"/>
      <c r="AE62" s="12"/>
      <c r="AF62" s="12"/>
      <c r="AG62" s="12"/>
      <c r="AH62" s="12"/>
    </row>
    <row r="63" spans="1:34" x14ac:dyDescent="0.2">
      <c r="A63" s="188" t="s">
        <v>71</v>
      </c>
      <c r="B63" s="156">
        <v>739.29247988500174</v>
      </c>
      <c r="C63" s="156">
        <v>4756.5126385947606</v>
      </c>
      <c r="D63" s="156">
        <v>8390.4307054615529</v>
      </c>
      <c r="E63" s="156">
        <v>4756.5126385947606</v>
      </c>
      <c r="F63" s="156">
        <v>5189.5904813476382</v>
      </c>
      <c r="G63" s="156">
        <v>11685.578684379654</v>
      </c>
      <c r="H63" s="156">
        <v>6895.5713636665332</v>
      </c>
      <c r="I63" s="156">
        <v>5921.52883502654</v>
      </c>
      <c r="J63" s="156">
        <v>5590.08305639434</v>
      </c>
      <c r="K63" s="156">
        <v>8876.9669957959286</v>
      </c>
      <c r="L63" s="156">
        <v>16605.160131672157</v>
      </c>
      <c r="M63" s="156">
        <v>7090.3414109253918</v>
      </c>
      <c r="N63" s="156">
        <v>8917.3328788657236</v>
      </c>
      <c r="O63" s="189">
        <v>15.753346276725235</v>
      </c>
      <c r="P63" s="156">
        <v>849.14369438161418</v>
      </c>
      <c r="Q63" s="156">
        <v>582.10895806126302</v>
      </c>
      <c r="R63" s="156">
        <v>858.06491528388449</v>
      </c>
      <c r="S63" s="156">
        <v>1216.3910407669707</v>
      </c>
      <c r="T63" s="156">
        <v>2006.996979254154</v>
      </c>
      <c r="U63" s="156">
        <v>2278.724260345869</v>
      </c>
      <c r="V63" s="156">
        <v>2788.2135237368548</v>
      </c>
      <c r="W63" s="190">
        <v>2.9754863630528092</v>
      </c>
      <c r="X63" s="156">
        <v>655.97506056935492</v>
      </c>
      <c r="Y63" s="156">
        <v>476.27283914103333</v>
      </c>
      <c r="Z63" s="156">
        <v>740.28008393792845</v>
      </c>
      <c r="AA63" s="156">
        <v>1083.7435848584073</v>
      </c>
      <c r="AB63" s="156">
        <v>1901.5670379400626</v>
      </c>
      <c r="AC63" s="156">
        <v>1964.863495167021</v>
      </c>
      <c r="AD63" s="12"/>
      <c r="AE63" s="12"/>
      <c r="AF63" s="12"/>
      <c r="AG63" s="12"/>
      <c r="AH63" s="12"/>
    </row>
    <row r="64" spans="1:34" x14ac:dyDescent="0.2">
      <c r="A64" s="188" t="s">
        <v>72</v>
      </c>
      <c r="B64" s="156">
        <v>7761.38710089919</v>
      </c>
      <c r="C64" s="156">
        <v>3764.5996012440341</v>
      </c>
      <c r="D64" s="156">
        <v>3999.1669665600057</v>
      </c>
      <c r="E64" s="156">
        <v>3764.5996012440341</v>
      </c>
      <c r="F64" s="156">
        <v>5186.4049965070235</v>
      </c>
      <c r="G64" s="156">
        <v>10502.729976108933</v>
      </c>
      <c r="H64" s="156">
        <v>7045.6780347367221</v>
      </c>
      <c r="I64" s="156">
        <v>5747.7018501066159</v>
      </c>
      <c r="J64" s="156">
        <v>4378.9564373014373</v>
      </c>
      <c r="K64" s="156">
        <v>9074.4905389686955</v>
      </c>
      <c r="L64" s="156">
        <v>17052.762051107093</v>
      </c>
      <c r="M64" s="156">
        <v>7273.2720464654021</v>
      </c>
      <c r="N64" s="156">
        <v>8818.5137953559024</v>
      </c>
      <c r="O64" s="189">
        <v>7.1542156057871562</v>
      </c>
      <c r="P64" s="156">
        <v>848.5778516796629</v>
      </c>
      <c r="Q64" s="156">
        <v>523.88931598711986</v>
      </c>
      <c r="R64" s="156">
        <v>863.75581795705875</v>
      </c>
      <c r="S64" s="156">
        <v>1224.3896639377988</v>
      </c>
      <c r="T64" s="156">
        <v>2022.6348099122756</v>
      </c>
      <c r="U64" s="156">
        <v>2311.4138155543997</v>
      </c>
      <c r="V64" s="156">
        <v>3005.1566157977736</v>
      </c>
      <c r="W64" s="190">
        <v>2.5509101428442951</v>
      </c>
      <c r="X64" s="156">
        <v>681.37053867154771</v>
      </c>
      <c r="Y64" s="156">
        <v>433.09366679438511</v>
      </c>
      <c r="Z64" s="156">
        <v>761.1614865624141</v>
      </c>
      <c r="AA64" s="156">
        <v>1108.2612739210188</v>
      </c>
      <c r="AB64" s="156">
        <v>1931.3339233246209</v>
      </c>
      <c r="AC64" s="156">
        <v>2029.3797861060937</v>
      </c>
      <c r="AD64" s="12"/>
      <c r="AE64" s="12"/>
      <c r="AF64" s="12"/>
      <c r="AG64" s="12"/>
      <c r="AH64" s="12"/>
    </row>
    <row r="65" spans="1:34" x14ac:dyDescent="0.2">
      <c r="A65" s="188" t="s">
        <v>73</v>
      </c>
      <c r="B65" s="156">
        <v>-825.03181993701992</v>
      </c>
      <c r="C65" s="156">
        <v>3599.6755926632322</v>
      </c>
      <c r="D65" s="156">
        <v>3640.0526406666204</v>
      </c>
      <c r="E65" s="156">
        <v>3599.6755926632322</v>
      </c>
      <c r="F65" s="156">
        <v>5080.2976522722893</v>
      </c>
      <c r="G65" s="156">
        <v>10372.7425181211</v>
      </c>
      <c r="H65" s="156">
        <v>6912.5407174312413</v>
      </c>
      <c r="I65" s="156">
        <v>5658.1110077025724</v>
      </c>
      <c r="J65" s="156">
        <v>4287.9542968144187</v>
      </c>
      <c r="K65" s="156">
        <v>8917.0907173036121</v>
      </c>
      <c r="L65" s="156">
        <v>16790.238965157663</v>
      </c>
      <c r="M65" s="156">
        <v>7140.9085284154744</v>
      </c>
      <c r="N65" s="156">
        <v>8721.998852625462</v>
      </c>
      <c r="O65" s="189">
        <v>6.4551415822454299</v>
      </c>
      <c r="P65" s="156">
        <v>829.72983658533519</v>
      </c>
      <c r="Q65" s="156">
        <v>518.30144531295116</v>
      </c>
      <c r="R65" s="156">
        <v>847.1890095850049</v>
      </c>
      <c r="S65" s="156">
        <v>1203.9933849220495</v>
      </c>
      <c r="T65" s="156">
        <v>1995.2885795311595</v>
      </c>
      <c r="U65" s="156">
        <v>2267.6214751679986</v>
      </c>
      <c r="V65" s="156">
        <v>2960.7295541217127</v>
      </c>
      <c r="W65" s="190">
        <v>2.5138976578407699</v>
      </c>
      <c r="X65" s="156">
        <v>673.63287007761164</v>
      </c>
      <c r="Y65" s="156">
        <v>429.71876052846926</v>
      </c>
      <c r="Z65" s="156">
        <v>752.65536138962398</v>
      </c>
      <c r="AA65" s="156">
        <v>1096.1823209652052</v>
      </c>
      <c r="AB65" s="156">
        <v>1910.7075498781808</v>
      </c>
      <c r="AC65" s="156">
        <v>2007.6212315789783</v>
      </c>
      <c r="AD65" s="12"/>
      <c r="AE65" s="12"/>
      <c r="AF65" s="12"/>
      <c r="AG65" s="12"/>
      <c r="AH65" s="12"/>
    </row>
    <row r="66" spans="1:34" x14ac:dyDescent="0.2">
      <c r="A66" s="188" t="s">
        <v>74</v>
      </c>
      <c r="B66" s="156">
        <v>3840.3866690437453</v>
      </c>
      <c r="C66" s="156">
        <v>2193.3674519800388</v>
      </c>
      <c r="D66" s="156">
        <v>2622.4506257312032</v>
      </c>
      <c r="E66" s="156">
        <v>2193.3674519800388</v>
      </c>
      <c r="F66" s="156">
        <v>3423.2659335838352</v>
      </c>
      <c r="G66" s="156">
        <v>7420.2392665025782</v>
      </c>
      <c r="H66" s="156">
        <v>4994.1359842337406</v>
      </c>
      <c r="I66" s="156">
        <v>3284.8844787278867</v>
      </c>
      <c r="J66" s="156">
        <v>3911.8869006834475</v>
      </c>
      <c r="K66" s="156">
        <v>6477.2447605677989</v>
      </c>
      <c r="L66" s="156">
        <v>12171.702813498836</v>
      </c>
      <c r="M66" s="156">
        <v>5268.8367493194391</v>
      </c>
      <c r="N66" s="156">
        <v>6242.0187321926851</v>
      </c>
      <c r="O66" s="189">
        <v>4.4742149423088557</v>
      </c>
      <c r="P66" s="156">
        <v>535.38867602883352</v>
      </c>
      <c r="Q66" s="156">
        <v>368.00864505341406</v>
      </c>
      <c r="R66" s="156">
        <v>568.41160495614906</v>
      </c>
      <c r="S66" s="156">
        <v>829.05642322880772</v>
      </c>
      <c r="T66" s="156">
        <v>1410.8703844575648</v>
      </c>
      <c r="U66" s="156">
        <v>1556.991425488601</v>
      </c>
      <c r="V66" s="156">
        <v>2079.921601379152</v>
      </c>
      <c r="W66" s="190">
        <v>2.7200400839930605</v>
      </c>
      <c r="X66" s="156">
        <v>481.52138994858848</v>
      </c>
      <c r="Y66" s="156">
        <v>343.94458368478672</v>
      </c>
      <c r="Z66" s="156">
        <v>541.64139293466167</v>
      </c>
      <c r="AA66" s="156">
        <v>792.03993876194113</v>
      </c>
      <c r="AB66" s="156">
        <v>1388.4754592061972</v>
      </c>
      <c r="AC66" s="156">
        <v>1438.4461087477991</v>
      </c>
      <c r="AD66" s="12"/>
      <c r="AE66" s="12"/>
      <c r="AF66" s="12"/>
      <c r="AG66" s="12"/>
      <c r="AH66" s="12"/>
    </row>
    <row r="67" spans="1:34" x14ac:dyDescent="0.2">
      <c r="A67" s="188" t="s">
        <v>75</v>
      </c>
      <c r="B67" s="156">
        <v>-451.06824490711347</v>
      </c>
      <c r="C67" s="156">
        <v>2790.372913218619</v>
      </c>
      <c r="D67" s="156">
        <v>2790.372913218619</v>
      </c>
      <c r="E67" s="156">
        <v>2793.2389638659843</v>
      </c>
      <c r="F67" s="156">
        <v>3897.9611714117914</v>
      </c>
      <c r="G67" s="156">
        <v>7757.7293007705384</v>
      </c>
      <c r="H67" s="156">
        <v>5492.3841153452868</v>
      </c>
      <c r="I67" s="156">
        <v>4062.98656981778</v>
      </c>
      <c r="J67" s="156">
        <v>3412.3239820880608</v>
      </c>
      <c r="K67" s="156">
        <v>7098.8441737318608</v>
      </c>
      <c r="L67" s="156">
        <v>13267.889000770743</v>
      </c>
      <c r="M67" s="156">
        <v>5785.1753279333789</v>
      </c>
      <c r="N67" s="156">
        <v>7078.8147573001024</v>
      </c>
      <c r="O67" s="189">
        <v>4.8011027902500976</v>
      </c>
      <c r="P67" s="156">
        <v>619.70954064300986</v>
      </c>
      <c r="Q67" s="156">
        <v>389.60800927466039</v>
      </c>
      <c r="R67" s="156">
        <v>642.82455375479356</v>
      </c>
      <c r="S67" s="156">
        <v>927.89332157426406</v>
      </c>
      <c r="T67" s="156">
        <v>1556.7812814443821</v>
      </c>
      <c r="U67" s="156">
        <v>1756.5127865203563</v>
      </c>
      <c r="V67" s="156">
        <v>2315.0551808265809</v>
      </c>
      <c r="W67" s="190">
        <v>1.9336289154364663</v>
      </c>
      <c r="X67" s="156">
        <v>533.80980617265743</v>
      </c>
      <c r="Y67" s="156">
        <v>344.17956540897109</v>
      </c>
      <c r="Z67" s="156">
        <v>596.00812639516676</v>
      </c>
      <c r="AA67" s="156">
        <v>868.9636432845324</v>
      </c>
      <c r="AB67" s="156">
        <v>1515.8452566324772</v>
      </c>
      <c r="AC67" s="156">
        <v>1594.9851780729543</v>
      </c>
      <c r="AD67" s="12"/>
      <c r="AE67" s="12"/>
      <c r="AF67" s="12"/>
      <c r="AG67" s="12"/>
      <c r="AH67" s="12"/>
    </row>
    <row r="68" spans="1:34" x14ac:dyDescent="0.2">
      <c r="A68" s="188" t="s">
        <v>76</v>
      </c>
      <c r="B68" s="156">
        <v>640.6612601403981</v>
      </c>
      <c r="C68" s="156">
        <v>2183.7089098089286</v>
      </c>
      <c r="D68" s="156">
        <v>2428.933213810471</v>
      </c>
      <c r="E68" s="156">
        <v>2183.7089098089286</v>
      </c>
      <c r="F68" s="156">
        <v>3520.6259671061607</v>
      </c>
      <c r="G68" s="156">
        <v>7682.0029334593582</v>
      </c>
      <c r="H68" s="156">
        <v>5008.7153108720349</v>
      </c>
      <c r="I68" s="156">
        <v>3543.0977514377378</v>
      </c>
      <c r="J68" s="156">
        <v>4004.1138137552484</v>
      </c>
      <c r="K68" s="156">
        <v>6476.2509238183657</v>
      </c>
      <c r="L68" s="156">
        <v>12053.609315482945</v>
      </c>
      <c r="M68" s="156">
        <v>5290.2663936745148</v>
      </c>
      <c r="N68" s="156">
        <v>6504.5888809642365</v>
      </c>
      <c r="O68" s="189">
        <v>4.0975020516708716</v>
      </c>
      <c r="P68" s="156">
        <v>552.68289250977284</v>
      </c>
      <c r="Q68" s="156">
        <v>383.64348289413488</v>
      </c>
      <c r="R68" s="156">
        <v>578.42328439446487</v>
      </c>
      <c r="S68" s="156">
        <v>839.84627030306387</v>
      </c>
      <c r="T68" s="156">
        <v>1417.3971459880565</v>
      </c>
      <c r="U68" s="156">
        <v>1580.9303271315091</v>
      </c>
      <c r="V68" s="156">
        <v>2016.5547273108805</v>
      </c>
      <c r="W68" s="190">
        <v>1.9729098524063626</v>
      </c>
      <c r="X68" s="156">
        <v>477.41238931003613</v>
      </c>
      <c r="Y68" s="156">
        <v>347.22037681556776</v>
      </c>
      <c r="Z68" s="156">
        <v>537.71511511098436</v>
      </c>
      <c r="AA68" s="156">
        <v>787.59397295607641</v>
      </c>
      <c r="AB68" s="156">
        <v>1382.3799007199468</v>
      </c>
      <c r="AC68" s="156">
        <v>1431.8636597396694</v>
      </c>
      <c r="AD68" s="12"/>
      <c r="AE68" s="12"/>
      <c r="AF68" s="12"/>
      <c r="AG68" s="12"/>
      <c r="AH68" s="12"/>
    </row>
    <row r="69" spans="1:34" x14ac:dyDescent="0.2">
      <c r="A69" s="188" t="s">
        <v>77</v>
      </c>
      <c r="B69" s="156">
        <v>488.03009172974168</v>
      </c>
      <c r="C69" s="156">
        <v>4407.1857067388464</v>
      </c>
      <c r="D69" s="156">
        <v>15306.99168099143</v>
      </c>
      <c r="E69" s="156">
        <v>4848.092832373899</v>
      </c>
      <c r="F69" s="156">
        <v>5303.4214633384336</v>
      </c>
      <c r="G69" s="156">
        <v>10602.441899284877</v>
      </c>
      <c r="H69" s="156">
        <v>7214.6206309396302</v>
      </c>
      <c r="I69" s="156">
        <v>5443.4814630066976</v>
      </c>
      <c r="J69" s="156">
        <v>4407.1857067388464</v>
      </c>
      <c r="K69" s="156">
        <v>9443.184627154631</v>
      </c>
      <c r="L69" s="156">
        <v>18152.771899235824</v>
      </c>
      <c r="M69" s="156">
        <v>7594.8560928041234</v>
      </c>
      <c r="N69" s="156">
        <v>9296.1818916282045</v>
      </c>
      <c r="O69" s="189">
        <v>29.630876323936068</v>
      </c>
      <c r="P69" s="156">
        <v>869.36367144576877</v>
      </c>
      <c r="Q69" s="156">
        <v>539.54120716728562</v>
      </c>
      <c r="R69" s="156">
        <v>904.85979934295483</v>
      </c>
      <c r="S69" s="156">
        <v>1301.405849681872</v>
      </c>
      <c r="T69" s="156">
        <v>2188.449356275285</v>
      </c>
      <c r="U69" s="156">
        <v>2457.781021993982</v>
      </c>
      <c r="V69" s="156">
        <v>3296.7873360367785</v>
      </c>
      <c r="W69" s="190">
        <v>2.6413584073547751</v>
      </c>
      <c r="X69" s="156">
        <v>751.64674806570531</v>
      </c>
      <c r="Y69" s="156">
        <v>476.48148405005992</v>
      </c>
      <c r="Z69" s="156">
        <v>839.86353635260627</v>
      </c>
      <c r="AA69" s="156">
        <v>1223.0915184934779</v>
      </c>
      <c r="AB69" s="156">
        <v>2131.314220526061</v>
      </c>
      <c r="AC69" s="156">
        <v>2241.0300236778103</v>
      </c>
      <c r="AD69" s="12"/>
      <c r="AE69" s="12"/>
      <c r="AF69" s="12"/>
      <c r="AG69" s="12"/>
      <c r="AH69" s="12"/>
    </row>
    <row r="70" spans="1:34" x14ac:dyDescent="0.2">
      <c r="A70" s="188" t="s">
        <v>78</v>
      </c>
      <c r="B70" s="156">
        <v>6665.4063652856657</v>
      </c>
      <c r="C70" s="156">
        <v>3042.6709063654325</v>
      </c>
      <c r="D70" s="156">
        <v>5322.8122986831286</v>
      </c>
      <c r="E70" s="156">
        <v>3042.6709063654325</v>
      </c>
      <c r="F70" s="156">
        <v>3965.5205014102294</v>
      </c>
      <c r="G70" s="156">
        <v>9000.9771892576082</v>
      </c>
      <c r="H70" s="156">
        <v>5452.9320846181927</v>
      </c>
      <c r="I70" s="156">
        <v>5139.8520500755485</v>
      </c>
      <c r="J70" s="156">
        <v>4164.6428039242055</v>
      </c>
      <c r="K70" s="156">
        <v>6894.6755431381562</v>
      </c>
      <c r="L70" s="156">
        <v>12400.727271637039</v>
      </c>
      <c r="M70" s="156">
        <v>5482.5408712315084</v>
      </c>
      <c r="N70" s="156">
        <v>6804.8534600035437</v>
      </c>
      <c r="O70" s="189">
        <v>9.7309049811485036</v>
      </c>
      <c r="P70" s="156">
        <v>631.71021110325876</v>
      </c>
      <c r="Q70" s="156">
        <v>435.10612405768705</v>
      </c>
      <c r="R70" s="156">
        <v>623.89325156305893</v>
      </c>
      <c r="S70" s="156">
        <v>880.23818642042988</v>
      </c>
      <c r="T70" s="156">
        <v>1430.1006517053431</v>
      </c>
      <c r="U70" s="156">
        <v>1631.7739418928347</v>
      </c>
      <c r="V70" s="156">
        <v>1982.3434223524698</v>
      </c>
      <c r="W70" s="190">
        <v>2.0028497353939385</v>
      </c>
      <c r="X70" s="156">
        <v>462.68669394207728</v>
      </c>
      <c r="Y70" s="156">
        <v>332.65662884493855</v>
      </c>
      <c r="Z70" s="156">
        <v>520.57607868822242</v>
      </c>
      <c r="AA70" s="156">
        <v>761.70958799089101</v>
      </c>
      <c r="AB70" s="156">
        <v>1335.9242180099354</v>
      </c>
      <c r="AC70" s="156">
        <v>1384.2733479664789</v>
      </c>
      <c r="AD70" s="12"/>
      <c r="AE70" s="12"/>
      <c r="AF70" s="12"/>
      <c r="AG70" s="12"/>
      <c r="AH70" s="12"/>
    </row>
    <row r="71" spans="1:34" x14ac:dyDescent="0.2">
      <c r="A71" s="188" t="s">
        <v>79</v>
      </c>
      <c r="B71" s="156">
        <v>22.540922120127334</v>
      </c>
      <c r="C71" s="156">
        <v>2999.960220609446</v>
      </c>
      <c r="D71" s="156">
        <v>3115.4468087708133</v>
      </c>
      <c r="E71" s="156">
        <v>2999.960220609446</v>
      </c>
      <c r="F71" s="156">
        <v>4201.095584906192</v>
      </c>
      <c r="G71" s="156">
        <v>8501.8081085555004</v>
      </c>
      <c r="H71" s="156">
        <v>5829.4687983800104</v>
      </c>
      <c r="I71" s="156">
        <v>4436.5030149728491</v>
      </c>
      <c r="J71" s="156">
        <v>3686.9928282031074</v>
      </c>
      <c r="K71" s="156">
        <v>7525.0372222281949</v>
      </c>
      <c r="L71" s="156">
        <v>14084.463881530688</v>
      </c>
      <c r="M71" s="156">
        <v>6111.514885473608</v>
      </c>
      <c r="N71" s="156">
        <v>7630.9113035409146</v>
      </c>
      <c r="O71" s="189">
        <v>5.4339116194348245</v>
      </c>
      <c r="P71" s="156">
        <v>673.55578514530475</v>
      </c>
      <c r="Q71" s="156">
        <v>429.66189509593107</v>
      </c>
      <c r="R71" s="156">
        <v>698.55950236513013</v>
      </c>
      <c r="S71" s="156">
        <v>1003.1435978592051</v>
      </c>
      <c r="T71" s="156">
        <v>1676.7573129209218</v>
      </c>
      <c r="U71" s="156">
        <v>1893.6738505633534</v>
      </c>
      <c r="V71" s="156">
        <v>2446.9873810668896</v>
      </c>
      <c r="W71" s="190">
        <v>2.0645418884251492</v>
      </c>
      <c r="X71" s="156">
        <v>569.91586040643017</v>
      </c>
      <c r="Y71" s="156">
        <v>371.71493312771827</v>
      </c>
      <c r="Z71" s="156">
        <v>637.10413060078827</v>
      </c>
      <c r="AA71" s="156">
        <v>929.6117446178838</v>
      </c>
      <c r="AB71" s="156">
        <v>1622.7010407123585</v>
      </c>
      <c r="AC71" s="156">
        <v>1705.8365344594813</v>
      </c>
      <c r="AD71" s="12"/>
      <c r="AE71" s="12"/>
      <c r="AF71" s="12"/>
      <c r="AG71" s="12"/>
      <c r="AH71" s="12"/>
    </row>
    <row r="72" spans="1:34" x14ac:dyDescent="0.2">
      <c r="A72" s="188" t="s">
        <v>80</v>
      </c>
      <c r="B72" s="156">
        <v>16897.721584147956</v>
      </c>
      <c r="C72" s="156">
        <v>3951.695888913775</v>
      </c>
      <c r="D72" s="156">
        <v>3951.695888913775</v>
      </c>
      <c r="E72" s="156">
        <v>4248.9107009694253</v>
      </c>
      <c r="F72" s="156">
        <v>0</v>
      </c>
      <c r="G72" s="156">
        <v>0</v>
      </c>
      <c r="H72" s="156">
        <v>0</v>
      </c>
      <c r="I72" s="156">
        <v>0</v>
      </c>
      <c r="J72" s="156">
        <v>0</v>
      </c>
      <c r="K72" s="156">
        <v>0</v>
      </c>
      <c r="L72" s="156">
        <v>0</v>
      </c>
      <c r="M72" s="156">
        <v>0</v>
      </c>
      <c r="N72" s="156">
        <v>0</v>
      </c>
      <c r="O72" s="189">
        <v>7.0618054877294751</v>
      </c>
      <c r="P72" s="156">
        <v>0</v>
      </c>
      <c r="Q72" s="156">
        <v>0</v>
      </c>
      <c r="R72" s="156">
        <v>0</v>
      </c>
      <c r="S72" s="156">
        <v>0</v>
      </c>
      <c r="T72" s="156">
        <v>0</v>
      </c>
      <c r="U72" s="156">
        <v>0</v>
      </c>
      <c r="V72" s="156">
        <v>3548.0361365246754</v>
      </c>
      <c r="W72" s="190">
        <v>2.8021058344273979</v>
      </c>
      <c r="X72" s="156">
        <v>774.13250527029061</v>
      </c>
      <c r="Y72" s="156">
        <v>466.7980285765513</v>
      </c>
      <c r="Z72" s="156">
        <v>862.24377087949654</v>
      </c>
      <c r="AA72" s="156">
        <v>1251.1325758304663</v>
      </c>
      <c r="AB72" s="156">
        <v>2173.7834318212758</v>
      </c>
      <c r="AC72" s="156">
        <v>2289.158099330718</v>
      </c>
      <c r="AD72" s="12"/>
      <c r="AE72" s="12"/>
      <c r="AF72" s="12"/>
      <c r="AG72" s="12"/>
      <c r="AH72" s="12"/>
    </row>
    <row r="73" spans="1:34" x14ac:dyDescent="0.2">
      <c r="A73" s="188" t="s">
        <v>81</v>
      </c>
      <c r="B73" s="156">
        <v>89.157958278914521</v>
      </c>
      <c r="C73" s="156">
        <v>4165.4628300621025</v>
      </c>
      <c r="D73" s="156">
        <v>5821.0494785936726</v>
      </c>
      <c r="E73" s="156">
        <v>4165.4628300621025</v>
      </c>
      <c r="F73" s="156">
        <v>5149.2586499384606</v>
      </c>
      <c r="G73" s="156">
        <v>10493.10330804793</v>
      </c>
      <c r="H73" s="156">
        <v>6988.4358981343948</v>
      </c>
      <c r="I73" s="156">
        <v>5665.5341151248276</v>
      </c>
      <c r="J73" s="156">
        <v>4366.0342548134786</v>
      </c>
      <c r="K73" s="156">
        <v>9026.4530807583506</v>
      </c>
      <c r="L73" s="156">
        <v>17028.353745518536</v>
      </c>
      <c r="M73" s="156">
        <v>7238.1610060431058</v>
      </c>
      <c r="N73" s="156">
        <v>8872.1889014865228</v>
      </c>
      <c r="O73" s="189">
        <v>10.700804104976697</v>
      </c>
      <c r="P73" s="156">
        <v>841.9794874865629</v>
      </c>
      <c r="Q73" s="156">
        <v>526.12943045752081</v>
      </c>
      <c r="R73" s="156">
        <v>861.2556985693335</v>
      </c>
      <c r="S73" s="156">
        <v>1224.8733583118558</v>
      </c>
      <c r="T73" s="156">
        <v>2031.7690310045482</v>
      </c>
      <c r="U73" s="156">
        <v>2309.2068416095335</v>
      </c>
      <c r="V73" s="156">
        <v>3007.3448519405997</v>
      </c>
      <c r="W73" s="190">
        <v>2.559632475347366</v>
      </c>
      <c r="X73" s="156">
        <v>686.15395364957794</v>
      </c>
      <c r="Y73" s="156">
        <v>439.12728526983307</v>
      </c>
      <c r="Z73" s="156">
        <v>766.88872907184293</v>
      </c>
      <c r="AA73" s="156">
        <v>1117.1617507915632</v>
      </c>
      <c r="AB73" s="156">
        <v>1947.6352452329727</v>
      </c>
      <c r="AC73" s="156">
        <v>2045.9545622576525</v>
      </c>
      <c r="AD73" s="12"/>
      <c r="AE73" s="12"/>
      <c r="AF73" s="12"/>
      <c r="AG73" s="12"/>
      <c r="AH73" s="12"/>
    </row>
    <row r="74" spans="1:34" x14ac:dyDescent="0.2">
      <c r="A74" s="188" t="s">
        <v>82</v>
      </c>
      <c r="B74" s="156">
        <v>-136.4318041692589</v>
      </c>
      <c r="C74" s="156">
        <v>2868.4314712519313</v>
      </c>
      <c r="D74" s="156">
        <v>3122.3039296006377</v>
      </c>
      <c r="E74" s="156">
        <v>2868.4314712519313</v>
      </c>
      <c r="F74" s="156">
        <v>4067.2249254261324</v>
      </c>
      <c r="G74" s="156">
        <v>8317.0763301306088</v>
      </c>
      <c r="H74" s="156">
        <v>5622.4131353030907</v>
      </c>
      <c r="I74" s="156">
        <v>4693.829753482778</v>
      </c>
      <c r="J74" s="156">
        <v>3470.3917291911198</v>
      </c>
      <c r="K74" s="156">
        <v>7188.6400570205496</v>
      </c>
      <c r="L74" s="156">
        <v>13224.669231617692</v>
      </c>
      <c r="M74" s="156">
        <v>5816.7247027782105</v>
      </c>
      <c r="N74" s="156">
        <v>7306.6086308712765</v>
      </c>
      <c r="O74" s="189">
        <v>5.4472601123875686</v>
      </c>
      <c r="P74" s="156">
        <v>649.77612852713628</v>
      </c>
      <c r="Q74" s="156">
        <v>414.56660595988041</v>
      </c>
      <c r="R74" s="156">
        <v>660.26955223737468</v>
      </c>
      <c r="S74" s="156">
        <v>941.37349159005646</v>
      </c>
      <c r="T74" s="156">
        <v>1555.4737115989694</v>
      </c>
      <c r="U74" s="156">
        <v>1772.3635128453056</v>
      </c>
      <c r="V74" s="156">
        <v>2247.2836105155475</v>
      </c>
      <c r="W74" s="190">
        <v>1.8161952398063972</v>
      </c>
      <c r="X74" s="156">
        <v>523.05705585023736</v>
      </c>
      <c r="Y74" s="156">
        <v>338.82320665386112</v>
      </c>
      <c r="Z74" s="156">
        <v>584.09477272111337</v>
      </c>
      <c r="AA74" s="156">
        <v>852.1193406862194</v>
      </c>
      <c r="AB74" s="156">
        <v>1487.0089610783195</v>
      </c>
      <c r="AC74" s="156">
        <v>1565.576215402243</v>
      </c>
      <c r="AD74" s="12"/>
      <c r="AE74" s="12"/>
      <c r="AF74" s="12"/>
      <c r="AG74" s="12"/>
      <c r="AH74" s="12"/>
    </row>
    <row r="75" spans="1:34" x14ac:dyDescent="0.2">
      <c r="A75" s="188" t="s">
        <v>230</v>
      </c>
      <c r="B75" s="156">
        <v>1045.6706359326936</v>
      </c>
      <c r="C75" s="156">
        <v>5383.6498315492736</v>
      </c>
      <c r="D75" s="156">
        <v>5707.5307448954845</v>
      </c>
      <c r="E75" s="156">
        <v>5383.6498315492736</v>
      </c>
      <c r="F75" s="156">
        <v>0</v>
      </c>
      <c r="G75" s="156">
        <v>0</v>
      </c>
      <c r="H75" s="156">
        <v>0</v>
      </c>
      <c r="I75" s="156">
        <v>0</v>
      </c>
      <c r="J75" s="156">
        <v>0</v>
      </c>
      <c r="K75" s="156">
        <v>0</v>
      </c>
      <c r="L75" s="156">
        <v>0</v>
      </c>
      <c r="M75" s="156">
        <v>0</v>
      </c>
      <c r="N75" s="156">
        <v>0</v>
      </c>
      <c r="O75" s="189">
        <v>10.479821559331013</v>
      </c>
      <c r="P75" s="156">
        <v>0</v>
      </c>
      <c r="Q75" s="156">
        <v>0</v>
      </c>
      <c r="R75" s="156">
        <v>0</v>
      </c>
      <c r="S75" s="156">
        <v>0</v>
      </c>
      <c r="T75" s="156">
        <v>0</v>
      </c>
      <c r="U75" s="156">
        <v>0</v>
      </c>
      <c r="V75" s="156">
        <v>4248.2601443632057</v>
      </c>
      <c r="W75" s="190">
        <v>3.4262274783414801</v>
      </c>
      <c r="X75" s="156">
        <v>941.30946164728323</v>
      </c>
      <c r="Y75" s="156">
        <v>579.49702897079919</v>
      </c>
      <c r="Z75" s="156">
        <v>1050.7480926485525</v>
      </c>
      <c r="AA75" s="156">
        <v>1526.6477108321953</v>
      </c>
      <c r="AB75" s="156">
        <v>2655.4276068873492</v>
      </c>
      <c r="AC75" s="156">
        <v>2791.4003071672942</v>
      </c>
      <c r="AD75" s="12"/>
      <c r="AE75" s="12"/>
      <c r="AF75" s="12"/>
      <c r="AG75" s="12"/>
      <c r="AH75" s="12"/>
    </row>
    <row r="76" spans="1:34" x14ac:dyDescent="0.2">
      <c r="A76" s="188" t="s">
        <v>231</v>
      </c>
      <c r="B76" s="156">
        <v>1346.5267732191955</v>
      </c>
      <c r="C76" s="156">
        <v>5723.522927579872</v>
      </c>
      <c r="D76" s="156">
        <v>7641.6360861557578</v>
      </c>
      <c r="E76" s="156">
        <v>5723.522927579872</v>
      </c>
      <c r="F76" s="156">
        <v>0</v>
      </c>
      <c r="G76" s="156">
        <v>0</v>
      </c>
      <c r="H76" s="156">
        <v>0</v>
      </c>
      <c r="I76" s="156">
        <v>0</v>
      </c>
      <c r="J76" s="156">
        <v>0</v>
      </c>
      <c r="K76" s="156">
        <v>0</v>
      </c>
      <c r="L76" s="156">
        <v>0</v>
      </c>
      <c r="M76" s="156">
        <v>0</v>
      </c>
      <c r="N76" s="156">
        <v>0</v>
      </c>
      <c r="O76" s="189">
        <v>14.250949368005747</v>
      </c>
      <c r="P76" s="156">
        <v>0</v>
      </c>
      <c r="Q76" s="156">
        <v>0</v>
      </c>
      <c r="R76" s="156">
        <v>0</v>
      </c>
      <c r="S76" s="156">
        <v>0</v>
      </c>
      <c r="T76" s="156">
        <v>0</v>
      </c>
      <c r="U76" s="156">
        <v>0</v>
      </c>
      <c r="V76" s="156">
        <v>3860.8238410438098</v>
      </c>
      <c r="W76" s="190">
        <v>3.1104491962750767</v>
      </c>
      <c r="X76" s="156">
        <v>867.5109569629517</v>
      </c>
      <c r="Y76" s="156">
        <v>542.0743262478079</v>
      </c>
      <c r="Z76" s="156">
        <v>969.00129078030352</v>
      </c>
      <c r="AA76" s="156">
        <v>1409.4922812809928</v>
      </c>
      <c r="AB76" s="156">
        <v>2453.8768848489403</v>
      </c>
      <c r="AC76" s="156">
        <v>2579.3685153918982</v>
      </c>
      <c r="AD76" s="12"/>
      <c r="AE76" s="12"/>
      <c r="AF76" s="12"/>
      <c r="AG76" s="12"/>
      <c r="AH76" s="12"/>
    </row>
    <row r="77" spans="1:34" x14ac:dyDescent="0.2">
      <c r="A77" s="188" t="s">
        <v>83</v>
      </c>
      <c r="B77" s="156">
        <v>-184.65639577723576</v>
      </c>
      <c r="C77" s="156">
        <v>3392.0491904455694</v>
      </c>
      <c r="D77" s="156">
        <v>3419.5561545521359</v>
      </c>
      <c r="E77" s="156">
        <v>3392.0491904455694</v>
      </c>
      <c r="F77" s="156">
        <v>4598.8565100882388</v>
      </c>
      <c r="G77" s="156">
        <v>9080.0914947426882</v>
      </c>
      <c r="H77" s="156">
        <v>6419.2015679014548</v>
      </c>
      <c r="I77" s="156">
        <v>4714.4469749133941</v>
      </c>
      <c r="J77" s="156">
        <v>3821.6014809515973</v>
      </c>
      <c r="K77" s="156">
        <v>8365.5043298311375</v>
      </c>
      <c r="L77" s="156">
        <v>15938.156224676673</v>
      </c>
      <c r="M77" s="156">
        <v>6743.1382493225738</v>
      </c>
      <c r="N77" s="156">
        <v>8073.5495560657109</v>
      </c>
      <c r="O77" s="189">
        <v>6.0259095672279379</v>
      </c>
      <c r="P77" s="156">
        <v>744.21068632895776</v>
      </c>
      <c r="Q77" s="156">
        <v>457.07240467398736</v>
      </c>
      <c r="R77" s="156">
        <v>776.52152437745713</v>
      </c>
      <c r="S77" s="156">
        <v>1118.9531733616132</v>
      </c>
      <c r="T77" s="156">
        <v>1882.6877508801797</v>
      </c>
      <c r="U77" s="156">
        <v>2112.8184785589074</v>
      </c>
      <c r="V77" s="156">
        <v>2876.8174209898561</v>
      </c>
      <c r="W77" s="190">
        <v>2.2705071535560428</v>
      </c>
      <c r="X77" s="156">
        <v>650.01612317898594</v>
      </c>
      <c r="Y77" s="156">
        <v>407.20886942662878</v>
      </c>
      <c r="Z77" s="156">
        <v>725.17335477918061</v>
      </c>
      <c r="AA77" s="156">
        <v>1055.3011070923051</v>
      </c>
      <c r="AB77" s="156">
        <v>1837.7804917299352</v>
      </c>
      <c r="AC77" s="156">
        <v>1934.9860211001842</v>
      </c>
      <c r="AD77" s="12"/>
      <c r="AE77" s="12"/>
      <c r="AF77" s="12"/>
      <c r="AG77" s="12"/>
      <c r="AH77" s="12"/>
    </row>
    <row r="78" spans="1:34" x14ac:dyDescent="0.2">
      <c r="A78" s="188" t="s">
        <v>84</v>
      </c>
      <c r="B78" s="156">
        <v>175.40715544064955</v>
      </c>
      <c r="C78" s="156">
        <v>4479.6071387463853</v>
      </c>
      <c r="D78" s="156">
        <v>5345.9310125967831</v>
      </c>
      <c r="E78" s="156">
        <v>4590.8511603561192</v>
      </c>
      <c r="F78" s="156">
        <v>5541.579398662454</v>
      </c>
      <c r="G78" s="156">
        <v>10914.72930971409</v>
      </c>
      <c r="H78" s="156">
        <v>7689.4288275037788</v>
      </c>
      <c r="I78" s="156">
        <v>5587.7873459647599</v>
      </c>
      <c r="J78" s="156">
        <v>4479.6071387463853</v>
      </c>
      <c r="K78" s="156">
        <v>10091.9189514135</v>
      </c>
      <c r="L78" s="156">
        <v>19559.728598687911</v>
      </c>
      <c r="M78" s="156">
        <v>8038.2431993779819</v>
      </c>
      <c r="N78" s="156">
        <v>9324.3668974130469</v>
      </c>
      <c r="O78" s="189">
        <v>9.7759092908889222</v>
      </c>
      <c r="P78" s="156">
        <v>911.66804153621968</v>
      </c>
      <c r="Q78" s="156">
        <v>548.28015488136271</v>
      </c>
      <c r="R78" s="156">
        <v>955.84888661349873</v>
      </c>
      <c r="S78" s="156">
        <v>1373.929545209978</v>
      </c>
      <c r="T78" s="156">
        <v>2315.6424854081311</v>
      </c>
      <c r="U78" s="156">
        <v>2587.0794231392879</v>
      </c>
      <c r="V78" s="156">
        <v>3633.1074402197487</v>
      </c>
      <c r="W78" s="190">
        <v>2.8950966603646733</v>
      </c>
      <c r="X78" s="156">
        <v>803.34865405133132</v>
      </c>
      <c r="Y78" s="156">
        <v>492.46129134465332</v>
      </c>
      <c r="Z78" s="156">
        <v>895.91237204879053</v>
      </c>
      <c r="AA78" s="156">
        <v>1301.4557697024763</v>
      </c>
      <c r="AB78" s="156">
        <v>2263.3247781823748</v>
      </c>
      <c r="AC78" s="156">
        <v>2381.5552865935147</v>
      </c>
      <c r="AD78" s="12"/>
      <c r="AE78" s="12"/>
      <c r="AF78" s="12"/>
      <c r="AG78" s="12"/>
      <c r="AH78" s="12"/>
    </row>
    <row r="79" spans="1:34" x14ac:dyDescent="0.2">
      <c r="A79" s="188" t="s">
        <v>85</v>
      </c>
      <c r="B79" s="156">
        <v>13134.653030952659</v>
      </c>
      <c r="C79" s="156">
        <v>2595.3680904312982</v>
      </c>
      <c r="D79" s="156">
        <v>2890.2613106036683</v>
      </c>
      <c r="E79" s="156">
        <v>2595.3680904312982</v>
      </c>
      <c r="F79" s="156">
        <v>3799.3708827509381</v>
      </c>
      <c r="G79" s="156">
        <v>7463.7543645838441</v>
      </c>
      <c r="H79" s="156">
        <v>5306.8054224600837</v>
      </c>
      <c r="I79" s="156">
        <v>3844.0597555919321</v>
      </c>
      <c r="J79" s="156">
        <v>3462.2718580622554</v>
      </c>
      <c r="K79" s="156">
        <v>6826.0962570064767</v>
      </c>
      <c r="L79" s="156">
        <v>12621.485585013566</v>
      </c>
      <c r="M79" s="156">
        <v>5630.5861299418912</v>
      </c>
      <c r="N79" s="156">
        <v>7002.2071585343328</v>
      </c>
      <c r="O79" s="189">
        <v>4.9955516852959398</v>
      </c>
      <c r="P79" s="156">
        <v>602.19679199930567</v>
      </c>
      <c r="Q79" s="156">
        <v>377.406156049419</v>
      </c>
      <c r="R79" s="156">
        <v>620.55151888260457</v>
      </c>
      <c r="S79" s="156">
        <v>893.58277332022271</v>
      </c>
      <c r="T79" s="156">
        <v>1490.7294975442944</v>
      </c>
      <c r="U79" s="156">
        <v>1706.0271854036898</v>
      </c>
      <c r="V79" s="156">
        <v>2156.2742652679217</v>
      </c>
      <c r="W79" s="190">
        <v>1.8699255626487159</v>
      </c>
      <c r="X79" s="156">
        <v>506.41242433740808</v>
      </c>
      <c r="Y79" s="156">
        <v>334.21757152471031</v>
      </c>
      <c r="Z79" s="156">
        <v>566.14577893153273</v>
      </c>
      <c r="AA79" s="156">
        <v>826.72380671319434</v>
      </c>
      <c r="AB79" s="156">
        <v>1444.1462005699154</v>
      </c>
      <c r="AC79" s="156">
        <v>1518.0421052692864</v>
      </c>
      <c r="AD79" s="12"/>
      <c r="AE79" s="12"/>
      <c r="AF79" s="12"/>
      <c r="AG79" s="12"/>
      <c r="AH79" s="12"/>
    </row>
    <row r="80" spans="1:34" x14ac:dyDescent="0.2">
      <c r="A80" s="188" t="s">
        <v>237</v>
      </c>
      <c r="B80" s="156">
        <v>71.575248821496587</v>
      </c>
      <c r="C80" s="156">
        <v>2718.0367043209999</v>
      </c>
      <c r="D80" s="156">
        <v>2718.0367043209999</v>
      </c>
      <c r="E80" s="156">
        <v>3702.0346854187537</v>
      </c>
      <c r="F80" s="156">
        <v>0</v>
      </c>
      <c r="G80" s="156">
        <v>0</v>
      </c>
      <c r="H80" s="156">
        <v>0</v>
      </c>
      <c r="I80" s="156">
        <v>0</v>
      </c>
      <c r="J80" s="156">
        <v>0</v>
      </c>
      <c r="K80" s="156">
        <v>0</v>
      </c>
      <c r="L80" s="156">
        <v>0</v>
      </c>
      <c r="M80" s="156">
        <v>0</v>
      </c>
      <c r="N80" s="156">
        <v>0</v>
      </c>
      <c r="O80" s="189">
        <v>4.6602886791003622</v>
      </c>
      <c r="P80" s="156">
        <v>0</v>
      </c>
      <c r="Q80" s="156">
        <v>0</v>
      </c>
      <c r="R80" s="156">
        <v>0</v>
      </c>
      <c r="S80" s="156">
        <v>0</v>
      </c>
      <c r="T80" s="156">
        <v>0</v>
      </c>
      <c r="U80" s="156">
        <v>0</v>
      </c>
      <c r="V80" s="156">
        <v>3419.1756704504969</v>
      </c>
      <c r="W80" s="190">
        <v>2.7003366725813831</v>
      </c>
      <c r="X80" s="156">
        <v>750.47519171361694</v>
      </c>
      <c r="Y80" s="156">
        <v>455.58311920803396</v>
      </c>
      <c r="Z80" s="156">
        <v>836.13211715265857</v>
      </c>
      <c r="AA80" s="156">
        <v>1213.8546942235532</v>
      </c>
      <c r="AB80" s="156">
        <v>2109.8626431316493</v>
      </c>
      <c r="AC80" s="156">
        <v>2221.7616645688609</v>
      </c>
      <c r="AD80" s="12"/>
      <c r="AE80" s="12"/>
      <c r="AF80" s="12"/>
      <c r="AG80" s="12"/>
      <c r="AH80" s="12"/>
    </row>
    <row r="81" spans="1:34" x14ac:dyDescent="0.2">
      <c r="A81" s="188" t="s">
        <v>86</v>
      </c>
      <c r="B81" s="156">
        <v>2855.8652555898307</v>
      </c>
      <c r="C81" s="156">
        <v>6349.720577132508</v>
      </c>
      <c r="D81" s="156">
        <v>12842.620055862388</v>
      </c>
      <c r="E81" s="156">
        <v>7054.6019871359622</v>
      </c>
      <c r="F81" s="156">
        <v>7606.5728094516771</v>
      </c>
      <c r="G81" s="156">
        <v>15604.134199512113</v>
      </c>
      <c r="H81" s="156">
        <v>9959.7395444108133</v>
      </c>
      <c r="I81" s="156">
        <v>7979.2107276548131</v>
      </c>
      <c r="J81" s="156">
        <v>6349.720577132508</v>
      </c>
      <c r="K81" s="156">
        <v>13049.246107415953</v>
      </c>
      <c r="L81" s="156">
        <v>25398.345841381153</v>
      </c>
      <c r="M81" s="156">
        <v>10373.115780807917</v>
      </c>
      <c r="N81" s="156">
        <v>12751.905106913931</v>
      </c>
      <c r="O81" s="189">
        <v>24.686310462922741</v>
      </c>
      <c r="P81" s="156">
        <v>1278.4760816106211</v>
      </c>
      <c r="Q81" s="156">
        <v>795.16953040633143</v>
      </c>
      <c r="R81" s="156">
        <v>1315.9384612584149</v>
      </c>
      <c r="S81" s="156">
        <v>1870.1915857729011</v>
      </c>
      <c r="T81" s="156">
        <v>3121.9422759793765</v>
      </c>
      <c r="U81" s="156">
        <v>3529.456268448514</v>
      </c>
      <c r="V81" s="156">
        <v>4660.4374352663244</v>
      </c>
      <c r="W81" s="190">
        <v>4.066630335389001</v>
      </c>
      <c r="X81" s="156">
        <v>1057.3494921880692</v>
      </c>
      <c r="Y81" s="156">
        <v>675.73274982732971</v>
      </c>
      <c r="Z81" s="156">
        <v>1183.8580288493022</v>
      </c>
      <c r="AA81" s="156">
        <v>1723.7975435852284</v>
      </c>
      <c r="AB81" s="156">
        <v>3004.4084009740395</v>
      </c>
      <c r="AC81" s="156">
        <v>3148.9121441784778</v>
      </c>
      <c r="AD81" s="12"/>
      <c r="AE81" s="12"/>
      <c r="AF81" s="12"/>
      <c r="AG81" s="12"/>
      <c r="AH81" s="12"/>
    </row>
    <row r="82" spans="1:34" x14ac:dyDescent="0.2">
      <c r="A82" s="188" t="s">
        <v>87</v>
      </c>
      <c r="B82" s="156">
        <v>-1123.0309397989768</v>
      </c>
      <c r="C82" s="156">
        <v>5463.9978804791099</v>
      </c>
      <c r="D82" s="156">
        <v>7143.8674980875421</v>
      </c>
      <c r="E82" s="156">
        <v>5463.9978804791099</v>
      </c>
      <c r="F82" s="156">
        <v>0</v>
      </c>
      <c r="G82" s="156">
        <v>0</v>
      </c>
      <c r="H82" s="156">
        <v>0</v>
      </c>
      <c r="I82" s="156">
        <v>0</v>
      </c>
      <c r="J82" s="156">
        <v>0</v>
      </c>
      <c r="K82" s="156">
        <v>0</v>
      </c>
      <c r="L82" s="156">
        <v>0</v>
      </c>
      <c r="M82" s="156">
        <v>0</v>
      </c>
      <c r="N82" s="156">
        <v>0</v>
      </c>
      <c r="O82" s="189">
        <v>13.275882982714421</v>
      </c>
      <c r="P82" s="156">
        <v>0</v>
      </c>
      <c r="Q82" s="156">
        <v>0</v>
      </c>
      <c r="R82" s="156">
        <v>0</v>
      </c>
      <c r="S82" s="156">
        <v>0</v>
      </c>
      <c r="T82" s="156">
        <v>0</v>
      </c>
      <c r="U82" s="156">
        <v>0</v>
      </c>
      <c r="V82" s="156">
        <v>3763.0421076689609</v>
      </c>
      <c r="W82" s="190">
        <v>3.0364688875781054</v>
      </c>
      <c r="X82" s="156">
        <v>853.480050271089</v>
      </c>
      <c r="Y82" s="156">
        <v>538.71539987363758</v>
      </c>
      <c r="Z82" s="156">
        <v>953.90550690244788</v>
      </c>
      <c r="AA82" s="156">
        <v>1388.583712474948</v>
      </c>
      <c r="AB82" s="156">
        <v>2418.9389486952687</v>
      </c>
      <c r="AC82" s="156">
        <v>2542.0379539124815</v>
      </c>
      <c r="AD82" s="12"/>
      <c r="AE82" s="12"/>
      <c r="AF82" s="12"/>
      <c r="AG82" s="12"/>
      <c r="AH82" s="12"/>
    </row>
    <row r="83" spans="1:34" x14ac:dyDescent="0.2">
      <c r="A83" s="188" t="s">
        <v>88</v>
      </c>
      <c r="B83" s="156">
        <v>277.36194887643614</v>
      </c>
      <c r="C83" s="156">
        <v>3818.8643452880892</v>
      </c>
      <c r="D83" s="156">
        <v>6348.46061244267</v>
      </c>
      <c r="E83" s="156">
        <v>4181.5525117690395</v>
      </c>
      <c r="F83" s="156">
        <v>4751.6329163010678</v>
      </c>
      <c r="G83" s="156">
        <v>9633.6704407540965</v>
      </c>
      <c r="H83" s="156">
        <v>6557.0584843018351</v>
      </c>
      <c r="I83" s="156">
        <v>5592.677047274793</v>
      </c>
      <c r="J83" s="156">
        <v>3818.8643452880892</v>
      </c>
      <c r="K83" s="156">
        <v>8393.4185275095788</v>
      </c>
      <c r="L83" s="156">
        <v>15611.644655336195</v>
      </c>
      <c r="M83" s="156">
        <v>6688.9132767806286</v>
      </c>
      <c r="N83" s="156">
        <v>7978.8528427236261</v>
      </c>
      <c r="O83" s="189">
        <v>11.727495041026916</v>
      </c>
      <c r="P83" s="156">
        <v>771.34860059044718</v>
      </c>
      <c r="Q83" s="156">
        <v>472.66104761748466</v>
      </c>
      <c r="R83" s="156">
        <v>778.91908208479526</v>
      </c>
      <c r="S83" s="156">
        <v>1101.1995842527124</v>
      </c>
      <c r="T83" s="156">
        <v>1811.5789584008601</v>
      </c>
      <c r="U83" s="156">
        <v>2068.3852387097804</v>
      </c>
      <c r="V83" s="156">
        <v>2734.6310355809183</v>
      </c>
      <c r="W83" s="190">
        <v>2.1347285626295291</v>
      </c>
      <c r="X83" s="156">
        <v>611.16972864050297</v>
      </c>
      <c r="Y83" s="156">
        <v>377.77594014803697</v>
      </c>
      <c r="Z83" s="156">
        <v>680.99923220170695</v>
      </c>
      <c r="AA83" s="156">
        <v>990.12739965959088</v>
      </c>
      <c r="AB83" s="156">
        <v>1722.9891845279608</v>
      </c>
      <c r="AC83" s="156">
        <v>1815.766857971754</v>
      </c>
      <c r="AD83" s="12"/>
      <c r="AE83" s="12"/>
      <c r="AF83" s="12"/>
      <c r="AG83" s="12"/>
      <c r="AH83" s="12"/>
    </row>
    <row r="84" spans="1:34" x14ac:dyDescent="0.2">
      <c r="A84" s="188" t="s">
        <v>89</v>
      </c>
      <c r="B84" s="156">
        <v>8149.2496053873856</v>
      </c>
      <c r="C84" s="156">
        <v>3698.25002706139</v>
      </c>
      <c r="D84" s="156">
        <v>3965.8837062001307</v>
      </c>
      <c r="E84" s="156">
        <v>3698.25002706139</v>
      </c>
      <c r="F84" s="156">
        <v>0</v>
      </c>
      <c r="G84" s="156">
        <v>0</v>
      </c>
      <c r="H84" s="156">
        <v>0</v>
      </c>
      <c r="I84" s="156">
        <v>0</v>
      </c>
      <c r="J84" s="156">
        <v>0</v>
      </c>
      <c r="K84" s="156">
        <v>0</v>
      </c>
      <c r="L84" s="156">
        <v>0</v>
      </c>
      <c r="M84" s="156">
        <v>0</v>
      </c>
      <c r="N84" s="156">
        <v>0</v>
      </c>
      <c r="O84" s="189">
        <v>7.089424365063242</v>
      </c>
      <c r="P84" s="156">
        <v>0</v>
      </c>
      <c r="Q84" s="156">
        <v>0</v>
      </c>
      <c r="R84" s="156">
        <v>0</v>
      </c>
      <c r="S84" s="156">
        <v>0</v>
      </c>
      <c r="T84" s="156">
        <v>0</v>
      </c>
      <c r="U84" s="156">
        <v>0</v>
      </c>
      <c r="V84" s="156">
        <v>2962.3458450057115</v>
      </c>
      <c r="W84" s="190">
        <v>2.5311675214449232</v>
      </c>
      <c r="X84" s="156">
        <v>684.89442640752384</v>
      </c>
      <c r="Y84" s="156">
        <v>444.41468975502596</v>
      </c>
      <c r="Z84" s="156">
        <v>766.17424905952112</v>
      </c>
      <c r="AA84" s="156">
        <v>1117.2881295324719</v>
      </c>
      <c r="AB84" s="156">
        <v>1949.4863841333695</v>
      </c>
      <c r="AC84" s="156">
        <v>2047.0513674576237</v>
      </c>
      <c r="AD84" s="12"/>
      <c r="AE84" s="12"/>
      <c r="AF84" s="12"/>
      <c r="AG84" s="12"/>
      <c r="AH84" s="12"/>
    </row>
    <row r="85" spans="1:34" x14ac:dyDescent="0.2">
      <c r="A85" s="188" t="s">
        <v>90</v>
      </c>
      <c r="B85" s="156">
        <v>106.89580090304781</v>
      </c>
      <c r="C85" s="156">
        <v>2405.3879908202744</v>
      </c>
      <c r="D85" s="156">
        <v>2405.3879908202744</v>
      </c>
      <c r="E85" s="156">
        <v>2790.5906638935548</v>
      </c>
      <c r="F85" s="156">
        <v>4028.6465958626291</v>
      </c>
      <c r="G85" s="156">
        <v>7870.6355228905113</v>
      </c>
      <c r="H85" s="156">
        <v>5734.1933971451872</v>
      </c>
      <c r="I85" s="156">
        <v>4075.1867851537313</v>
      </c>
      <c r="J85" s="156">
        <v>3383.9390048071637</v>
      </c>
      <c r="K85" s="156">
        <v>7446.7406253589033</v>
      </c>
      <c r="L85" s="156">
        <v>14066.889895767121</v>
      </c>
      <c r="M85" s="156">
        <v>6039.6108193228174</v>
      </c>
      <c r="N85" s="156">
        <v>7195.8388363081312</v>
      </c>
      <c r="O85" s="189">
        <v>4.0516674731421665</v>
      </c>
      <c r="P85" s="156">
        <v>642.92339893361918</v>
      </c>
      <c r="Q85" s="156">
        <v>394.5181097146189</v>
      </c>
      <c r="R85" s="156">
        <v>673.1064393416849</v>
      </c>
      <c r="S85" s="156">
        <v>973.31826759945591</v>
      </c>
      <c r="T85" s="156">
        <v>1640.9068119997323</v>
      </c>
      <c r="U85" s="156">
        <v>1840.5014665280944</v>
      </c>
      <c r="V85" s="156">
        <v>2513.1480732363898</v>
      </c>
      <c r="W85" s="190">
        <v>1.9583831681782546</v>
      </c>
      <c r="X85" s="156">
        <v>568.78388279746252</v>
      </c>
      <c r="Y85" s="156">
        <v>356.2111017243414</v>
      </c>
      <c r="Z85" s="156">
        <v>634.02220646597698</v>
      </c>
      <c r="AA85" s="156">
        <v>922.77581390371608</v>
      </c>
      <c r="AB85" s="156">
        <v>1607.0944787875815</v>
      </c>
      <c r="AC85" s="156">
        <v>1693.8281877509146</v>
      </c>
      <c r="AD85" s="12"/>
      <c r="AE85" s="12"/>
      <c r="AF85" s="12"/>
      <c r="AG85" s="12"/>
      <c r="AH85" s="12"/>
    </row>
    <row r="86" spans="1:34" x14ac:dyDescent="0.2">
      <c r="A86" s="188" t="s">
        <v>91</v>
      </c>
      <c r="B86" s="156">
        <v>8283.9277658351075</v>
      </c>
      <c r="C86" s="156">
        <v>3845.7324398186111</v>
      </c>
      <c r="D86" s="156">
        <v>4510.4539937198397</v>
      </c>
      <c r="E86" s="156">
        <v>3845.7324398186111</v>
      </c>
      <c r="F86" s="156">
        <v>5093.4173547297805</v>
      </c>
      <c r="G86" s="156">
        <v>10089.226145190869</v>
      </c>
      <c r="H86" s="156">
        <v>6912.2629682195111</v>
      </c>
      <c r="I86" s="156">
        <v>4972.2280823055407</v>
      </c>
      <c r="J86" s="156">
        <v>4476.5326898551957</v>
      </c>
      <c r="K86" s="156">
        <v>9041.9795552416854</v>
      </c>
      <c r="L86" s="156">
        <v>17304.756145056392</v>
      </c>
      <c r="M86" s="156">
        <v>7346.7746680566452</v>
      </c>
      <c r="N86" s="156">
        <v>9093.6307025676797</v>
      </c>
      <c r="O86" s="189">
        <v>8.1495183645176112</v>
      </c>
      <c r="P86" s="156">
        <v>832.06031004817908</v>
      </c>
      <c r="Q86" s="156">
        <v>517.9152113562559</v>
      </c>
      <c r="R86" s="156">
        <v>868.1433626806878</v>
      </c>
      <c r="S86" s="156">
        <v>1250.5651790268671</v>
      </c>
      <c r="T86" s="156">
        <v>2101.5217572209644</v>
      </c>
      <c r="U86" s="156">
        <v>2374.9929465852501</v>
      </c>
      <c r="V86" s="156">
        <v>3106.8851999617718</v>
      </c>
      <c r="W86" s="190">
        <v>2.6644335337976477</v>
      </c>
      <c r="X86" s="156">
        <v>718.92196944523016</v>
      </c>
      <c r="Y86" s="156">
        <v>467.18258657587899</v>
      </c>
      <c r="Z86" s="156">
        <v>804.53364072819795</v>
      </c>
      <c r="AA86" s="156">
        <v>1173.3034845344785</v>
      </c>
      <c r="AB86" s="156">
        <v>2047.354493761454</v>
      </c>
      <c r="AC86" s="156">
        <v>2149.0366202924051</v>
      </c>
      <c r="AD86" s="12"/>
      <c r="AE86" s="12"/>
      <c r="AF86" s="12"/>
      <c r="AG86" s="12"/>
      <c r="AH86" s="12"/>
    </row>
    <row r="87" spans="1:34" x14ac:dyDescent="0.2">
      <c r="A87" s="188" t="s">
        <v>96</v>
      </c>
      <c r="B87" s="156">
        <v>1185.702063569734</v>
      </c>
      <c r="C87" s="156">
        <v>4123.1611186360351</v>
      </c>
      <c r="D87" s="156">
        <v>8119.2068597960333</v>
      </c>
      <c r="E87" s="156">
        <v>4619.0227945016459</v>
      </c>
      <c r="F87" s="156">
        <v>5074.1850574234322</v>
      </c>
      <c r="G87" s="156">
        <v>10335.397309195348</v>
      </c>
      <c r="H87" s="156">
        <v>6936.2316453613257</v>
      </c>
      <c r="I87" s="156">
        <v>5712.7871638395673</v>
      </c>
      <c r="J87" s="156">
        <v>4123.1611186360351</v>
      </c>
      <c r="K87" s="156">
        <v>8959.9114541433937</v>
      </c>
      <c r="L87" s="156">
        <v>16924.971811005911</v>
      </c>
      <c r="M87" s="156">
        <v>7150.3022896003422</v>
      </c>
      <c r="N87" s="156">
        <v>8686.278662203229</v>
      </c>
      <c r="O87" s="189">
        <v>15.209157180285594</v>
      </c>
      <c r="P87" s="156">
        <v>828.6440467108672</v>
      </c>
      <c r="Q87" s="156">
        <v>515.37702205759524</v>
      </c>
      <c r="R87" s="156">
        <v>847.87360077531707</v>
      </c>
      <c r="S87" s="156">
        <v>1206.2864802467595</v>
      </c>
      <c r="T87" s="156">
        <v>2003.8135976392193</v>
      </c>
      <c r="U87" s="156">
        <v>2266.330730485452</v>
      </c>
      <c r="V87" s="156">
        <v>3009.9748271919257</v>
      </c>
      <c r="W87" s="190">
        <v>2.3853377127282265</v>
      </c>
      <c r="X87" s="156">
        <v>680.14891808185382</v>
      </c>
      <c r="Y87" s="156">
        <v>426.41418776872263</v>
      </c>
      <c r="Z87" s="156">
        <v>759.03171761860438</v>
      </c>
      <c r="AA87" s="156">
        <v>1104.5814399148928</v>
      </c>
      <c r="AB87" s="156">
        <v>1923.6375024157858</v>
      </c>
      <c r="AC87" s="156">
        <v>2024.6740672387014</v>
      </c>
      <c r="AD87" s="12"/>
      <c r="AE87" s="12"/>
      <c r="AF87" s="12"/>
      <c r="AG87" s="12"/>
      <c r="AH87" s="12"/>
    </row>
    <row r="88" spans="1:34" x14ac:dyDescent="0.2">
      <c r="A88" s="188" t="s">
        <v>97</v>
      </c>
      <c r="B88" s="156">
        <v>11945.135600357669</v>
      </c>
      <c r="C88" s="156">
        <v>3570.1987213878256</v>
      </c>
      <c r="D88" s="156">
        <v>11008.524246630981</v>
      </c>
      <c r="E88" s="156">
        <v>3570.1987213878256</v>
      </c>
      <c r="F88" s="156">
        <v>4250.0265933100945</v>
      </c>
      <c r="G88" s="156">
        <v>9387.0520029392483</v>
      </c>
      <c r="H88" s="156">
        <v>5738.553027889363</v>
      </c>
      <c r="I88" s="156">
        <v>4745.8748827288873</v>
      </c>
      <c r="J88" s="156">
        <v>4718.4313149354221</v>
      </c>
      <c r="K88" s="156">
        <v>7362.5192465025129</v>
      </c>
      <c r="L88" s="156">
        <v>13564.462693574376</v>
      </c>
      <c r="M88" s="156">
        <v>0</v>
      </c>
      <c r="N88" s="156">
        <v>0</v>
      </c>
      <c r="O88" s="189">
        <v>21.006342948413501</v>
      </c>
      <c r="P88" s="156">
        <v>682.24747742757688</v>
      </c>
      <c r="Q88" s="156">
        <v>467.79715235872561</v>
      </c>
      <c r="R88" s="156">
        <v>687.91821173820165</v>
      </c>
      <c r="S88" s="156">
        <v>981.57455322638452</v>
      </c>
      <c r="T88" s="156">
        <v>1622.0155693013874</v>
      </c>
      <c r="U88" s="156">
        <v>0</v>
      </c>
      <c r="V88" s="156">
        <v>2225.7853069084076</v>
      </c>
      <c r="W88" s="190">
        <v>2.0049664037889374</v>
      </c>
      <c r="X88" s="156">
        <v>531.75627580108744</v>
      </c>
      <c r="Y88" s="156">
        <v>390.35762094573789</v>
      </c>
      <c r="Z88" s="156">
        <v>599.82650392784626</v>
      </c>
      <c r="AA88" s="156">
        <v>879.15013663941841</v>
      </c>
      <c r="AB88" s="156">
        <v>1543.9126773945318</v>
      </c>
      <c r="AC88" s="156">
        <v>1597.2573714704058</v>
      </c>
      <c r="AD88" s="12"/>
      <c r="AE88" s="12"/>
      <c r="AF88" s="12"/>
      <c r="AG88" s="12"/>
      <c r="AH88" s="12"/>
    </row>
    <row r="89" spans="1:34" x14ac:dyDescent="0.2">
      <c r="A89" s="188" t="s">
        <v>98</v>
      </c>
      <c r="B89" s="156">
        <v>40.745459413496377</v>
      </c>
      <c r="C89" s="156">
        <v>3174.5826194159808</v>
      </c>
      <c r="D89" s="156">
        <v>3174.5826194159808</v>
      </c>
      <c r="E89" s="156">
        <v>4497.5173880890334</v>
      </c>
      <c r="F89" s="156">
        <v>0</v>
      </c>
      <c r="G89" s="156">
        <v>0</v>
      </c>
      <c r="H89" s="156">
        <v>0</v>
      </c>
      <c r="I89" s="156">
        <v>0</v>
      </c>
      <c r="J89" s="156">
        <v>0</v>
      </c>
      <c r="K89" s="156">
        <v>0</v>
      </c>
      <c r="L89" s="156">
        <v>0</v>
      </c>
      <c r="M89" s="156">
        <v>0</v>
      </c>
      <c r="N89" s="156">
        <v>0</v>
      </c>
      <c r="O89" s="189">
        <v>5.5490290238443398</v>
      </c>
      <c r="P89" s="156">
        <v>0</v>
      </c>
      <c r="Q89" s="156">
        <v>0</v>
      </c>
      <c r="R89" s="156">
        <v>0</v>
      </c>
      <c r="S89" s="156">
        <v>0</v>
      </c>
      <c r="T89" s="156">
        <v>0</v>
      </c>
      <c r="U89" s="156">
        <v>0</v>
      </c>
      <c r="V89" s="156">
        <v>4182.806894673954</v>
      </c>
      <c r="W89" s="190">
        <v>3.3279100175293759</v>
      </c>
      <c r="X89" s="156">
        <v>901.67318069774058</v>
      </c>
      <c r="Y89" s="156">
        <v>536.898108335134</v>
      </c>
      <c r="Z89" s="156">
        <v>1004.1655894294661</v>
      </c>
      <c r="AA89" s="156">
        <v>1455.5757596206024</v>
      </c>
      <c r="AB89" s="156">
        <v>2526.9924460871621</v>
      </c>
      <c r="AC89" s="156">
        <v>2659.9003280952397</v>
      </c>
      <c r="AD89" s="12"/>
      <c r="AE89" s="12"/>
      <c r="AF89" s="12"/>
      <c r="AG89" s="12"/>
      <c r="AH89" s="12"/>
    </row>
    <row r="90" spans="1:34" x14ac:dyDescent="0.2">
      <c r="A90" s="188" t="s">
        <v>99</v>
      </c>
      <c r="B90" s="156">
        <v>14349.528024624562</v>
      </c>
      <c r="C90" s="156">
        <v>4412.6261523944322</v>
      </c>
      <c r="D90" s="156">
        <v>6734.4460977504305</v>
      </c>
      <c r="E90" s="156">
        <v>4412.6261523944322</v>
      </c>
      <c r="F90" s="156">
        <v>0</v>
      </c>
      <c r="G90" s="156">
        <v>0</v>
      </c>
      <c r="H90" s="156">
        <v>0</v>
      </c>
      <c r="I90" s="156">
        <v>0</v>
      </c>
      <c r="J90" s="156">
        <v>0</v>
      </c>
      <c r="K90" s="156">
        <v>0</v>
      </c>
      <c r="L90" s="156">
        <v>0</v>
      </c>
      <c r="M90" s="156">
        <v>0</v>
      </c>
      <c r="N90" s="156">
        <v>0</v>
      </c>
      <c r="O90" s="189">
        <v>12.478878115404491</v>
      </c>
      <c r="P90" s="156">
        <v>0</v>
      </c>
      <c r="Q90" s="156">
        <v>0</v>
      </c>
      <c r="R90" s="156">
        <v>0</v>
      </c>
      <c r="S90" s="156">
        <v>0</v>
      </c>
      <c r="T90" s="156">
        <v>0</v>
      </c>
      <c r="U90" s="156">
        <v>0</v>
      </c>
      <c r="V90" s="156">
        <v>3129.8108783515022</v>
      </c>
      <c r="W90" s="190">
        <v>2.7937083269891332</v>
      </c>
      <c r="X90" s="156">
        <v>735.01316485502025</v>
      </c>
      <c r="Y90" s="156">
        <v>532.6303785408827</v>
      </c>
      <c r="Z90" s="156">
        <v>829.80118934766915</v>
      </c>
      <c r="AA90" s="156">
        <v>1214.5725624802267</v>
      </c>
      <c r="AB90" s="156">
        <v>2130.779264353197</v>
      </c>
      <c r="AC90" s="156">
        <v>2200.7612916723178</v>
      </c>
      <c r="AD90" s="12"/>
      <c r="AE90" s="12"/>
      <c r="AF90" s="12"/>
      <c r="AG90" s="12"/>
      <c r="AH90" s="12"/>
    </row>
    <row r="91" spans="1:34" x14ac:dyDescent="0.2">
      <c r="A91" s="188" t="s">
        <v>100</v>
      </c>
      <c r="B91" s="156">
        <v>1749.3320010127345</v>
      </c>
      <c r="C91" s="156">
        <v>3078.9844779240152</v>
      </c>
      <c r="D91" s="156">
        <v>3963.5228257338217</v>
      </c>
      <c r="E91" s="156">
        <v>3078.9844779240152</v>
      </c>
      <c r="F91" s="156">
        <v>4397.9640532923358</v>
      </c>
      <c r="G91" s="156">
        <v>9677.1857380033416</v>
      </c>
      <c r="H91" s="156">
        <v>6091.2934839809122</v>
      </c>
      <c r="I91" s="156">
        <v>4184.2928427999077</v>
      </c>
      <c r="J91" s="156">
        <v>5020.7684410737365</v>
      </c>
      <c r="K91" s="156">
        <v>7996.8035956040994</v>
      </c>
      <c r="L91" s="156">
        <v>15316.869493189248</v>
      </c>
      <c r="M91" s="156">
        <v>6470.7551521771511</v>
      </c>
      <c r="N91" s="156">
        <v>7955.1862566948357</v>
      </c>
      <c r="O91" s="189">
        <v>7.0848285300110527</v>
      </c>
      <c r="P91" s="156">
        <v>708.52584202968558</v>
      </c>
      <c r="Q91" s="156">
        <v>490.77371775641501</v>
      </c>
      <c r="R91" s="156">
        <v>750.57919547492361</v>
      </c>
      <c r="S91" s="156">
        <v>1090.7050098551003</v>
      </c>
      <c r="T91" s="156">
        <v>1852.0262945933364</v>
      </c>
      <c r="U91" s="156">
        <v>2048.4687594394936</v>
      </c>
      <c r="V91" s="156">
        <v>2663.1254947920779</v>
      </c>
      <c r="W91" s="190">
        <v>2.3266285985658905</v>
      </c>
      <c r="X91" s="156">
        <v>626.34562715184325</v>
      </c>
      <c r="Y91" s="156">
        <v>454.52507833958407</v>
      </c>
      <c r="Z91" s="156">
        <v>706.60909561853134</v>
      </c>
      <c r="AA91" s="156">
        <v>1034.4365078425344</v>
      </c>
      <c r="AB91" s="156">
        <v>1815.0314397715651</v>
      </c>
      <c r="AC91" s="156">
        <v>1876.0212025582932</v>
      </c>
      <c r="AD91" s="12"/>
      <c r="AE91" s="12"/>
      <c r="AF91" s="12"/>
      <c r="AG91" s="12"/>
      <c r="AH91" s="12"/>
    </row>
    <row r="92" spans="1:34" x14ac:dyDescent="0.2">
      <c r="A92" s="188" t="s">
        <v>101</v>
      </c>
      <c r="B92" s="156">
        <v>4738.5531315467551</v>
      </c>
      <c r="C92" s="156">
        <v>4639.3146512707654</v>
      </c>
      <c r="D92" s="156">
        <v>7542.6549156331075</v>
      </c>
      <c r="E92" s="156">
        <v>4873.3910876652917</v>
      </c>
      <c r="F92" s="156">
        <v>5570.3034351118758</v>
      </c>
      <c r="G92" s="156">
        <v>11239.264461716532</v>
      </c>
      <c r="H92" s="156">
        <v>7452.0815754243995</v>
      </c>
      <c r="I92" s="156">
        <v>6096.2307246107084</v>
      </c>
      <c r="J92" s="156">
        <v>4639.3146512707654</v>
      </c>
      <c r="K92" s="156">
        <v>9656.7137818888168</v>
      </c>
      <c r="L92" s="156">
        <v>18308.13929030305</v>
      </c>
      <c r="M92" s="156">
        <v>7756.2310628364639</v>
      </c>
      <c r="N92" s="156">
        <v>9526.8836808634715</v>
      </c>
      <c r="O92" s="189">
        <v>14.052351513827075</v>
      </c>
      <c r="P92" s="156">
        <v>916.77033748447229</v>
      </c>
      <c r="Q92" s="156">
        <v>565.68873576584815</v>
      </c>
      <c r="R92" s="156">
        <v>931.95139909029785</v>
      </c>
      <c r="S92" s="156">
        <v>1325.5578263494665</v>
      </c>
      <c r="T92" s="156">
        <v>2198.5735460914648</v>
      </c>
      <c r="U92" s="156">
        <v>2509.7907188248246</v>
      </c>
      <c r="V92" s="156">
        <v>3261.0693473672009</v>
      </c>
      <c r="W92" s="190">
        <v>2.69753804550799</v>
      </c>
      <c r="X92" s="156">
        <v>743.09756379770454</v>
      </c>
      <c r="Y92" s="156">
        <v>472.99431608979211</v>
      </c>
      <c r="Z92" s="156">
        <v>830.53625583845144</v>
      </c>
      <c r="AA92" s="156">
        <v>1209.601906505025</v>
      </c>
      <c r="AB92" s="156">
        <v>2108.1812614626124</v>
      </c>
      <c r="AC92" s="156">
        <v>2215.249492528299</v>
      </c>
      <c r="AD92" s="12"/>
      <c r="AE92" s="12"/>
      <c r="AF92" s="12"/>
      <c r="AG92" s="12"/>
      <c r="AH92" s="12"/>
    </row>
    <row r="93" spans="1:34" x14ac:dyDescent="0.2">
      <c r="A93" s="188" t="s">
        <v>102</v>
      </c>
      <c r="B93" s="156">
        <v>2119.097520636652</v>
      </c>
      <c r="C93" s="156">
        <v>4294.1913676720069</v>
      </c>
      <c r="D93" s="156">
        <v>5759.1307042265234</v>
      </c>
      <c r="E93" s="156">
        <v>4437.9660440671605</v>
      </c>
      <c r="F93" s="156">
        <v>5275.2081611538251</v>
      </c>
      <c r="G93" s="156">
        <v>10705.586977098012</v>
      </c>
      <c r="H93" s="156">
        <v>7124.8503206272744</v>
      </c>
      <c r="I93" s="156">
        <v>6025.9200093921017</v>
      </c>
      <c r="J93" s="156">
        <v>4294.1913676720069</v>
      </c>
      <c r="K93" s="156">
        <v>9163.7757354341138</v>
      </c>
      <c r="L93" s="156">
        <v>17195.534070406535</v>
      </c>
      <c r="M93" s="156">
        <v>7327.2282231511945</v>
      </c>
      <c r="N93" s="156">
        <v>8947.1081146630768</v>
      </c>
      <c r="O93" s="189">
        <v>10.580269212301692</v>
      </c>
      <c r="P93" s="156">
        <v>864.35209803139753</v>
      </c>
      <c r="Q93" s="156">
        <v>533.09637205745003</v>
      </c>
      <c r="R93" s="156">
        <v>874.38207629524754</v>
      </c>
      <c r="S93" s="156">
        <v>1237.1113759161346</v>
      </c>
      <c r="T93" s="156">
        <v>2039.626002602763</v>
      </c>
      <c r="U93" s="156">
        <v>2332.5248083280635</v>
      </c>
      <c r="V93" s="156">
        <v>3029.1140084438812</v>
      </c>
      <c r="W93" s="190">
        <v>2.4047030470013619</v>
      </c>
      <c r="X93" s="156">
        <v>686.28816019514557</v>
      </c>
      <c r="Y93" s="156">
        <v>431.58768838281247</v>
      </c>
      <c r="Z93" s="156">
        <v>766.08093696475953</v>
      </c>
      <c r="AA93" s="156">
        <v>1115.0797444607849</v>
      </c>
      <c r="AB93" s="156">
        <v>1942.2631807719065</v>
      </c>
      <c r="AC93" s="156">
        <v>2043.9353557070344</v>
      </c>
      <c r="AD93" s="12"/>
      <c r="AE93" s="12"/>
      <c r="AF93" s="12"/>
      <c r="AG93" s="12"/>
      <c r="AH93" s="12"/>
    </row>
    <row r="94" spans="1:34" x14ac:dyDescent="0.2">
      <c r="A94" s="188" t="s">
        <v>103</v>
      </c>
      <c r="B94" s="156">
        <v>7605.5914638939539</v>
      </c>
      <c r="C94" s="156">
        <v>3971.113601730257</v>
      </c>
      <c r="D94" s="156">
        <v>5640.027120444317</v>
      </c>
      <c r="E94" s="156">
        <v>3971.113601730257</v>
      </c>
      <c r="F94" s="156">
        <v>4527.2675686049724</v>
      </c>
      <c r="G94" s="156">
        <v>9147.2760681404907</v>
      </c>
      <c r="H94" s="156">
        <v>6148.0630357980735</v>
      </c>
      <c r="I94" s="156">
        <v>4884.527690061559</v>
      </c>
      <c r="J94" s="156">
        <v>4008.4213360405834</v>
      </c>
      <c r="K94" s="156">
        <v>7932.5831360901211</v>
      </c>
      <c r="L94" s="156">
        <v>14809.927124695412</v>
      </c>
      <c r="M94" s="156">
        <v>6453.5310455999488</v>
      </c>
      <c r="N94" s="156">
        <v>8096.7221805537392</v>
      </c>
      <c r="O94" s="189">
        <v>10.348414854150619</v>
      </c>
      <c r="P94" s="156">
        <v>731.49422961811445</v>
      </c>
      <c r="Q94" s="156">
        <v>461.99691094619715</v>
      </c>
      <c r="R94" s="156">
        <v>746.11462540631703</v>
      </c>
      <c r="S94" s="156">
        <v>1067.5731916066957</v>
      </c>
      <c r="T94" s="156">
        <v>1772.8168261555809</v>
      </c>
      <c r="U94" s="156">
        <v>2025.8355888645133</v>
      </c>
      <c r="V94" s="156">
        <v>2562.2790145357258</v>
      </c>
      <c r="W94" s="190">
        <v>2.2506798164683364</v>
      </c>
      <c r="X94" s="156">
        <v>597.83303515031571</v>
      </c>
      <c r="Y94" s="156">
        <v>392.94048479378762</v>
      </c>
      <c r="Z94" s="156">
        <v>668.90419925065669</v>
      </c>
      <c r="AA94" s="156">
        <v>976.27538255517391</v>
      </c>
      <c r="AB94" s="156">
        <v>1704.7695709130535</v>
      </c>
      <c r="AC94" s="156">
        <v>1789.8237968418243</v>
      </c>
      <c r="AD94" s="12"/>
      <c r="AE94" s="12"/>
      <c r="AF94" s="12"/>
      <c r="AG94" s="12"/>
      <c r="AH94" s="12"/>
    </row>
    <row r="95" spans="1:34" x14ac:dyDescent="0.2">
      <c r="A95" s="188" t="s">
        <v>104</v>
      </c>
      <c r="B95" s="156">
        <v>-549.65841531807791</v>
      </c>
      <c r="C95" s="156">
        <v>3419.8988709442301</v>
      </c>
      <c r="D95" s="156">
        <v>5430.6608765400833</v>
      </c>
      <c r="E95" s="156">
        <v>3419.8988709442301</v>
      </c>
      <c r="F95" s="156">
        <v>0</v>
      </c>
      <c r="G95" s="156">
        <v>0</v>
      </c>
      <c r="H95" s="156">
        <v>0</v>
      </c>
      <c r="I95" s="156">
        <v>0</v>
      </c>
      <c r="J95" s="156">
        <v>0</v>
      </c>
      <c r="K95" s="156">
        <v>0</v>
      </c>
      <c r="L95" s="156">
        <v>0</v>
      </c>
      <c r="M95" s="156">
        <v>0</v>
      </c>
      <c r="N95" s="156">
        <v>0</v>
      </c>
      <c r="O95" s="189">
        <v>9.9408496528575814</v>
      </c>
      <c r="P95" s="156">
        <v>0</v>
      </c>
      <c r="Q95" s="156">
        <v>0</v>
      </c>
      <c r="R95" s="156">
        <v>0</v>
      </c>
      <c r="S95" s="156">
        <v>0</v>
      </c>
      <c r="T95" s="156">
        <v>0</v>
      </c>
      <c r="U95" s="156">
        <v>0</v>
      </c>
      <c r="V95" s="156">
        <v>2312.8214503364611</v>
      </c>
      <c r="W95" s="190">
        <v>2.3459338836843924</v>
      </c>
      <c r="X95" s="156">
        <v>558.16456357324421</v>
      </c>
      <c r="Y95" s="156">
        <v>412.98898657457698</v>
      </c>
      <c r="Z95" s="156">
        <v>630.17475379930249</v>
      </c>
      <c r="AA95" s="156">
        <v>924.27654028796826</v>
      </c>
      <c r="AB95" s="156">
        <v>1624.003864890791</v>
      </c>
      <c r="AC95" s="156">
        <v>1679.4322252610045</v>
      </c>
      <c r="AD95" s="12"/>
      <c r="AE95" s="12"/>
      <c r="AF95" s="12"/>
      <c r="AG95" s="12"/>
      <c r="AH95" s="12"/>
    </row>
    <row r="96" spans="1:34" x14ac:dyDescent="0.2">
      <c r="A96" s="188" t="s">
        <v>105</v>
      </c>
      <c r="B96" s="156">
        <v>538.24817023238938</v>
      </c>
      <c r="C96" s="156">
        <v>2929.7238657532516</v>
      </c>
      <c r="D96" s="156">
        <v>2929.7238657532516</v>
      </c>
      <c r="E96" s="156">
        <v>3015.0423355485573</v>
      </c>
      <c r="F96" s="156">
        <v>4400.5663923921211</v>
      </c>
      <c r="G96" s="156">
        <v>9862.7008161638278</v>
      </c>
      <c r="H96" s="156">
        <v>6440.0996155278153</v>
      </c>
      <c r="I96" s="156">
        <v>4108.7344197598086</v>
      </c>
      <c r="J96" s="156">
        <v>5190.6455185564701</v>
      </c>
      <c r="K96" s="156">
        <v>8508.5079572896339</v>
      </c>
      <c r="L96" s="156">
        <v>16584.092738614148</v>
      </c>
      <c r="M96" s="156">
        <v>6705.4982001373892</v>
      </c>
      <c r="N96" s="156">
        <v>7303.2746776835775</v>
      </c>
      <c r="O96" s="189">
        <v>5.0723719211331675</v>
      </c>
      <c r="P96" s="156">
        <v>708.98809963293684</v>
      </c>
      <c r="Q96" s="156">
        <v>482.58939325608668</v>
      </c>
      <c r="R96" s="156">
        <v>766.21871722134017</v>
      </c>
      <c r="S96" s="156">
        <v>1116.4631816782523</v>
      </c>
      <c r="T96" s="156">
        <v>1914.8360394941569</v>
      </c>
      <c r="U96" s="156">
        <v>2067.3433860663758</v>
      </c>
      <c r="V96" s="156">
        <v>3003.993936299285</v>
      </c>
      <c r="W96" s="190">
        <v>2.6844056332194994</v>
      </c>
      <c r="X96" s="156">
        <v>660.69323840205982</v>
      </c>
      <c r="Y96" s="156">
        <v>462.68383241004273</v>
      </c>
      <c r="Z96" s="156">
        <v>743.76431537595636</v>
      </c>
      <c r="AA96" s="156">
        <v>1083.9108717142501</v>
      </c>
      <c r="AB96" s="156">
        <v>1896.5043159027932</v>
      </c>
      <c r="AC96" s="156">
        <v>1954.1578325386772</v>
      </c>
      <c r="AD96" s="12"/>
      <c r="AE96" s="12"/>
      <c r="AF96" s="12"/>
      <c r="AG96" s="12"/>
      <c r="AH96" s="12"/>
    </row>
    <row r="97" spans="1:34" x14ac:dyDescent="0.2">
      <c r="A97" s="188" t="s">
        <v>106</v>
      </c>
      <c r="B97" s="156">
        <v>15612.160871110276</v>
      </c>
      <c r="C97" s="156">
        <v>4297.1887004287728</v>
      </c>
      <c r="D97" s="156">
        <v>11978.043391577106</v>
      </c>
      <c r="E97" s="156">
        <v>4700.6636813649329</v>
      </c>
      <c r="F97" s="156">
        <v>4297.1887004287728</v>
      </c>
      <c r="G97" s="156">
        <v>9689.6415587326337</v>
      </c>
      <c r="H97" s="156">
        <v>5739.2906232486821</v>
      </c>
      <c r="I97" s="156">
        <v>5370.4972162308723</v>
      </c>
      <c r="J97" s="156">
        <v>4586.3317092829921</v>
      </c>
      <c r="K97" s="156">
        <v>7301.7219164966473</v>
      </c>
      <c r="L97" s="156">
        <v>13268.355472661384</v>
      </c>
      <c r="M97" s="156">
        <v>0</v>
      </c>
      <c r="N97" s="156">
        <v>0</v>
      </c>
      <c r="O97" s="189">
        <v>22.951606080327874</v>
      </c>
      <c r="P97" s="156">
        <v>690.6249569815526</v>
      </c>
      <c r="Q97" s="156">
        <v>475.96249426376966</v>
      </c>
      <c r="R97" s="156">
        <v>678.78215792719072</v>
      </c>
      <c r="S97" s="156">
        <v>961.31851120843532</v>
      </c>
      <c r="T97" s="156">
        <v>1569.9426507308794</v>
      </c>
      <c r="U97" s="156">
        <v>0</v>
      </c>
      <c r="V97" s="156">
        <v>2136.6178474739295</v>
      </c>
      <c r="W97" s="190">
        <v>2.4555496280690532</v>
      </c>
      <c r="X97" s="156">
        <v>508.25854965529538</v>
      </c>
      <c r="Y97" s="156">
        <v>371.202142565239</v>
      </c>
      <c r="Z97" s="156">
        <v>572.92331175730988</v>
      </c>
      <c r="AA97" s="156">
        <v>839.43678865740469</v>
      </c>
      <c r="AB97" s="156">
        <v>1473.7336065018637</v>
      </c>
      <c r="AC97" s="156">
        <v>1525.6185662756466</v>
      </c>
      <c r="AD97" s="12"/>
      <c r="AE97" s="12"/>
      <c r="AF97" s="12"/>
      <c r="AG97" s="12"/>
      <c r="AH97" s="12"/>
    </row>
    <row r="98" spans="1:34" x14ac:dyDescent="0.2">
      <c r="A98" s="188" t="s">
        <v>107</v>
      </c>
      <c r="B98" s="156">
        <v>1898.9865052287341</v>
      </c>
      <c r="C98" s="156">
        <v>4487.4608987186202</v>
      </c>
      <c r="D98" s="156">
        <v>16374.961541966226</v>
      </c>
      <c r="E98" s="156">
        <v>4487.4608987186202</v>
      </c>
      <c r="F98" s="156">
        <v>5007.690614135262</v>
      </c>
      <c r="G98" s="156">
        <v>11254.181526161674</v>
      </c>
      <c r="H98" s="156">
        <v>6737.5780656570387</v>
      </c>
      <c r="I98" s="156">
        <v>5288.4655108174866</v>
      </c>
      <c r="J98" s="156">
        <v>5569.7456672947019</v>
      </c>
      <c r="K98" s="156">
        <v>8788.1980983642679</v>
      </c>
      <c r="L98" s="156">
        <v>16756.299476482407</v>
      </c>
      <c r="M98" s="156">
        <v>0</v>
      </c>
      <c r="N98" s="156">
        <v>0</v>
      </c>
      <c r="O98" s="189">
        <v>31.773672995233817</v>
      </c>
      <c r="P98" s="156">
        <v>816.83253375836318</v>
      </c>
      <c r="Q98" s="156">
        <v>566.47889280954496</v>
      </c>
      <c r="R98" s="156">
        <v>843.82192179229344</v>
      </c>
      <c r="S98" s="156">
        <v>1212.6507557947523</v>
      </c>
      <c r="T98" s="156">
        <v>2036.3859793642314</v>
      </c>
      <c r="U98" s="156">
        <v>0</v>
      </c>
      <c r="V98" s="156">
        <v>2887.8441425144838</v>
      </c>
      <c r="W98" s="190">
        <v>3.0345427400696887</v>
      </c>
      <c r="X98" s="156">
        <v>678.66883872421192</v>
      </c>
      <c r="Y98" s="156">
        <v>492.37739111803711</v>
      </c>
      <c r="Z98" s="156">
        <v>765.97572060599464</v>
      </c>
      <c r="AA98" s="156">
        <v>1121.2605486906471</v>
      </c>
      <c r="AB98" s="156">
        <v>1967.2656365374082</v>
      </c>
      <c r="AC98" s="156">
        <v>2032.39533888135</v>
      </c>
      <c r="AD98" s="12"/>
      <c r="AE98" s="12"/>
      <c r="AF98" s="12"/>
      <c r="AG98" s="12"/>
      <c r="AH98" s="12"/>
    </row>
    <row r="99" spans="1:34" x14ac:dyDescent="0.2">
      <c r="A99" s="188" t="s">
        <v>108</v>
      </c>
      <c r="B99" s="156">
        <v>6147.505595746863</v>
      </c>
      <c r="C99" s="156">
        <v>3679.5257299686773</v>
      </c>
      <c r="D99" s="156">
        <v>4419.4173417126067</v>
      </c>
      <c r="E99" s="156">
        <v>3679.5257299686773</v>
      </c>
      <c r="F99" s="156">
        <v>0</v>
      </c>
      <c r="G99" s="156">
        <v>0</v>
      </c>
      <c r="H99" s="156">
        <v>0</v>
      </c>
      <c r="I99" s="156">
        <v>0</v>
      </c>
      <c r="J99" s="156">
        <v>0</v>
      </c>
      <c r="K99" s="156">
        <v>0</v>
      </c>
      <c r="L99" s="156">
        <v>0</v>
      </c>
      <c r="M99" s="156">
        <v>0</v>
      </c>
      <c r="N99" s="156">
        <v>0</v>
      </c>
      <c r="O99" s="189">
        <v>7.9723008211903119</v>
      </c>
      <c r="P99" s="156">
        <v>0</v>
      </c>
      <c r="Q99" s="156">
        <v>0</v>
      </c>
      <c r="R99" s="156">
        <v>0</v>
      </c>
      <c r="S99" s="156">
        <v>0</v>
      </c>
      <c r="T99" s="156">
        <v>0</v>
      </c>
      <c r="U99" s="156">
        <v>0</v>
      </c>
      <c r="V99" s="156">
        <v>2951.4170395280817</v>
      </c>
      <c r="W99" s="190">
        <v>2.6152040808318184</v>
      </c>
      <c r="X99" s="156">
        <v>684.86457285836298</v>
      </c>
      <c r="Y99" s="156">
        <v>448.4138788972698</v>
      </c>
      <c r="Z99" s="156">
        <v>766.64978577005638</v>
      </c>
      <c r="AA99" s="156">
        <v>1118.4508580855249</v>
      </c>
      <c r="AB99" s="156">
        <v>1952.4274978395936</v>
      </c>
      <c r="AC99" s="156">
        <v>2048.1942419171505</v>
      </c>
      <c r="AD99" s="12"/>
      <c r="AE99" s="12"/>
      <c r="AF99" s="12"/>
      <c r="AG99" s="12"/>
      <c r="AH99" s="12"/>
    </row>
    <row r="100" spans="1:34" x14ac:dyDescent="0.2">
      <c r="A100" s="188" t="s">
        <v>109</v>
      </c>
      <c r="B100" s="156">
        <v>-13431.50392472258</v>
      </c>
      <c r="C100" s="156">
        <v>4048.8947518157051</v>
      </c>
      <c r="D100" s="156">
        <v>4943.4975717947555</v>
      </c>
      <c r="E100" s="156">
        <v>4048.8947518157051</v>
      </c>
      <c r="F100" s="156">
        <v>5195.178996530316</v>
      </c>
      <c r="G100" s="156">
        <v>10305.484159807125</v>
      </c>
      <c r="H100" s="156">
        <v>7079.5529867829055</v>
      </c>
      <c r="I100" s="156">
        <v>5346.4168776954566</v>
      </c>
      <c r="J100" s="156">
        <v>4391.7837555318129</v>
      </c>
      <c r="K100" s="156">
        <v>9220.6942156473397</v>
      </c>
      <c r="L100" s="156">
        <v>17580.526575922791</v>
      </c>
      <c r="M100" s="156">
        <v>7435.2960957122568</v>
      </c>
      <c r="N100" s="156">
        <v>9015.0032087458349</v>
      </c>
      <c r="O100" s="189">
        <v>8.9925076151987771</v>
      </c>
      <c r="P100" s="156">
        <v>850.1363911574847</v>
      </c>
      <c r="Q100" s="156">
        <v>521.48803373507337</v>
      </c>
      <c r="R100" s="156">
        <v>878.88512927031843</v>
      </c>
      <c r="S100" s="156">
        <v>1259.1998924798329</v>
      </c>
      <c r="T100" s="156">
        <v>2105.3051829192041</v>
      </c>
      <c r="U100" s="156">
        <v>2385.5715652710614</v>
      </c>
      <c r="V100" s="156">
        <v>3163.2922735775314</v>
      </c>
      <c r="W100" s="190">
        <v>2.6088027011918369</v>
      </c>
      <c r="X100" s="156">
        <v>719.44566769703295</v>
      </c>
      <c r="Y100" s="156">
        <v>456.80299892385051</v>
      </c>
      <c r="Z100" s="156">
        <v>803.82465877586435</v>
      </c>
      <c r="AA100" s="156">
        <v>1170.5191019939919</v>
      </c>
      <c r="AB100" s="156">
        <v>2039.7971046701714</v>
      </c>
      <c r="AC100" s="156">
        <v>2144.0184542720785</v>
      </c>
      <c r="AD100" s="12"/>
      <c r="AE100" s="12"/>
      <c r="AF100" s="12"/>
      <c r="AG100" s="12"/>
      <c r="AH100" s="12"/>
    </row>
    <row r="101" spans="1:34" x14ac:dyDescent="0.2">
      <c r="A101" s="188" t="s">
        <v>252</v>
      </c>
      <c r="B101" s="156">
        <v>-337.07029961870967</v>
      </c>
      <c r="C101" s="156">
        <v>3611.7667694057664</v>
      </c>
      <c r="D101" s="156">
        <v>5629.3532212023247</v>
      </c>
      <c r="E101" s="156">
        <v>3611.7667694057664</v>
      </c>
      <c r="F101" s="156">
        <v>4644.6554404201343</v>
      </c>
      <c r="G101" s="156">
        <v>10604.213693373904</v>
      </c>
      <c r="H101" s="156">
        <v>6269.0737779844449</v>
      </c>
      <c r="I101" s="156">
        <v>5769.9463616921003</v>
      </c>
      <c r="J101" s="156">
        <v>4873.6790974264222</v>
      </c>
      <c r="K101" s="156">
        <v>8009.7989560236338</v>
      </c>
      <c r="L101" s="156">
        <v>14762.00070045258</v>
      </c>
      <c r="M101" s="156">
        <v>6341.8802057608491</v>
      </c>
      <c r="N101" s="156">
        <v>7873.9278701088915</v>
      </c>
      <c r="O101" s="189">
        <v>10.327636385702126</v>
      </c>
      <c r="P101" s="156">
        <v>752.34602263791294</v>
      </c>
      <c r="Q101" s="156">
        <v>518.40176678854311</v>
      </c>
      <c r="R101" s="156">
        <v>750.49552544800258</v>
      </c>
      <c r="S101" s="156">
        <v>1060.6906590203471</v>
      </c>
      <c r="T101" s="156">
        <v>1739.4391861813654</v>
      </c>
      <c r="U101" s="156">
        <v>1969.637416045364</v>
      </c>
      <c r="V101" s="156">
        <v>2440.3939708690523</v>
      </c>
      <c r="W101" s="190">
        <v>2.2165779423180529</v>
      </c>
      <c r="X101" s="156">
        <v>566.77451989755082</v>
      </c>
      <c r="Y101" s="156">
        <v>406.31972969449271</v>
      </c>
      <c r="Z101" s="156">
        <v>638.45783818300151</v>
      </c>
      <c r="AA101" s="156">
        <v>933.79089394470691</v>
      </c>
      <c r="AB101" s="156">
        <v>1637.2121806765333</v>
      </c>
      <c r="AC101" s="156">
        <v>1693.9533730151741</v>
      </c>
      <c r="AD101" s="12"/>
      <c r="AE101" s="12"/>
      <c r="AF101" s="12"/>
      <c r="AG101" s="12"/>
      <c r="AH101" s="12"/>
    </row>
    <row r="102" spans="1:34" x14ac:dyDescent="0.2">
      <c r="A102" s="188" t="s">
        <v>110</v>
      </c>
      <c r="B102" s="156">
        <v>19881.97287744646</v>
      </c>
      <c r="C102" s="156">
        <v>2390.4822941555876</v>
      </c>
      <c r="D102" s="156">
        <v>2586.4751506394882</v>
      </c>
      <c r="E102" s="156">
        <v>2390.4822941555876</v>
      </c>
      <c r="F102" s="156">
        <v>3719.6777694819484</v>
      </c>
      <c r="G102" s="156">
        <v>8066.9866165825215</v>
      </c>
      <c r="H102" s="156">
        <v>5335.4981307056651</v>
      </c>
      <c r="I102" s="156">
        <v>3521.0780076390115</v>
      </c>
      <c r="J102" s="156">
        <v>4251.4415898645775</v>
      </c>
      <c r="K102" s="156">
        <v>6942.6741612978549</v>
      </c>
      <c r="L102" s="156">
        <v>13132.64326853394</v>
      </c>
      <c r="M102" s="156">
        <v>5643.3366186465046</v>
      </c>
      <c r="N102" s="156">
        <v>6758.3338860213735</v>
      </c>
      <c r="O102" s="189">
        <v>4.4041828708825079</v>
      </c>
      <c r="P102" s="156">
        <v>588.04077845810355</v>
      </c>
      <c r="Q102" s="156">
        <v>403.54258486496389</v>
      </c>
      <c r="R102" s="156">
        <v>624.03003630978822</v>
      </c>
      <c r="S102" s="156">
        <v>908.83409436864326</v>
      </c>
      <c r="T102" s="156">
        <v>1545.0699017731479</v>
      </c>
      <c r="U102" s="156">
        <v>1708.8259041964004</v>
      </c>
      <c r="V102" s="156">
        <v>2259.2765074384984</v>
      </c>
      <c r="W102" s="190">
        <v>3.1986040905668061</v>
      </c>
      <c r="X102" s="156">
        <v>525.73730498355371</v>
      </c>
      <c r="Y102" s="156">
        <v>377.31312960402255</v>
      </c>
      <c r="Z102" s="156">
        <v>591.95706203868497</v>
      </c>
      <c r="AA102" s="156">
        <v>865.92154289211885</v>
      </c>
      <c r="AB102" s="156">
        <v>1518.3984683838466</v>
      </c>
      <c r="AC102" s="156">
        <v>1571.887510695768</v>
      </c>
      <c r="AD102" s="12"/>
      <c r="AE102" s="12"/>
      <c r="AF102" s="12"/>
      <c r="AG102" s="12"/>
      <c r="AH102" s="12"/>
    </row>
    <row r="103" spans="1:34" x14ac:dyDescent="0.2">
      <c r="A103" s="188" t="s">
        <v>111</v>
      </c>
      <c r="B103" s="156">
        <v>2297.7230098586292</v>
      </c>
      <c r="C103" s="156">
        <v>3046.8639100203955</v>
      </c>
      <c r="D103" s="156">
        <v>3664.8971983920642</v>
      </c>
      <c r="E103" s="156">
        <v>3046.8639100203955</v>
      </c>
      <c r="F103" s="156">
        <v>4072.0135679953196</v>
      </c>
      <c r="G103" s="156">
        <v>8300.2311898191856</v>
      </c>
      <c r="H103" s="156">
        <v>5621.9002464753512</v>
      </c>
      <c r="I103" s="156">
        <v>4605.1422650532804</v>
      </c>
      <c r="J103" s="156">
        <v>3549.7858812333275</v>
      </c>
      <c r="K103" s="156">
        <v>7188.6094719505318</v>
      </c>
      <c r="L103" s="156">
        <v>13222.669045740593</v>
      </c>
      <c r="M103" s="156">
        <v>5835.5384645819631</v>
      </c>
      <c r="N103" s="156">
        <v>7337.2210242477358</v>
      </c>
      <c r="O103" s="189">
        <v>6.5035055256471104</v>
      </c>
      <c r="P103" s="156">
        <v>650.62674266771558</v>
      </c>
      <c r="Q103" s="156">
        <v>414.92641508784601</v>
      </c>
      <c r="R103" s="156">
        <v>662.10537932338616</v>
      </c>
      <c r="S103" s="156">
        <v>944.09562280949206</v>
      </c>
      <c r="T103" s="156">
        <v>1559.9080732054674</v>
      </c>
      <c r="U103" s="156">
        <v>1781.9545608644796</v>
      </c>
      <c r="V103" s="156">
        <v>2241.5412239329521</v>
      </c>
      <c r="W103" s="190">
        <v>1.8783342958777625</v>
      </c>
      <c r="X103" s="156">
        <v>523.79117341819654</v>
      </c>
      <c r="Y103" s="156">
        <v>342.35612360356646</v>
      </c>
      <c r="Z103" s="156">
        <v>585.30413873794089</v>
      </c>
      <c r="AA103" s="156">
        <v>854.25319006851134</v>
      </c>
      <c r="AB103" s="156">
        <v>1491.4328778146332</v>
      </c>
      <c r="AC103" s="156">
        <v>1568.7956216783712</v>
      </c>
      <c r="AD103" s="12"/>
      <c r="AE103" s="12"/>
      <c r="AF103" s="12"/>
      <c r="AG103" s="12"/>
      <c r="AH103" s="12"/>
    </row>
    <row r="104" spans="1:34" x14ac:dyDescent="0.2">
      <c r="A104" s="188" t="s">
        <v>112</v>
      </c>
      <c r="B104" s="156">
        <v>-7059.1566766545748</v>
      </c>
      <c r="C104" s="156">
        <v>3698.9116314069115</v>
      </c>
      <c r="D104" s="156">
        <v>5511.6726180333253</v>
      </c>
      <c r="E104" s="156">
        <v>3698.9116314069115</v>
      </c>
      <c r="F104" s="156">
        <v>4874.0540073261545</v>
      </c>
      <c r="G104" s="156">
        <v>10973.555803767593</v>
      </c>
      <c r="H104" s="156">
        <v>6533.569837433045</v>
      </c>
      <c r="I104" s="156">
        <v>5296.4848505717637</v>
      </c>
      <c r="J104" s="156">
        <v>5367.3221108105345</v>
      </c>
      <c r="K104" s="156">
        <v>8465.3450484093119</v>
      </c>
      <c r="L104" s="156">
        <v>15941.386228755748</v>
      </c>
      <c r="M104" s="156">
        <v>6799.1698015883403</v>
      </c>
      <c r="N104" s="156">
        <v>8641.6925365131938</v>
      </c>
      <c r="O104" s="189">
        <v>10.098552089091262</v>
      </c>
      <c r="P104" s="156">
        <v>793.0944522856928</v>
      </c>
      <c r="Q104" s="156">
        <v>552.29848485912385</v>
      </c>
      <c r="R104" s="156">
        <v>815.0878390566952</v>
      </c>
      <c r="S104" s="156">
        <v>1165.3099016884669</v>
      </c>
      <c r="T104" s="156">
        <v>1941.4313857452662</v>
      </c>
      <c r="U104" s="156">
        <v>2182.5816932316338</v>
      </c>
      <c r="V104" s="156">
        <v>2691.0507424124366</v>
      </c>
      <c r="W104" s="190">
        <v>2.4092810200858708</v>
      </c>
      <c r="X104" s="156">
        <v>640.27774776750107</v>
      </c>
      <c r="Y104" s="156">
        <v>468.92557366673435</v>
      </c>
      <c r="Z104" s="156">
        <v>722.93345563878961</v>
      </c>
      <c r="AA104" s="156">
        <v>1059.2135227865281</v>
      </c>
      <c r="AB104" s="156">
        <v>1859.6524132969851</v>
      </c>
      <c r="AC104" s="156">
        <v>1921.649318969374</v>
      </c>
      <c r="AD104" s="12"/>
      <c r="AE104" s="12"/>
      <c r="AF104" s="12"/>
      <c r="AG104" s="12"/>
      <c r="AH104" s="12"/>
    </row>
    <row r="105" spans="1:34" x14ac:dyDescent="0.2">
      <c r="A105" s="188" t="s">
        <v>113</v>
      </c>
      <c r="B105" s="156">
        <v>249.43218179838334</v>
      </c>
      <c r="C105" s="156">
        <v>4020.2186730562871</v>
      </c>
      <c r="D105" s="156">
        <v>13138.865356140217</v>
      </c>
      <c r="E105" s="156">
        <v>4569.0794319682545</v>
      </c>
      <c r="F105" s="156">
        <v>5015.0167103321292</v>
      </c>
      <c r="G105" s="156">
        <v>9917.9080037880976</v>
      </c>
      <c r="H105" s="156">
        <v>7017.231262482388</v>
      </c>
      <c r="I105" s="156">
        <v>5343.0142558179959</v>
      </c>
      <c r="J105" s="156">
        <v>4020.2186730562871</v>
      </c>
      <c r="K105" s="156">
        <v>9128.1593244671767</v>
      </c>
      <c r="L105" s="156">
        <v>17434.709693652563</v>
      </c>
      <c r="M105" s="156">
        <v>7272.4339575058211</v>
      </c>
      <c r="N105" s="156">
        <v>8389.883982885267</v>
      </c>
      <c r="O105" s="189">
        <v>25.280703119980984</v>
      </c>
      <c r="P105" s="156">
        <v>818.13387979333299</v>
      </c>
      <c r="Q105" s="156">
        <v>491.29192176307811</v>
      </c>
      <c r="R105" s="156">
        <v>847.61673770083382</v>
      </c>
      <c r="S105" s="156">
        <v>1213.196312597968</v>
      </c>
      <c r="T105" s="156">
        <v>2031.3634066620828</v>
      </c>
      <c r="U105" s="156">
        <v>2283.1949962614876</v>
      </c>
      <c r="V105" s="156">
        <v>3184.9522619026884</v>
      </c>
      <c r="W105" s="190">
        <v>2.5031723718720564</v>
      </c>
      <c r="X105" s="156">
        <v>701.30600129519769</v>
      </c>
      <c r="Y105" s="156">
        <v>426.93344863179385</v>
      </c>
      <c r="Z105" s="156">
        <v>781.24369416602133</v>
      </c>
      <c r="AA105" s="156">
        <v>1134.4733814010974</v>
      </c>
      <c r="AB105" s="156">
        <v>1972.2744535575541</v>
      </c>
      <c r="AC105" s="156">
        <v>2077.5621769882705</v>
      </c>
      <c r="AD105" s="12"/>
      <c r="AE105" s="12"/>
      <c r="AF105" s="12"/>
      <c r="AG105" s="12"/>
      <c r="AH105" s="12"/>
    </row>
    <row r="106" spans="1:34" x14ac:dyDescent="0.2">
      <c r="A106" s="188" t="s">
        <v>114</v>
      </c>
      <c r="B106" s="156">
        <v>2557.996765896542</v>
      </c>
      <c r="C106" s="156">
        <v>6394.3873434559928</v>
      </c>
      <c r="D106" s="156">
        <v>19869.032115498649</v>
      </c>
      <c r="E106" s="156">
        <v>6394.3873434559928</v>
      </c>
      <c r="F106" s="156">
        <v>0</v>
      </c>
      <c r="G106" s="156">
        <v>0</v>
      </c>
      <c r="H106" s="156">
        <v>0</v>
      </c>
      <c r="I106" s="156">
        <v>0</v>
      </c>
      <c r="J106" s="156">
        <v>0</v>
      </c>
      <c r="K106" s="156">
        <v>0</v>
      </c>
      <c r="L106" s="156">
        <v>0</v>
      </c>
      <c r="M106" s="156">
        <v>0</v>
      </c>
      <c r="N106" s="156">
        <v>0</v>
      </c>
      <c r="O106" s="189">
        <v>38.784247982257128</v>
      </c>
      <c r="P106" s="156">
        <v>0</v>
      </c>
      <c r="Q106" s="156">
        <v>0</v>
      </c>
      <c r="R106" s="156">
        <v>0</v>
      </c>
      <c r="S106" s="156">
        <v>0</v>
      </c>
      <c r="T106" s="156">
        <v>0</v>
      </c>
      <c r="U106" s="156">
        <v>0</v>
      </c>
      <c r="V106" s="156">
        <v>4094.750059076815</v>
      </c>
      <c r="W106" s="190">
        <v>3.306362126179839</v>
      </c>
      <c r="X106" s="156">
        <v>916.16777358040622</v>
      </c>
      <c r="Y106" s="156">
        <v>570.10261480361089</v>
      </c>
      <c r="Z106" s="156">
        <v>1023.297239226035</v>
      </c>
      <c r="AA106" s="156">
        <v>1487.9544163361929</v>
      </c>
      <c r="AB106" s="156">
        <v>2589.7827665507539</v>
      </c>
      <c r="AC106" s="156">
        <v>2721.8252729480946</v>
      </c>
      <c r="AD106" s="12"/>
      <c r="AE106" s="12"/>
      <c r="AF106" s="12"/>
      <c r="AG106" s="12"/>
      <c r="AH106" s="12"/>
    </row>
    <row r="107" spans="1:34" x14ac:dyDescent="0.2">
      <c r="A107" s="188" t="s">
        <v>115</v>
      </c>
      <c r="B107" s="156">
        <v>18718.529929955526</v>
      </c>
      <c r="C107" s="156">
        <v>4854.4563683426004</v>
      </c>
      <c r="D107" s="156">
        <v>17615.148696962635</v>
      </c>
      <c r="E107" s="156">
        <v>4854.4563683426004</v>
      </c>
      <c r="F107" s="156">
        <v>5228.6914288399439</v>
      </c>
      <c r="G107" s="156">
        <v>11655.219260808557</v>
      </c>
      <c r="H107" s="156">
        <v>6892.1662792578472</v>
      </c>
      <c r="I107" s="156">
        <v>5544.9918427959255</v>
      </c>
      <c r="J107" s="156">
        <v>5810.1608031488886</v>
      </c>
      <c r="K107" s="156">
        <v>8954.323609092653</v>
      </c>
      <c r="L107" s="156">
        <v>16949.36548029909</v>
      </c>
      <c r="M107" s="156">
        <v>0</v>
      </c>
      <c r="N107" s="156">
        <v>0</v>
      </c>
      <c r="O107" s="189">
        <v>34.262009983589373</v>
      </c>
      <c r="P107" s="156">
        <v>856.08925742301062</v>
      </c>
      <c r="Q107" s="156">
        <v>590.42861209743285</v>
      </c>
      <c r="R107" s="156">
        <v>874.43668398456077</v>
      </c>
      <c r="S107" s="156">
        <v>1250.9469532308551</v>
      </c>
      <c r="T107" s="156">
        <v>2085.4196809353057</v>
      </c>
      <c r="U107" s="156">
        <v>0</v>
      </c>
      <c r="V107" s="156">
        <v>2877.5025117259379</v>
      </c>
      <c r="W107" s="190">
        <v>3.2465597292337911</v>
      </c>
      <c r="X107" s="156">
        <v>687.57046363730683</v>
      </c>
      <c r="Y107" s="156">
        <v>505.36084979530494</v>
      </c>
      <c r="Z107" s="156">
        <v>776.83936938593752</v>
      </c>
      <c r="AA107" s="156">
        <v>1138.5196337540654</v>
      </c>
      <c r="AB107" s="156">
        <v>1999.3149372817684</v>
      </c>
      <c r="AC107" s="156">
        <v>2065.0484744890346</v>
      </c>
      <c r="AD107" s="12"/>
      <c r="AE107" s="12"/>
      <c r="AF107" s="12"/>
      <c r="AG107" s="12"/>
      <c r="AH107" s="12"/>
    </row>
    <row r="108" spans="1:34" x14ac:dyDescent="0.2">
      <c r="A108" s="188" t="s">
        <v>116</v>
      </c>
      <c r="B108" s="156">
        <v>-4373.8210377041141</v>
      </c>
      <c r="C108" s="156">
        <v>4150.2201472241632</v>
      </c>
      <c r="D108" s="156">
        <v>8101.8420040853307</v>
      </c>
      <c r="E108" s="156">
        <v>4150.2201472241632</v>
      </c>
      <c r="F108" s="156">
        <v>4712.9473826077301</v>
      </c>
      <c r="G108" s="156">
        <v>10718.241423471818</v>
      </c>
      <c r="H108" s="156">
        <v>6307.264733232184</v>
      </c>
      <c r="I108" s="156">
        <v>5612.0388976290105</v>
      </c>
      <c r="J108" s="156">
        <v>5039.6171565998384</v>
      </c>
      <c r="K108" s="156">
        <v>8091.1237869115921</v>
      </c>
      <c r="L108" s="156">
        <v>14992.798179318581</v>
      </c>
      <c r="M108" s="156">
        <v>6455.9219438459986</v>
      </c>
      <c r="N108" s="156">
        <v>8198.9815023257397</v>
      </c>
      <c r="O108" s="189">
        <v>15.174315977013716</v>
      </c>
      <c r="P108" s="156">
        <v>764.47682815807798</v>
      </c>
      <c r="Q108" s="156">
        <v>531.15488749902079</v>
      </c>
      <c r="R108" s="156">
        <v>768.84257555725935</v>
      </c>
      <c r="S108" s="156">
        <v>1091.0431276750246</v>
      </c>
      <c r="T108" s="156">
        <v>1797.7620070332021</v>
      </c>
      <c r="U108" s="156">
        <v>2035.0704657904162</v>
      </c>
      <c r="V108" s="156">
        <v>2480.6761638174635</v>
      </c>
      <c r="W108" s="190">
        <v>2.3996306862104064</v>
      </c>
      <c r="X108" s="156">
        <v>586.62414147406048</v>
      </c>
      <c r="Y108" s="156">
        <v>427.0749243465803</v>
      </c>
      <c r="Z108" s="156">
        <v>661.72218987560052</v>
      </c>
      <c r="AA108" s="156">
        <v>969.10535784572619</v>
      </c>
      <c r="AB108" s="156">
        <v>1700.8536853300548</v>
      </c>
      <c r="AC108" s="156">
        <v>1758.849628522531</v>
      </c>
      <c r="AD108" s="12"/>
      <c r="AE108" s="12"/>
      <c r="AF108" s="12"/>
      <c r="AG108" s="12"/>
      <c r="AH108" s="12"/>
    </row>
    <row r="109" spans="1:34" x14ac:dyDescent="0.2">
      <c r="A109" s="188" t="s">
        <v>258</v>
      </c>
      <c r="B109" s="156">
        <v>950.34776791028253</v>
      </c>
      <c r="C109" s="156">
        <v>2530.5606185880961</v>
      </c>
      <c r="D109" s="156">
        <v>2905.3773840992621</v>
      </c>
      <c r="E109" s="156">
        <v>2530.5606185880961</v>
      </c>
      <c r="F109" s="156">
        <v>3803.6262623119974</v>
      </c>
      <c r="G109" s="156">
        <v>8332.6899903740887</v>
      </c>
      <c r="H109" s="156">
        <v>5376.7920420723613</v>
      </c>
      <c r="I109" s="156">
        <v>3655.5243420742595</v>
      </c>
      <c r="J109" s="156">
        <v>4348.6758643340545</v>
      </c>
      <c r="K109" s="156">
        <v>7017.8223895869005</v>
      </c>
      <c r="L109" s="156">
        <v>13285.319994255258</v>
      </c>
      <c r="M109" s="156">
        <v>5710.3074430842889</v>
      </c>
      <c r="N109" s="156">
        <v>7006.6312535185707</v>
      </c>
      <c r="O109" s="189">
        <v>5.0249775632316886</v>
      </c>
      <c r="P109" s="156">
        <v>602.95268178975698</v>
      </c>
      <c r="Q109" s="156">
        <v>419.87342320300604</v>
      </c>
      <c r="R109" s="156">
        <v>638.83419966705162</v>
      </c>
      <c r="S109" s="156">
        <v>930.88000796793972</v>
      </c>
      <c r="T109" s="156">
        <v>1582.400666105354</v>
      </c>
      <c r="U109" s="156">
        <v>1749.1115383436452</v>
      </c>
      <c r="V109" s="156">
        <v>2274.9064465428173</v>
      </c>
      <c r="W109" s="190">
        <v>2.0162384852324275</v>
      </c>
      <c r="X109" s="156">
        <v>536.50289966188325</v>
      </c>
      <c r="Y109" s="156">
        <v>389.24914808330249</v>
      </c>
      <c r="Z109" s="156">
        <v>604.65517598022643</v>
      </c>
      <c r="AA109" s="156">
        <v>885.3579663974192</v>
      </c>
      <c r="AB109" s="156">
        <v>1553.6090844583496</v>
      </c>
      <c r="AC109" s="156">
        <v>1607.8711089669684</v>
      </c>
      <c r="AD109" s="12"/>
      <c r="AE109" s="12"/>
      <c r="AF109" s="12"/>
      <c r="AG109" s="12"/>
      <c r="AH109" s="12"/>
    </row>
    <row r="110" spans="1:34" x14ac:dyDescent="0.2">
      <c r="A110" s="188" t="s">
        <v>117</v>
      </c>
      <c r="B110" s="156">
        <v>85.902839270719198</v>
      </c>
      <c r="C110" s="156">
        <v>3091.4166496847029</v>
      </c>
      <c r="D110" s="156">
        <v>9731.120667735222</v>
      </c>
      <c r="E110" s="156">
        <v>3091.4166496847029</v>
      </c>
      <c r="F110" s="156">
        <v>3731.7232234905182</v>
      </c>
      <c r="G110" s="156">
        <v>8277.976410990248</v>
      </c>
      <c r="H110" s="156">
        <v>5245.2404131830854</v>
      </c>
      <c r="I110" s="156">
        <v>3927.3280444296452</v>
      </c>
      <c r="J110" s="156">
        <v>4196.9150506952574</v>
      </c>
      <c r="K110" s="156">
        <v>6792.884507411738</v>
      </c>
      <c r="L110" s="156">
        <v>12679.694994042069</v>
      </c>
      <c r="M110" s="156">
        <v>5509.0490316300002</v>
      </c>
      <c r="N110" s="156">
        <v>6825.3553072394252</v>
      </c>
      <c r="O110" s="189">
        <v>18.443334162507082</v>
      </c>
      <c r="P110" s="156">
        <v>590.18043147278377</v>
      </c>
      <c r="Q110" s="156">
        <v>413.01483690195903</v>
      </c>
      <c r="R110" s="156">
        <v>614.51441936633876</v>
      </c>
      <c r="S110" s="156">
        <v>890.23957987084293</v>
      </c>
      <c r="T110" s="156">
        <v>1499.262664444854</v>
      </c>
      <c r="U110" s="156">
        <v>1668.2647027184883</v>
      </c>
      <c r="V110" s="156">
        <v>2127.5211773705332</v>
      </c>
      <c r="W110" s="190">
        <v>1.8396150843537327</v>
      </c>
      <c r="X110" s="156">
        <v>503.1670319514451</v>
      </c>
      <c r="Y110" s="156">
        <v>366.04681408626277</v>
      </c>
      <c r="Z110" s="156">
        <v>566.96038628182191</v>
      </c>
      <c r="AA110" s="156">
        <v>830.37058206244342</v>
      </c>
      <c r="AB110" s="156">
        <v>1457.4178157484835</v>
      </c>
      <c r="AC110" s="156">
        <v>1508.7756183034169</v>
      </c>
      <c r="AD110" s="12"/>
      <c r="AE110" s="12"/>
      <c r="AF110" s="12"/>
      <c r="AG110" s="12"/>
      <c r="AH110" s="12"/>
    </row>
    <row r="111" spans="1:34" x14ac:dyDescent="0.2">
      <c r="A111" s="188" t="s">
        <v>118</v>
      </c>
      <c r="B111" s="156">
        <v>-105.93466134438552</v>
      </c>
      <c r="C111" s="156">
        <v>3212.5948147982649</v>
      </c>
      <c r="D111" s="156">
        <v>3466.4887993132165</v>
      </c>
      <c r="E111" s="156">
        <v>3212.5948147982649</v>
      </c>
      <c r="F111" s="156">
        <v>4380.4886035830514</v>
      </c>
      <c r="G111" s="156">
        <v>8881.6757190337285</v>
      </c>
      <c r="H111" s="156">
        <v>6075.1824426735602</v>
      </c>
      <c r="I111" s="156">
        <v>4989.2143538799301</v>
      </c>
      <c r="J111" s="156">
        <v>3666.3100695447415</v>
      </c>
      <c r="K111" s="156">
        <v>7788.1365734672536</v>
      </c>
      <c r="L111" s="156">
        <v>14459.322727406226</v>
      </c>
      <c r="M111" s="156">
        <v>6259.7853455207196</v>
      </c>
      <c r="N111" s="156">
        <v>7620.7009424043727</v>
      </c>
      <c r="O111" s="189">
        <v>6.1172715387309182</v>
      </c>
      <c r="P111" s="156">
        <v>705.42165030500996</v>
      </c>
      <c r="Q111" s="156">
        <v>440.08731479778191</v>
      </c>
      <c r="R111" s="156">
        <v>718.71017853600358</v>
      </c>
      <c r="S111" s="156">
        <v>1022.2403093359804</v>
      </c>
      <c r="T111" s="156">
        <v>1690.0913531547358</v>
      </c>
      <c r="U111" s="156">
        <v>1923.7310420641302</v>
      </c>
      <c r="V111" s="156">
        <v>2508.7824732065937</v>
      </c>
      <c r="W111" s="190">
        <v>2.0275317117193983</v>
      </c>
      <c r="X111" s="156">
        <v>571.09952804149088</v>
      </c>
      <c r="Y111" s="156">
        <v>361.75179031409255</v>
      </c>
      <c r="Z111" s="156">
        <v>637.14235817782389</v>
      </c>
      <c r="AA111" s="156">
        <v>927.86604378168272</v>
      </c>
      <c r="AB111" s="156">
        <v>1616.9264376903416</v>
      </c>
      <c r="AC111" s="156">
        <v>1702.4617279792012</v>
      </c>
      <c r="AD111" s="12"/>
      <c r="AE111" s="12"/>
      <c r="AF111" s="12"/>
      <c r="AG111" s="12"/>
      <c r="AH111" s="12"/>
    </row>
    <row r="112" spans="1:34" x14ac:dyDescent="0.2">
      <c r="A112" s="188" t="s">
        <v>261</v>
      </c>
      <c r="B112" s="156">
        <v>122595.92811662705</v>
      </c>
      <c r="C112" s="156">
        <v>3915.4782671985954</v>
      </c>
      <c r="D112" s="156">
        <v>5417.0361500789031</v>
      </c>
      <c r="E112" s="156">
        <v>3915.4782671985954</v>
      </c>
      <c r="F112" s="156">
        <v>5280.4387728593265</v>
      </c>
      <c r="G112" s="156">
        <v>11268.957428884481</v>
      </c>
      <c r="H112" s="156">
        <v>7163.3040582427002</v>
      </c>
      <c r="I112" s="156">
        <v>5351.2313604408855</v>
      </c>
      <c r="J112" s="156">
        <v>5809.955954056104</v>
      </c>
      <c r="K112" s="156">
        <v>9263.7305629405982</v>
      </c>
      <c r="L112" s="156">
        <v>17457.381373095246</v>
      </c>
      <c r="M112" s="156">
        <v>7460.6274539856659</v>
      </c>
      <c r="N112" s="156">
        <v>8813.7279428938764</v>
      </c>
      <c r="O112" s="189">
        <v>9.9143269227404343</v>
      </c>
      <c r="P112" s="156">
        <v>865.28121984750624</v>
      </c>
      <c r="Q112" s="156">
        <v>560.58694041052445</v>
      </c>
      <c r="R112" s="156">
        <v>885.26694889083842</v>
      </c>
      <c r="S112" s="156">
        <v>1258.081533744423</v>
      </c>
      <c r="T112" s="156">
        <v>2081.0869962630286</v>
      </c>
      <c r="U112" s="156">
        <v>2384.1249645627381</v>
      </c>
      <c r="V112" s="156">
        <v>3009.4491902612858</v>
      </c>
      <c r="W112" s="190">
        <v>3.5791764777715738</v>
      </c>
      <c r="X112" s="156">
        <v>689.19007222830589</v>
      </c>
      <c r="Y112" s="156">
        <v>488.80504460379603</v>
      </c>
      <c r="Z112" s="156">
        <v>776.58447789465299</v>
      </c>
      <c r="AA112" s="156">
        <v>1134.5624410753451</v>
      </c>
      <c r="AB112" s="156">
        <v>1987.60198972646</v>
      </c>
      <c r="AC112" s="156">
        <v>2054.3472287616482</v>
      </c>
      <c r="AD112" s="12"/>
      <c r="AE112" s="12"/>
      <c r="AF112" s="12"/>
      <c r="AG112" s="12"/>
      <c r="AH112" s="12"/>
    </row>
    <row r="113" spans="1:34" x14ac:dyDescent="0.2">
      <c r="A113" s="188" t="s">
        <v>119</v>
      </c>
      <c r="B113" s="156">
        <v>-914.67609454626495</v>
      </c>
      <c r="C113" s="156">
        <v>4767.0056307588447</v>
      </c>
      <c r="D113" s="156">
        <v>6140.3513936608624</v>
      </c>
      <c r="E113" s="156">
        <v>4767.0056307588447</v>
      </c>
      <c r="F113" s="156">
        <v>0</v>
      </c>
      <c r="G113" s="156">
        <v>0</v>
      </c>
      <c r="H113" s="156">
        <v>0</v>
      </c>
      <c r="I113" s="156">
        <v>0</v>
      </c>
      <c r="J113" s="156">
        <v>0</v>
      </c>
      <c r="K113" s="156">
        <v>0</v>
      </c>
      <c r="L113" s="156">
        <v>0</v>
      </c>
      <c r="M113" s="156">
        <v>0</v>
      </c>
      <c r="N113" s="156">
        <v>0</v>
      </c>
      <c r="O113" s="189">
        <v>11.322376842113528</v>
      </c>
      <c r="P113" s="156">
        <v>0</v>
      </c>
      <c r="Q113" s="156">
        <v>0</v>
      </c>
      <c r="R113" s="156">
        <v>0</v>
      </c>
      <c r="S113" s="156">
        <v>0</v>
      </c>
      <c r="T113" s="156">
        <v>0</v>
      </c>
      <c r="U113" s="156">
        <v>0</v>
      </c>
      <c r="V113" s="156">
        <v>3576.0406579846554</v>
      </c>
      <c r="W113" s="190">
        <v>2.8531989479668374</v>
      </c>
      <c r="X113" s="156">
        <v>795.07362574785679</v>
      </c>
      <c r="Y113" s="156">
        <v>490.40478078020067</v>
      </c>
      <c r="Z113" s="156">
        <v>886.98658122482709</v>
      </c>
      <c r="AA113" s="156">
        <v>1289.0740855572908</v>
      </c>
      <c r="AB113" s="156">
        <v>2242.6112740737153</v>
      </c>
      <c r="AC113" s="156">
        <v>2359.4434170035497</v>
      </c>
      <c r="AD113" s="12"/>
      <c r="AE113" s="12"/>
      <c r="AF113" s="12"/>
      <c r="AG113" s="12"/>
      <c r="AH113" s="12"/>
    </row>
    <row r="114" spans="1:34" x14ac:dyDescent="0.2">
      <c r="A114" s="188" t="s">
        <v>120</v>
      </c>
      <c r="B114" s="156">
        <v>13546.617550056981</v>
      </c>
      <c r="C114" s="156">
        <v>2898.9198793372639</v>
      </c>
      <c r="D114" s="156">
        <v>3324.157351738083</v>
      </c>
      <c r="E114" s="156">
        <v>2898.9198793372639</v>
      </c>
      <c r="F114" s="156">
        <v>4031.8702418516909</v>
      </c>
      <c r="G114" s="156">
        <v>8086.8405177971445</v>
      </c>
      <c r="H114" s="156">
        <v>5590.1906989857043</v>
      </c>
      <c r="I114" s="156">
        <v>4341.9061261121933</v>
      </c>
      <c r="J114" s="156">
        <v>3612.5829481248234</v>
      </c>
      <c r="K114" s="156">
        <v>7147.9406384130789</v>
      </c>
      <c r="L114" s="156">
        <v>13147.945289121122</v>
      </c>
      <c r="M114" s="156">
        <v>5838.2924321573446</v>
      </c>
      <c r="N114" s="156">
        <v>7271.625731576295</v>
      </c>
      <c r="O114" s="189">
        <v>5.8402003929743804</v>
      </c>
      <c r="P114" s="156">
        <v>643.4960202606236</v>
      </c>
      <c r="Q114" s="156">
        <v>405.5092516238156</v>
      </c>
      <c r="R114" s="156">
        <v>657.82950701233415</v>
      </c>
      <c r="S114" s="156">
        <v>938.26590211641837</v>
      </c>
      <c r="T114" s="156">
        <v>1550.929629796671</v>
      </c>
      <c r="U114" s="156">
        <v>1780.4846822614668</v>
      </c>
      <c r="V114" s="156">
        <v>2228.918761556854</v>
      </c>
      <c r="W114" s="190">
        <v>1.9352074779924808</v>
      </c>
      <c r="X114" s="156">
        <v>521.10159092887852</v>
      </c>
      <c r="Y114" s="156">
        <v>342.49805100516119</v>
      </c>
      <c r="Z114" s="156">
        <v>582.52215622568838</v>
      </c>
      <c r="AA114" s="156">
        <v>850.33760771218135</v>
      </c>
      <c r="AB114" s="156">
        <v>1484.9896943685001</v>
      </c>
      <c r="AC114" s="156">
        <v>1560.7990862204224</v>
      </c>
      <c r="AD114" s="12"/>
      <c r="AE114" s="12"/>
      <c r="AF114" s="12"/>
      <c r="AG114" s="12"/>
      <c r="AH114" s="12"/>
    </row>
    <row r="115" spans="1:34" x14ac:dyDescent="0.2">
      <c r="A115" s="188" t="s">
        <v>121</v>
      </c>
      <c r="B115" s="156">
        <v>-104.18146361989989</v>
      </c>
      <c r="C115" s="156">
        <v>3936.5958896083066</v>
      </c>
      <c r="D115" s="156">
        <v>4760.1313056586914</v>
      </c>
      <c r="E115" s="156">
        <v>3936.5958896083066</v>
      </c>
      <c r="F115" s="156">
        <v>4947.9855564890977</v>
      </c>
      <c r="G115" s="156">
        <v>9794.1977871809813</v>
      </c>
      <c r="H115" s="156">
        <v>6804.1861572719272</v>
      </c>
      <c r="I115" s="156">
        <v>4890.4481655764357</v>
      </c>
      <c r="J115" s="156">
        <v>4227.2764641341037</v>
      </c>
      <c r="K115" s="156">
        <v>8908.5093845474366</v>
      </c>
      <c r="L115" s="156">
        <v>17093.189781695764</v>
      </c>
      <c r="M115" s="156">
        <v>7201.2146021169583</v>
      </c>
      <c r="N115" s="156">
        <v>8766.849909910321</v>
      </c>
      <c r="O115" s="189">
        <v>8.6355555689926966</v>
      </c>
      <c r="P115" s="156">
        <v>806.22703009753138</v>
      </c>
      <c r="Q115" s="156">
        <v>499.36477086423764</v>
      </c>
      <c r="R115" s="156">
        <v>844.53684907161892</v>
      </c>
      <c r="S115" s="156">
        <v>1218.5621934169717</v>
      </c>
      <c r="T115" s="156">
        <v>2054.0537597630223</v>
      </c>
      <c r="U115" s="156">
        <v>2305.8302631524111</v>
      </c>
      <c r="V115" s="156">
        <v>3095.9475948595236</v>
      </c>
      <c r="W115" s="190">
        <v>2.5538791867938513</v>
      </c>
      <c r="X115" s="156">
        <v>707.50827369595402</v>
      </c>
      <c r="Y115" s="156">
        <v>451.44019259139691</v>
      </c>
      <c r="Z115" s="156">
        <v>790.67691895536609</v>
      </c>
      <c r="AA115" s="156">
        <v>1151.8141774305618</v>
      </c>
      <c r="AB115" s="156">
        <v>2007.8104279608151</v>
      </c>
      <c r="AC115" s="156">
        <v>2110.2916158672442</v>
      </c>
      <c r="AD115" s="12"/>
      <c r="AE115" s="12"/>
      <c r="AF115" s="12"/>
      <c r="AG115" s="12"/>
      <c r="AH115" s="12"/>
    </row>
    <row r="116" spans="1:34" x14ac:dyDescent="0.2">
      <c r="A116" s="188" t="s">
        <v>122</v>
      </c>
      <c r="B116" s="156">
        <v>182.16911834919119</v>
      </c>
      <c r="C116" s="156">
        <v>2910.3458187786759</v>
      </c>
      <c r="D116" s="156">
        <v>2910.3458187786759</v>
      </c>
      <c r="E116" s="156">
        <v>4187.0479178842752</v>
      </c>
      <c r="F116" s="156">
        <v>5773.6536286399842</v>
      </c>
      <c r="G116" s="156">
        <v>11291.807261644874</v>
      </c>
      <c r="H116" s="156">
        <v>8102.9671512778541</v>
      </c>
      <c r="I116" s="156">
        <v>5765.350383626318</v>
      </c>
      <c r="J116" s="156">
        <v>4572.700019897633</v>
      </c>
      <c r="K116" s="156">
        <v>10662.881084476272</v>
      </c>
      <c r="L116" s="156">
        <v>20804.210780839836</v>
      </c>
      <c r="M116" s="156">
        <v>8433.0925013090673</v>
      </c>
      <c r="N116" s="156">
        <v>9458.8423036544209</v>
      </c>
      <c r="O116" s="189">
        <v>5.0346494236159867</v>
      </c>
      <c r="P116" s="156">
        <v>952.89175344012301</v>
      </c>
      <c r="Q116" s="156">
        <v>562.80144241398921</v>
      </c>
      <c r="R116" s="156">
        <v>1004.3860350220804</v>
      </c>
      <c r="S116" s="156">
        <v>1443.8592239586578</v>
      </c>
      <c r="T116" s="156">
        <v>2438.8376905707714</v>
      </c>
      <c r="U116" s="156">
        <v>2711.6201916164114</v>
      </c>
      <c r="V116" s="156">
        <v>3923.3075764580358</v>
      </c>
      <c r="W116" s="190" t="e">
        <v>#N/A</v>
      </c>
      <c r="X116" s="156">
        <v>851.81285192872929</v>
      </c>
      <c r="Y116" s="156">
        <v>511.31171042356743</v>
      </c>
      <c r="Z116" s="156">
        <v>948.91228270506633</v>
      </c>
      <c r="AA116" s="156">
        <v>1376.3255421555923</v>
      </c>
      <c r="AB116" s="156">
        <v>2390.565504671602</v>
      </c>
      <c r="AC116" s="156">
        <v>2516.3816387354796</v>
      </c>
      <c r="AD116" s="12"/>
      <c r="AE116" s="12"/>
      <c r="AF116" s="12"/>
      <c r="AG116" s="12"/>
      <c r="AH116" s="12"/>
    </row>
    <row r="117" spans="1:34" x14ac:dyDescent="0.2">
      <c r="A117" s="188" t="s">
        <v>123</v>
      </c>
      <c r="B117" s="156">
        <v>-3.34337964741905</v>
      </c>
      <c r="C117" s="156">
        <v>3949.9518922918223</v>
      </c>
      <c r="D117" s="156">
        <v>6687.3728942847501</v>
      </c>
      <c r="E117" s="156">
        <v>4174.9226019433418</v>
      </c>
      <c r="F117" s="156">
        <v>4842.7770590214423</v>
      </c>
      <c r="G117" s="156">
        <v>9812.5577342976103</v>
      </c>
      <c r="H117" s="156">
        <v>6685.6683265150314</v>
      </c>
      <c r="I117" s="156">
        <v>5383.413155436594</v>
      </c>
      <c r="J117" s="156">
        <v>3949.9518922918223</v>
      </c>
      <c r="K117" s="156">
        <v>8639.0876340875493</v>
      </c>
      <c r="L117" s="156">
        <v>16310.555706705969</v>
      </c>
      <c r="M117" s="156">
        <v>6903.2086465870261</v>
      </c>
      <c r="N117" s="156">
        <v>8330.7070714213696</v>
      </c>
      <c r="O117" s="189">
        <v>12.387242523686211</v>
      </c>
      <c r="P117" s="156">
        <v>787.53867857367163</v>
      </c>
      <c r="Q117" s="156">
        <v>488.87631968984022</v>
      </c>
      <c r="R117" s="156">
        <v>809.82927772106052</v>
      </c>
      <c r="S117" s="156">
        <v>1154.6817211952914</v>
      </c>
      <c r="T117" s="156">
        <v>1922.1576613803686</v>
      </c>
      <c r="U117" s="156">
        <v>2168.8923370582829</v>
      </c>
      <c r="V117" s="156">
        <v>2903.0691325659682</v>
      </c>
      <c r="W117" s="190" t="e">
        <v>#N/A</v>
      </c>
      <c r="X117" s="156">
        <v>654.82647343564429</v>
      </c>
      <c r="Y117" s="156">
        <v>409.49311144944625</v>
      </c>
      <c r="Z117" s="156">
        <v>730.49270656893748</v>
      </c>
      <c r="AA117" s="156">
        <v>1062.8951537758758</v>
      </c>
      <c r="AB117" s="156">
        <v>1850.8019903587069</v>
      </c>
      <c r="AC117" s="156">
        <v>1948.696533673992</v>
      </c>
      <c r="AD117" s="12"/>
      <c r="AE117" s="12"/>
      <c r="AF117" s="12"/>
      <c r="AG117" s="12"/>
      <c r="AH117" s="12"/>
    </row>
    <row r="118" spans="1:34" x14ac:dyDescent="0.2">
      <c r="A118" s="188" t="s">
        <v>124</v>
      </c>
      <c r="B118" s="156">
        <v>-117.75010902802831</v>
      </c>
      <c r="C118" s="156">
        <v>4924.9918624050315</v>
      </c>
      <c r="D118" s="156">
        <v>5987.7996058608824</v>
      </c>
      <c r="E118" s="156">
        <v>5080.6643491530958</v>
      </c>
      <c r="F118" s="156">
        <v>6076.0699367932421</v>
      </c>
      <c r="G118" s="156">
        <v>12012.245585730938</v>
      </c>
      <c r="H118" s="156">
        <v>8336.5759975570109</v>
      </c>
      <c r="I118" s="156">
        <v>6020.2943704365534</v>
      </c>
      <c r="J118" s="156">
        <v>4924.9918624050315</v>
      </c>
      <c r="K118" s="156">
        <v>10992.91408980577</v>
      </c>
      <c r="L118" s="156">
        <v>21478.858690324276</v>
      </c>
      <c r="M118" s="156">
        <v>8745.6729164209992</v>
      </c>
      <c r="N118" s="156">
        <v>10242.896438899023</v>
      </c>
      <c r="O118" s="189">
        <v>11.02541015377407</v>
      </c>
      <c r="P118" s="156">
        <v>1006.6104397568201</v>
      </c>
      <c r="Q118" s="156">
        <v>608.52827216181322</v>
      </c>
      <c r="R118" s="156">
        <v>1058.9972117382922</v>
      </c>
      <c r="S118" s="156">
        <v>1523.6812394041883</v>
      </c>
      <c r="T118" s="156">
        <v>2573.5084261254888</v>
      </c>
      <c r="U118" s="156">
        <v>2868.7419244230036</v>
      </c>
      <c r="V118" s="156">
        <v>4020.071463176916</v>
      </c>
      <c r="W118" s="190">
        <v>3.233333839930447</v>
      </c>
      <c r="X118" s="156">
        <v>892.8147127407882</v>
      </c>
      <c r="Y118" s="156">
        <v>550.79545647831696</v>
      </c>
      <c r="Z118" s="156">
        <v>996.55662407499517</v>
      </c>
      <c r="AA118" s="156">
        <v>1448.1895873538117</v>
      </c>
      <c r="AB118" s="156">
        <v>2519.3198942975578</v>
      </c>
      <c r="AC118" s="156">
        <v>2648.8258772487129</v>
      </c>
      <c r="AD118" s="12"/>
      <c r="AE118" s="12"/>
      <c r="AF118" s="12"/>
      <c r="AG118" s="12"/>
      <c r="AH118" s="12"/>
    </row>
    <row r="119" spans="1:34" x14ac:dyDescent="0.2">
      <c r="A119" s="188" t="s">
        <v>125</v>
      </c>
      <c r="B119" s="156">
        <v>4708.26864756751</v>
      </c>
      <c r="C119" s="156">
        <v>3702.5423434492063</v>
      </c>
      <c r="D119" s="156">
        <v>5264.1319274828693</v>
      </c>
      <c r="E119" s="156">
        <v>3702.5423434492063</v>
      </c>
      <c r="F119" s="156">
        <v>4640.836772948247</v>
      </c>
      <c r="G119" s="156">
        <v>9437.2218737440944</v>
      </c>
      <c r="H119" s="156">
        <v>6329.5425526787458</v>
      </c>
      <c r="I119" s="156">
        <v>5116.433240671764</v>
      </c>
      <c r="J119" s="156">
        <v>4004.5808252173938</v>
      </c>
      <c r="K119" s="156">
        <v>8144.1957762013863</v>
      </c>
      <c r="L119" s="156">
        <v>15203.748640384087</v>
      </c>
      <c r="M119" s="156">
        <v>6578.481806124898</v>
      </c>
      <c r="N119" s="156">
        <v>8193.0180668287394</v>
      </c>
      <c r="O119" s="189">
        <v>9.6166741631608463</v>
      </c>
      <c r="P119" s="156">
        <v>751.66770670540666</v>
      </c>
      <c r="Q119" s="156">
        <v>474.08774447069129</v>
      </c>
      <c r="R119" s="156">
        <v>767.88801282745237</v>
      </c>
      <c r="S119" s="156">
        <v>1093.8266515001885</v>
      </c>
      <c r="T119" s="156">
        <v>1811.9271713524195</v>
      </c>
      <c r="U119" s="156">
        <v>2065.7211270085354</v>
      </c>
      <c r="V119" s="156">
        <v>2637.1643167268981</v>
      </c>
      <c r="W119" s="190">
        <v>2.2333817287570121</v>
      </c>
      <c r="X119" s="156">
        <v>610.15518836247873</v>
      </c>
      <c r="Y119" s="156">
        <v>395.64004654780592</v>
      </c>
      <c r="Z119" s="156">
        <v>682.10632580800961</v>
      </c>
      <c r="AA119" s="156">
        <v>994.75746918537027</v>
      </c>
      <c r="AB119" s="156">
        <v>1735.7265523798962</v>
      </c>
      <c r="AC119" s="156">
        <v>1824.0544797763334</v>
      </c>
      <c r="AD119" s="12"/>
      <c r="AE119" s="12"/>
      <c r="AF119" s="12"/>
      <c r="AG119" s="12"/>
      <c r="AH119" s="12"/>
    </row>
    <row r="120" spans="1:34" x14ac:dyDescent="0.2">
      <c r="A120" s="188" t="s">
        <v>126</v>
      </c>
      <c r="B120" s="156">
        <v>10054.913915654201</v>
      </c>
      <c r="C120" s="156">
        <v>3967.0019528622229</v>
      </c>
      <c r="D120" s="156">
        <v>5852.1094432694272</v>
      </c>
      <c r="E120" s="156">
        <v>4062.933427603095</v>
      </c>
      <c r="F120" s="156">
        <v>4593.1596713594954</v>
      </c>
      <c r="G120" s="156">
        <v>9261.7644323608565</v>
      </c>
      <c r="H120" s="156">
        <v>6215.6716449723581</v>
      </c>
      <c r="I120" s="156">
        <v>5139.090944216844</v>
      </c>
      <c r="J120" s="156">
        <v>3967.0019528622229</v>
      </c>
      <c r="K120" s="156">
        <v>7984.9128278366916</v>
      </c>
      <c r="L120" s="156">
        <v>14812.589056091369</v>
      </c>
      <c r="M120" s="156">
        <v>6479.3347807571245</v>
      </c>
      <c r="N120" s="156">
        <v>8094.4785985853196</v>
      </c>
      <c r="O120" s="189">
        <v>10.761267341643535</v>
      </c>
      <c r="P120" s="156">
        <v>743.19874787056256</v>
      </c>
      <c r="Q120" s="156">
        <v>464.40345440908726</v>
      </c>
      <c r="R120" s="156">
        <v>750.09811595707106</v>
      </c>
      <c r="S120" s="156">
        <v>1067.9495374631704</v>
      </c>
      <c r="T120" s="156">
        <v>1762.0071112858252</v>
      </c>
      <c r="U120" s="156">
        <v>2026.5464252973229</v>
      </c>
      <c r="V120" s="156">
        <v>2549.6528662965229</v>
      </c>
      <c r="W120" s="190">
        <v>2.1553144379412053</v>
      </c>
      <c r="X120" s="156">
        <v>591.42267452207125</v>
      </c>
      <c r="Y120" s="156">
        <v>384.34994063897659</v>
      </c>
      <c r="Z120" s="156">
        <v>661.1450946405987</v>
      </c>
      <c r="AA120" s="156">
        <v>964.38405742814462</v>
      </c>
      <c r="AB120" s="156">
        <v>1682.9878045107582</v>
      </c>
      <c r="AC120" s="156">
        <v>1768.9033480391358</v>
      </c>
      <c r="AD120" s="12"/>
      <c r="AE120" s="12"/>
      <c r="AF120" s="12"/>
      <c r="AG120" s="12"/>
      <c r="AH120" s="12"/>
    </row>
    <row r="121" spans="1:34" x14ac:dyDescent="0.2">
      <c r="A121" s="188" t="s">
        <v>270</v>
      </c>
      <c r="B121" s="156">
        <v>-4.4681482621699615</v>
      </c>
      <c r="C121" s="156">
        <v>3941.2831728982023</v>
      </c>
      <c r="D121" s="156">
        <v>5101.332223627137</v>
      </c>
      <c r="E121" s="156">
        <v>4062.0390862661984</v>
      </c>
      <c r="F121" s="156">
        <v>4993.0337181546083</v>
      </c>
      <c r="G121" s="156">
        <v>10264.468348511415</v>
      </c>
      <c r="H121" s="156">
        <v>6801.4647863205328</v>
      </c>
      <c r="I121" s="156">
        <v>6166.0466399793258</v>
      </c>
      <c r="J121" s="156">
        <v>3941.2831728982023</v>
      </c>
      <c r="K121" s="156">
        <v>8674.3069441820899</v>
      </c>
      <c r="L121" s="156">
        <v>16065.991433355339</v>
      </c>
      <c r="M121" s="156">
        <v>6876.0144885011687</v>
      </c>
      <c r="N121" s="156">
        <v>8246.570275795144</v>
      </c>
      <c r="O121" s="189">
        <v>9.2997582514307826</v>
      </c>
      <c r="P121" s="156">
        <v>814.22900618285234</v>
      </c>
      <c r="Q121" s="156">
        <v>500.6343050525204</v>
      </c>
      <c r="R121" s="156">
        <v>810.56743033782539</v>
      </c>
      <c r="S121" s="156">
        <v>1139.5092139727312</v>
      </c>
      <c r="T121" s="156">
        <v>1862.5509836495178</v>
      </c>
      <c r="U121" s="156">
        <v>2135.669653608164</v>
      </c>
      <c r="V121" s="156">
        <v>2795.9421457130443</v>
      </c>
      <c r="W121" s="190">
        <v>2.1844559879421159</v>
      </c>
      <c r="X121" s="156">
        <v>623.29248659633868</v>
      </c>
      <c r="Y121" s="156">
        <v>384.27729804799606</v>
      </c>
      <c r="Z121" s="156">
        <v>694.47865114148601</v>
      </c>
      <c r="AA121" s="156">
        <v>1009.5156164986423</v>
      </c>
      <c r="AB121" s="156">
        <v>1756.4416362583208</v>
      </c>
      <c r="AC121" s="156">
        <v>1850.898316091771</v>
      </c>
      <c r="AD121" s="12"/>
      <c r="AE121" s="12"/>
      <c r="AF121" s="12"/>
      <c r="AG121" s="12"/>
      <c r="AH121" s="12"/>
    </row>
    <row r="122" spans="1:34" x14ac:dyDescent="0.2">
      <c r="A122" s="188" t="s">
        <v>127</v>
      </c>
      <c r="B122" s="156">
        <v>3011.8714982246656</v>
      </c>
      <c r="C122" s="156">
        <v>2121.936550588699</v>
      </c>
      <c r="D122" s="156">
        <v>2406.8357410826843</v>
      </c>
      <c r="E122" s="156">
        <v>2121.936550588699</v>
      </c>
      <c r="F122" s="156">
        <v>3394.6028659426024</v>
      </c>
      <c r="G122" s="156">
        <v>7359.9774288711487</v>
      </c>
      <c r="H122" s="156">
        <v>4858.0949813550196</v>
      </c>
      <c r="I122" s="156">
        <v>3379.3134455840964</v>
      </c>
      <c r="J122" s="156">
        <v>3876.841102697424</v>
      </c>
      <c r="K122" s="156">
        <v>6271.7329264746204</v>
      </c>
      <c r="L122" s="156">
        <v>11630.020568979862</v>
      </c>
      <c r="M122" s="156">
        <v>5140.1044606411187</v>
      </c>
      <c r="N122" s="156">
        <v>6302.3438987218315</v>
      </c>
      <c r="O122" s="189">
        <v>4.0544857528042435</v>
      </c>
      <c r="P122" s="156">
        <v>530.29721006624607</v>
      </c>
      <c r="Q122" s="156">
        <v>367.09564568741354</v>
      </c>
      <c r="R122" s="156">
        <v>555.17552268628742</v>
      </c>
      <c r="S122" s="156">
        <v>806.55215544201678</v>
      </c>
      <c r="T122" s="156">
        <v>1361.2700620026824</v>
      </c>
      <c r="U122" s="156">
        <v>1521.070920653191</v>
      </c>
      <c r="V122" s="156">
        <v>1936.2342490847179</v>
      </c>
      <c r="W122" s="190">
        <v>1.7265839080718117</v>
      </c>
      <c r="X122" s="156">
        <v>458.80928914037861</v>
      </c>
      <c r="Y122" s="156">
        <v>333.84821867717005</v>
      </c>
      <c r="Z122" s="156">
        <v>516.62232723699003</v>
      </c>
      <c r="AA122" s="156">
        <v>756.75958071870264</v>
      </c>
      <c r="AB122" s="156">
        <v>1328.3368535823472</v>
      </c>
      <c r="AC122" s="156">
        <v>1376.3232641803463</v>
      </c>
      <c r="AD122" s="12"/>
      <c r="AE122" s="12"/>
      <c r="AF122" s="12"/>
      <c r="AG122" s="12"/>
      <c r="AH122" s="12"/>
    </row>
    <row r="123" spans="1:34" x14ac:dyDescent="0.2">
      <c r="A123" s="188" t="s">
        <v>128</v>
      </c>
      <c r="B123" s="156">
        <v>87.13495018610547</v>
      </c>
      <c r="C123" s="156">
        <v>4215.6917831316096</v>
      </c>
      <c r="D123" s="156">
        <v>7718.782420183994</v>
      </c>
      <c r="E123" s="156">
        <v>4215.6917831316096</v>
      </c>
      <c r="F123" s="156">
        <v>4900.8777841337196</v>
      </c>
      <c r="G123" s="156">
        <v>11128.481544799777</v>
      </c>
      <c r="H123" s="156">
        <v>6594.2516688581836</v>
      </c>
      <c r="I123" s="156">
        <v>5407.3930848256459</v>
      </c>
      <c r="J123" s="156">
        <v>5344.9020233230331</v>
      </c>
      <c r="K123" s="156">
        <v>8558.4168331387282</v>
      </c>
      <c r="L123" s="156">
        <v>16182.727896406865</v>
      </c>
      <c r="M123" s="156">
        <v>6837.8681987446089</v>
      </c>
      <c r="N123" s="156">
        <v>8645.2184137544937</v>
      </c>
      <c r="O123" s="189">
        <v>14.405737357629015</v>
      </c>
      <c r="P123" s="156">
        <v>797.85920211335235</v>
      </c>
      <c r="Q123" s="156">
        <v>558.42907220719155</v>
      </c>
      <c r="R123" s="156">
        <v>821.62908903341179</v>
      </c>
      <c r="S123" s="156">
        <v>1176.0122260185713</v>
      </c>
      <c r="T123" s="156">
        <v>1964.4841999008054</v>
      </c>
      <c r="U123" s="156">
        <v>2194.1019027713814</v>
      </c>
      <c r="V123" s="156">
        <v>2751.9347967838657</v>
      </c>
      <c r="W123" s="190">
        <v>2.4823039667001878</v>
      </c>
      <c r="X123" s="156">
        <v>650.22723686906488</v>
      </c>
      <c r="Y123" s="156">
        <v>472.89902637583043</v>
      </c>
      <c r="Z123" s="156">
        <v>733.83331553568701</v>
      </c>
      <c r="AA123" s="156">
        <v>1074.5929644425432</v>
      </c>
      <c r="AB123" s="156">
        <v>1885.7968193151182</v>
      </c>
      <c r="AC123" s="156">
        <v>1949.1572959475534</v>
      </c>
      <c r="AD123" s="12"/>
      <c r="AE123" s="12"/>
      <c r="AF123" s="12"/>
      <c r="AG123" s="12"/>
      <c r="AH123" s="12"/>
    </row>
    <row r="124" spans="1:34" x14ac:dyDescent="0.2">
      <c r="A124" s="188" t="s">
        <v>129</v>
      </c>
      <c r="B124" s="156">
        <v>15561.224279893202</v>
      </c>
      <c r="C124" s="156">
        <v>3707.5751377538613</v>
      </c>
      <c r="D124" s="156">
        <v>5147.5545892902819</v>
      </c>
      <c r="E124" s="156">
        <v>3707.5751377538613</v>
      </c>
      <c r="F124" s="156">
        <v>4715.0232053445934</v>
      </c>
      <c r="G124" s="156">
        <v>9474.7574833931176</v>
      </c>
      <c r="H124" s="156">
        <v>6438.4469183747997</v>
      </c>
      <c r="I124" s="156">
        <v>4965.399783059097</v>
      </c>
      <c r="J124" s="156">
        <v>4172.4039840949854</v>
      </c>
      <c r="K124" s="156">
        <v>8299.5720982919756</v>
      </c>
      <c r="L124" s="156">
        <v>15541.655541000588</v>
      </c>
      <c r="M124" s="156">
        <v>6729.9898224874978</v>
      </c>
      <c r="N124" s="156">
        <v>8315.6583431166</v>
      </c>
      <c r="O124" s="189">
        <v>9.3897375499769087</v>
      </c>
      <c r="P124" s="156">
        <v>764.84555982844176</v>
      </c>
      <c r="Q124" s="156">
        <v>478.04680784240401</v>
      </c>
      <c r="R124" s="156">
        <v>785.58858421334457</v>
      </c>
      <c r="S124" s="156">
        <v>1119.954473425051</v>
      </c>
      <c r="T124" s="156">
        <v>1857.4799439648323</v>
      </c>
      <c r="U124" s="156">
        <v>2122.936251260217</v>
      </c>
      <c r="V124" s="156">
        <v>2706.9178052524071</v>
      </c>
      <c r="W124" s="190">
        <v>2.3803963149323337</v>
      </c>
      <c r="X124" s="156">
        <v>626.23622637297069</v>
      </c>
      <c r="Y124" s="156">
        <v>408.31381903813821</v>
      </c>
      <c r="Z124" s="156">
        <v>700.4814273311672</v>
      </c>
      <c r="AA124" s="156">
        <v>1021.683083908907</v>
      </c>
      <c r="AB124" s="156">
        <v>1783.1355123788258</v>
      </c>
      <c r="AC124" s="156">
        <v>1871.9651599335</v>
      </c>
      <c r="AD124" s="12"/>
      <c r="AE124" s="12"/>
      <c r="AF124" s="12"/>
      <c r="AG124" s="12"/>
      <c r="AH124" s="12"/>
    </row>
    <row r="125" spans="1:34" x14ac:dyDescent="0.2">
      <c r="A125" s="188" t="s">
        <v>130</v>
      </c>
      <c r="B125" s="156">
        <v>2054.6750954068084</v>
      </c>
      <c r="C125" s="156">
        <v>4222.69873301389</v>
      </c>
      <c r="D125" s="156">
        <v>13073.601544309229</v>
      </c>
      <c r="E125" s="156">
        <v>4513.7035578872174</v>
      </c>
      <c r="F125" s="156">
        <v>5071.8467765630839</v>
      </c>
      <c r="G125" s="156">
        <v>10084.3808098257</v>
      </c>
      <c r="H125" s="156">
        <v>7012.4814968052906</v>
      </c>
      <c r="I125" s="156">
        <v>5243.8686324284899</v>
      </c>
      <c r="J125" s="156">
        <v>4222.69873301389</v>
      </c>
      <c r="K125" s="156">
        <v>9149.0900707196943</v>
      </c>
      <c r="L125" s="156">
        <v>17515.926925832493</v>
      </c>
      <c r="M125" s="156">
        <v>7335.1117051330202</v>
      </c>
      <c r="N125" s="156">
        <v>8709.6203479470278</v>
      </c>
      <c r="O125" s="189">
        <v>25.149756467029565</v>
      </c>
      <c r="P125" s="156">
        <v>828.22869418962114</v>
      </c>
      <c r="Q125" s="156">
        <v>506.62133373693683</v>
      </c>
      <c r="R125" s="156">
        <v>861.24145018187107</v>
      </c>
      <c r="S125" s="156">
        <v>1236.490323133198</v>
      </c>
      <c r="T125" s="156">
        <v>2075.4385347052544</v>
      </c>
      <c r="U125" s="156">
        <v>2332.8412362127456</v>
      </c>
      <c r="V125" s="156">
        <v>3183.1133164721587</v>
      </c>
      <c r="W125" s="190">
        <v>2.6114592037591651</v>
      </c>
      <c r="X125" s="156">
        <v>714.33015309309849</v>
      </c>
      <c r="Y125" s="156">
        <v>446.87668718138298</v>
      </c>
      <c r="Z125" s="156">
        <v>797.28552843119701</v>
      </c>
      <c r="AA125" s="156">
        <v>1159.7383920404618</v>
      </c>
      <c r="AB125" s="156">
        <v>2019.239101839313</v>
      </c>
      <c r="AC125" s="156">
        <v>2123.5526242640376</v>
      </c>
      <c r="AD125" s="12"/>
      <c r="AE125" s="12"/>
      <c r="AF125" s="12"/>
      <c r="AG125" s="12"/>
      <c r="AH125" s="12"/>
    </row>
    <row r="126" spans="1:34" x14ac:dyDescent="0.2">
      <c r="A126" s="188" t="s">
        <v>131</v>
      </c>
      <c r="B126" s="156">
        <v>38.171520098345383</v>
      </c>
      <c r="C126" s="156">
        <v>4282.6995815154096</v>
      </c>
      <c r="D126" s="156">
        <v>6794.1610536423605</v>
      </c>
      <c r="E126" s="156">
        <v>4282.6995815154096</v>
      </c>
      <c r="F126" s="156">
        <v>0</v>
      </c>
      <c r="G126" s="156">
        <v>0</v>
      </c>
      <c r="H126" s="156">
        <v>0</v>
      </c>
      <c r="I126" s="156">
        <v>0</v>
      </c>
      <c r="J126" s="156">
        <v>0</v>
      </c>
      <c r="K126" s="156">
        <v>0</v>
      </c>
      <c r="L126" s="156">
        <v>0</v>
      </c>
      <c r="M126" s="156">
        <v>0</v>
      </c>
      <c r="N126" s="156">
        <v>0</v>
      </c>
      <c r="O126" s="189">
        <v>12.595122919554639</v>
      </c>
      <c r="P126" s="156">
        <v>0</v>
      </c>
      <c r="Q126" s="156">
        <v>0</v>
      </c>
      <c r="R126" s="156">
        <v>0</v>
      </c>
      <c r="S126" s="156">
        <v>0</v>
      </c>
      <c r="T126" s="156">
        <v>0</v>
      </c>
      <c r="U126" s="156">
        <v>0</v>
      </c>
      <c r="V126" s="156">
        <v>2758.5116354775059</v>
      </c>
      <c r="W126" s="190">
        <v>2.1840800077075251</v>
      </c>
      <c r="X126" s="156">
        <v>632.68908379728509</v>
      </c>
      <c r="Y126" s="156">
        <v>402.75615205006329</v>
      </c>
      <c r="Z126" s="156">
        <v>706.48442747327101</v>
      </c>
      <c r="AA126" s="156">
        <v>1029.3442684901324</v>
      </c>
      <c r="AB126" s="156">
        <v>1794.311681463344</v>
      </c>
      <c r="AC126" s="156">
        <v>1888.5632545517171</v>
      </c>
      <c r="AD126" s="12"/>
      <c r="AE126" s="12"/>
      <c r="AF126" s="12"/>
      <c r="AG126" s="12"/>
      <c r="AH126" s="12"/>
    </row>
    <row r="127" spans="1:34" x14ac:dyDescent="0.2">
      <c r="A127" s="188" t="s">
        <v>132</v>
      </c>
      <c r="B127" s="156">
        <v>5097.8057367261117</v>
      </c>
      <c r="C127" s="156">
        <v>2334.6194836746981</v>
      </c>
      <c r="D127" s="156">
        <v>2585.8361950434887</v>
      </c>
      <c r="E127" s="156">
        <v>2334.6194836746981</v>
      </c>
      <c r="F127" s="156">
        <v>3589.5754496980876</v>
      </c>
      <c r="G127" s="156">
        <v>7760.2679801719023</v>
      </c>
      <c r="H127" s="156">
        <v>5190.8861440439277</v>
      </c>
      <c r="I127" s="156">
        <v>3411.3089312104757</v>
      </c>
      <c r="J127" s="156">
        <v>4100.4532770073283</v>
      </c>
      <c r="K127" s="156">
        <v>6740.4423974426154</v>
      </c>
      <c r="L127" s="156">
        <v>12704.523204992909</v>
      </c>
      <c r="M127" s="156">
        <v>5481.4568645053505</v>
      </c>
      <c r="N127" s="156">
        <v>6509.359834096369</v>
      </c>
      <c r="O127" s="189">
        <v>4.4029390406391755</v>
      </c>
      <c r="P127" s="156">
        <v>564.93049797018091</v>
      </c>
      <c r="Q127" s="156">
        <v>386.3059127342583</v>
      </c>
      <c r="R127" s="156">
        <v>599.08914386115543</v>
      </c>
      <c r="S127" s="156">
        <v>872.43080859576139</v>
      </c>
      <c r="T127" s="156">
        <v>1482.6178930372862</v>
      </c>
      <c r="U127" s="156">
        <v>1640.6068596034909</v>
      </c>
      <c r="V127" s="156">
        <v>2179.2694671710628</v>
      </c>
      <c r="W127" s="190">
        <v>3.0286219538749752</v>
      </c>
      <c r="X127" s="156">
        <v>505.01631035145499</v>
      </c>
      <c r="Y127" s="156">
        <v>361.12501432256676</v>
      </c>
      <c r="Z127" s="156">
        <v>568.31294940489067</v>
      </c>
      <c r="AA127" s="156">
        <v>831.08929055094404</v>
      </c>
      <c r="AB127" s="156">
        <v>1456.9960308999507</v>
      </c>
      <c r="AC127" s="156">
        <v>1508.8487772204116</v>
      </c>
      <c r="AD127" s="12"/>
      <c r="AE127" s="12"/>
      <c r="AF127" s="12"/>
      <c r="AG127" s="12"/>
      <c r="AH127" s="12"/>
    </row>
    <row r="128" spans="1:34" x14ac:dyDescent="0.2">
      <c r="A128" s="188" t="s">
        <v>133</v>
      </c>
      <c r="B128" s="156">
        <v>-180.30290370638198</v>
      </c>
      <c r="C128" s="156">
        <v>2078.7938405591708</v>
      </c>
      <c r="D128" s="156">
        <v>2156.3868846922869</v>
      </c>
      <c r="E128" s="156">
        <v>2078.7938405591708</v>
      </c>
      <c r="F128" s="156">
        <v>0</v>
      </c>
      <c r="G128" s="156">
        <v>0</v>
      </c>
      <c r="H128" s="156">
        <v>0</v>
      </c>
      <c r="I128" s="156">
        <v>0</v>
      </c>
      <c r="J128" s="156">
        <v>0</v>
      </c>
      <c r="K128" s="156">
        <v>0</v>
      </c>
      <c r="L128" s="156">
        <v>0</v>
      </c>
      <c r="M128" s="156">
        <v>0</v>
      </c>
      <c r="N128" s="156">
        <v>0</v>
      </c>
      <c r="O128" s="189">
        <v>3.5669466124686453</v>
      </c>
      <c r="P128" s="156">
        <v>0</v>
      </c>
      <c r="Q128" s="156">
        <v>0</v>
      </c>
      <c r="R128" s="156">
        <v>0</v>
      </c>
      <c r="S128" s="156">
        <v>0</v>
      </c>
      <c r="T128" s="156">
        <v>0</v>
      </c>
      <c r="U128" s="156">
        <v>0</v>
      </c>
      <c r="V128" s="156">
        <v>1998.8579570663799</v>
      </c>
      <c r="W128" s="190">
        <v>2.0368424945740737</v>
      </c>
      <c r="X128" s="156">
        <v>466.69262678302073</v>
      </c>
      <c r="Y128" s="156">
        <v>335.60961934572231</v>
      </c>
      <c r="Z128" s="156">
        <v>525.09920965786478</v>
      </c>
      <c r="AA128" s="156">
        <v>768.34071801802497</v>
      </c>
      <c r="AB128" s="156">
        <v>1347.5715866770258</v>
      </c>
      <c r="AC128" s="156">
        <v>1396.2943218589153</v>
      </c>
      <c r="AD128" s="12"/>
      <c r="AE128" s="12"/>
      <c r="AF128" s="12"/>
      <c r="AG128" s="12"/>
      <c r="AH128" s="12"/>
    </row>
    <row r="129" spans="1:34" x14ac:dyDescent="0.2">
      <c r="A129" s="188" t="s">
        <v>277</v>
      </c>
      <c r="B129" s="156">
        <v>-359.90071977346543</v>
      </c>
      <c r="C129" s="156">
        <v>3346.2185422377852</v>
      </c>
      <c r="D129" s="156">
        <v>3346.2185422377852</v>
      </c>
      <c r="E129" s="156">
        <v>3658.7380601717678</v>
      </c>
      <c r="F129" s="156">
        <v>4907.5642804498966</v>
      </c>
      <c r="G129" s="156">
        <v>9689.6251127354426</v>
      </c>
      <c r="H129" s="156">
        <v>6855.8805860089315</v>
      </c>
      <c r="I129" s="156">
        <v>5019.4080765061999</v>
      </c>
      <c r="J129" s="156">
        <v>4075.3639048746231</v>
      </c>
      <c r="K129" s="156">
        <v>8945.6231756086545</v>
      </c>
      <c r="L129" s="156">
        <v>17127.177991861841</v>
      </c>
      <c r="M129" s="156">
        <v>7169.2292855160777</v>
      </c>
      <c r="N129" s="156">
        <v>8396.4693776510048</v>
      </c>
      <c r="O129" s="189">
        <v>5.8831460626253476</v>
      </c>
      <c r="P129" s="156">
        <v>799.04693501162069</v>
      </c>
      <c r="Q129" s="156">
        <v>485.03148594974999</v>
      </c>
      <c r="R129" s="156">
        <v>833.81871798229486</v>
      </c>
      <c r="S129" s="156">
        <v>1198.5754520811447</v>
      </c>
      <c r="T129" s="156">
        <v>2014.7693183006184</v>
      </c>
      <c r="U129" s="156">
        <v>2260.5488994055931</v>
      </c>
      <c r="V129" s="156">
        <v>3122.4662691004228</v>
      </c>
      <c r="W129" s="190">
        <v>2.5493895428191569</v>
      </c>
      <c r="X129" s="156">
        <v>696.16725394808418</v>
      </c>
      <c r="Y129" s="156">
        <v>432.14412812499609</v>
      </c>
      <c r="Z129" s="156">
        <v>776.50579766126248</v>
      </c>
      <c r="AA129" s="156">
        <v>1128.9052509858586</v>
      </c>
      <c r="AB129" s="156">
        <v>1964.6849302104147</v>
      </c>
      <c r="AC129" s="156">
        <v>2067.079001520965</v>
      </c>
      <c r="AD129" s="12"/>
      <c r="AE129" s="12"/>
      <c r="AF129" s="12"/>
      <c r="AG129" s="12"/>
      <c r="AH129" s="12"/>
    </row>
    <row r="130" spans="1:34" x14ac:dyDescent="0.2">
      <c r="A130" s="188" t="s">
        <v>134</v>
      </c>
      <c r="B130" s="156">
        <v>320.82670185031793</v>
      </c>
      <c r="C130" s="156">
        <v>4867.2340005560563</v>
      </c>
      <c r="D130" s="156">
        <v>5267.103246489628</v>
      </c>
      <c r="E130" s="156">
        <v>4867.2340005560563</v>
      </c>
      <c r="F130" s="156">
        <v>0</v>
      </c>
      <c r="G130" s="156">
        <v>0</v>
      </c>
      <c r="H130" s="156">
        <v>0</v>
      </c>
      <c r="I130" s="156">
        <v>0</v>
      </c>
      <c r="J130" s="156">
        <v>0</v>
      </c>
      <c r="K130" s="156">
        <v>0</v>
      </c>
      <c r="L130" s="156">
        <v>0</v>
      </c>
      <c r="M130" s="156">
        <v>0</v>
      </c>
      <c r="N130" s="156">
        <v>0</v>
      </c>
      <c r="O130" s="189">
        <v>9.6224583154029286</v>
      </c>
      <c r="P130" s="156">
        <v>0</v>
      </c>
      <c r="Q130" s="156">
        <v>0</v>
      </c>
      <c r="R130" s="156">
        <v>0</v>
      </c>
      <c r="S130" s="156">
        <v>0</v>
      </c>
      <c r="T130" s="156">
        <v>0</v>
      </c>
      <c r="U130" s="156">
        <v>0</v>
      </c>
      <c r="V130" s="156">
        <v>3819.8460619501079</v>
      </c>
      <c r="W130" s="190">
        <v>3.1709666382179869</v>
      </c>
      <c r="X130" s="156">
        <v>853.3060378818459</v>
      </c>
      <c r="Y130" s="156">
        <v>532.27329436759351</v>
      </c>
      <c r="Z130" s="156">
        <v>952.99344139546838</v>
      </c>
      <c r="AA130" s="156">
        <v>1385.7164300514148</v>
      </c>
      <c r="AB130" s="156">
        <v>2412.0760317724616</v>
      </c>
      <c r="AC130" s="156">
        <v>2534.2865865389354</v>
      </c>
      <c r="AD130" s="12"/>
      <c r="AE130" s="12"/>
      <c r="AF130" s="12"/>
      <c r="AG130" s="12"/>
      <c r="AH130" s="12"/>
    </row>
    <row r="131" spans="1:34" x14ac:dyDescent="0.2">
      <c r="A131" s="188" t="s">
        <v>135</v>
      </c>
      <c r="B131" s="156">
        <v>486.5131455475821</v>
      </c>
      <c r="C131" s="156">
        <v>4431.0483364451311</v>
      </c>
      <c r="D131" s="156">
        <v>6304.6163096861519</v>
      </c>
      <c r="E131" s="156">
        <v>4431.0483364451311</v>
      </c>
      <c r="F131" s="156">
        <v>5359.9135942931489</v>
      </c>
      <c r="G131" s="156">
        <v>10847.396333041555</v>
      </c>
      <c r="H131" s="156">
        <v>7251.5373126454497</v>
      </c>
      <c r="I131" s="156">
        <v>5887.6117680107382</v>
      </c>
      <c r="J131" s="156">
        <v>4463.5845576009933</v>
      </c>
      <c r="K131" s="156">
        <v>9369.4608014099904</v>
      </c>
      <c r="L131" s="156">
        <v>17707.727174613032</v>
      </c>
      <c r="M131" s="156">
        <v>7505.7216432234918</v>
      </c>
      <c r="N131" s="156">
        <v>9155.9212941555361</v>
      </c>
      <c r="O131" s="189">
        <v>11.642145025927601</v>
      </c>
      <c r="P131" s="156">
        <v>879.39845786535636</v>
      </c>
      <c r="Q131" s="156">
        <v>543.82393588212528</v>
      </c>
      <c r="R131" s="156">
        <v>898.25302642201825</v>
      </c>
      <c r="S131" s="156">
        <v>1275.5454585822881</v>
      </c>
      <c r="T131" s="156">
        <v>2113.5400289445538</v>
      </c>
      <c r="U131" s="156">
        <v>2407.1264156062416</v>
      </c>
      <c r="V131" s="156">
        <v>3143.7670675541126</v>
      </c>
      <c r="W131" s="190" t="e">
        <v>#N/A</v>
      </c>
      <c r="X131" s="156">
        <v>714.0974802312769</v>
      </c>
      <c r="Y131" s="156">
        <v>452.75112297173672</v>
      </c>
      <c r="Z131" s="156">
        <v>797.74934759099358</v>
      </c>
      <c r="AA131" s="156">
        <v>1161.5548775161183</v>
      </c>
      <c r="AB131" s="156">
        <v>2024.0071795366625</v>
      </c>
      <c r="AC131" s="156">
        <v>2127.6070779217189</v>
      </c>
      <c r="AD131" s="12"/>
      <c r="AE131" s="12"/>
      <c r="AF131" s="12"/>
      <c r="AG131" s="12"/>
      <c r="AH131" s="12"/>
    </row>
    <row r="132" spans="1:34" x14ac:dyDescent="0.2">
      <c r="A132" s="188" t="s">
        <v>136</v>
      </c>
      <c r="B132" s="156">
        <v>935.26631645117095</v>
      </c>
      <c r="C132" s="156">
        <v>3742.3640660100268</v>
      </c>
      <c r="D132" s="156">
        <v>5141.7880081880057</v>
      </c>
      <c r="E132" s="156">
        <v>3810.0425028351365</v>
      </c>
      <c r="F132" s="156">
        <v>4563.057129330894</v>
      </c>
      <c r="G132" s="156">
        <v>9313.3736907615803</v>
      </c>
      <c r="H132" s="156">
        <v>6210.5394208714351</v>
      </c>
      <c r="I132" s="156">
        <v>5493.2186324435334</v>
      </c>
      <c r="J132" s="156">
        <v>3742.3640660100268</v>
      </c>
      <c r="K132" s="156">
        <v>7911.7477116670789</v>
      </c>
      <c r="L132" s="156">
        <v>14531.228544388818</v>
      </c>
      <c r="M132" s="156">
        <v>6350.088128058238</v>
      </c>
      <c r="N132" s="156">
        <v>7858.191465098047</v>
      </c>
      <c r="O132" s="189">
        <v>9.3785119686993639</v>
      </c>
      <c r="P132" s="156">
        <v>737.85158579969254</v>
      </c>
      <c r="Q132" s="156">
        <v>459.63299025947163</v>
      </c>
      <c r="R132" s="156">
        <v>737.10787201637504</v>
      </c>
      <c r="S132" s="156">
        <v>1040.5529702003639</v>
      </c>
      <c r="T132" s="156">
        <v>1701.6155499333711</v>
      </c>
      <c r="U132" s="156">
        <v>1959.5089109088367</v>
      </c>
      <c r="V132" s="156">
        <v>2480.6039005892771</v>
      </c>
      <c r="W132" s="190">
        <v>1.9420936951891805</v>
      </c>
      <c r="X132" s="156">
        <v>567.62165837376847</v>
      </c>
      <c r="Y132" s="156">
        <v>359.8669174562171</v>
      </c>
      <c r="Z132" s="156">
        <v>633.26080009967598</v>
      </c>
      <c r="AA132" s="156">
        <v>922.49034364003842</v>
      </c>
      <c r="AB132" s="156">
        <v>1607.7605776826017</v>
      </c>
      <c r="AC132" s="156">
        <v>1693.7800372857548</v>
      </c>
      <c r="AD132" s="12"/>
      <c r="AE132" s="12"/>
      <c r="AF132" s="12"/>
      <c r="AG132" s="12"/>
      <c r="AH132" s="12"/>
    </row>
    <row r="133" spans="1:34" x14ac:dyDescent="0.2">
      <c r="A133" s="188" t="s">
        <v>137</v>
      </c>
      <c r="B133" s="156">
        <v>-319.75353061425517</v>
      </c>
      <c r="C133" s="156">
        <v>4260.0459542804792</v>
      </c>
      <c r="D133" s="156">
        <v>5102.8322462153501</v>
      </c>
      <c r="E133" s="156">
        <v>4260.0459542804792</v>
      </c>
      <c r="F133" s="156">
        <v>5312.9055339757751</v>
      </c>
      <c r="G133" s="156">
        <v>10564.460724752817</v>
      </c>
      <c r="H133" s="156">
        <v>7277.2773015800658</v>
      </c>
      <c r="I133" s="156">
        <v>5442.5753909015284</v>
      </c>
      <c r="J133" s="156">
        <v>4381.0382617610157</v>
      </c>
      <c r="K133" s="156">
        <v>9522.7130324034788</v>
      </c>
      <c r="L133" s="156">
        <v>18317.806268775104</v>
      </c>
      <c r="M133" s="156">
        <v>7640.0819293813747</v>
      </c>
      <c r="N133" s="156">
        <v>9195.7303351901974</v>
      </c>
      <c r="O133" s="189">
        <v>9.3026782876157412</v>
      </c>
      <c r="P133" s="156">
        <v>871.04834188792813</v>
      </c>
      <c r="Q133" s="156">
        <v>534.89304208420094</v>
      </c>
      <c r="R133" s="156">
        <v>907.43863670544351</v>
      </c>
      <c r="S133" s="156">
        <v>1304.1731609949179</v>
      </c>
      <c r="T133" s="156">
        <v>2192.649886257208</v>
      </c>
      <c r="U133" s="156">
        <v>2461.664795719727</v>
      </c>
      <c r="V133" s="156">
        <v>3342.8882499264741</v>
      </c>
      <c r="W133" s="190">
        <v>2.6710347030375554</v>
      </c>
      <c r="X133" s="156">
        <v>754.86604636419611</v>
      </c>
      <c r="Y133" s="156">
        <v>473.54052504285852</v>
      </c>
      <c r="Z133" s="156">
        <v>842.88486296785629</v>
      </c>
      <c r="AA133" s="156">
        <v>1226.5408691619193</v>
      </c>
      <c r="AB133" s="156">
        <v>2135.9930177919973</v>
      </c>
      <c r="AC133" s="156">
        <v>2246.6695573451921</v>
      </c>
      <c r="AD133" s="12"/>
      <c r="AE133" s="12"/>
      <c r="AF133" s="12"/>
      <c r="AG133" s="12"/>
      <c r="AH133" s="12"/>
    </row>
    <row r="134" spans="1:34" x14ac:dyDescent="0.2">
      <c r="A134" s="188" t="s">
        <v>283</v>
      </c>
      <c r="B134" s="156">
        <v>486.20781237922711</v>
      </c>
      <c r="C134" s="156">
        <v>3989.070077961027</v>
      </c>
      <c r="D134" s="156">
        <v>11711.669249094281</v>
      </c>
      <c r="E134" s="156">
        <v>4328.0144885171048</v>
      </c>
      <c r="F134" s="156">
        <v>4912.530253039914</v>
      </c>
      <c r="G134" s="156">
        <v>9717.0967601303946</v>
      </c>
      <c r="H134" s="156">
        <v>6867.7787199623936</v>
      </c>
      <c r="I134" s="156">
        <v>5123.0444557877627</v>
      </c>
      <c r="J134" s="156">
        <v>3989.070077961027</v>
      </c>
      <c r="K134" s="156">
        <v>8956.1717501329895</v>
      </c>
      <c r="L134" s="156">
        <v>17143.92540512095</v>
      </c>
      <c r="M134" s="156">
        <v>7160.5629124422712</v>
      </c>
      <c r="N134" s="156">
        <v>8375.1126428278894</v>
      </c>
      <c r="O134" s="189">
        <v>22.417147527994754</v>
      </c>
      <c r="P134" s="156">
        <v>799.92904856379482</v>
      </c>
      <c r="Q134" s="156">
        <v>485.07528764755585</v>
      </c>
      <c r="R134" s="156">
        <v>833.29665911792711</v>
      </c>
      <c r="S134" s="156">
        <v>1197.0570700870478</v>
      </c>
      <c r="T134" s="156">
        <v>2011.5814657903634</v>
      </c>
      <c r="U134" s="156">
        <v>2254.1813287553032</v>
      </c>
      <c r="V134" s="156">
        <v>3130.287362517171</v>
      </c>
      <c r="W134" s="190">
        <v>2.4689026784832291</v>
      </c>
      <c r="X134" s="156">
        <v>695.66802489632505</v>
      </c>
      <c r="Y134" s="156">
        <v>428.08643217035626</v>
      </c>
      <c r="Z134" s="156">
        <v>775.47377880259876</v>
      </c>
      <c r="AA134" s="156">
        <v>1126.9657441439408</v>
      </c>
      <c r="AB134" s="156">
        <v>1960.4539948339554</v>
      </c>
      <c r="AC134" s="156">
        <v>2064.4534208368786</v>
      </c>
      <c r="AD134" s="12"/>
      <c r="AE134" s="12"/>
      <c r="AF134" s="12"/>
      <c r="AG134" s="12"/>
      <c r="AH134" s="12"/>
    </row>
    <row r="135" spans="1:34" x14ac:dyDescent="0.2">
      <c r="A135" s="188" t="s">
        <v>27</v>
      </c>
      <c r="B135" s="156">
        <v>1332.4156705126391</v>
      </c>
      <c r="C135" s="156">
        <v>2569.1500392811322</v>
      </c>
      <c r="D135" s="156">
        <v>2569.1500392811322</v>
      </c>
      <c r="E135" s="156">
        <v>2844.0577527098444</v>
      </c>
      <c r="F135" s="156">
        <v>4103.7989892912019</v>
      </c>
      <c r="G135" s="156">
        <v>8067.0130029182574</v>
      </c>
      <c r="H135" s="156">
        <v>5820.9134945741853</v>
      </c>
      <c r="I135" s="156">
        <v>4115.4560975859049</v>
      </c>
      <c r="J135" s="156">
        <v>3554.4028674158285</v>
      </c>
      <c r="K135" s="156">
        <v>7559.492189625259</v>
      </c>
      <c r="L135" s="156">
        <v>14284.592108516405</v>
      </c>
      <c r="M135" s="156">
        <v>6132.6455530442554</v>
      </c>
      <c r="N135" s="156">
        <v>7301.0720282002021</v>
      </c>
      <c r="O135" s="189">
        <v>4.3704567440412463</v>
      </c>
      <c r="P135" s="156">
        <v>656.2728372400104</v>
      </c>
      <c r="Q135" s="156">
        <v>404.53307460671999</v>
      </c>
      <c r="R135" s="156">
        <v>686.57122203863514</v>
      </c>
      <c r="S135" s="156">
        <v>991.83906726140731</v>
      </c>
      <c r="T135" s="156">
        <v>1670.4405413673553</v>
      </c>
      <c r="U135" s="156">
        <v>1876.8168049080873</v>
      </c>
      <c r="V135" s="156">
        <v>2545.7848710655826</v>
      </c>
      <c r="W135" s="190">
        <v>2.1281263021604739</v>
      </c>
      <c r="X135" s="156">
        <v>577.12773153483886</v>
      </c>
      <c r="Y135" s="156">
        <v>365.81292150589519</v>
      </c>
      <c r="Z135" s="156">
        <v>643.95152482479216</v>
      </c>
      <c r="AA135" s="156">
        <v>937.58609663642869</v>
      </c>
      <c r="AB135" s="156">
        <v>1633.7971583863291</v>
      </c>
      <c r="AC135" s="156">
        <v>1719.0208351593224</v>
      </c>
      <c r="AD135" s="12"/>
      <c r="AE135" s="12"/>
      <c r="AF135" s="12"/>
      <c r="AG135" s="12"/>
      <c r="AH135" s="12"/>
    </row>
    <row r="136" spans="1:34" x14ac:dyDescent="0.2">
      <c r="A136" s="188" t="s">
        <v>284</v>
      </c>
      <c r="B136" s="156">
        <v>1200.5676557772649</v>
      </c>
      <c r="C136" s="156">
        <v>2574.906795689657</v>
      </c>
      <c r="D136" s="156">
        <v>2574.906795689657</v>
      </c>
      <c r="E136" s="156">
        <v>2928.1859826171817</v>
      </c>
      <c r="F136" s="156">
        <v>4190.7284448960318</v>
      </c>
      <c r="G136" s="156">
        <v>8153.7300441826092</v>
      </c>
      <c r="H136" s="156">
        <v>5904.4046065351786</v>
      </c>
      <c r="I136" s="156">
        <v>4335.4782731798387</v>
      </c>
      <c r="J136" s="156">
        <v>3515.6235112338986</v>
      </c>
      <c r="K136" s="156">
        <v>7632.9743078495403</v>
      </c>
      <c r="L136" s="156">
        <v>14321.981785562695</v>
      </c>
      <c r="M136" s="156">
        <v>6192.9790294235445</v>
      </c>
      <c r="N136" s="156">
        <v>7370.5132245588247</v>
      </c>
      <c r="O136" s="189">
        <v>4.381663199965959</v>
      </c>
      <c r="P136" s="156">
        <v>671.71425369613155</v>
      </c>
      <c r="Q136" s="156">
        <v>407.14828460727074</v>
      </c>
      <c r="R136" s="156">
        <v>695.0222289489044</v>
      </c>
      <c r="S136" s="156">
        <v>998.53032439499725</v>
      </c>
      <c r="T136" s="156">
        <v>1669.3575916603243</v>
      </c>
      <c r="U136" s="156">
        <v>1893.6785871028319</v>
      </c>
      <c r="V136" s="156">
        <v>2538.7160809964398</v>
      </c>
      <c r="W136" s="190">
        <v>1.9791905884116219</v>
      </c>
      <c r="X136" s="156">
        <v>573.91294077234443</v>
      </c>
      <c r="Y136" s="156">
        <v>359.01765074042055</v>
      </c>
      <c r="Z136" s="156">
        <v>639.73053253824639</v>
      </c>
      <c r="AA136" s="156">
        <v>930.99737157910761</v>
      </c>
      <c r="AB136" s="156">
        <v>1621.2954368811052</v>
      </c>
      <c r="AC136" s="156">
        <v>1708.7364236620228</v>
      </c>
      <c r="AD136" s="12"/>
      <c r="AE136" s="12"/>
      <c r="AF136" s="12"/>
      <c r="AG136" s="12"/>
      <c r="AH136" s="12"/>
    </row>
    <row r="137" spans="1:34" x14ac:dyDescent="0.2">
      <c r="A137" s="188" t="s">
        <v>138</v>
      </c>
      <c r="B137" s="156">
        <v>3611.0515885492096</v>
      </c>
      <c r="C137" s="156">
        <v>5184.0162507494024</v>
      </c>
      <c r="D137" s="156">
        <v>5184.0162507494024</v>
      </c>
      <c r="E137" s="156">
        <v>5200.8278514332815</v>
      </c>
      <c r="F137" s="156">
        <v>0</v>
      </c>
      <c r="G137" s="156">
        <v>0</v>
      </c>
      <c r="H137" s="156">
        <v>0</v>
      </c>
      <c r="I137" s="156">
        <v>0</v>
      </c>
      <c r="J137" s="156">
        <v>0</v>
      </c>
      <c r="K137" s="156">
        <v>0</v>
      </c>
      <c r="L137" s="156">
        <v>0</v>
      </c>
      <c r="M137" s="156">
        <v>0</v>
      </c>
      <c r="N137" s="156">
        <v>0</v>
      </c>
      <c r="O137" s="189">
        <v>9.4607160616746331</v>
      </c>
      <c r="P137" s="156">
        <v>0</v>
      </c>
      <c r="Q137" s="156">
        <v>0</v>
      </c>
      <c r="R137" s="156">
        <v>0</v>
      </c>
      <c r="S137" s="156">
        <v>0</v>
      </c>
      <c r="T137" s="156">
        <v>0</v>
      </c>
      <c r="U137" s="156">
        <v>0</v>
      </c>
      <c r="V137" s="156">
        <v>4244.9800783480978</v>
      </c>
      <c r="W137" s="190">
        <v>3.425353628125491</v>
      </c>
      <c r="X137" s="156">
        <v>942.01882569630288</v>
      </c>
      <c r="Y137" s="156">
        <v>580.95103970725859</v>
      </c>
      <c r="Z137" s="156">
        <v>1051.6639290781993</v>
      </c>
      <c r="AA137" s="156">
        <v>1528.1712879724651</v>
      </c>
      <c r="AB137" s="156">
        <v>2658.3492967036964</v>
      </c>
      <c r="AC137" s="156">
        <v>2794.3041186290652</v>
      </c>
      <c r="AD137" s="12"/>
      <c r="AE137" s="12"/>
      <c r="AF137" s="12"/>
      <c r="AG137" s="12"/>
      <c r="AH137" s="12"/>
    </row>
    <row r="138" spans="1:34" x14ac:dyDescent="0.2">
      <c r="A138" s="188" t="s">
        <v>139</v>
      </c>
      <c r="B138" s="156">
        <v>-3390.0803276816655</v>
      </c>
      <c r="C138" s="156">
        <v>4658.7712637805107</v>
      </c>
      <c r="D138" s="156">
        <v>6283.0398157535528</v>
      </c>
      <c r="E138" s="156">
        <v>4658.7712637805107</v>
      </c>
      <c r="F138" s="156">
        <v>0</v>
      </c>
      <c r="G138" s="156">
        <v>0</v>
      </c>
      <c r="H138" s="156">
        <v>0</v>
      </c>
      <c r="I138" s="156">
        <v>0</v>
      </c>
      <c r="J138" s="156">
        <v>0</v>
      </c>
      <c r="K138" s="156">
        <v>0</v>
      </c>
      <c r="L138" s="156">
        <v>0</v>
      </c>
      <c r="M138" s="156">
        <v>0</v>
      </c>
      <c r="N138" s="156">
        <v>0</v>
      </c>
      <c r="O138" s="189">
        <v>11.600142896411155</v>
      </c>
      <c r="P138" s="156">
        <v>0</v>
      </c>
      <c r="Q138" s="156">
        <v>0</v>
      </c>
      <c r="R138" s="156">
        <v>0</v>
      </c>
      <c r="S138" s="156">
        <v>0</v>
      </c>
      <c r="T138" s="156">
        <v>0</v>
      </c>
      <c r="U138" s="156">
        <v>0</v>
      </c>
      <c r="V138" s="156">
        <v>3440.5285513503013</v>
      </c>
      <c r="W138" s="190">
        <v>2.8508788816878914</v>
      </c>
      <c r="X138" s="156">
        <v>779.62066440144145</v>
      </c>
      <c r="Y138" s="156">
        <v>493.49980555139268</v>
      </c>
      <c r="Z138" s="156">
        <v>871.2014407904453</v>
      </c>
      <c r="AA138" s="156">
        <v>1268.253867349116</v>
      </c>
      <c r="AB138" s="156">
        <v>2209.6262860450979</v>
      </c>
      <c r="AC138" s="156">
        <v>2321.6600026719329</v>
      </c>
      <c r="AD138" s="12"/>
      <c r="AE138" s="12"/>
      <c r="AF138" s="12"/>
      <c r="AG138" s="12"/>
      <c r="AH138" s="12"/>
    </row>
    <row r="139" spans="1:34" x14ac:dyDescent="0.2">
      <c r="A139" s="188" t="s">
        <v>287</v>
      </c>
      <c r="B139" s="156">
        <v>2483.2431355315548</v>
      </c>
      <c r="C139" s="156">
        <v>2685.3131950091288</v>
      </c>
      <c r="D139" s="156">
        <v>2685.3131950091288</v>
      </c>
      <c r="E139" s="156">
        <v>3841.636367931409</v>
      </c>
      <c r="F139" s="156">
        <v>5320.8407495612973</v>
      </c>
      <c r="G139" s="156">
        <v>10322.529187868564</v>
      </c>
      <c r="H139" s="156">
        <v>7579.1913876075496</v>
      </c>
      <c r="I139" s="156">
        <v>5518.7584687543149</v>
      </c>
      <c r="J139" s="156">
        <v>4139.5911879941514</v>
      </c>
      <c r="K139" s="156">
        <v>9893.4140080670386</v>
      </c>
      <c r="L139" s="156">
        <v>19078.986870195975</v>
      </c>
      <c r="M139" s="156">
        <v>7811.8037997635201</v>
      </c>
      <c r="N139" s="156">
        <v>8514.8105935024414</v>
      </c>
      <c r="O139" s="189">
        <v>4.5965870841775063</v>
      </c>
      <c r="P139" s="156">
        <v>872.45788676167217</v>
      </c>
      <c r="Q139" s="156">
        <v>504.98479517895623</v>
      </c>
      <c r="R139" s="156">
        <v>911.17323380658684</v>
      </c>
      <c r="S139" s="156">
        <v>1303.3263275789845</v>
      </c>
      <c r="T139" s="156">
        <v>2187.6750708287927</v>
      </c>
      <c r="U139" s="156">
        <v>2447.9194350255752</v>
      </c>
      <c r="V139" s="156">
        <v>3570.2109995589944</v>
      </c>
      <c r="W139" s="190">
        <v>2.7833470870824488</v>
      </c>
      <c r="X139" s="156">
        <v>763.20254969893676</v>
      </c>
      <c r="Y139" s="156">
        <v>448.42015951023598</v>
      </c>
      <c r="Z139" s="156">
        <v>848.61976110460353</v>
      </c>
      <c r="AA139" s="156">
        <v>1229.1838630092179</v>
      </c>
      <c r="AB139" s="156">
        <v>2132.5255228739575</v>
      </c>
      <c r="AC139" s="156">
        <v>2247.960367150652</v>
      </c>
      <c r="AD139" s="12"/>
      <c r="AE139" s="12"/>
      <c r="AF139" s="12"/>
      <c r="AG139" s="12"/>
      <c r="AH139" s="12"/>
    </row>
    <row r="140" spans="1:34" x14ac:dyDescent="0.2">
      <c r="A140" s="188" t="s">
        <v>92</v>
      </c>
      <c r="B140" s="156">
        <v>-67.761269605083157</v>
      </c>
      <c r="C140" s="156">
        <v>3010.1082574856705</v>
      </c>
      <c r="D140" s="156">
        <v>4361.5553252908703</v>
      </c>
      <c r="E140" s="156">
        <v>3010.1082574856705</v>
      </c>
      <c r="F140" s="156">
        <v>4126.8145725982195</v>
      </c>
      <c r="G140" s="156">
        <v>9321.7863760548662</v>
      </c>
      <c r="H140" s="156">
        <v>5654.7323858826912</v>
      </c>
      <c r="I140" s="156">
        <v>4635.9720036548988</v>
      </c>
      <c r="J140" s="156">
        <v>4547.1237517132222</v>
      </c>
      <c r="K140" s="156">
        <v>7281.6472619567276</v>
      </c>
      <c r="L140" s="156">
        <v>13514.581283556427</v>
      </c>
      <c r="M140" s="156">
        <v>5863.4451974823678</v>
      </c>
      <c r="N140" s="156">
        <v>7453.3943206696167</v>
      </c>
      <c r="O140" s="189">
        <v>7.859663062923353</v>
      </c>
      <c r="P140" s="156">
        <v>660.36113164323069</v>
      </c>
      <c r="Q140" s="156">
        <v>465.26065172322399</v>
      </c>
      <c r="R140" s="156">
        <v>678.02609672360597</v>
      </c>
      <c r="S140" s="156">
        <v>971.70632646741569</v>
      </c>
      <c r="T140" s="156">
        <v>1617.981399984712</v>
      </c>
      <c r="U140" s="156">
        <v>1814.0207794628911</v>
      </c>
      <c r="V140" s="156">
        <v>2236.1171027122</v>
      </c>
      <c r="W140" s="190">
        <v>1.8830017960403234</v>
      </c>
      <c r="X140" s="156">
        <v>534.04612997783374</v>
      </c>
      <c r="Y140" s="156">
        <v>391.61875315879274</v>
      </c>
      <c r="Z140" s="156">
        <v>602.37162301302351</v>
      </c>
      <c r="AA140" s="156">
        <v>882.83749915253236</v>
      </c>
      <c r="AB140" s="156">
        <v>1550.2951973398854</v>
      </c>
      <c r="AC140" s="156">
        <v>1604.0510662460683</v>
      </c>
      <c r="AD140" s="12"/>
      <c r="AE140" s="12"/>
      <c r="AF140" s="12"/>
      <c r="AG140" s="12"/>
      <c r="AH140" s="12"/>
    </row>
    <row r="141" spans="1:34" x14ac:dyDescent="0.2">
      <c r="A141" s="188" t="s">
        <v>140</v>
      </c>
      <c r="B141" s="156">
        <v>10197.484842156417</v>
      </c>
      <c r="C141" s="156">
        <v>2097.857876975318</v>
      </c>
      <c r="D141" s="156">
        <v>2463.6501135415615</v>
      </c>
      <c r="E141" s="156">
        <v>2097.857876975318</v>
      </c>
      <c r="F141" s="156">
        <v>3354.5819469471908</v>
      </c>
      <c r="G141" s="156">
        <v>7229.5686887969478</v>
      </c>
      <c r="H141" s="156">
        <v>4884.4577871266383</v>
      </c>
      <c r="I141" s="156">
        <v>3162.452969904683</v>
      </c>
      <c r="J141" s="156">
        <v>3859.337106464975</v>
      </c>
      <c r="K141" s="156">
        <v>6326.9752269745213</v>
      </c>
      <c r="L141" s="156">
        <v>11853.639051347787</v>
      </c>
      <c r="M141" s="156">
        <v>5175.2858430377237</v>
      </c>
      <c r="N141" s="156">
        <v>6196.2150445548323</v>
      </c>
      <c r="O141" s="189">
        <v>4.1650841029285912</v>
      </c>
      <c r="P141" s="156">
        <v>523.18823103416639</v>
      </c>
      <c r="Q141" s="156">
        <v>360.1455522070205</v>
      </c>
      <c r="R141" s="156">
        <v>555.25645831392001</v>
      </c>
      <c r="S141" s="156">
        <v>810.4213926336663</v>
      </c>
      <c r="T141" s="156">
        <v>1378.9671022638672</v>
      </c>
      <c r="U141" s="156">
        <v>1526.8344833763911</v>
      </c>
      <c r="V141" s="156">
        <v>2011.3708504546501</v>
      </c>
      <c r="W141" s="190">
        <v>2.7628086208715721</v>
      </c>
      <c r="X141" s="156">
        <v>469.91852778254321</v>
      </c>
      <c r="Y141" s="156">
        <v>338.12287552837392</v>
      </c>
      <c r="Z141" s="156">
        <v>528.7798590309161</v>
      </c>
      <c r="AA141" s="156">
        <v>773.76146587622679</v>
      </c>
      <c r="AB141" s="156">
        <v>1357.1253205858341</v>
      </c>
      <c r="AC141" s="156">
        <v>1406.1018798283344</v>
      </c>
      <c r="AD141" s="12"/>
      <c r="AE141" s="12"/>
      <c r="AF141" s="12"/>
      <c r="AG141" s="12"/>
      <c r="AH141" s="12"/>
    </row>
    <row r="142" spans="1:34" x14ac:dyDescent="0.2">
      <c r="A142" s="188" t="s">
        <v>93</v>
      </c>
      <c r="B142" s="156">
        <v>82276.395038700779</v>
      </c>
      <c r="C142" s="156">
        <v>3081.0878134280015</v>
      </c>
      <c r="D142" s="156">
        <v>9273.5619969547915</v>
      </c>
      <c r="E142" s="156">
        <v>3081.0878134280015</v>
      </c>
      <c r="F142" s="156">
        <v>4011.443807992709</v>
      </c>
      <c r="G142" s="156">
        <v>8625.2472542399119</v>
      </c>
      <c r="H142" s="156">
        <v>5521.8249577057986</v>
      </c>
      <c r="I142" s="156">
        <v>4361.1074891835742</v>
      </c>
      <c r="J142" s="156">
        <v>4448.9697915971774</v>
      </c>
      <c r="K142" s="156">
        <v>7050.2417899415068</v>
      </c>
      <c r="L142" s="156">
        <v>12870.165870919713</v>
      </c>
      <c r="M142" s="156">
        <v>5749.5854856410033</v>
      </c>
      <c r="N142" s="156">
        <v>7055.1225582225834</v>
      </c>
      <c r="O142" s="189">
        <v>17.525279044568816</v>
      </c>
      <c r="P142" s="156">
        <v>639.86764056198865</v>
      </c>
      <c r="Q142" s="156">
        <v>426.41530019777218</v>
      </c>
      <c r="R142" s="156">
        <v>645.91850749605703</v>
      </c>
      <c r="S142" s="156">
        <v>919.60016878659337</v>
      </c>
      <c r="T142" s="156">
        <v>1511.9181752636275</v>
      </c>
      <c r="U142" s="156">
        <v>1743.5862501960523</v>
      </c>
      <c r="V142" s="156">
        <v>2102.6391344186136</v>
      </c>
      <c r="W142" s="190">
        <v>2.1163376190799337</v>
      </c>
      <c r="X142" s="156">
        <v>495.95483791708091</v>
      </c>
      <c r="Y142" s="156">
        <v>360.31474133940452</v>
      </c>
      <c r="Z142" s="156">
        <v>558.72715444252231</v>
      </c>
      <c r="AA142" s="156">
        <v>818.17704122022371</v>
      </c>
      <c r="AB142" s="156">
        <v>1435.8736178971076</v>
      </c>
      <c r="AC142" s="156">
        <v>1486.4558519300344</v>
      </c>
      <c r="AD142" s="12"/>
      <c r="AE142" s="12"/>
      <c r="AF142" s="12"/>
      <c r="AG142" s="12"/>
      <c r="AH142" s="12"/>
    </row>
    <row r="143" spans="1:34" x14ac:dyDescent="0.2">
      <c r="A143" s="188" t="s">
        <v>28</v>
      </c>
      <c r="B143" s="156">
        <v>2472.0726285670262</v>
      </c>
      <c r="C143" s="156">
        <v>4686.0080445159438</v>
      </c>
      <c r="D143" s="156">
        <v>16123.65395184215</v>
      </c>
      <c r="E143" s="156">
        <v>4686.0080445159438</v>
      </c>
      <c r="F143" s="156">
        <v>4897.5407807749807</v>
      </c>
      <c r="G143" s="156">
        <v>10991.299393845507</v>
      </c>
      <c r="H143" s="156">
        <v>6654.3489351620274</v>
      </c>
      <c r="I143" s="156">
        <v>5290.4840467551567</v>
      </c>
      <c r="J143" s="156">
        <v>5348.4154751337219</v>
      </c>
      <c r="K143" s="156">
        <v>8667.7955431250084</v>
      </c>
      <c r="L143" s="156">
        <v>16474.282594825843</v>
      </c>
      <c r="M143" s="156">
        <v>6920.2904902909268</v>
      </c>
      <c r="N143" s="156">
        <v>8493.4652187847532</v>
      </c>
      <c r="O143" s="189">
        <v>31.269444283106861</v>
      </c>
      <c r="P143" s="156">
        <v>797.2664449377869</v>
      </c>
      <c r="Q143" s="156">
        <v>548.78229032787669</v>
      </c>
      <c r="R143" s="156">
        <v>822.8040551202912</v>
      </c>
      <c r="S143" s="156">
        <v>1181.0529158090715</v>
      </c>
      <c r="T143" s="156">
        <v>1979.2530043677225</v>
      </c>
      <c r="U143" s="156">
        <v>2207.7249809583454</v>
      </c>
      <c r="V143" s="156">
        <v>2843.2082079783986</v>
      </c>
      <c r="W143" s="190">
        <v>2.5471678745161643</v>
      </c>
      <c r="X143" s="156">
        <v>660.47381259356371</v>
      </c>
      <c r="Y143" s="156">
        <v>473.89942848593211</v>
      </c>
      <c r="Z143" s="156">
        <v>744.70578696144423</v>
      </c>
      <c r="AA143" s="156">
        <v>1089.1569690218812</v>
      </c>
      <c r="AB143" s="156">
        <v>1909.5847223477535</v>
      </c>
      <c r="AC143" s="156">
        <v>1973.889406496791</v>
      </c>
      <c r="AD143" s="12"/>
      <c r="AE143" s="12"/>
      <c r="AF143" s="12"/>
      <c r="AG143" s="12"/>
      <c r="AH143" s="12"/>
    </row>
    <row r="144" spans="1:34" x14ac:dyDescent="0.2">
      <c r="A144" s="188" t="s">
        <v>94</v>
      </c>
      <c r="B144" s="156">
        <v>1176.4739771184331</v>
      </c>
      <c r="C144" s="156">
        <v>5291.8201383060514</v>
      </c>
      <c r="D144" s="156">
        <v>5296.6141070956528</v>
      </c>
      <c r="E144" s="156">
        <v>5291.8201383060514</v>
      </c>
      <c r="F144" s="156">
        <v>0</v>
      </c>
      <c r="G144" s="156">
        <v>0</v>
      </c>
      <c r="H144" s="156">
        <v>0</v>
      </c>
      <c r="I144" s="156">
        <v>0</v>
      </c>
      <c r="J144" s="156">
        <v>0</v>
      </c>
      <c r="K144" s="156">
        <v>0</v>
      </c>
      <c r="L144" s="156">
        <v>0</v>
      </c>
      <c r="M144" s="156">
        <v>0</v>
      </c>
      <c r="N144" s="156">
        <v>0</v>
      </c>
      <c r="O144" s="189">
        <v>9.679905970855577</v>
      </c>
      <c r="P144" s="156">
        <v>0</v>
      </c>
      <c r="Q144" s="156">
        <v>0</v>
      </c>
      <c r="R144" s="156">
        <v>0</v>
      </c>
      <c r="S144" s="156">
        <v>0</v>
      </c>
      <c r="T144" s="156">
        <v>0</v>
      </c>
      <c r="U144" s="156">
        <v>0</v>
      </c>
      <c r="V144" s="156">
        <v>4305.0772476365373</v>
      </c>
      <c r="W144" s="190">
        <v>3.4720505479887454</v>
      </c>
      <c r="X144" s="156">
        <v>951.74738831156401</v>
      </c>
      <c r="Y144" s="156">
        <v>584.47547731429597</v>
      </c>
      <c r="Z144" s="156">
        <v>1062.2728350300022</v>
      </c>
      <c r="AA144" s="156">
        <v>1543.1036232230238</v>
      </c>
      <c r="AB144" s="156">
        <v>2683.6514119261242</v>
      </c>
      <c r="AC144" s="156">
        <v>2821.1401331001298</v>
      </c>
      <c r="AD144" s="12"/>
      <c r="AE144" s="12"/>
      <c r="AF144" s="12"/>
      <c r="AG144" s="12"/>
      <c r="AH144" s="12"/>
    </row>
    <row r="145" spans="1:34" x14ac:dyDescent="0.2">
      <c r="A145" s="188" t="s">
        <v>290</v>
      </c>
      <c r="B145" s="156">
        <v>6407.9814053650261</v>
      </c>
      <c r="C145" s="156">
        <v>4871.0886685345231</v>
      </c>
      <c r="D145" s="156">
        <v>16701.299458824233</v>
      </c>
      <c r="E145" s="156">
        <v>4871.0886685345231</v>
      </c>
      <c r="F145" s="156">
        <v>5478.6068806912735</v>
      </c>
      <c r="G145" s="156">
        <v>12212.796928927797</v>
      </c>
      <c r="H145" s="156">
        <v>7393.6560086304089</v>
      </c>
      <c r="I145" s="156">
        <v>5542.7515825240353</v>
      </c>
      <c r="J145" s="156">
        <v>6076.8103909956026</v>
      </c>
      <c r="K145" s="156">
        <v>9707.9106302374475</v>
      </c>
      <c r="L145" s="156">
        <v>18724.934072108277</v>
      </c>
      <c r="M145" s="156">
        <v>7750.7947823408276</v>
      </c>
      <c r="N145" s="156">
        <v>9459.0616592298866</v>
      </c>
      <c r="O145" s="189">
        <v>32.428444096473797</v>
      </c>
      <c r="P145" s="156">
        <v>900.48213373870738</v>
      </c>
      <c r="Q145" s="156">
        <v>615.97554489529296</v>
      </c>
      <c r="R145" s="156">
        <v>940.27363047019753</v>
      </c>
      <c r="S145" s="156">
        <v>1352.8915064707528</v>
      </c>
      <c r="T145" s="156">
        <v>2278.7669588368872</v>
      </c>
      <c r="U145" s="156">
        <v>2534.3557576656121</v>
      </c>
      <c r="V145" s="156">
        <v>3295.0669071437933</v>
      </c>
      <c r="W145" s="190">
        <v>3.1671436406508158</v>
      </c>
      <c r="X145" s="156">
        <v>764.10274132095276</v>
      </c>
      <c r="Y145" s="156">
        <v>548.71641477259175</v>
      </c>
      <c r="Z145" s="156">
        <v>862.24430089040447</v>
      </c>
      <c r="AA145" s="156">
        <v>1260.913081767779</v>
      </c>
      <c r="AB145" s="156">
        <v>2210.6393413281517</v>
      </c>
      <c r="AC145" s="156">
        <v>2282.6688089408481</v>
      </c>
      <c r="AD145" s="12"/>
      <c r="AE145" s="12"/>
      <c r="AF145" s="12"/>
      <c r="AG145" s="12"/>
      <c r="AH145" s="12"/>
    </row>
    <row r="146" spans="1:34" x14ac:dyDescent="0.2">
      <c r="A146" s="188" t="s">
        <v>95</v>
      </c>
      <c r="B146" s="156">
        <v>32.843523169904074</v>
      </c>
      <c r="C146" s="156">
        <v>4533.806787646613</v>
      </c>
      <c r="D146" s="156">
        <v>6633.0073758294593</v>
      </c>
      <c r="E146" s="156">
        <v>5055.1960249276244</v>
      </c>
      <c r="F146" s="156">
        <v>5740.4393445540718</v>
      </c>
      <c r="G146" s="156">
        <v>11689.409296260143</v>
      </c>
      <c r="H146" s="156">
        <v>7780.5333679638006</v>
      </c>
      <c r="I146" s="156">
        <v>6641.2851089143796</v>
      </c>
      <c r="J146" s="156">
        <v>4533.806787646613</v>
      </c>
      <c r="K146" s="156">
        <v>10024.335369982284</v>
      </c>
      <c r="L146" s="156">
        <v>18967.409411028188</v>
      </c>
      <c r="M146" s="156">
        <v>7935.2283336223409</v>
      </c>
      <c r="N146" s="156">
        <v>9398.4639541711367</v>
      </c>
      <c r="O146" s="189">
        <v>12.281411263309941</v>
      </c>
      <c r="P146" s="156">
        <v>946.99184771433602</v>
      </c>
      <c r="Q146" s="156">
        <v>576.59535339704735</v>
      </c>
      <c r="R146" s="156">
        <v>957.82487964815095</v>
      </c>
      <c r="S146" s="156">
        <v>1351.5619627586364</v>
      </c>
      <c r="T146" s="156">
        <v>2230.1579638081294</v>
      </c>
      <c r="U146" s="156">
        <v>2539.4534058916502</v>
      </c>
      <c r="V146" s="156">
        <v>3400.6963414231982</v>
      </c>
      <c r="W146" s="190">
        <v>2.6981416436924386</v>
      </c>
      <c r="X146" s="156">
        <v>753.63392368045118</v>
      </c>
      <c r="Y146" s="156">
        <v>462.80695628735464</v>
      </c>
      <c r="Z146" s="156">
        <v>840.33657801393372</v>
      </c>
      <c r="AA146" s="156">
        <v>1220.948848912388</v>
      </c>
      <c r="AB146" s="156">
        <v>2123.5998215768736</v>
      </c>
      <c r="AC146" s="156">
        <v>2235.2146029967871</v>
      </c>
      <c r="AD146" s="12"/>
      <c r="AE146" s="12"/>
      <c r="AF146" s="12"/>
      <c r="AG146" s="12"/>
      <c r="AH146" s="12"/>
    </row>
    <row r="147" spans="1:34" x14ac:dyDescent="0.2">
      <c r="A147" s="188" t="s">
        <v>294</v>
      </c>
      <c r="B147" s="156">
        <v>41.210993615049809</v>
      </c>
      <c r="C147" s="156">
        <v>3006.1303291166355</v>
      </c>
      <c r="D147" s="156">
        <v>3048.6613213890137</v>
      </c>
      <c r="E147" s="156">
        <v>3006.1303291166355</v>
      </c>
      <c r="F147" s="156">
        <v>0</v>
      </c>
      <c r="G147" s="156">
        <v>0</v>
      </c>
      <c r="H147" s="156">
        <v>0</v>
      </c>
      <c r="I147" s="156">
        <v>0</v>
      </c>
      <c r="J147" s="156">
        <v>0</v>
      </c>
      <c r="K147" s="156">
        <v>0</v>
      </c>
      <c r="L147" s="156">
        <v>0</v>
      </c>
      <c r="M147" s="156">
        <v>0</v>
      </c>
      <c r="N147" s="156">
        <v>0</v>
      </c>
      <c r="O147" s="189">
        <v>5.3039028840215492</v>
      </c>
      <c r="P147" s="156">
        <v>0</v>
      </c>
      <c r="Q147" s="156">
        <v>0</v>
      </c>
      <c r="R147" s="156">
        <v>0</v>
      </c>
      <c r="S147" s="156">
        <v>0</v>
      </c>
      <c r="T147" s="156">
        <v>0</v>
      </c>
      <c r="U147" s="156">
        <v>0</v>
      </c>
      <c r="V147" s="156">
        <v>2468.2083961009066</v>
      </c>
      <c r="W147" s="190" t="e">
        <v>#N/A</v>
      </c>
      <c r="X147" s="156">
        <v>574.18610159525292</v>
      </c>
      <c r="Y147" s="156">
        <v>372.25483450672539</v>
      </c>
      <c r="Z147" s="156">
        <v>641.60549540451211</v>
      </c>
      <c r="AA147" s="156">
        <v>935.97642898426341</v>
      </c>
      <c r="AB147" s="156">
        <v>1633.3305056952543</v>
      </c>
      <c r="AC147" s="156">
        <v>1718.3175977964738</v>
      </c>
      <c r="AD147" s="12"/>
      <c r="AE147" s="12"/>
      <c r="AF147" s="12"/>
      <c r="AG147" s="12"/>
      <c r="AH147" s="12"/>
    </row>
    <row r="148" spans="1:34" x14ac:dyDescent="0.2">
      <c r="A148" s="188" t="s">
        <v>296</v>
      </c>
      <c r="B148" s="156">
        <v>2045.9706756882761</v>
      </c>
      <c r="C148" s="156">
        <v>4031.8902960447631</v>
      </c>
      <c r="D148" s="156">
        <v>4989.2772619722118</v>
      </c>
      <c r="E148" s="156">
        <v>4031.8902960447631</v>
      </c>
      <c r="F148" s="156">
        <v>5051.2401539220809</v>
      </c>
      <c r="G148" s="156">
        <v>10256.363060657553</v>
      </c>
      <c r="H148" s="156">
        <v>6803.5149410210197</v>
      </c>
      <c r="I148" s="156">
        <v>5278.6870299068887</v>
      </c>
      <c r="J148" s="156">
        <v>4413.1675101496467</v>
      </c>
      <c r="K148" s="156">
        <v>8830.1926264016056</v>
      </c>
      <c r="L148" s="156">
        <v>16725.04278893624</v>
      </c>
      <c r="M148" s="156">
        <v>7149.5207662258035</v>
      </c>
      <c r="N148" s="156">
        <v>9036.8067941868394</v>
      </c>
      <c r="O148" s="189">
        <v>9.0816251744307337</v>
      </c>
      <c r="P148" s="156">
        <v>824.56830727312706</v>
      </c>
      <c r="Q148" s="156">
        <v>523.68426112395036</v>
      </c>
      <c r="R148" s="156">
        <v>851.84765320214785</v>
      </c>
      <c r="S148" s="156">
        <v>1219.0475228123462</v>
      </c>
      <c r="T148" s="156">
        <v>2033.8675926361279</v>
      </c>
      <c r="U148" s="156">
        <v>2306.027752011601</v>
      </c>
      <c r="V148" s="156">
        <v>2945.0630265458371</v>
      </c>
      <c r="W148" s="190">
        <v>2.5240993133787448</v>
      </c>
      <c r="X148" s="156">
        <v>687.81582662727806</v>
      </c>
      <c r="Y148" s="156">
        <v>450.97763652296953</v>
      </c>
      <c r="Z148" s="156">
        <v>770.03033362661427</v>
      </c>
      <c r="AA148" s="156">
        <v>1123.7974549841695</v>
      </c>
      <c r="AB148" s="156">
        <v>1962.0808753260876</v>
      </c>
      <c r="AC148" s="156">
        <v>2059.5003651369502</v>
      </c>
      <c r="AD148" s="12"/>
      <c r="AE148" s="12"/>
      <c r="AF148" s="12"/>
      <c r="AG148" s="12"/>
      <c r="AH148" s="12"/>
    </row>
    <row r="149" spans="1:34" x14ac:dyDescent="0.2">
      <c r="A149" s="188" t="s">
        <v>29</v>
      </c>
      <c r="B149" s="156">
        <v>4136.0023684282914</v>
      </c>
      <c r="C149" s="156">
        <v>4757.8874952692768</v>
      </c>
      <c r="D149" s="156">
        <v>7134.8104610620185</v>
      </c>
      <c r="E149" s="156">
        <v>4757.8874952692768</v>
      </c>
      <c r="F149" s="156">
        <v>0</v>
      </c>
      <c r="G149" s="156">
        <v>0</v>
      </c>
      <c r="H149" s="156">
        <v>0</v>
      </c>
      <c r="I149" s="156">
        <v>0</v>
      </c>
      <c r="J149" s="156">
        <v>0</v>
      </c>
      <c r="K149" s="156">
        <v>0</v>
      </c>
      <c r="L149" s="156">
        <v>0</v>
      </c>
      <c r="M149" s="156">
        <v>0</v>
      </c>
      <c r="N149" s="156">
        <v>0</v>
      </c>
      <c r="O149" s="189">
        <v>13.25825199765403</v>
      </c>
      <c r="P149" s="156">
        <v>0</v>
      </c>
      <c r="Q149" s="156">
        <v>0</v>
      </c>
      <c r="R149" s="156">
        <v>0</v>
      </c>
      <c r="S149" s="156">
        <v>0</v>
      </c>
      <c r="T149" s="156">
        <v>0</v>
      </c>
      <c r="U149" s="156">
        <v>0</v>
      </c>
      <c r="V149" s="156">
        <v>3270.563437775565</v>
      </c>
      <c r="W149" s="190">
        <v>2.7094750090977135</v>
      </c>
      <c r="X149" s="156">
        <v>747.93156955617428</v>
      </c>
      <c r="Y149" s="156">
        <v>477.89468742777143</v>
      </c>
      <c r="Z149" s="156">
        <v>836.1531965771884</v>
      </c>
      <c r="AA149" s="156">
        <v>1218.1263460663247</v>
      </c>
      <c r="AB149" s="156">
        <v>2123.5227081338217</v>
      </c>
      <c r="AC149" s="156">
        <v>2231.0627833416388</v>
      </c>
      <c r="AD149" s="12"/>
      <c r="AE149" s="12"/>
      <c r="AF149" s="12"/>
      <c r="AG149" s="12"/>
      <c r="AH149" s="12"/>
    </row>
    <row r="150" spans="1:34" x14ac:dyDescent="0.2">
      <c r="A150" s="188" t="s">
        <v>141</v>
      </c>
      <c r="B150" s="156">
        <v>1641.8763616821593</v>
      </c>
      <c r="C150" s="156">
        <v>42327.672027481916</v>
      </c>
      <c r="D150" s="156">
        <v>68656.493310346385</v>
      </c>
      <c r="E150" s="156">
        <v>42327.672027481916</v>
      </c>
      <c r="F150" s="156">
        <v>0</v>
      </c>
      <c r="G150" s="156">
        <v>0</v>
      </c>
      <c r="H150" s="156">
        <v>0</v>
      </c>
      <c r="I150" s="156">
        <v>0</v>
      </c>
      <c r="J150" s="156">
        <v>0</v>
      </c>
      <c r="K150" s="156">
        <v>0</v>
      </c>
      <c r="L150" s="156">
        <v>0</v>
      </c>
      <c r="M150" s="156">
        <v>0</v>
      </c>
      <c r="N150" s="156">
        <v>0</v>
      </c>
      <c r="O150" s="189">
        <v>136.67241249840427</v>
      </c>
      <c r="P150" s="156">
        <v>0</v>
      </c>
      <c r="Q150" s="156">
        <v>0</v>
      </c>
      <c r="R150" s="156">
        <v>0</v>
      </c>
      <c r="S150" s="156">
        <v>0</v>
      </c>
      <c r="T150" s="156">
        <v>0</v>
      </c>
      <c r="U150" s="156">
        <v>0</v>
      </c>
      <c r="V150" s="156">
        <v>28657.961491609862</v>
      </c>
      <c r="W150" s="190">
        <v>25.919764808350187</v>
      </c>
      <c r="X150" s="156">
        <v>6462.411878244081</v>
      </c>
      <c r="Y150" s="156">
        <v>4130.8730034028104</v>
      </c>
      <c r="Z150" s="156">
        <v>7256.3296701216532</v>
      </c>
      <c r="AA150" s="156">
        <v>10560.519700087696</v>
      </c>
      <c r="AB150" s="156">
        <v>18400.94019022632</v>
      </c>
      <c r="AC150" s="156">
        <v>19218.111886836927</v>
      </c>
      <c r="AD150" s="12"/>
      <c r="AE150" s="12"/>
      <c r="AF150" s="12"/>
      <c r="AG150" s="12"/>
      <c r="AH150" s="12"/>
    </row>
    <row r="151" spans="1:34" x14ac:dyDescent="0.2">
      <c r="A151" s="188" t="s">
        <v>1259</v>
      </c>
      <c r="B151" s="156">
        <v>920155.02809714491</v>
      </c>
      <c r="C151" s="156">
        <v>604183.32790164731</v>
      </c>
      <c r="D151" s="156">
        <v>1090265.5974267891</v>
      </c>
      <c r="E151" s="156">
        <v>623002.713973601</v>
      </c>
      <c r="F151" s="156">
        <v>530635.75639657502</v>
      </c>
      <c r="G151" s="156">
        <v>1107975.6953066378</v>
      </c>
      <c r="H151" s="156">
        <v>727347.79949346406</v>
      </c>
      <c r="I151" s="156">
        <v>561325.66663123516</v>
      </c>
      <c r="J151" s="156">
        <v>501382.5778402682</v>
      </c>
      <c r="K151" s="156">
        <v>944395.84776364453</v>
      </c>
      <c r="L151" s="156">
        <v>1789574.4351173653</v>
      </c>
      <c r="M151" s="156">
        <v>699664.30117972009</v>
      </c>
      <c r="N151" s="156">
        <v>848124.76833517069</v>
      </c>
      <c r="O151" s="189">
        <v>2048.4749431984592</v>
      </c>
      <c r="P151" s="156">
        <v>86261.606994510803</v>
      </c>
      <c r="Q151" s="156">
        <v>55550.598089570536</v>
      </c>
      <c r="R151" s="156">
        <v>89057.661842760688</v>
      </c>
      <c r="S151" s="156">
        <v>127613.06088988793</v>
      </c>
      <c r="T151" s="156">
        <v>213337.77608730318</v>
      </c>
      <c r="U151" s="156">
        <v>221490.54378504097</v>
      </c>
      <c r="V151" s="156">
        <v>456818.84998698276</v>
      </c>
      <c r="W151" s="190" t="e">
        <v>#N/A</v>
      </c>
      <c r="X151" s="156">
        <v>104268.8441863812</v>
      </c>
      <c r="Y151" s="156">
        <v>68670.599826326055</v>
      </c>
      <c r="Z151" s="156">
        <v>116816.07242768112</v>
      </c>
      <c r="AA151" s="156">
        <v>170296.81815000754</v>
      </c>
      <c r="AB151" s="156">
        <v>297276.58997316472</v>
      </c>
      <c r="AC151" s="156">
        <v>310836.27350082475</v>
      </c>
      <c r="AD151" s="12"/>
      <c r="AE151" s="12"/>
      <c r="AF151" s="12"/>
      <c r="AG151" s="12"/>
      <c r="AH151" s="12"/>
    </row>
    <row r="152" spans="1:34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</row>
    <row r="153" spans="1:34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>
        <f>COUNTIF(P6:P150,"&gt;0")</f>
        <v>109</v>
      </c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</row>
    <row r="154" spans="1:34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</row>
    <row r="155" spans="1:34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</row>
    <row r="156" spans="1:34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</row>
    <row r="157" spans="1:34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</row>
    <row r="158" spans="1:34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</row>
    <row r="159" spans="1:34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</row>
    <row r="160" spans="1:34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</row>
    <row r="161" spans="1:34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</row>
    <row r="162" spans="1:34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</row>
    <row r="163" spans="1:34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</row>
    <row r="164" spans="1:34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</row>
    <row r="165" spans="1:34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</row>
    <row r="166" spans="1:34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</row>
    <row r="167" spans="1:34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</row>
    <row r="168" spans="1:34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</row>
    <row r="169" spans="1:34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</row>
    <row r="170" spans="1:34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</row>
    <row r="171" spans="1:34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</row>
    <row r="172" spans="1:34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</row>
    <row r="173" spans="1:34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</row>
    <row r="174" spans="1:34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</row>
    <row r="175" spans="1:34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</row>
    <row r="176" spans="1:34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</row>
    <row r="177" spans="1:34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</row>
    <row r="178" spans="1:34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</row>
    <row r="179" spans="1:34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</row>
    <row r="180" spans="1:34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</row>
    <row r="181" spans="1:34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</row>
    <row r="182" spans="1:34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</row>
    <row r="183" spans="1:34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</row>
    <row r="184" spans="1:34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</row>
    <row r="185" spans="1:34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</row>
    <row r="186" spans="1:34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</row>
    <row r="187" spans="1:34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</row>
    <row r="188" spans="1:34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</row>
    <row r="189" spans="1:34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</row>
    <row r="190" spans="1:34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</row>
    <row r="191" spans="1:34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</row>
    <row r="192" spans="1:34" x14ac:dyDescent="0.2"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</row>
    <row r="193" spans="18:34" x14ac:dyDescent="0.2"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</row>
    <row r="194" spans="18:34" x14ac:dyDescent="0.2"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</row>
  </sheetData>
  <mergeCells count="1">
    <mergeCell ref="A1:B1"/>
  </mergeCells>
  <conditionalFormatting pivot="1" sqref="C6:J150 M6:N150">
    <cfRule type="cellIs" dxfId="39" priority="19" operator="between">
      <formula>0.001</formula>
      <formula>$C$4</formula>
    </cfRule>
  </conditionalFormatting>
  <conditionalFormatting pivot="1" sqref="B6:B150">
    <cfRule type="cellIs" dxfId="38" priority="13" operator="greaterThan">
      <formula>0</formula>
    </cfRule>
  </conditionalFormatting>
  <conditionalFormatting pivot="1" sqref="B6:B150">
    <cfRule type="cellIs" dxfId="37" priority="12" operator="greaterThan">
      <formula>5000</formula>
    </cfRule>
  </conditionalFormatting>
  <conditionalFormatting pivot="1" sqref="B6:B150">
    <cfRule type="cellIs" dxfId="36" priority="11" operator="greaterThan">
      <formula>10000</formula>
    </cfRule>
  </conditionalFormatting>
  <conditionalFormatting pivot="1" sqref="AC6:AC150">
    <cfRule type="cellIs" dxfId="35" priority="95" operator="lessThan">
      <formula>$AC$4</formula>
    </cfRule>
  </conditionalFormatting>
  <conditionalFormatting pivot="1" sqref="Z6:Z150">
    <cfRule type="cellIs" dxfId="34" priority="96" operator="lessThan">
      <formula>$Z$4</formula>
    </cfRule>
  </conditionalFormatting>
  <conditionalFormatting pivot="1" sqref="Y6:Y150">
    <cfRule type="cellIs" dxfId="33" priority="97" operator="lessThan">
      <formula>$Y$4</formula>
    </cfRule>
  </conditionalFormatting>
  <conditionalFormatting pivot="1" sqref="X6:X150">
    <cfRule type="cellIs" dxfId="32" priority="99" operator="lessThan">
      <formula>$X$4</formula>
    </cfRule>
  </conditionalFormatting>
  <conditionalFormatting pivot="1" sqref="U6:U150">
    <cfRule type="cellIs" dxfId="31" priority="101" operator="between">
      <formula>0.001</formula>
      <formula>$U$4</formula>
    </cfRule>
  </conditionalFormatting>
  <conditionalFormatting pivot="1" sqref="P6:P150">
    <cfRule type="cellIs" dxfId="30" priority="102" operator="between">
      <formula>0.001</formula>
      <formula>$P$4</formula>
    </cfRule>
  </conditionalFormatting>
  <conditionalFormatting pivot="1" sqref="Q6:Q150">
    <cfRule type="cellIs" dxfId="29" priority="103" operator="between">
      <formula>0.001</formula>
      <formula>$Q$4</formula>
    </cfRule>
  </conditionalFormatting>
  <conditionalFormatting pivot="1" sqref="R6:R150">
    <cfRule type="cellIs" dxfId="28" priority="104" operator="between">
      <formula>0.001</formula>
      <formula>$R$4</formula>
    </cfRule>
  </conditionalFormatting>
  <conditionalFormatting pivot="1" sqref="O6:O150">
    <cfRule type="cellIs" dxfId="27" priority="105" operator="lessThan">
      <formula>$O$4</formula>
    </cfRule>
  </conditionalFormatting>
  <conditionalFormatting pivot="1" sqref="S6:S150">
    <cfRule type="cellIs" dxfId="26" priority="4" operator="between">
      <formula>0.001</formula>
      <formula>$S$4</formula>
    </cfRule>
  </conditionalFormatting>
  <conditionalFormatting pivot="1" sqref="T6:T150">
    <cfRule type="cellIs" dxfId="25" priority="3" operator="between">
      <formula>0.0001</formula>
      <formula>$T$4</formula>
    </cfRule>
  </conditionalFormatting>
  <conditionalFormatting pivot="1" sqref="AA6:AA150">
    <cfRule type="cellIs" dxfId="24" priority="2" operator="between">
      <formula>0.0001</formula>
      <formula>$AA$4</formula>
    </cfRule>
  </conditionalFormatting>
  <conditionalFormatting pivot="1" sqref="AB6:AB150">
    <cfRule type="cellIs" dxfId="23" priority="1" operator="between">
      <formula>0.0001</formula>
      <formula>$AB$4</formula>
    </cfRule>
  </conditionalFormatting>
  <conditionalFormatting pivot="1" sqref="V6:V150">
    <cfRule type="cellIs" dxfId="22" priority="107" operator="lessThan">
      <formula>$V$4</formula>
    </cfRule>
  </conditionalFormatting>
  <conditionalFormatting pivot="1" sqref="W6:W150">
    <cfRule type="cellIs" dxfId="21" priority="108" operator="lessThan">
      <formula>$W$4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84"/>
  <sheetViews>
    <sheetView workbookViewId="0">
      <selection activeCell="A2" sqref="A2:XFD2"/>
    </sheetView>
  </sheetViews>
  <sheetFormatPr defaultColWidth="11" defaultRowHeight="12.75" x14ac:dyDescent="0.2"/>
  <cols>
    <col min="1" max="1" width="20.375" style="2" customWidth="1"/>
    <col min="2" max="2" width="12.625" style="2" customWidth="1"/>
    <col min="3" max="3" width="5" style="2" customWidth="1"/>
    <col min="4" max="7" width="11" style="2"/>
    <col min="8" max="8" width="28.375" style="2" customWidth="1"/>
    <col min="9" max="9" width="5.875" style="2" customWidth="1"/>
    <col min="10" max="16384" width="11" style="2"/>
  </cols>
  <sheetData>
    <row r="1" spans="1:36" s="210" customFormat="1" ht="23.25" x14ac:dyDescent="0.35">
      <c r="A1" s="207" t="s">
        <v>1621</v>
      </c>
    </row>
    <row r="2" spans="1:36" ht="12.7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</row>
    <row r="3" spans="1:36" x14ac:dyDescent="0.2">
      <c r="A3" s="25"/>
      <c r="B3" s="25"/>
      <c r="C3" s="40"/>
      <c r="D3" s="40"/>
      <c r="E3" s="40"/>
      <c r="F3" s="40"/>
      <c r="G3" s="40"/>
      <c r="H3" s="40"/>
      <c r="I3" s="8"/>
      <c r="J3" s="12" t="s">
        <v>1138</v>
      </c>
      <c r="K3" s="12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</row>
    <row r="4" spans="1:36" x14ac:dyDescent="0.2">
      <c r="A4" s="40"/>
      <c r="B4" s="25"/>
      <c r="C4" s="40"/>
      <c r="D4" s="40" t="s">
        <v>0</v>
      </c>
      <c r="E4" s="40"/>
      <c r="F4" s="40" t="s">
        <v>2</v>
      </c>
      <c r="G4" s="40"/>
      <c r="H4" s="40" t="s">
        <v>8</v>
      </c>
      <c r="I4" s="8"/>
      <c r="J4" s="12"/>
      <c r="K4" s="12" t="s">
        <v>1353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</row>
    <row r="5" spans="1:36" x14ac:dyDescent="0.2">
      <c r="A5" s="40"/>
      <c r="B5" s="25"/>
      <c r="C5" s="12"/>
      <c r="D5" s="12"/>
      <c r="E5" s="12"/>
      <c r="F5" s="12"/>
      <c r="G5" s="12"/>
      <c r="H5" s="12" t="s">
        <v>1604</v>
      </c>
      <c r="I5" s="12"/>
      <c r="J5" s="12"/>
      <c r="K5" s="12" t="s">
        <v>1137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6" spans="1:36" x14ac:dyDescent="0.2">
      <c r="A6" s="40" t="s">
        <v>805</v>
      </c>
      <c r="B6" s="25" t="s">
        <v>1128</v>
      </c>
      <c r="C6" s="12"/>
      <c r="D6" s="15">
        <v>246</v>
      </c>
      <c r="E6" s="12"/>
      <c r="F6" s="15">
        <v>779</v>
      </c>
      <c r="G6" s="12"/>
      <c r="H6" s="15">
        <v>1400</v>
      </c>
      <c r="I6" s="12"/>
      <c r="J6" s="12" t="s">
        <v>1478</v>
      </c>
      <c r="K6" s="12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</row>
    <row r="7" spans="1:36" x14ac:dyDescent="0.2">
      <c r="A7" s="40" t="s">
        <v>816</v>
      </c>
      <c r="B7" s="25" t="s">
        <v>947</v>
      </c>
      <c r="C7" s="12"/>
      <c r="D7" s="15">
        <v>40</v>
      </c>
      <c r="E7" s="12"/>
      <c r="F7" s="15">
        <v>25</v>
      </c>
      <c r="G7" s="12"/>
      <c r="H7" s="15">
        <v>25</v>
      </c>
      <c r="I7" s="12"/>
      <c r="J7" s="12"/>
      <c r="K7" s="12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</row>
    <row r="8" spans="1:36" x14ac:dyDescent="0.2">
      <c r="A8" s="40" t="s">
        <v>811</v>
      </c>
      <c r="B8" s="25" t="s">
        <v>1129</v>
      </c>
      <c r="C8" s="12"/>
      <c r="D8" s="22">
        <v>1.4999999999999999E-2</v>
      </c>
      <c r="E8" s="12"/>
      <c r="F8" s="23">
        <v>0.02</v>
      </c>
      <c r="G8" s="12"/>
      <c r="H8" s="23">
        <v>0.03</v>
      </c>
      <c r="I8" s="12"/>
      <c r="J8" s="12"/>
      <c r="K8" s="12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</row>
    <row r="9" spans="1:36" x14ac:dyDescent="0.2">
      <c r="A9" s="40" t="s">
        <v>811</v>
      </c>
      <c r="B9" s="25" t="s">
        <v>1128</v>
      </c>
      <c r="C9" s="12"/>
      <c r="D9" s="12">
        <f>D8*D6</f>
        <v>3.69</v>
      </c>
      <c r="E9" s="12"/>
      <c r="F9" s="12">
        <f>F8*F6</f>
        <v>15.58</v>
      </c>
      <c r="G9" s="12"/>
      <c r="H9" s="12">
        <f>H8*H6</f>
        <v>42</v>
      </c>
      <c r="I9" s="12"/>
      <c r="J9" s="12"/>
      <c r="K9" s="12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</row>
    <row r="10" spans="1:36" x14ac:dyDescent="0.2">
      <c r="A10" s="40" t="s">
        <v>13</v>
      </c>
      <c r="B10" s="25"/>
      <c r="C10" s="12"/>
      <c r="D10" s="23">
        <v>0.08</v>
      </c>
      <c r="E10" s="12"/>
      <c r="F10" s="23">
        <v>0.08</v>
      </c>
      <c r="G10" s="12"/>
      <c r="H10" s="23">
        <v>0.08</v>
      </c>
      <c r="I10" s="12"/>
      <c r="J10" s="12"/>
      <c r="K10" s="12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</row>
    <row r="11" spans="1:36" x14ac:dyDescent="0.2">
      <c r="A11" s="40" t="s">
        <v>10</v>
      </c>
      <c r="B11" s="25" t="s">
        <v>1130</v>
      </c>
      <c r="C11" s="12"/>
      <c r="D11" s="15">
        <v>2310</v>
      </c>
      <c r="E11" s="12"/>
      <c r="F11" s="15">
        <v>3500</v>
      </c>
      <c r="G11" s="12"/>
      <c r="H11" s="15">
        <v>4300</v>
      </c>
      <c r="I11" s="12"/>
      <c r="J11" s="12"/>
      <c r="K11" s="12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</row>
    <row r="12" spans="1:36" x14ac:dyDescent="0.2">
      <c r="A12" s="40" t="s">
        <v>1131</v>
      </c>
      <c r="B12" s="25" t="s">
        <v>1055</v>
      </c>
      <c r="C12" s="12"/>
      <c r="D12" s="24">
        <f>solar_invest*(D10+1/solar_lifetime)/D11*100</f>
        <v>1.1181818181818184</v>
      </c>
      <c r="E12" s="12"/>
      <c r="F12" s="24">
        <f>onshore_invest*(F10+1/onshore_lifetime)/F11*100</f>
        <v>2.6708571428571424</v>
      </c>
      <c r="G12" s="12"/>
      <c r="H12" s="24">
        <f>offshore_invest*(H10+1/offshore_lifetime)/H11*100</f>
        <v>3.9069767441860463</v>
      </c>
      <c r="I12" s="12"/>
      <c r="J12" s="12"/>
      <c r="K12" s="12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</row>
    <row r="13" spans="1:36" x14ac:dyDescent="0.2">
      <c r="A13" s="40" t="s">
        <v>1032</v>
      </c>
      <c r="B13" s="25" t="s">
        <v>1055</v>
      </c>
      <c r="C13" s="12"/>
      <c r="D13" s="24">
        <f>D9/D11*100</f>
        <v>0.15974025974025974</v>
      </c>
      <c r="E13" s="12"/>
      <c r="F13" s="24">
        <f>F9/F11*100</f>
        <v>0.44514285714285717</v>
      </c>
      <c r="G13" s="12"/>
      <c r="H13" s="24">
        <f>H9/H11*100</f>
        <v>0.97674418604651159</v>
      </c>
      <c r="I13" s="12"/>
      <c r="J13" s="12"/>
      <c r="K13" s="12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</row>
    <row r="14" spans="1:36" x14ac:dyDescent="0.2">
      <c r="A14" s="40" t="s">
        <v>12</v>
      </c>
      <c r="B14" s="25" t="s">
        <v>1055</v>
      </c>
      <c r="C14" s="12"/>
      <c r="D14" s="24">
        <f>D13+D12</f>
        <v>1.2779220779220781</v>
      </c>
      <c r="E14" s="12"/>
      <c r="F14" s="24">
        <f>F13+F12</f>
        <v>3.1159999999999997</v>
      </c>
      <c r="G14" s="12"/>
      <c r="H14" s="24">
        <f>H13+H12</f>
        <v>4.8837209302325579</v>
      </c>
      <c r="I14" s="12"/>
      <c r="J14" s="12"/>
      <c r="K14" s="12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</row>
    <row r="15" spans="1:36" x14ac:dyDescent="0.2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</row>
    <row r="16" spans="1:36" x14ac:dyDescent="0.2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</row>
    <row r="17" spans="1:36" x14ac:dyDescent="0.2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</row>
    <row r="18" spans="1:36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</row>
    <row r="19" spans="1:36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</row>
    <row r="20" spans="1:36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</row>
    <row r="21" spans="1:36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</row>
    <row r="22" spans="1:36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</row>
    <row r="23" spans="1:36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</row>
    <row r="24" spans="1:36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</row>
    <row r="25" spans="1:36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</row>
    <row r="26" spans="1:36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</row>
    <row r="27" spans="1:36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</row>
    <row r="28" spans="1:36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</row>
    <row r="29" spans="1:36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</row>
    <row r="30" spans="1:36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</row>
    <row r="31" spans="1:36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1:36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 spans="1:36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 spans="1:36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 spans="1:36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</row>
    <row r="36" spans="1:36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 spans="1:36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</row>
    <row r="38" spans="1:36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:36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1:36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10"/>
  <sheetViews>
    <sheetView workbookViewId="0">
      <selection activeCell="A2" sqref="A2:XFD2"/>
    </sheetView>
  </sheetViews>
  <sheetFormatPr defaultColWidth="11" defaultRowHeight="12.75" x14ac:dyDescent="0.2"/>
  <cols>
    <col min="1" max="1" width="13.5" style="26" customWidth="1"/>
    <col min="2" max="2" width="25.625" style="26" customWidth="1"/>
    <col min="3" max="3" width="14.375" style="26" customWidth="1"/>
    <col min="4" max="4" width="5.125" style="26" customWidth="1"/>
    <col min="5" max="5" width="14" style="26" bestFit="1" customWidth="1"/>
    <col min="6" max="16384" width="11" style="26"/>
  </cols>
  <sheetData>
    <row r="1" spans="1:33" s="211" customFormat="1" ht="23.25" x14ac:dyDescent="0.35">
      <c r="A1" s="207" t="s">
        <v>1620</v>
      </c>
      <c r="B1" s="207"/>
    </row>
    <row r="2" spans="1:33" x14ac:dyDescent="0.2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</row>
    <row r="3" spans="1:33" x14ac:dyDescent="0.2">
      <c r="A3" s="12"/>
      <c r="B3" s="40" t="s">
        <v>301</v>
      </c>
      <c r="C3" s="25" t="s">
        <v>1123</v>
      </c>
      <c r="D3" s="12"/>
      <c r="E3" s="15">
        <v>100</v>
      </c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</row>
    <row r="4" spans="1:33" x14ac:dyDescent="0.2">
      <c r="A4" s="12"/>
      <c r="B4" s="40" t="s">
        <v>1049</v>
      </c>
      <c r="C4" s="25" t="s">
        <v>1050</v>
      </c>
      <c r="D4" s="12"/>
      <c r="E4" s="15">
        <v>1000</v>
      </c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</row>
    <row r="5" spans="1:33" x14ac:dyDescent="0.2">
      <c r="A5" s="12"/>
      <c r="B5" s="40"/>
      <c r="C5" s="25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</row>
    <row r="6" spans="1:33" x14ac:dyDescent="0.2">
      <c r="A6" s="12"/>
      <c r="B6" s="40" t="s">
        <v>10</v>
      </c>
      <c r="C6" s="25"/>
      <c r="D6" s="12"/>
      <c r="E6" s="20">
        <f>hv_dc_custom</f>
        <v>7500</v>
      </c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</row>
    <row r="7" spans="1:33" x14ac:dyDescent="0.2">
      <c r="A7" s="12"/>
      <c r="B7" s="40" t="s">
        <v>1057</v>
      </c>
      <c r="C7" s="25"/>
      <c r="D7" s="12"/>
      <c r="E7" s="15">
        <v>1.1000000000000001</v>
      </c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</row>
    <row r="8" spans="1:33" x14ac:dyDescent="0.2">
      <c r="A8" s="12"/>
      <c r="B8" s="40" t="s">
        <v>1056</v>
      </c>
      <c r="C8" s="25"/>
      <c r="D8" s="12"/>
      <c r="E8" s="15">
        <v>1.2</v>
      </c>
      <c r="F8" s="12"/>
      <c r="G8" s="12" t="s">
        <v>1329</v>
      </c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</row>
    <row r="9" spans="1:33" x14ac:dyDescent="0.2">
      <c r="A9" s="12"/>
      <c r="B9" s="40"/>
      <c r="C9" s="25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</row>
    <row r="10" spans="1:33" x14ac:dyDescent="0.2">
      <c r="A10" s="12"/>
      <c r="B10" s="40" t="s">
        <v>836</v>
      </c>
      <c r="C10" s="25" t="s">
        <v>953</v>
      </c>
      <c r="D10" s="12"/>
      <c r="E10" s="16">
        <f>nl_e_demand/E6*1000*hv_dc_capacity_multiplier</f>
        <v>14.666666666666668</v>
      </c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</row>
    <row r="11" spans="1:33" x14ac:dyDescent="0.2">
      <c r="A11" s="12"/>
      <c r="B11" s="40" t="s">
        <v>1049</v>
      </c>
      <c r="C11" s="25" t="s">
        <v>1050</v>
      </c>
      <c r="D11" s="12"/>
      <c r="E11" s="16">
        <f>E4*1.2</f>
        <v>1200</v>
      </c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</row>
    <row r="12" spans="1:33" x14ac:dyDescent="0.2">
      <c r="A12" s="12"/>
      <c r="B12" s="40"/>
      <c r="C12" s="25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</row>
    <row r="13" spans="1:33" x14ac:dyDescent="0.2">
      <c r="A13" s="12"/>
      <c r="B13" s="40"/>
      <c r="C13" s="25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</row>
    <row r="14" spans="1:33" x14ac:dyDescent="0.2">
      <c r="A14" s="12"/>
      <c r="B14" s="40"/>
      <c r="C14" s="25"/>
      <c r="D14" s="12"/>
      <c r="E14" s="12"/>
      <c r="F14" s="12"/>
      <c r="G14" s="12" t="s">
        <v>1600</v>
      </c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</row>
    <row r="15" spans="1:33" x14ac:dyDescent="0.2">
      <c r="A15" s="12" t="s">
        <v>1045</v>
      </c>
      <c r="B15" s="40" t="s">
        <v>805</v>
      </c>
      <c r="C15" s="25" t="s">
        <v>1043</v>
      </c>
      <c r="D15" s="12"/>
      <c r="E15" s="15">
        <f>900/3</f>
        <v>300</v>
      </c>
      <c r="F15" s="12"/>
      <c r="G15" s="12" t="s">
        <v>1334</v>
      </c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</row>
    <row r="16" spans="1:33" x14ac:dyDescent="0.2">
      <c r="A16" s="12" t="s">
        <v>1046</v>
      </c>
      <c r="B16" s="40" t="s">
        <v>805</v>
      </c>
      <c r="C16" s="25" t="s">
        <v>1043</v>
      </c>
      <c r="D16" s="12"/>
      <c r="E16" s="15">
        <f>3000/3</f>
        <v>1000</v>
      </c>
      <c r="F16" s="12"/>
      <c r="G16" s="12" t="s">
        <v>1334</v>
      </c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</row>
    <row r="17" spans="1:33" x14ac:dyDescent="0.2">
      <c r="A17" s="12" t="s">
        <v>1044</v>
      </c>
      <c r="B17" s="40" t="s">
        <v>805</v>
      </c>
      <c r="C17" s="25" t="s">
        <v>1043</v>
      </c>
      <c r="D17" s="12"/>
      <c r="E17" s="27">
        <f>4100/3</f>
        <v>1366.6666666666667</v>
      </c>
      <c r="F17" s="12"/>
      <c r="G17" s="12" t="s">
        <v>1334</v>
      </c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</row>
    <row r="18" spans="1:33" x14ac:dyDescent="0.2">
      <c r="A18" s="12"/>
      <c r="B18" s="40" t="s">
        <v>1047</v>
      </c>
      <c r="C18" s="25" t="s">
        <v>1048</v>
      </c>
      <c r="D18" s="12"/>
      <c r="E18" s="15">
        <f>270000/3</f>
        <v>90000</v>
      </c>
      <c r="F18" s="12"/>
      <c r="G18" s="12" t="s">
        <v>1334</v>
      </c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</row>
    <row r="19" spans="1:33" x14ac:dyDescent="0.2">
      <c r="A19" s="12"/>
      <c r="B19" s="40"/>
      <c r="C19" s="25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</row>
    <row r="20" spans="1:33" x14ac:dyDescent="0.2">
      <c r="A20" s="12" t="s">
        <v>1045</v>
      </c>
      <c r="B20" s="40" t="s">
        <v>907</v>
      </c>
      <c r="C20" s="25" t="s">
        <v>1328</v>
      </c>
      <c r="D20" s="12"/>
      <c r="E20" s="18">
        <v>0.01</v>
      </c>
      <c r="F20" s="12"/>
      <c r="G20" s="12" t="s">
        <v>1334</v>
      </c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</row>
    <row r="21" spans="1:33" x14ac:dyDescent="0.2">
      <c r="A21" s="12" t="s">
        <v>1046</v>
      </c>
      <c r="B21" s="40" t="s">
        <v>907</v>
      </c>
      <c r="C21" s="25" t="s">
        <v>1328</v>
      </c>
      <c r="D21" s="12"/>
      <c r="E21" s="23">
        <v>1E-3</v>
      </c>
      <c r="F21" s="12"/>
      <c r="G21" s="12" t="s">
        <v>1334</v>
      </c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</row>
    <row r="22" spans="1:33" x14ac:dyDescent="0.2">
      <c r="A22" s="12" t="s">
        <v>1044</v>
      </c>
      <c r="B22" s="40" t="s">
        <v>907</v>
      </c>
      <c r="C22" s="25" t="s">
        <v>1328</v>
      </c>
      <c r="D22" s="12"/>
      <c r="E22" s="23">
        <v>1E-3</v>
      </c>
      <c r="F22" s="12"/>
      <c r="G22" s="12" t="s">
        <v>1334</v>
      </c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</row>
    <row r="23" spans="1:33" x14ac:dyDescent="0.2">
      <c r="A23" s="12"/>
      <c r="B23" s="40" t="s">
        <v>1047</v>
      </c>
      <c r="C23" s="25" t="s">
        <v>1328</v>
      </c>
      <c r="D23" s="12"/>
      <c r="E23" s="18">
        <v>0.01</v>
      </c>
      <c r="F23" s="12"/>
      <c r="G23" s="12" t="s">
        <v>1334</v>
      </c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</row>
    <row r="24" spans="1:33" x14ac:dyDescent="0.2">
      <c r="A24" s="12"/>
      <c r="B24" s="40"/>
      <c r="C24" s="25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</row>
    <row r="25" spans="1:33" x14ac:dyDescent="0.2">
      <c r="A25" s="12" t="s">
        <v>1045</v>
      </c>
      <c r="B25" s="40" t="s">
        <v>846</v>
      </c>
      <c r="C25" s="25" t="s">
        <v>1051</v>
      </c>
      <c r="D25" s="12"/>
      <c r="E25" s="23">
        <v>1.6E-2</v>
      </c>
      <c r="F25" s="12"/>
      <c r="G25" s="12" t="s">
        <v>1334</v>
      </c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</row>
    <row r="26" spans="1:33" x14ac:dyDescent="0.2">
      <c r="A26" s="12" t="s">
        <v>1046</v>
      </c>
      <c r="B26" s="40" t="s">
        <v>846</v>
      </c>
      <c r="C26" s="25" t="s">
        <v>1051</v>
      </c>
      <c r="D26" s="12"/>
      <c r="E26" s="23">
        <v>1.6E-2</v>
      </c>
      <c r="F26" s="12"/>
      <c r="G26" s="12" t="s">
        <v>1334</v>
      </c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</row>
    <row r="27" spans="1:33" x14ac:dyDescent="0.2">
      <c r="A27" s="12" t="s">
        <v>1044</v>
      </c>
      <c r="B27" s="40" t="s">
        <v>846</v>
      </c>
      <c r="C27" s="25" t="s">
        <v>1051</v>
      </c>
      <c r="D27" s="12"/>
      <c r="E27" s="23">
        <v>1.6E-2</v>
      </c>
      <c r="F27" s="12"/>
      <c r="G27" s="12" t="s">
        <v>1334</v>
      </c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</row>
    <row r="28" spans="1:33" x14ac:dyDescent="0.2">
      <c r="A28" s="12"/>
      <c r="B28" s="40" t="s">
        <v>1047</v>
      </c>
      <c r="C28" s="25" t="s">
        <v>1052</v>
      </c>
      <c r="D28" s="12"/>
      <c r="E28" s="23">
        <v>7.0000000000000001E-3</v>
      </c>
      <c r="F28" s="12"/>
      <c r="G28" s="12" t="s">
        <v>1334</v>
      </c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</row>
    <row r="29" spans="1:33" x14ac:dyDescent="0.2">
      <c r="A29" s="12"/>
      <c r="B29" s="40"/>
      <c r="C29" s="25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</row>
    <row r="30" spans="1:33" x14ac:dyDescent="0.2">
      <c r="A30" s="12"/>
      <c r="B30" s="40" t="s">
        <v>1133</v>
      </c>
      <c r="C30" s="25"/>
      <c r="D30" s="12"/>
      <c r="E30" s="23">
        <v>0.8</v>
      </c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</row>
    <row r="31" spans="1:33" x14ac:dyDescent="0.2">
      <c r="A31" s="12"/>
      <c r="B31" s="40" t="s">
        <v>1134</v>
      </c>
      <c r="C31" s="25"/>
      <c r="D31" s="12"/>
      <c r="E31" s="23">
        <f>1-E30</f>
        <v>0.19999999999999996</v>
      </c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</row>
    <row r="32" spans="1:33" x14ac:dyDescent="0.2">
      <c r="A32" s="12"/>
      <c r="B32" s="40"/>
      <c r="C32" s="25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</row>
    <row r="33" spans="1:33" x14ac:dyDescent="0.2">
      <c r="A33" s="12"/>
      <c r="B33" s="40" t="s">
        <v>1135</v>
      </c>
      <c r="C33" s="25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</row>
    <row r="34" spans="1:33" x14ac:dyDescent="0.2">
      <c r="A34" s="12"/>
      <c r="B34" s="40"/>
      <c r="C34" s="25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</row>
    <row r="35" spans="1:33" x14ac:dyDescent="0.2">
      <c r="A35" s="12"/>
      <c r="B35" s="40" t="s">
        <v>1054</v>
      </c>
      <c r="C35" s="25"/>
      <c r="D35" s="12"/>
      <c r="E35" s="15">
        <v>2</v>
      </c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</row>
    <row r="36" spans="1:33" x14ac:dyDescent="0.2">
      <c r="A36" s="12"/>
      <c r="B36" s="40"/>
      <c r="C36" s="25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</row>
    <row r="37" spans="1:33" x14ac:dyDescent="0.2">
      <c r="A37" s="12"/>
      <c r="B37" s="40" t="s">
        <v>1330</v>
      </c>
      <c r="C37" s="25" t="s">
        <v>1008</v>
      </c>
      <c r="D37" s="12"/>
      <c r="E37" s="28">
        <f>E10*1000*E11/1000000*E30*hv_dc_overhead_invest</f>
        <v>4224.0000000000009</v>
      </c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</row>
    <row r="38" spans="1:33" x14ac:dyDescent="0.2">
      <c r="A38" s="12"/>
      <c r="B38" s="40" t="s">
        <v>1331</v>
      </c>
      <c r="C38" s="25" t="s">
        <v>1008</v>
      </c>
      <c r="D38" s="12"/>
      <c r="E38" s="28">
        <f>E10*1000*E11/1000000*E31*E16</f>
        <v>3519.9999999999995</v>
      </c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</row>
    <row r="39" spans="1:33" x14ac:dyDescent="0.2">
      <c r="A39" s="12"/>
      <c r="B39" s="40" t="s">
        <v>1332</v>
      </c>
      <c r="C39" s="25" t="s">
        <v>1008</v>
      </c>
      <c r="D39" s="12"/>
      <c r="E39" s="28">
        <f>E10*1000*E11/1000000*hv_dc_under_invest*0</f>
        <v>0</v>
      </c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</row>
    <row r="40" spans="1:33" x14ac:dyDescent="0.2">
      <c r="A40" s="12"/>
      <c r="B40" s="40" t="s">
        <v>1333</v>
      </c>
      <c r="C40" s="25" t="s">
        <v>1008</v>
      </c>
      <c r="D40" s="12"/>
      <c r="E40" s="28">
        <f>hv_dc_station_number*hv_dc_station_invest*E10/1000</f>
        <v>2640</v>
      </c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</row>
    <row r="41" spans="1:33" x14ac:dyDescent="0.2">
      <c r="A41" s="12"/>
      <c r="B41" s="40" t="s">
        <v>805</v>
      </c>
      <c r="C41" s="25" t="s">
        <v>1008</v>
      </c>
      <c r="D41" s="12"/>
      <c r="E41" s="28">
        <f>SUM(E37:E40)</f>
        <v>10384</v>
      </c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</row>
    <row r="42" spans="1:33" x14ac:dyDescent="0.2">
      <c r="A42" s="12"/>
      <c r="B42" s="40" t="s">
        <v>816</v>
      </c>
      <c r="C42" s="25" t="s">
        <v>947</v>
      </c>
      <c r="D42" s="12"/>
      <c r="E42" s="15">
        <v>40</v>
      </c>
      <c r="F42" s="12"/>
      <c r="G42" s="12" t="s">
        <v>1060</v>
      </c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</row>
    <row r="43" spans="1:33" x14ac:dyDescent="0.2">
      <c r="A43" s="12"/>
      <c r="B43" s="40" t="s">
        <v>13</v>
      </c>
      <c r="C43" s="25"/>
      <c r="D43" s="12"/>
      <c r="E43" s="18">
        <v>0.08</v>
      </c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</row>
    <row r="44" spans="1:33" x14ac:dyDescent="0.2">
      <c r="A44" s="12"/>
      <c r="B44" s="40" t="s">
        <v>817</v>
      </c>
      <c r="C44" s="25" t="s">
        <v>999</v>
      </c>
      <c r="D44" s="12"/>
      <c r="E44" s="24">
        <f>E43*E41</f>
        <v>830.72</v>
      </c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</row>
    <row r="45" spans="1:33" x14ac:dyDescent="0.2">
      <c r="A45" s="12"/>
      <c r="B45" s="40" t="s">
        <v>1124</v>
      </c>
      <c r="C45" s="25" t="s">
        <v>999</v>
      </c>
      <c r="D45" s="12"/>
      <c r="E45" s="29">
        <f>E41/hv_dc_lifetime</f>
        <v>259.60000000000002</v>
      </c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</row>
    <row r="46" spans="1:33" x14ac:dyDescent="0.2">
      <c r="A46" s="12"/>
      <c r="B46" s="40" t="s">
        <v>1132</v>
      </c>
      <c r="C46" s="25" t="s">
        <v>999</v>
      </c>
      <c r="D46" s="12"/>
      <c r="E46" s="28">
        <f>E44+E45</f>
        <v>1090.3200000000002</v>
      </c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</row>
    <row r="47" spans="1:33" x14ac:dyDescent="0.2">
      <c r="A47" s="12"/>
      <c r="B47" s="40"/>
      <c r="C47" s="25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</row>
    <row r="48" spans="1:33" x14ac:dyDescent="0.2">
      <c r="A48" s="12"/>
      <c r="B48" s="25"/>
      <c r="C48" s="25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</row>
    <row r="49" spans="1:33" x14ac:dyDescent="0.2">
      <c r="A49" s="12"/>
      <c r="B49" s="40" t="s">
        <v>907</v>
      </c>
      <c r="C49" s="25" t="s">
        <v>999</v>
      </c>
      <c r="D49" s="12"/>
      <c r="E49" s="28">
        <f>(hv_dc_overhead_opex*E37+hv_dc_sea_opex*E38+hv_dc_under_opex*E39+hv_dc_station_opex*E40)</f>
        <v>72.160000000000011</v>
      </c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</row>
    <row r="50" spans="1:33" x14ac:dyDescent="0.2">
      <c r="A50" s="12"/>
      <c r="B50" s="40"/>
      <c r="C50" s="25"/>
      <c r="D50" s="12"/>
      <c r="E50" s="28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</row>
    <row r="51" spans="1:33" x14ac:dyDescent="0.2">
      <c r="A51" s="12"/>
      <c r="B51" s="40" t="s">
        <v>833</v>
      </c>
      <c r="C51" s="25" t="s">
        <v>999</v>
      </c>
      <c r="D51" s="12"/>
      <c r="E51" s="28">
        <f>E46+E49</f>
        <v>1162.4800000000002</v>
      </c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</row>
    <row r="52" spans="1:33" x14ac:dyDescent="0.2">
      <c r="A52" s="12"/>
      <c r="B52" s="40" t="s">
        <v>1136</v>
      </c>
      <c r="C52" s="25" t="s">
        <v>1055</v>
      </c>
      <c r="D52" s="12"/>
      <c r="E52" s="30">
        <f>(E46+E49)/(E3*1000)*100</f>
        <v>1.1624800000000002</v>
      </c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</row>
    <row r="53" spans="1:33" x14ac:dyDescent="0.2">
      <c r="A53" s="12"/>
      <c r="B53" s="40"/>
      <c r="C53" s="25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</row>
    <row r="54" spans="1:33" x14ac:dyDescent="0.2">
      <c r="A54" s="12"/>
      <c r="B54" s="40" t="s">
        <v>846</v>
      </c>
      <c r="C54" s="25"/>
      <c r="D54" s="12"/>
      <c r="E54" s="31">
        <f>(1-(1-HV_DC_Grid!$E$25)^(E11*E30/1000))+(1-(1-HV_DC_Grid!$E$26)^(E11*E31/1000))+HV_DC_Grid!$E$35*HV_DC_Grid!$E$28</f>
        <v>3.3228511488941112E-2</v>
      </c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</row>
    <row r="55" spans="1:33" x14ac:dyDescent="0.2">
      <c r="A55" s="12"/>
      <c r="B55" s="40"/>
      <c r="C55" s="25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</row>
    <row r="56" spans="1:33" x14ac:dyDescent="0.2">
      <c r="A56" s="12"/>
      <c r="B56" s="40" t="s">
        <v>1039</v>
      </c>
      <c r="C56" s="25" t="s">
        <v>1053</v>
      </c>
      <c r="D56" s="12"/>
      <c r="E56" s="16">
        <f>E3/(1-E54)</f>
        <v>103.43705952066469</v>
      </c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</row>
    <row r="57" spans="1:33" x14ac:dyDescent="0.2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</row>
    <row r="58" spans="1:33" x14ac:dyDescent="0.2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</row>
    <row r="59" spans="1:33" x14ac:dyDescent="0.2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</row>
    <row r="60" spans="1:33" x14ac:dyDescent="0.2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</row>
    <row r="61" spans="1:33" x14ac:dyDescent="0.2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</row>
    <row r="62" spans="1:33" x14ac:dyDescent="0.2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</row>
    <row r="63" spans="1:33" x14ac:dyDescent="0.2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</row>
    <row r="64" spans="1:33" x14ac:dyDescent="0.2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</row>
    <row r="65" spans="1:33" x14ac:dyDescent="0.2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</row>
    <row r="66" spans="1:33" x14ac:dyDescent="0.2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</row>
    <row r="67" spans="1:33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</row>
    <row r="68" spans="1:33" x14ac:dyDescent="0.2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</row>
    <row r="69" spans="1:33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</row>
    <row r="70" spans="1:33" x14ac:dyDescent="0.2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</row>
    <row r="71" spans="1:33" x14ac:dyDescent="0.2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</row>
    <row r="72" spans="1:33" x14ac:dyDescent="0.2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</row>
    <row r="73" spans="1:33" x14ac:dyDescent="0.2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</row>
    <row r="74" spans="1:33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</row>
    <row r="75" spans="1:33" x14ac:dyDescent="0.2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</row>
    <row r="76" spans="1:33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</row>
    <row r="77" spans="1:33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</row>
    <row r="78" spans="1:33" x14ac:dyDescent="0.2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</row>
    <row r="79" spans="1:33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</row>
    <row r="80" spans="1:33" x14ac:dyDescent="0.2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</row>
    <row r="81" spans="1:33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</row>
    <row r="82" spans="1:33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</row>
    <row r="83" spans="1:33" x14ac:dyDescent="0.2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</row>
    <row r="84" spans="1:33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</row>
    <row r="85" spans="1:33" x14ac:dyDescent="0.2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</row>
    <row r="86" spans="1:33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</row>
    <row r="87" spans="1:33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</row>
    <row r="88" spans="1:33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</row>
    <row r="89" spans="1:33" x14ac:dyDescent="0.2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</row>
    <row r="90" spans="1:33" x14ac:dyDescent="0.2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</row>
    <row r="91" spans="1:33" x14ac:dyDescent="0.2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</row>
    <row r="92" spans="1:33" x14ac:dyDescent="0.2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</row>
    <row r="93" spans="1:33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</row>
    <row r="94" spans="1:33" x14ac:dyDescent="0.2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</row>
    <row r="95" spans="1:33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</row>
    <row r="96" spans="1:33" x14ac:dyDescent="0.2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</row>
    <row r="97" spans="1:33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</row>
    <row r="98" spans="1:33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</row>
    <row r="99" spans="1:33" x14ac:dyDescent="0.2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</row>
    <row r="100" spans="1:33" x14ac:dyDescent="0.2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</row>
    <row r="101" spans="1:33" x14ac:dyDescent="0.2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</row>
    <row r="102" spans="1:33" x14ac:dyDescent="0.2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</row>
    <row r="103" spans="1:33" x14ac:dyDescent="0.2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</row>
    <row r="104" spans="1:33" x14ac:dyDescent="0.2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</row>
    <row r="105" spans="1:33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</row>
    <row r="106" spans="1:33" x14ac:dyDescent="0.2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</row>
    <row r="107" spans="1:33" x14ac:dyDescent="0.2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</row>
    <row r="108" spans="1:33" x14ac:dyDescent="0.2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</row>
    <row r="109" spans="1:33" x14ac:dyDescent="0.2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</row>
    <row r="110" spans="1:33" x14ac:dyDescent="0.2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</row>
  </sheetData>
  <pageMargins left="0.7" right="0.7" top="0.75" bottom="0.75" header="0.3" footer="0.3"/>
  <pageSetup paperSize="9" orientation="portrait" horizontalDpi="0" verticalDpi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0"/>
  <sheetViews>
    <sheetView workbookViewId="0">
      <selection activeCell="A2" sqref="A2:XFD2"/>
    </sheetView>
  </sheetViews>
  <sheetFormatPr defaultColWidth="11" defaultRowHeight="12.75" x14ac:dyDescent="0.2"/>
  <cols>
    <col min="1" max="1" width="23.625" style="26" customWidth="1"/>
    <col min="2" max="2" width="9.625" style="26" customWidth="1"/>
    <col min="3" max="3" width="10.5" style="26" customWidth="1"/>
    <col min="4" max="4" width="15" style="26" customWidth="1"/>
    <col min="5" max="16384" width="11" style="26"/>
  </cols>
  <sheetData>
    <row r="1" spans="1:29" s="211" customFormat="1" ht="23.25" x14ac:dyDescent="0.35">
      <c r="A1" s="207" t="s">
        <v>1619</v>
      </c>
    </row>
    <row r="2" spans="1:29" x14ac:dyDescent="0.2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</row>
    <row r="3" spans="1:29" x14ac:dyDescent="0.2">
      <c r="A3" s="238" t="s">
        <v>1020</v>
      </c>
      <c r="B3" s="238" t="s">
        <v>980</v>
      </c>
      <c r="C3" s="238"/>
      <c r="D3" s="238">
        <f>Storage!AC57</f>
        <v>13668000</v>
      </c>
      <c r="E3" s="238"/>
      <c r="F3" s="214"/>
      <c r="G3" s="214"/>
      <c r="H3" s="214"/>
      <c r="I3" s="214"/>
      <c r="J3" s="214"/>
      <c r="K3" s="214"/>
      <c r="L3" s="214"/>
      <c r="M3" s="214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</row>
    <row r="4" spans="1:29" x14ac:dyDescent="0.2">
      <c r="A4" s="40"/>
      <c r="B4" s="40"/>
      <c r="C4" s="8"/>
      <c r="D4" s="8"/>
      <c r="E4" s="8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</row>
    <row r="5" spans="1:29" x14ac:dyDescent="0.2">
      <c r="A5" s="40"/>
      <c r="B5" s="40"/>
      <c r="C5" s="8"/>
      <c r="D5" s="8"/>
      <c r="E5" s="8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</row>
    <row r="6" spans="1:29" x14ac:dyDescent="0.2">
      <c r="A6" s="40" t="s">
        <v>1013</v>
      </c>
      <c r="B6" s="25" t="s">
        <v>955</v>
      </c>
      <c r="C6" s="8"/>
      <c r="D6" s="32" t="s">
        <v>906</v>
      </c>
      <c r="E6" s="8"/>
      <c r="F6" s="12" t="s">
        <v>915</v>
      </c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</row>
    <row r="7" spans="1:29" x14ac:dyDescent="0.2">
      <c r="A7" s="40" t="s">
        <v>1190</v>
      </c>
      <c r="B7" s="25" t="s">
        <v>1188</v>
      </c>
      <c r="C7" s="8"/>
      <c r="D7" s="12">
        <v>5.7</v>
      </c>
      <c r="E7" s="8"/>
      <c r="F7" s="12" t="s">
        <v>915</v>
      </c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</row>
    <row r="8" spans="1:29" x14ac:dyDescent="0.2">
      <c r="A8" s="40" t="s">
        <v>1191</v>
      </c>
      <c r="B8" s="25" t="s">
        <v>1189</v>
      </c>
      <c r="C8" s="8"/>
      <c r="D8" s="12">
        <v>15</v>
      </c>
      <c r="E8" s="8"/>
      <c r="F8" s="12" t="s">
        <v>915</v>
      </c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</row>
    <row r="9" spans="1:29" x14ac:dyDescent="0.2">
      <c r="A9" s="40"/>
      <c r="B9" s="40"/>
      <c r="C9" s="8"/>
      <c r="D9" s="8"/>
      <c r="E9" s="8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</row>
    <row r="10" spans="1:29" x14ac:dyDescent="0.2">
      <c r="A10" s="40" t="s">
        <v>1153</v>
      </c>
      <c r="B10" s="25" t="s">
        <v>1158</v>
      </c>
      <c r="C10" s="12"/>
      <c r="D10" s="28">
        <f>D3/8760*1000</f>
        <v>1560273.9726027399</v>
      </c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</row>
    <row r="11" spans="1:29" x14ac:dyDescent="0.2">
      <c r="A11" s="40" t="s">
        <v>1057</v>
      </c>
      <c r="B11" s="25"/>
      <c r="C11" s="12"/>
      <c r="D11" s="15">
        <v>1.1000000000000001</v>
      </c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</row>
    <row r="12" spans="1:29" x14ac:dyDescent="0.2">
      <c r="A12" s="40" t="s">
        <v>1154</v>
      </c>
      <c r="B12" s="25" t="s">
        <v>1158</v>
      </c>
      <c r="C12" s="12"/>
      <c r="D12" s="27">
        <f>D10*D11</f>
        <v>1716301.369863014</v>
      </c>
      <c r="E12" s="12"/>
      <c r="F12" s="33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</row>
    <row r="13" spans="1:29" x14ac:dyDescent="0.2">
      <c r="A13" s="40" t="s">
        <v>1155</v>
      </c>
      <c r="B13" s="25" t="s">
        <v>1159</v>
      </c>
      <c r="C13" s="12"/>
      <c r="D13" s="16">
        <f>D12/D7</f>
        <v>301105.50348473928</v>
      </c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</row>
    <row r="14" spans="1:29" x14ac:dyDescent="0.2">
      <c r="A14" s="40"/>
      <c r="B14" s="25" t="s">
        <v>1160</v>
      </c>
      <c r="C14" s="12"/>
      <c r="D14" s="34">
        <f>D13/3600</f>
        <v>83.640417634649793</v>
      </c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</row>
    <row r="15" spans="1:29" x14ac:dyDescent="0.2">
      <c r="A15" s="40" t="s">
        <v>1156</v>
      </c>
      <c r="B15" s="25" t="s">
        <v>1161</v>
      </c>
      <c r="C15" s="12"/>
      <c r="D15" s="24">
        <f>D14/D8</f>
        <v>5.576027842309986</v>
      </c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</row>
    <row r="16" spans="1:29" x14ac:dyDescent="0.2">
      <c r="A16" s="40" t="s">
        <v>1157</v>
      </c>
      <c r="B16" s="25" t="s">
        <v>1162</v>
      </c>
      <c r="C16" s="12"/>
      <c r="D16" s="24">
        <f>SQRT(D15*4/PI())</f>
        <v>2.6645110529651324</v>
      </c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</row>
    <row r="17" spans="1:29" x14ac:dyDescent="0.2">
      <c r="A17" s="40"/>
      <c r="B17" s="25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</row>
    <row r="18" spans="1:29" x14ac:dyDescent="0.2">
      <c r="A18" s="40" t="s">
        <v>816</v>
      </c>
      <c r="B18" s="25" t="s">
        <v>947</v>
      </c>
      <c r="C18" s="8"/>
      <c r="D18" s="15">
        <v>40</v>
      </c>
      <c r="E18" s="8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</row>
    <row r="19" spans="1:29" x14ac:dyDescent="0.2">
      <c r="A19" s="40"/>
      <c r="B19" s="25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</row>
    <row r="20" spans="1:29" x14ac:dyDescent="0.2">
      <c r="A20" s="40" t="s">
        <v>1602</v>
      </c>
      <c r="B20" s="25"/>
      <c r="C20" s="12"/>
      <c r="D20" s="15" t="s">
        <v>1598</v>
      </c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</row>
    <row r="21" spans="1:29" x14ac:dyDescent="0.2">
      <c r="A21" s="40" t="s">
        <v>910</v>
      </c>
      <c r="B21" s="25" t="s">
        <v>1185</v>
      </c>
      <c r="C21" s="12"/>
      <c r="D21" s="16">
        <f>INDEX(F22:F24,MATCH(D20,H22:H24,0))</f>
        <v>9703.1360203181994</v>
      </c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</row>
    <row r="22" spans="1:29" x14ac:dyDescent="0.2">
      <c r="A22" s="40" t="s">
        <v>910</v>
      </c>
      <c r="B22" s="25" t="s">
        <v>1186</v>
      </c>
      <c r="C22" s="12"/>
      <c r="D22" s="24">
        <f>D21/1000</f>
        <v>9.7031360203181993</v>
      </c>
      <c r="E22" s="12"/>
      <c r="F22" s="28">
        <f>D16^2*2200+D16*860+247.5</f>
        <v>18158.1416385714</v>
      </c>
      <c r="G22" s="12" t="s">
        <v>911</v>
      </c>
      <c r="H22" s="12" t="s">
        <v>915</v>
      </c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</row>
    <row r="23" spans="1:29" x14ac:dyDescent="0.2">
      <c r="A23" s="40" t="s">
        <v>916</v>
      </c>
      <c r="B23" s="25" t="s">
        <v>1050</v>
      </c>
      <c r="C23" s="12"/>
      <c r="D23" s="12">
        <v>1000</v>
      </c>
      <c r="E23" s="12"/>
      <c r="F23" s="28">
        <f>(D16*100/2.545454)^2*1869/1000/eurusd_rate+300/eurusd_rate</f>
        <v>17913.138410080301</v>
      </c>
      <c r="G23" s="12" t="s">
        <v>911</v>
      </c>
      <c r="H23" s="12" t="s">
        <v>1601</v>
      </c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</row>
    <row r="24" spans="1:29" x14ac:dyDescent="0.2">
      <c r="A24" s="40" t="s">
        <v>917</v>
      </c>
      <c r="B24" s="25"/>
      <c r="C24" s="12"/>
      <c r="D24" s="15">
        <v>1.2</v>
      </c>
      <c r="E24" s="12"/>
      <c r="F24" s="28">
        <f>((D16*100/2.545454)^2*1021.7-20393*(D16*100/2.545454)+642720)/1000</f>
        <v>9703.1360203181994</v>
      </c>
      <c r="G24" s="12" t="s">
        <v>911</v>
      </c>
      <c r="H24" s="12" t="s">
        <v>1598</v>
      </c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</row>
    <row r="25" spans="1:29" x14ac:dyDescent="0.2">
      <c r="A25" s="40" t="s">
        <v>918</v>
      </c>
      <c r="B25" s="25" t="s">
        <v>1050</v>
      </c>
      <c r="C25" s="12"/>
      <c r="D25" s="12">
        <f>D23*D24</f>
        <v>1200</v>
      </c>
      <c r="E25" s="12"/>
      <c r="F25" s="12"/>
      <c r="G25" s="12"/>
      <c r="H25" s="12" t="s">
        <v>1603</v>
      </c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</row>
    <row r="26" spans="1:29" x14ac:dyDescent="0.2">
      <c r="A26" s="40" t="s">
        <v>910</v>
      </c>
      <c r="B26" s="25" t="s">
        <v>1008</v>
      </c>
      <c r="C26" s="12"/>
      <c r="D26" s="28">
        <f>D21*D25*1000/1000000</f>
        <v>11643.763224381839</v>
      </c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</row>
    <row r="27" spans="1:29" x14ac:dyDescent="0.2">
      <c r="A27" s="40" t="s">
        <v>13</v>
      </c>
      <c r="B27" s="25"/>
      <c r="C27" s="12"/>
      <c r="D27" s="17">
        <v>0.08</v>
      </c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</row>
    <row r="28" spans="1:29" x14ac:dyDescent="0.2">
      <c r="A28" s="40" t="s">
        <v>815</v>
      </c>
      <c r="B28" s="25" t="s">
        <v>999</v>
      </c>
      <c r="C28" s="12"/>
      <c r="D28" s="24">
        <f>D27*D26</f>
        <v>931.50105795054708</v>
      </c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</row>
    <row r="29" spans="1:29" x14ac:dyDescent="0.2">
      <c r="A29" s="40" t="s">
        <v>1124</v>
      </c>
      <c r="B29" s="25" t="s">
        <v>999</v>
      </c>
      <c r="C29" s="12"/>
      <c r="D29" s="24">
        <f>D26/pipeline_lifetime</f>
        <v>291.09408060954598</v>
      </c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</row>
    <row r="30" spans="1:29" x14ac:dyDescent="0.2">
      <c r="A30" s="40" t="s">
        <v>912</v>
      </c>
      <c r="B30" s="25" t="s">
        <v>999</v>
      </c>
      <c r="C30" s="12"/>
      <c r="D30" s="24">
        <f>D29+D28</f>
        <v>1222.5951385600931</v>
      </c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</row>
    <row r="31" spans="1:29" x14ac:dyDescent="0.2">
      <c r="A31" s="40" t="s">
        <v>907</v>
      </c>
      <c r="B31" s="25" t="s">
        <v>1187</v>
      </c>
      <c r="C31" s="12"/>
      <c r="D31" s="35">
        <v>0.04</v>
      </c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</row>
    <row r="32" spans="1:29" x14ac:dyDescent="0.2">
      <c r="A32" s="40" t="s">
        <v>907</v>
      </c>
      <c r="B32" s="25" t="s">
        <v>999</v>
      </c>
      <c r="C32" s="12"/>
      <c r="D32" s="24">
        <f>D31*D26</f>
        <v>465.75052897527354</v>
      </c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</row>
    <row r="33" spans="1:29" x14ac:dyDescent="0.2">
      <c r="A33" s="40"/>
      <c r="B33" s="25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</row>
    <row r="34" spans="1:29" x14ac:dyDescent="0.2">
      <c r="A34" s="40" t="s">
        <v>1192</v>
      </c>
      <c r="B34" s="25" t="s">
        <v>999</v>
      </c>
      <c r="C34" s="12"/>
      <c r="D34" s="24">
        <f>D32+D30</f>
        <v>1688.3456675353666</v>
      </c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</row>
    <row r="35" spans="1:29" x14ac:dyDescent="0.2">
      <c r="A35" s="40" t="s">
        <v>1192</v>
      </c>
      <c r="B35" s="25" t="s">
        <v>946</v>
      </c>
      <c r="C35" s="12"/>
      <c r="D35" s="24">
        <f>D34*1000000/D3</f>
        <v>123.52543660633351</v>
      </c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</row>
    <row r="36" spans="1:29" x14ac:dyDescent="0.2">
      <c r="A36" s="40"/>
      <c r="B36" s="25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</row>
    <row r="37" spans="1:29" x14ac:dyDescent="0.2">
      <c r="A37" s="40" t="s">
        <v>846</v>
      </c>
      <c r="B37" s="25"/>
      <c r="C37" s="12"/>
      <c r="D37" s="36">
        <v>5.0000000000000001E-3</v>
      </c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</row>
    <row r="38" spans="1:29" x14ac:dyDescent="0.2">
      <c r="A38" s="40"/>
      <c r="B38" s="25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</row>
    <row r="39" spans="1:29" x14ac:dyDescent="0.2">
      <c r="A39" s="40" t="s">
        <v>1021</v>
      </c>
      <c r="B39" s="40" t="s">
        <v>980</v>
      </c>
      <c r="C39" s="8"/>
      <c r="D39" s="8">
        <f>D3/(1-D37)</f>
        <v>13736683.417085428</v>
      </c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</row>
    <row r="40" spans="1:29" x14ac:dyDescent="0.2">
      <c r="A40" s="40"/>
      <c r="B40" s="40"/>
      <c r="C40" s="8"/>
      <c r="D40" s="8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</row>
    <row r="41" spans="1:29" x14ac:dyDescent="0.2">
      <c r="A41" s="40"/>
      <c r="B41" s="40"/>
      <c r="C41" s="8"/>
      <c r="D41" s="8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</row>
    <row r="42" spans="1:29" x14ac:dyDescent="0.2">
      <c r="A42" s="40"/>
      <c r="B42" s="25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</row>
    <row r="43" spans="1:29" x14ac:dyDescent="0.2">
      <c r="A43" s="40" t="s">
        <v>919</v>
      </c>
      <c r="B43" s="40"/>
      <c r="C43" s="8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</row>
    <row r="44" spans="1:29" x14ac:dyDescent="0.2">
      <c r="A44" s="40"/>
      <c r="B44" s="40"/>
      <c r="C44" s="8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</row>
    <row r="45" spans="1:29" x14ac:dyDescent="0.2">
      <c r="A45" s="40" t="s">
        <v>1020</v>
      </c>
      <c r="B45" s="40" t="s">
        <v>980</v>
      </c>
      <c r="C45" s="12"/>
      <c r="D45" s="16">
        <f>D39</f>
        <v>13736683.417085428</v>
      </c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</row>
    <row r="46" spans="1:29" x14ac:dyDescent="0.2">
      <c r="A46" s="40"/>
      <c r="B46" s="25"/>
      <c r="C46" s="12"/>
      <c r="D46" s="12"/>
      <c r="E46" s="12"/>
      <c r="F46" s="12" t="s">
        <v>1193</v>
      </c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</row>
    <row r="47" spans="1:29" x14ac:dyDescent="0.2">
      <c r="A47" s="40" t="s">
        <v>920</v>
      </c>
      <c r="B47" s="25" t="s">
        <v>943</v>
      </c>
      <c r="C47" s="12"/>
      <c r="D47" s="37">
        <v>0.2</v>
      </c>
      <c r="E47" s="12"/>
      <c r="F47" s="12" t="s">
        <v>1447</v>
      </c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</row>
    <row r="48" spans="1:29" x14ac:dyDescent="0.2">
      <c r="A48" s="40" t="s">
        <v>921</v>
      </c>
      <c r="B48" s="25" t="s">
        <v>1158</v>
      </c>
      <c r="C48" s="12"/>
      <c r="D48" s="28">
        <f>D12</f>
        <v>1716301.369863014</v>
      </c>
      <c r="E48" s="12"/>
      <c r="F48" s="12" t="s">
        <v>1446</v>
      </c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</row>
    <row r="49" spans="1:29" x14ac:dyDescent="0.2">
      <c r="A49" s="40"/>
      <c r="B49" s="25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</row>
    <row r="50" spans="1:29" x14ac:dyDescent="0.2">
      <c r="A50" s="40" t="s">
        <v>923</v>
      </c>
      <c r="B50" s="25" t="s">
        <v>1164</v>
      </c>
      <c r="C50" s="12"/>
      <c r="D50" s="28">
        <f>D47*D48</f>
        <v>343260.27397260279</v>
      </c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</row>
    <row r="51" spans="1:29" x14ac:dyDescent="0.2">
      <c r="A51" s="40" t="s">
        <v>924</v>
      </c>
      <c r="B51" s="25"/>
      <c r="C51" s="12"/>
      <c r="D51" s="15">
        <v>5</v>
      </c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</row>
    <row r="52" spans="1:29" x14ac:dyDescent="0.2">
      <c r="A52" s="40" t="s">
        <v>925</v>
      </c>
      <c r="B52" s="25" t="s">
        <v>1164</v>
      </c>
      <c r="C52" s="12"/>
      <c r="D52" s="28">
        <f>D50/D51</f>
        <v>68652.054794520562</v>
      </c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</row>
    <row r="53" spans="1:29" x14ac:dyDescent="0.2">
      <c r="A53" s="40"/>
      <c r="B53" s="25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</row>
    <row r="54" spans="1:29" x14ac:dyDescent="0.2">
      <c r="A54" s="40" t="s">
        <v>816</v>
      </c>
      <c r="B54" s="25" t="s">
        <v>947</v>
      </c>
      <c r="C54" s="12"/>
      <c r="D54" s="15">
        <v>25</v>
      </c>
      <c r="E54" s="12"/>
      <c r="F54" s="12" t="s">
        <v>1592</v>
      </c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</row>
    <row r="55" spans="1:29" x14ac:dyDescent="0.2">
      <c r="A55" s="40"/>
      <c r="B55" s="25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</row>
    <row r="56" spans="1:29" x14ac:dyDescent="0.2">
      <c r="A56" s="40" t="s">
        <v>927</v>
      </c>
      <c r="B56" s="25" t="s">
        <v>1008</v>
      </c>
      <c r="C56" s="12"/>
      <c r="D56" s="38">
        <f>0.015*(D52/1)^0.6089</f>
        <v>13.216899869882333</v>
      </c>
      <c r="E56" s="12"/>
      <c r="F56" s="12" t="s">
        <v>915</v>
      </c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</row>
    <row r="57" spans="1:29" x14ac:dyDescent="0.2">
      <c r="A57" s="40" t="s">
        <v>926</v>
      </c>
      <c r="B57" s="25" t="s">
        <v>1008</v>
      </c>
      <c r="C57" s="12"/>
      <c r="D57" s="24">
        <f>D51*D56</f>
        <v>66.084499349411658</v>
      </c>
      <c r="E57" s="12"/>
      <c r="F57" s="12" t="s">
        <v>915</v>
      </c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</row>
    <row r="58" spans="1:29" x14ac:dyDescent="0.2">
      <c r="A58" s="40" t="s">
        <v>13</v>
      </c>
      <c r="B58" s="25"/>
      <c r="C58" s="12"/>
      <c r="D58" s="17">
        <v>0.08</v>
      </c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</row>
    <row r="59" spans="1:29" x14ac:dyDescent="0.2">
      <c r="A59" s="40" t="s">
        <v>817</v>
      </c>
      <c r="B59" s="25" t="s">
        <v>999</v>
      </c>
      <c r="C59" s="12"/>
      <c r="D59" s="24">
        <f>D58*D57</f>
        <v>5.286759947952933</v>
      </c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</row>
    <row r="60" spans="1:29" x14ac:dyDescent="0.2">
      <c r="A60" s="40" t="s">
        <v>1124</v>
      </c>
      <c r="B60" s="25" t="s">
        <v>999</v>
      </c>
      <c r="C60" s="12"/>
      <c r="D60" s="24">
        <f>D57/pipeline_comp_lifetime</f>
        <v>2.6433799739764665</v>
      </c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</row>
    <row r="61" spans="1:29" x14ac:dyDescent="0.2">
      <c r="A61" s="40" t="s">
        <v>931</v>
      </c>
      <c r="B61" s="25" t="s">
        <v>1008</v>
      </c>
      <c r="C61" s="12"/>
      <c r="D61" s="24">
        <f>D59+D60</f>
        <v>7.9301399219293991</v>
      </c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</row>
    <row r="62" spans="1:29" x14ac:dyDescent="0.2">
      <c r="A62" s="40" t="s">
        <v>930</v>
      </c>
      <c r="B62" s="25"/>
      <c r="C62" s="12"/>
      <c r="D62" s="18">
        <v>0.04</v>
      </c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</row>
    <row r="63" spans="1:29" x14ac:dyDescent="0.2">
      <c r="A63" s="40" t="s">
        <v>930</v>
      </c>
      <c r="B63" s="25" t="s">
        <v>999</v>
      </c>
      <c r="C63" s="12"/>
      <c r="D63" s="24">
        <f>D62*D57</f>
        <v>2.6433799739764665</v>
      </c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</row>
    <row r="64" spans="1:29" x14ac:dyDescent="0.2">
      <c r="A64" s="40"/>
      <c r="B64" s="25"/>
      <c r="C64" s="12"/>
      <c r="D64" s="24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</row>
    <row r="65" spans="1:29" x14ac:dyDescent="0.2">
      <c r="A65" s="40"/>
      <c r="B65" s="25"/>
      <c r="C65" s="12"/>
      <c r="D65" s="24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</row>
    <row r="66" spans="1:29" x14ac:dyDescent="0.2">
      <c r="A66" s="40" t="s">
        <v>920</v>
      </c>
      <c r="B66" s="25" t="s">
        <v>1163</v>
      </c>
      <c r="C66" s="12"/>
      <c r="D66" s="12">
        <f>D47*D3</f>
        <v>2733600</v>
      </c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</row>
    <row r="67" spans="1:29" x14ac:dyDescent="0.2">
      <c r="A67" s="40" t="s">
        <v>928</v>
      </c>
      <c r="B67" s="25" t="s">
        <v>1000</v>
      </c>
      <c r="C67" s="12"/>
      <c r="D67" s="38">
        <v>0.03</v>
      </c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</row>
    <row r="68" spans="1:29" x14ac:dyDescent="0.2">
      <c r="A68" s="40" t="s">
        <v>929</v>
      </c>
      <c r="B68" s="25" t="s">
        <v>999</v>
      </c>
      <c r="C68" s="12"/>
      <c r="D68" s="24">
        <f>D66*1000*D67/1000000</f>
        <v>82.007999999999996</v>
      </c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</row>
    <row r="69" spans="1:29" x14ac:dyDescent="0.2">
      <c r="A69" s="40"/>
      <c r="B69" s="25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</row>
    <row r="70" spans="1:29" x14ac:dyDescent="0.2">
      <c r="A70" s="40" t="s">
        <v>1192</v>
      </c>
      <c r="B70" s="25" t="s">
        <v>999</v>
      </c>
      <c r="C70" s="12"/>
      <c r="D70" s="24">
        <f>D61+D63+D68</f>
        <v>92.581519895905856</v>
      </c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</row>
    <row r="71" spans="1:29" x14ac:dyDescent="0.2">
      <c r="A71" s="40" t="s">
        <v>1192</v>
      </c>
      <c r="B71" s="25" t="s">
        <v>946</v>
      </c>
      <c r="C71" s="12"/>
      <c r="D71" s="24">
        <f>D70*1000000/D3</f>
        <v>6.7735967146550964</v>
      </c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</row>
    <row r="72" spans="1:29" x14ac:dyDescent="0.2">
      <c r="A72" s="40"/>
      <c r="B72" s="25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</row>
    <row r="73" spans="1:29" x14ac:dyDescent="0.2">
      <c r="A73" s="40" t="s">
        <v>846</v>
      </c>
      <c r="B73" s="25"/>
      <c r="C73" s="12"/>
      <c r="D73" s="23">
        <v>5.0000000000000001E-3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</row>
    <row r="74" spans="1:29" x14ac:dyDescent="0.2">
      <c r="A74" s="40"/>
      <c r="B74" s="25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</row>
    <row r="75" spans="1:29" x14ac:dyDescent="0.2">
      <c r="A75" s="40" t="s">
        <v>1021</v>
      </c>
      <c r="B75" s="40" t="s">
        <v>980</v>
      </c>
      <c r="C75" s="12"/>
      <c r="D75" s="39">
        <f>D45/(1-D73)</f>
        <v>13805711.97697028</v>
      </c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</row>
    <row r="76" spans="1:29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</row>
    <row r="77" spans="1:29" x14ac:dyDescent="0.2">
      <c r="A77" s="12"/>
      <c r="B77" s="12"/>
      <c r="C77" s="12"/>
      <c r="D77" s="24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</row>
    <row r="78" spans="1:29" x14ac:dyDescent="0.2">
      <c r="A78" s="12"/>
      <c r="B78" s="12"/>
      <c r="C78" s="12"/>
      <c r="D78" s="24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</row>
    <row r="79" spans="1:29" x14ac:dyDescent="0.2">
      <c r="A79" s="12"/>
      <c r="B79" s="12"/>
      <c r="C79" s="12"/>
      <c r="D79" s="24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</row>
    <row r="80" spans="1:29" x14ac:dyDescent="0.2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</row>
    <row r="81" spans="1:29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</row>
    <row r="82" spans="1:29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</row>
    <row r="83" spans="1:29" x14ac:dyDescent="0.2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</row>
    <row r="84" spans="1:29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</row>
    <row r="85" spans="1:29" x14ac:dyDescent="0.2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</row>
    <row r="86" spans="1:29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</row>
    <row r="87" spans="1:29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</row>
    <row r="88" spans="1:29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</row>
    <row r="89" spans="1:29" x14ac:dyDescent="0.2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</row>
    <row r="90" spans="1:29" x14ac:dyDescent="0.2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</row>
    <row r="91" spans="1:29" x14ac:dyDescent="0.2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</row>
    <row r="92" spans="1:29" x14ac:dyDescent="0.2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</row>
    <row r="93" spans="1:29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</row>
    <row r="94" spans="1:29" x14ac:dyDescent="0.2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</row>
    <row r="95" spans="1:29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</row>
    <row r="96" spans="1:29" x14ac:dyDescent="0.2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</row>
    <row r="97" spans="1:29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</row>
    <row r="98" spans="1:29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</row>
    <row r="99" spans="1:29" x14ac:dyDescent="0.2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</row>
    <row r="100" spans="1:29" x14ac:dyDescent="0.2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</row>
    <row r="101" spans="1:29" x14ac:dyDescent="0.2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</row>
    <row r="102" spans="1:29" x14ac:dyDescent="0.2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</row>
    <row r="103" spans="1:29" x14ac:dyDescent="0.2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</row>
    <row r="104" spans="1:29" x14ac:dyDescent="0.2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</row>
    <row r="105" spans="1:29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</row>
    <row r="106" spans="1:29" x14ac:dyDescent="0.2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</row>
    <row r="107" spans="1:29" x14ac:dyDescent="0.2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</row>
    <row r="108" spans="1:29" x14ac:dyDescent="0.2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</row>
    <row r="109" spans="1:29" x14ac:dyDescent="0.2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</row>
    <row r="110" spans="1:29" x14ac:dyDescent="0.2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</row>
    <row r="111" spans="1:29" x14ac:dyDescent="0.2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</row>
    <row r="112" spans="1:29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</row>
    <row r="113" spans="1:29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</row>
    <row r="114" spans="1:29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</row>
    <row r="115" spans="1:29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</row>
    <row r="116" spans="1:29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</row>
    <row r="117" spans="1:29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</row>
    <row r="118" spans="1:29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</row>
    <row r="119" spans="1:29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</row>
    <row r="120" spans="1:29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</row>
    <row r="121" spans="1:29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</row>
    <row r="122" spans="1:29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</row>
    <row r="123" spans="1:29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</row>
    <row r="124" spans="1:29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</row>
    <row r="125" spans="1:29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</row>
    <row r="126" spans="1:29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</row>
    <row r="127" spans="1:29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</row>
    <row r="128" spans="1:29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</row>
    <row r="129" spans="1:29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</row>
    <row r="130" spans="1:29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</row>
    <row r="131" spans="1:29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</row>
    <row r="132" spans="1:29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</row>
    <row r="133" spans="1:29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</row>
    <row r="134" spans="1:29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</row>
    <row r="135" spans="1:29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</row>
    <row r="136" spans="1:29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</row>
    <row r="137" spans="1:29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</row>
    <row r="138" spans="1:29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</row>
    <row r="139" spans="1:29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</row>
    <row r="140" spans="1:29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</row>
  </sheetData>
  <dataValidations count="1">
    <dataValidation type="list" allowBlank="1" showInputMessage="1" showErrorMessage="1" sqref="D20">
      <formula1>$H$22:$H$24</formula1>
    </dataValidation>
  </dataValidations>
  <pageMargins left="0.7" right="0.7" top="0.75" bottom="0.75" header="0.3" footer="0.3"/>
  <pageSetup paperSize="9" orientation="portrait" horizontalDpi="0" verticalDpi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1"/>
  <sheetViews>
    <sheetView zoomScaleNormal="100" workbookViewId="0">
      <pane xSplit="4" ySplit="7" topLeftCell="E8" activePane="bottomRight" state="frozen"/>
      <selection activeCell="A2" sqref="A2:XFD2"/>
      <selection pane="topRight" activeCell="A2" sqref="A2:XFD2"/>
      <selection pane="bottomLeft" activeCell="A2" sqref="A2:XFD2"/>
      <selection pane="bottomRight" activeCell="A2" sqref="A2:XFD2"/>
    </sheetView>
  </sheetViews>
  <sheetFormatPr defaultColWidth="11" defaultRowHeight="12.75" x14ac:dyDescent="0.2"/>
  <cols>
    <col min="1" max="1" width="17.5" style="26" customWidth="1"/>
    <col min="2" max="2" width="3.875" style="26" customWidth="1"/>
    <col min="3" max="3" width="10.875" style="26" customWidth="1"/>
    <col min="4" max="5" width="3.875" style="26" customWidth="1"/>
    <col min="6" max="6" width="11.125" style="26" bestFit="1" customWidth="1"/>
    <col min="7" max="7" width="3.875" style="26" customWidth="1"/>
    <col min="8" max="8" width="11.125" style="26" bestFit="1" customWidth="1"/>
    <col min="9" max="9" width="3.875" style="26" customWidth="1"/>
    <col min="10" max="10" width="11.125" style="26" bestFit="1" customWidth="1"/>
    <col min="11" max="11" width="3.875" style="26" customWidth="1"/>
    <col min="12" max="12" width="11.125" style="26" bestFit="1" customWidth="1"/>
    <col min="13" max="13" width="3.875" style="26" customWidth="1"/>
    <col min="14" max="14" width="11.125" style="26" bestFit="1" customWidth="1"/>
    <col min="15" max="15" width="3.875" style="26" customWidth="1"/>
    <col min="16" max="16" width="11.25" style="26" bestFit="1" customWidth="1"/>
    <col min="17" max="17" width="3.875" style="26" customWidth="1"/>
    <col min="18" max="18" width="11.25" style="26" bestFit="1" customWidth="1"/>
    <col min="19" max="19" width="3.875" style="26" customWidth="1"/>
    <col min="20" max="20" width="11.75" style="26" bestFit="1" customWidth="1"/>
    <col min="21" max="21" width="3.875" style="26" customWidth="1"/>
    <col min="22" max="22" width="11.125" style="26" bestFit="1" customWidth="1"/>
    <col min="23" max="23" width="3.875" style="26" customWidth="1"/>
    <col min="24" max="24" width="10.125" style="26" customWidth="1"/>
    <col min="25" max="25" width="3.875" style="26" customWidth="1"/>
    <col min="26" max="26" width="11.375" style="26" customWidth="1"/>
    <col min="27" max="27" width="3.875" style="26" customWidth="1"/>
    <col min="28" max="28" width="11.125" style="26" bestFit="1" customWidth="1"/>
    <col min="29" max="29" width="3.875" style="26" customWidth="1"/>
    <col min="30" max="30" width="11.125" style="26" bestFit="1" customWidth="1"/>
    <col min="31" max="31" width="3.875" style="26" customWidth="1"/>
    <col min="32" max="32" width="11.125" style="26" bestFit="1" customWidth="1"/>
    <col min="33" max="33" width="3.875" style="26" customWidth="1"/>
    <col min="34" max="34" width="11.125" style="26" bestFit="1" customWidth="1"/>
    <col min="35" max="36" width="3.875" style="26" customWidth="1"/>
    <col min="37" max="16384" width="11" style="26"/>
  </cols>
  <sheetData>
    <row r="1" spans="1:59" s="211" customFormat="1" ht="23.25" x14ac:dyDescent="0.35">
      <c r="A1" s="207" t="s">
        <v>1618</v>
      </c>
    </row>
    <row r="2" spans="1:59" s="2" customFormat="1" ht="12.7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59" x14ac:dyDescent="0.2">
      <c r="A3" s="25"/>
      <c r="B3" s="25"/>
      <c r="C3" s="25"/>
      <c r="D3" s="25"/>
      <c r="E3" s="25"/>
      <c r="F3" s="40" t="s">
        <v>1243</v>
      </c>
      <c r="G3" s="25"/>
      <c r="H3" s="25"/>
      <c r="I3" s="25"/>
      <c r="J3" s="25"/>
      <c r="K3" s="25"/>
      <c r="L3" s="25"/>
      <c r="M3" s="25"/>
      <c r="N3" s="40" t="s">
        <v>1175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40" t="s">
        <v>981</v>
      </c>
      <c r="AE3" s="25"/>
      <c r="AF3" s="25"/>
      <c r="AG3" s="25"/>
      <c r="AH3" s="25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</row>
    <row r="4" spans="1:59" x14ac:dyDescent="0.2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</row>
    <row r="5" spans="1:59" x14ac:dyDescent="0.2">
      <c r="A5" s="40" t="s">
        <v>1139</v>
      </c>
      <c r="B5" s="25"/>
      <c r="C5" s="25"/>
      <c r="D5" s="25"/>
      <c r="E5" s="25"/>
      <c r="F5" s="40" t="s">
        <v>982</v>
      </c>
      <c r="G5" s="40"/>
      <c r="H5" s="40" t="s">
        <v>982</v>
      </c>
      <c r="I5" s="40"/>
      <c r="J5" s="40" t="s">
        <v>957</v>
      </c>
      <c r="K5" s="40"/>
      <c r="L5" s="40" t="s">
        <v>948</v>
      </c>
      <c r="M5" s="40"/>
      <c r="N5" s="40" t="s">
        <v>690</v>
      </c>
      <c r="O5" s="40"/>
      <c r="P5" s="40" t="s">
        <v>863</v>
      </c>
      <c r="Q5" s="40"/>
      <c r="R5" s="40" t="s">
        <v>689</v>
      </c>
      <c r="S5" s="40"/>
      <c r="T5" s="40" t="s">
        <v>1036</v>
      </c>
      <c r="U5" s="40"/>
      <c r="V5" s="40" t="s">
        <v>6</v>
      </c>
      <c r="W5" s="40"/>
      <c r="X5" s="40" t="s">
        <v>964</v>
      </c>
      <c r="Y5" s="40"/>
      <c r="Z5" s="40" t="s">
        <v>1411</v>
      </c>
      <c r="AA5" s="40"/>
      <c r="AB5" s="40" t="s">
        <v>962</v>
      </c>
      <c r="AC5" s="40"/>
      <c r="AD5" s="40" t="s">
        <v>982</v>
      </c>
      <c r="AE5" s="40"/>
      <c r="AF5" s="40" t="s">
        <v>962</v>
      </c>
      <c r="AG5" s="40"/>
      <c r="AH5" s="40" t="s">
        <v>957</v>
      </c>
      <c r="AI5" s="8"/>
      <c r="AJ5" s="8"/>
      <c r="AK5" s="8"/>
      <c r="AL5" s="8"/>
      <c r="AM5" s="8"/>
      <c r="AN5" s="8"/>
      <c r="AO5" s="8"/>
      <c r="AP5" s="8"/>
      <c r="AQ5" s="8"/>
      <c r="AR5" s="8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</row>
    <row r="6" spans="1:59" x14ac:dyDescent="0.2">
      <c r="A6" s="25"/>
      <c r="B6" s="25"/>
      <c r="C6" s="25"/>
      <c r="D6" s="25"/>
      <c r="E6" s="25"/>
      <c r="F6" s="25" t="s">
        <v>861</v>
      </c>
      <c r="G6" s="25"/>
      <c r="H6" s="25" t="s">
        <v>861</v>
      </c>
      <c r="I6" s="25"/>
      <c r="J6" s="25" t="s">
        <v>957</v>
      </c>
      <c r="K6" s="25"/>
      <c r="L6" s="25" t="s">
        <v>948</v>
      </c>
      <c r="M6" s="25"/>
      <c r="N6" s="25" t="s">
        <v>973</v>
      </c>
      <c r="O6" s="25"/>
      <c r="P6" s="25" t="s">
        <v>974</v>
      </c>
      <c r="Q6" s="25"/>
      <c r="R6" s="25" t="s">
        <v>975</v>
      </c>
      <c r="S6" s="25"/>
      <c r="T6" s="25" t="s">
        <v>1083</v>
      </c>
      <c r="U6" s="25"/>
      <c r="V6" s="25" t="s">
        <v>6</v>
      </c>
      <c r="W6" s="25"/>
      <c r="X6" s="25" t="s">
        <v>1408</v>
      </c>
      <c r="Y6" s="25"/>
      <c r="Z6" s="25"/>
      <c r="AA6" s="25"/>
      <c r="AB6" s="25" t="s">
        <v>5</v>
      </c>
      <c r="AC6" s="25"/>
      <c r="AD6" s="25" t="s">
        <v>1009</v>
      </c>
      <c r="AE6" s="25"/>
      <c r="AF6" s="25" t="s">
        <v>1010</v>
      </c>
      <c r="AG6" s="25"/>
      <c r="AH6" s="25" t="s">
        <v>1298</v>
      </c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</row>
    <row r="7" spans="1:59" x14ac:dyDescent="0.2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 t="s">
        <v>1480</v>
      </c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</row>
    <row r="8" spans="1:59" x14ac:dyDescent="0.2">
      <c r="A8" s="25"/>
      <c r="B8" s="25"/>
      <c r="C8" s="25"/>
      <c r="D8" s="25"/>
      <c r="E8" s="12"/>
      <c r="F8" s="12" t="s">
        <v>934</v>
      </c>
      <c r="G8" s="12"/>
      <c r="H8" s="12" t="s">
        <v>935</v>
      </c>
      <c r="I8" s="12"/>
      <c r="J8" s="12" t="s">
        <v>936</v>
      </c>
      <c r="K8" s="12"/>
      <c r="L8" s="12" t="s">
        <v>937</v>
      </c>
      <c r="M8" s="12"/>
      <c r="N8" s="12" t="s">
        <v>1115</v>
      </c>
      <c r="O8" s="12"/>
      <c r="P8" s="12" t="s">
        <v>1116</v>
      </c>
      <c r="Q8" s="12"/>
      <c r="R8" s="12" t="s">
        <v>1116</v>
      </c>
      <c r="S8" s="12"/>
      <c r="T8" s="12" t="s">
        <v>1117</v>
      </c>
      <c r="U8" s="12"/>
      <c r="V8" s="12" t="s">
        <v>1117</v>
      </c>
      <c r="W8" s="12"/>
      <c r="X8" s="12" t="s">
        <v>1410</v>
      </c>
      <c r="Y8" s="12"/>
      <c r="Z8" s="12"/>
      <c r="AA8" s="12"/>
      <c r="AB8" s="12" t="s">
        <v>1118</v>
      </c>
      <c r="AC8" s="12"/>
      <c r="AD8" s="12" t="s">
        <v>981</v>
      </c>
      <c r="AE8" s="12"/>
      <c r="AF8" s="12" t="s">
        <v>981</v>
      </c>
      <c r="AG8" s="12"/>
      <c r="AH8" s="12" t="s">
        <v>981</v>
      </c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</row>
    <row r="9" spans="1:59" x14ac:dyDescent="0.2">
      <c r="A9" s="25"/>
      <c r="B9" s="25"/>
      <c r="C9" s="25"/>
      <c r="D9" s="25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</row>
    <row r="10" spans="1:59" x14ac:dyDescent="0.2">
      <c r="A10" s="40" t="s">
        <v>1024</v>
      </c>
      <c r="B10" s="25"/>
      <c r="C10" s="25" t="s">
        <v>980</v>
      </c>
      <c r="D10" s="25"/>
      <c r="E10" s="12"/>
      <c r="F10" s="12"/>
      <c r="G10" s="12"/>
      <c r="H10" s="12"/>
      <c r="I10" s="12"/>
      <c r="J10" s="12"/>
      <c r="K10" s="12"/>
      <c r="L10" s="12"/>
      <c r="M10" s="12"/>
      <c r="N10" s="39">
        <f>Storage!G90</f>
        <v>79388253.83887431</v>
      </c>
      <c r="O10" s="12"/>
      <c r="P10" s="16">
        <f>Storage!I90</f>
        <v>310425396.82539684</v>
      </c>
      <c r="Q10" s="12"/>
      <c r="R10" s="16">
        <f>Storage!K90</f>
        <v>108044444.44444443</v>
      </c>
      <c r="S10" s="12"/>
      <c r="T10" s="16">
        <f>Storage!M90</f>
        <v>219354838.70967743</v>
      </c>
      <c r="U10" s="12"/>
      <c r="V10" s="16">
        <f>Storage!O90</f>
        <v>63920000</v>
      </c>
      <c r="W10" s="12"/>
      <c r="X10" s="16">
        <f>Storage!Q90</f>
        <v>103630430.30756435</v>
      </c>
      <c r="Y10" s="12"/>
      <c r="Z10" s="16">
        <f>Storage!S90</f>
        <v>128282539.68253967</v>
      </c>
      <c r="AA10" s="12"/>
      <c r="AB10" s="16">
        <f>Storage!U90</f>
        <v>41414110.574361444</v>
      </c>
      <c r="AC10" s="12"/>
      <c r="AD10" s="16">
        <f>Storage!Y90</f>
        <v>14035263.951145405</v>
      </c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</row>
    <row r="11" spans="1:59" x14ac:dyDescent="0.2">
      <c r="A11" s="25"/>
      <c r="B11" s="25"/>
      <c r="C11" s="25"/>
      <c r="D11" s="25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</row>
    <row r="12" spans="1:59" x14ac:dyDescent="0.2">
      <c r="A12" s="40" t="s">
        <v>1013</v>
      </c>
      <c r="B12" s="25"/>
      <c r="C12" s="25" t="s">
        <v>955</v>
      </c>
      <c r="D12" s="25"/>
      <c r="E12" s="12"/>
      <c r="F12" s="12">
        <v>30</v>
      </c>
      <c r="G12" s="12"/>
      <c r="H12" s="12">
        <v>30</v>
      </c>
      <c r="I12" s="12"/>
      <c r="J12" s="12">
        <v>1</v>
      </c>
      <c r="K12" s="12"/>
      <c r="L12" s="12">
        <v>8</v>
      </c>
      <c r="M12" s="12"/>
      <c r="N12" s="12">
        <v>150</v>
      </c>
      <c r="O12" s="12"/>
      <c r="P12" s="12">
        <v>105</v>
      </c>
      <c r="Q12" s="12"/>
      <c r="R12" s="32" t="s">
        <v>1226</v>
      </c>
      <c r="S12" s="12"/>
      <c r="T12" s="12">
        <v>50</v>
      </c>
      <c r="U12" s="12"/>
      <c r="V12" s="12"/>
      <c r="W12" s="12"/>
      <c r="X12" s="12">
        <v>10</v>
      </c>
      <c r="Y12" s="12"/>
      <c r="Z12" s="12"/>
      <c r="AA12" s="12"/>
      <c r="AB12" s="12">
        <v>7</v>
      </c>
      <c r="AC12" s="12"/>
      <c r="AD12" s="12"/>
      <c r="AE12" s="12"/>
      <c r="AF12" s="12"/>
      <c r="AG12" s="12"/>
      <c r="AH12" s="12">
        <v>8</v>
      </c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</row>
    <row r="13" spans="1:59" x14ac:dyDescent="0.2">
      <c r="A13" s="40" t="s">
        <v>1198</v>
      </c>
      <c r="B13" s="25"/>
      <c r="C13" s="25" t="s">
        <v>1034</v>
      </c>
      <c r="D13" s="25"/>
      <c r="E13" s="12"/>
      <c r="F13" s="12" t="s">
        <v>1113</v>
      </c>
      <c r="G13" s="12"/>
      <c r="H13" s="12" t="s">
        <v>1114</v>
      </c>
      <c r="I13" s="12"/>
      <c r="J13" s="32" t="s">
        <v>1227</v>
      </c>
      <c r="K13" s="12"/>
      <c r="L13" s="12" t="s">
        <v>1112</v>
      </c>
      <c r="M13" s="12"/>
      <c r="N13" s="12">
        <v>450</v>
      </c>
      <c r="O13" s="12"/>
      <c r="P13" s="12">
        <v>90</v>
      </c>
      <c r="Q13" s="12"/>
      <c r="R13" s="12">
        <v>250</v>
      </c>
      <c r="S13" s="12"/>
      <c r="T13" s="12">
        <v>150</v>
      </c>
      <c r="U13" s="12"/>
      <c r="V13" s="12"/>
      <c r="W13" s="12"/>
      <c r="X13" s="12">
        <v>240</v>
      </c>
      <c r="Y13" s="12"/>
      <c r="Z13" s="12"/>
      <c r="AA13" s="12"/>
      <c r="AB13" s="12">
        <v>290</v>
      </c>
      <c r="AC13" s="12"/>
      <c r="AD13" s="12"/>
      <c r="AE13" s="12"/>
      <c r="AF13" s="12"/>
      <c r="AG13" s="12"/>
      <c r="AH13" s="12">
        <v>-50</v>
      </c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</row>
    <row r="14" spans="1:59" x14ac:dyDescent="0.2">
      <c r="A14" s="40" t="s">
        <v>1217</v>
      </c>
      <c r="B14" s="25"/>
      <c r="C14" s="25" t="s">
        <v>954</v>
      </c>
      <c r="D14" s="25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>
        <f>V23</f>
        <v>120</v>
      </c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</row>
    <row r="15" spans="1:59" x14ac:dyDescent="0.2">
      <c r="A15" s="40" t="s">
        <v>1218</v>
      </c>
      <c r="B15" s="25"/>
      <c r="C15" s="41" t="s">
        <v>946</v>
      </c>
      <c r="D15" s="25"/>
      <c r="E15" s="12"/>
      <c r="F15" s="12"/>
      <c r="G15" s="12"/>
      <c r="H15" s="12"/>
      <c r="I15" s="12"/>
      <c r="J15" s="12"/>
      <c r="K15" s="12"/>
      <c r="L15" s="12"/>
      <c r="M15" s="12"/>
      <c r="N15" s="24"/>
      <c r="O15" s="12"/>
      <c r="P15" s="42">
        <f>J64</f>
        <v>111.5</v>
      </c>
      <c r="Q15" s="12"/>
      <c r="R15" s="43">
        <f>J64</f>
        <v>111.5</v>
      </c>
      <c r="S15" s="12"/>
      <c r="T15" s="20">
        <v>4000</v>
      </c>
      <c r="U15" s="12"/>
      <c r="V15" s="20">
        <v>1500</v>
      </c>
      <c r="W15" s="12"/>
      <c r="X15" s="42">
        <f>J64</f>
        <v>111.5</v>
      </c>
      <c r="Y15" s="12"/>
      <c r="Z15" s="42">
        <f>J64</f>
        <v>111.5</v>
      </c>
      <c r="AA15" s="12"/>
      <c r="AB15" s="42">
        <f>J64</f>
        <v>111.5</v>
      </c>
      <c r="AC15" s="12"/>
      <c r="AD15" s="12"/>
      <c r="AE15" s="12"/>
      <c r="AF15" s="12"/>
      <c r="AG15" s="12"/>
      <c r="AH15" s="12"/>
      <c r="AI15" s="12"/>
      <c r="AJ15" s="12"/>
      <c r="AK15" s="12" t="s">
        <v>1315</v>
      </c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</row>
    <row r="16" spans="1:59" x14ac:dyDescent="0.2">
      <c r="A16" s="40"/>
      <c r="B16" s="25"/>
      <c r="C16" s="44"/>
      <c r="D16" s="25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</row>
    <row r="17" spans="1:59" x14ac:dyDescent="0.2">
      <c r="A17" s="40"/>
      <c r="B17" s="25"/>
      <c r="C17" s="25"/>
      <c r="D17" s="25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</row>
    <row r="18" spans="1:59" x14ac:dyDescent="0.2">
      <c r="A18" s="40" t="s">
        <v>1219</v>
      </c>
      <c r="B18" s="25"/>
      <c r="C18" s="25" t="s">
        <v>954</v>
      </c>
      <c r="D18" s="25"/>
      <c r="E18" s="12"/>
      <c r="F18" s="12"/>
      <c r="G18" s="12"/>
      <c r="H18" s="12"/>
      <c r="I18" s="12"/>
      <c r="J18" s="12"/>
      <c r="K18" s="12"/>
      <c r="L18" s="12"/>
      <c r="M18" s="12"/>
      <c r="N18" s="12">
        <f>53.3/300*N23</f>
        <v>533</v>
      </c>
      <c r="O18" s="12"/>
      <c r="P18" s="16">
        <f>0.181*24*5</f>
        <v>21.72</v>
      </c>
      <c r="Q18" s="12"/>
      <c r="R18" s="12">
        <f>R23*0.193</f>
        <v>579</v>
      </c>
      <c r="S18" s="12"/>
      <c r="T18" s="12">
        <f>Carrier_properties!K7*T23</f>
        <v>62</v>
      </c>
      <c r="U18" s="12"/>
      <c r="V18" s="12"/>
      <c r="W18" s="12"/>
      <c r="X18" s="12"/>
      <c r="Y18" s="12"/>
      <c r="Z18" s="12"/>
      <c r="AA18" s="12"/>
      <c r="AB18" s="16">
        <f>8.064/16.032*AB23</f>
        <v>502.99401197604789</v>
      </c>
      <c r="AC18" s="12"/>
      <c r="AD18" s="16">
        <f>AD23</f>
        <v>150</v>
      </c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</row>
    <row r="19" spans="1:59" x14ac:dyDescent="0.2">
      <c r="A19" s="40" t="s">
        <v>1221</v>
      </c>
      <c r="B19" s="25"/>
      <c r="C19" s="25" t="s">
        <v>954</v>
      </c>
      <c r="D19" s="25"/>
      <c r="E19" s="12"/>
      <c r="F19" s="12"/>
      <c r="G19" s="12"/>
      <c r="H19" s="12"/>
      <c r="I19" s="12"/>
      <c r="J19" s="12"/>
      <c r="K19" s="12"/>
      <c r="L19" s="12"/>
      <c r="M19" s="12"/>
      <c r="N19" s="12">
        <f>246.7/300*N23</f>
        <v>2466.9999999999995</v>
      </c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</row>
    <row r="20" spans="1:59" x14ac:dyDescent="0.2">
      <c r="A20" s="40" t="s">
        <v>1220</v>
      </c>
      <c r="B20" s="25"/>
      <c r="C20" s="25" t="s">
        <v>954</v>
      </c>
      <c r="D20" s="25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6">
        <f>2.54*24*5</f>
        <v>304.8</v>
      </c>
      <c r="Q20" s="12"/>
      <c r="R20" s="12">
        <f>R23*1.4</f>
        <v>4200</v>
      </c>
      <c r="S20" s="12"/>
      <c r="T20" s="12"/>
      <c r="U20" s="12"/>
      <c r="V20" s="12"/>
      <c r="W20" s="12"/>
      <c r="X20" s="12"/>
      <c r="Y20" s="12"/>
      <c r="Z20" s="12"/>
      <c r="AA20" s="12"/>
      <c r="AB20" s="16">
        <f>44/16.032*AB23</f>
        <v>2744.510978043912</v>
      </c>
      <c r="AC20" s="12"/>
      <c r="AD20" s="12"/>
      <c r="AE20" s="12"/>
      <c r="AF20" s="12"/>
      <c r="AG20" s="12"/>
      <c r="AH20" s="12">
        <f>120*24</f>
        <v>2880</v>
      </c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</row>
    <row r="21" spans="1:59" x14ac:dyDescent="0.2">
      <c r="A21" s="40" t="s">
        <v>1222</v>
      </c>
      <c r="B21" s="25"/>
      <c r="C21" s="25" t="s">
        <v>954</v>
      </c>
      <c r="D21" s="25"/>
      <c r="E21" s="12"/>
      <c r="F21" s="12"/>
      <c r="G21" s="12"/>
      <c r="H21" s="12"/>
      <c r="I21" s="12"/>
      <c r="J21" s="24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45">
        <f>19617/13869*X23</f>
        <v>1414.4494916720744</v>
      </c>
      <c r="Y21" s="12"/>
      <c r="Z21" s="45">
        <f>Z23/(Carrier_properties!I9/Carrier_properties!Q9)/0.99</f>
        <v>2398.6114895205806</v>
      </c>
      <c r="AA21" s="12"/>
      <c r="AB21" s="24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</row>
    <row r="22" spans="1:59" x14ac:dyDescent="0.2">
      <c r="A22" s="40" t="s">
        <v>1223</v>
      </c>
      <c r="B22" s="25"/>
      <c r="C22" s="25" t="s">
        <v>954</v>
      </c>
      <c r="D22" s="25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24"/>
      <c r="AC22" s="12"/>
      <c r="AD22" s="12"/>
      <c r="AE22" s="12"/>
      <c r="AF22" s="12">
        <f>AF23</f>
        <v>1000</v>
      </c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</row>
    <row r="23" spans="1:59" x14ac:dyDescent="0.2">
      <c r="A23" s="40" t="s">
        <v>952</v>
      </c>
      <c r="B23" s="25"/>
      <c r="C23" s="25" t="s">
        <v>954</v>
      </c>
      <c r="D23" s="25"/>
      <c r="E23" s="12"/>
      <c r="F23" s="12"/>
      <c r="G23" s="12"/>
      <c r="H23" s="16">
        <f>H63*1000000/H29*24</f>
        <v>481.54093097913312</v>
      </c>
      <c r="I23" s="12"/>
      <c r="J23" s="12">
        <f>J63*1000000/J29*24</f>
        <v>3000</v>
      </c>
      <c r="K23" s="12"/>
      <c r="L23" s="12">
        <f>N19</f>
        <v>2466.9999999999995</v>
      </c>
      <c r="M23" s="12"/>
      <c r="N23" s="12">
        <v>3000</v>
      </c>
      <c r="O23" s="12"/>
      <c r="P23" s="16">
        <f>3.06*24*5</f>
        <v>367.2</v>
      </c>
      <c r="Q23" s="12"/>
      <c r="R23" s="12">
        <v>3000</v>
      </c>
      <c r="S23" s="12"/>
      <c r="T23" s="12">
        <v>1000</v>
      </c>
      <c r="U23" s="12"/>
      <c r="V23" s="12">
        <f>40000/(V29/24)</f>
        <v>120</v>
      </c>
      <c r="W23" s="12"/>
      <c r="X23" s="12">
        <v>1000</v>
      </c>
      <c r="Y23" s="12"/>
      <c r="Z23" s="12">
        <v>1000</v>
      </c>
      <c r="AA23" s="12"/>
      <c r="AB23" s="12">
        <v>1000</v>
      </c>
      <c r="AC23" s="12"/>
      <c r="AD23" s="16">
        <v>150</v>
      </c>
      <c r="AE23" s="12"/>
      <c r="AF23" s="12">
        <v>1000</v>
      </c>
      <c r="AG23" s="12"/>
      <c r="AH23" s="12">
        <f>120*24</f>
        <v>2880</v>
      </c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</row>
    <row r="24" spans="1:59" x14ac:dyDescent="0.2">
      <c r="A24" s="40" t="s">
        <v>951</v>
      </c>
      <c r="B24" s="25"/>
      <c r="C24" s="25" t="s">
        <v>953</v>
      </c>
      <c r="D24" s="25"/>
      <c r="E24" s="12"/>
      <c r="F24" s="24">
        <v>1</v>
      </c>
      <c r="G24" s="12"/>
      <c r="H24" s="12">
        <v>1</v>
      </c>
      <c r="I24" s="12"/>
      <c r="J24" s="12">
        <f>J41*J63/J29*1000</f>
        <v>6.8750000000000006E-2</v>
      </c>
      <c r="K24" s="12"/>
      <c r="L24" s="12">
        <f>1.112*L23/246.7/1000</f>
        <v>1.112E-2</v>
      </c>
      <c r="M24" s="12"/>
      <c r="N24" s="12">
        <f>8.02*N23/300/1000</f>
        <v>8.0200000000000007E-2</v>
      </c>
      <c r="O24" s="12"/>
      <c r="P24" s="12"/>
      <c r="Q24" s="12"/>
      <c r="R24" s="12">
        <f>R42/R29</f>
        <v>5.6250000000000001E-2</v>
      </c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>
        <f>AD42/AD29</f>
        <v>4.0000000000000008E-2</v>
      </c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</row>
    <row r="25" spans="1:59" x14ac:dyDescent="0.2">
      <c r="A25" s="40"/>
      <c r="B25" s="25"/>
      <c r="C25" s="25"/>
      <c r="D25" s="25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</row>
    <row r="26" spans="1:59" x14ac:dyDescent="0.2">
      <c r="A26" s="40" t="s">
        <v>932</v>
      </c>
      <c r="B26" s="25"/>
      <c r="C26" s="25" t="s">
        <v>1128</v>
      </c>
      <c r="D26" s="25"/>
      <c r="E26" s="12"/>
      <c r="F26" s="12">
        <v>200</v>
      </c>
      <c r="G26" s="12"/>
      <c r="H26" s="12">
        <v>300</v>
      </c>
      <c r="I26" s="12"/>
      <c r="J26" s="12"/>
      <c r="K26" s="12"/>
      <c r="L26" s="12"/>
      <c r="M26" s="12"/>
      <c r="N26" s="12"/>
      <c r="O26" s="12"/>
      <c r="P26" s="24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</row>
    <row r="27" spans="1:59" x14ac:dyDescent="0.2">
      <c r="A27" s="40" t="s">
        <v>933</v>
      </c>
      <c r="B27" s="25"/>
      <c r="C27" s="25" t="s">
        <v>1128</v>
      </c>
      <c r="D27" s="25"/>
      <c r="E27" s="12"/>
      <c r="F27" s="12">
        <v>150</v>
      </c>
      <c r="G27" s="12"/>
      <c r="H27" s="12">
        <v>300</v>
      </c>
      <c r="I27" s="12"/>
      <c r="J27" s="12"/>
      <c r="K27" s="12"/>
      <c r="L27" s="12"/>
      <c r="M27" s="12"/>
      <c r="N27" s="12"/>
      <c r="O27" s="12"/>
      <c r="P27" s="24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</row>
    <row r="28" spans="1:59" x14ac:dyDescent="0.2">
      <c r="A28" s="40" t="s">
        <v>816</v>
      </c>
      <c r="B28" s="25"/>
      <c r="C28" s="41" t="s">
        <v>947</v>
      </c>
      <c r="D28" s="25"/>
      <c r="E28" s="12"/>
      <c r="F28" s="15">
        <v>30</v>
      </c>
      <c r="G28" s="12"/>
      <c r="H28" s="15">
        <v>30</v>
      </c>
      <c r="I28" s="12"/>
      <c r="J28" s="15">
        <v>25</v>
      </c>
      <c r="K28" s="12"/>
      <c r="L28" s="15">
        <v>20</v>
      </c>
      <c r="M28" s="12"/>
      <c r="N28" s="15">
        <v>20</v>
      </c>
      <c r="O28" s="12"/>
      <c r="P28" s="15">
        <v>20</v>
      </c>
      <c r="Q28" s="12"/>
      <c r="R28" s="15">
        <v>25</v>
      </c>
      <c r="S28" s="12"/>
      <c r="T28" s="15">
        <v>20</v>
      </c>
      <c r="U28" s="12"/>
      <c r="V28" s="15">
        <v>20</v>
      </c>
      <c r="W28" s="12"/>
      <c r="X28" s="15">
        <v>20</v>
      </c>
      <c r="Y28" s="12"/>
      <c r="Z28" s="15">
        <v>20</v>
      </c>
      <c r="AA28" s="12"/>
      <c r="AB28" s="15">
        <v>20</v>
      </c>
      <c r="AC28" s="12"/>
      <c r="AD28" s="27">
        <v>30</v>
      </c>
      <c r="AE28" s="12"/>
      <c r="AF28" s="15">
        <v>20</v>
      </c>
      <c r="AG28" s="46"/>
      <c r="AH28" s="20">
        <v>20</v>
      </c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</row>
    <row r="29" spans="1:59" x14ac:dyDescent="0.2">
      <c r="A29" s="40" t="s">
        <v>10</v>
      </c>
      <c r="B29" s="25"/>
      <c r="C29" s="41"/>
      <c r="D29" s="25"/>
      <c r="E29" s="12"/>
      <c r="F29" s="27">
        <v>5000</v>
      </c>
      <c r="G29" s="12"/>
      <c r="H29" s="15">
        <v>5000</v>
      </c>
      <c r="I29" s="12"/>
      <c r="J29" s="15">
        <v>8000</v>
      </c>
      <c r="K29" s="12"/>
      <c r="L29" s="15">
        <v>8000</v>
      </c>
      <c r="M29" s="12"/>
      <c r="N29" s="15">
        <v>8000</v>
      </c>
      <c r="O29" s="12"/>
      <c r="P29" s="15">
        <v>8000</v>
      </c>
      <c r="Q29" s="12"/>
      <c r="R29" s="15">
        <v>8000</v>
      </c>
      <c r="S29" s="12"/>
      <c r="T29" s="15">
        <v>8000</v>
      </c>
      <c r="U29" s="12"/>
      <c r="V29" s="15">
        <v>8000</v>
      </c>
      <c r="W29" s="12"/>
      <c r="X29" s="15">
        <v>8000</v>
      </c>
      <c r="Y29" s="12"/>
      <c r="Z29" s="15">
        <v>8000</v>
      </c>
      <c r="AA29" s="12"/>
      <c r="AB29" s="15">
        <v>8000</v>
      </c>
      <c r="AC29" s="12"/>
      <c r="AD29" s="15">
        <v>8000</v>
      </c>
      <c r="AE29" s="12"/>
      <c r="AF29" s="15">
        <v>8000</v>
      </c>
      <c r="AG29" s="46"/>
      <c r="AH29" s="15">
        <v>8000</v>
      </c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</row>
    <row r="30" spans="1:59" x14ac:dyDescent="0.2">
      <c r="A30" s="40"/>
      <c r="B30" s="25"/>
      <c r="C30" s="41"/>
      <c r="D30" s="25"/>
      <c r="E30" s="12"/>
      <c r="F30" s="12"/>
      <c r="G30" s="12"/>
      <c r="H30" s="46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24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</row>
    <row r="31" spans="1:59" x14ac:dyDescent="0.2">
      <c r="A31" s="40"/>
      <c r="B31" s="25"/>
      <c r="C31" s="41"/>
      <c r="D31" s="25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24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</row>
    <row r="32" spans="1:59" x14ac:dyDescent="0.2">
      <c r="A32" s="40" t="s">
        <v>805</v>
      </c>
      <c r="B32" s="25"/>
      <c r="C32" s="41" t="s">
        <v>1008</v>
      </c>
      <c r="D32" s="25"/>
      <c r="E32" s="12"/>
      <c r="F32" s="46">
        <f>(F26+F27)*F24</f>
        <v>350</v>
      </c>
      <c r="G32" s="12"/>
      <c r="H32" s="46">
        <f>(H26+H27)*H24</f>
        <v>600</v>
      </c>
      <c r="I32" s="12"/>
      <c r="J32" s="12">
        <v>500</v>
      </c>
      <c r="K32" s="12"/>
      <c r="L32" s="16">
        <f>(0.46*(5000000+53319*(0.8224*N19)-68.725*(0.8224*N19)^2+0.0593*(0.8224*N19)^3)/1000000)/eurusd_rate</f>
        <v>129.08586771588693</v>
      </c>
      <c r="M32" s="12"/>
      <c r="N32" s="16">
        <f>0.14*400*(N23/300)/eurusd_rate</f>
        <v>482.75862068965529</v>
      </c>
      <c r="O32" s="12"/>
      <c r="P32" s="16">
        <f>5.4*1.5*(P23/24/1.5)^0.67*1.2</f>
        <v>46.07107860894731</v>
      </c>
      <c r="Q32" s="12"/>
      <c r="R32" s="16">
        <f>14.2*((R18+R20)/(24*R29/8760)/54)^0.65</f>
        <v>35.178987903730501</v>
      </c>
      <c r="S32" s="12"/>
      <c r="T32" s="16">
        <f>40*(T18/300)^0.67*1.2</f>
        <v>16.690618429276928</v>
      </c>
      <c r="U32" s="12"/>
      <c r="V32" s="16">
        <v>52</v>
      </c>
      <c r="W32" s="12"/>
      <c r="X32" s="16">
        <f>19.4/eurusd_rate*(X23/333.33)^0.7</f>
        <v>36.085411246108578</v>
      </c>
      <c r="Y32" s="12"/>
      <c r="Z32" s="45">
        <f>274/eurusd_rate*(Z63/1)^0.65</f>
        <v>115.65482559207477</v>
      </c>
      <c r="AA32" s="12"/>
      <c r="AB32" s="16">
        <f>1*((AB23*(55.6/3.6)/24)/5)^0.67*1.2</f>
        <v>31.089035303448686</v>
      </c>
      <c r="AC32" s="12"/>
      <c r="AD32" s="16">
        <f>7.37*(AD23)^0.67</f>
        <v>211.56734275048771</v>
      </c>
      <c r="AE32" s="12"/>
      <c r="AF32" s="16">
        <f>AF63*800/eurusd_rate</f>
        <v>229.88505747126436</v>
      </c>
      <c r="AG32" s="16"/>
      <c r="AH32" s="45">
        <f>23.1*(AH23/2880)</f>
        <v>23.1</v>
      </c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</row>
    <row r="33" spans="1:59" x14ac:dyDescent="0.2">
      <c r="A33" s="40" t="s">
        <v>805</v>
      </c>
      <c r="B33" s="25"/>
      <c r="C33" s="41" t="s">
        <v>946</v>
      </c>
      <c r="D33" s="25"/>
      <c r="E33" s="12"/>
      <c r="F33" s="47">
        <f>F32/(F63*F28)</f>
        <v>119.86333333333333</v>
      </c>
      <c r="G33" s="12"/>
      <c r="H33" s="47">
        <f>H32/(H63*H28)</f>
        <v>199.36</v>
      </c>
      <c r="I33" s="12"/>
      <c r="J33" s="47">
        <f>J32/(J63*J28)</f>
        <v>20</v>
      </c>
      <c r="K33" s="12"/>
      <c r="L33" s="47">
        <f>L32/(L63*L28)</f>
        <v>7.8487556373664553</v>
      </c>
      <c r="M33" s="12"/>
      <c r="N33" s="47">
        <f>N32/(N63*N28)</f>
        <v>24.137931034482765</v>
      </c>
      <c r="O33" s="12"/>
      <c r="P33" s="47">
        <f>P32/(P63*P28)</f>
        <v>18.819885052674557</v>
      </c>
      <c r="Q33" s="12"/>
      <c r="R33" s="47">
        <f>R32/(R63*R28)</f>
        <v>1.4071595161492201</v>
      </c>
      <c r="S33" s="12"/>
      <c r="T33" s="47">
        <f>T32/(T63*T28)</f>
        <v>2.5035927643915392</v>
      </c>
      <c r="U33" s="12"/>
      <c r="V33" s="47">
        <f>V32/(V63*V28)</f>
        <v>65</v>
      </c>
      <c r="W33" s="12"/>
      <c r="X33" s="47">
        <f>X32/(X63*X28)</f>
        <v>5.412811686916287</v>
      </c>
      <c r="Y33" s="12"/>
      <c r="Z33" s="47">
        <f>Z32/(Z63*Z28)</f>
        <v>17.348223838811219</v>
      </c>
      <c r="AA33" s="12"/>
      <c r="AB33" s="47">
        <f>AB32/(AB63*AB28)</f>
        <v>4.6633552955173032</v>
      </c>
      <c r="AC33" s="12"/>
      <c r="AD33" s="47">
        <f>AD32/(AD63*AD28)</f>
        <v>141.04489516699181</v>
      </c>
      <c r="AE33" s="12"/>
      <c r="AF33" s="47">
        <f>AF32/(AF63*AF28)</f>
        <v>34.482758620689658</v>
      </c>
      <c r="AG33" s="47"/>
      <c r="AH33" s="47">
        <f>AH32/(AH63*AH28)</f>
        <v>1.2031250000000002</v>
      </c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</row>
    <row r="34" spans="1:59" x14ac:dyDescent="0.2">
      <c r="A34" s="40" t="s">
        <v>13</v>
      </c>
      <c r="B34" s="25"/>
      <c r="C34" s="41"/>
      <c r="D34" s="25"/>
      <c r="E34" s="12"/>
      <c r="F34" s="18">
        <v>0.08</v>
      </c>
      <c r="G34" s="12"/>
      <c r="H34" s="18">
        <v>0.08</v>
      </c>
      <c r="I34" s="12"/>
      <c r="J34" s="18">
        <v>0.08</v>
      </c>
      <c r="K34" s="12"/>
      <c r="L34" s="18">
        <v>0.08</v>
      </c>
      <c r="M34" s="12"/>
      <c r="N34" s="18">
        <v>0.08</v>
      </c>
      <c r="O34" s="12"/>
      <c r="P34" s="18">
        <v>0.08</v>
      </c>
      <c r="Q34" s="12"/>
      <c r="R34" s="18">
        <v>0.08</v>
      </c>
      <c r="S34" s="12"/>
      <c r="T34" s="18">
        <v>0.08</v>
      </c>
      <c r="U34" s="12"/>
      <c r="V34" s="18">
        <v>0.08</v>
      </c>
      <c r="W34" s="12"/>
      <c r="X34" s="18">
        <v>0.08</v>
      </c>
      <c r="Y34" s="12"/>
      <c r="Z34" s="18">
        <v>0.08</v>
      </c>
      <c r="AA34" s="12"/>
      <c r="AB34" s="18">
        <v>0.08</v>
      </c>
      <c r="AC34" s="12"/>
      <c r="AD34" s="18">
        <v>0.08</v>
      </c>
      <c r="AE34" s="12"/>
      <c r="AF34" s="18">
        <v>0.08</v>
      </c>
      <c r="AG34" s="19"/>
      <c r="AH34" s="18">
        <v>0.08</v>
      </c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</row>
    <row r="35" spans="1:59" x14ac:dyDescent="0.2">
      <c r="A35" s="40" t="s">
        <v>817</v>
      </c>
      <c r="B35" s="25"/>
      <c r="C35" s="41" t="s">
        <v>999</v>
      </c>
      <c r="D35" s="25"/>
      <c r="E35" s="12"/>
      <c r="F35" s="24">
        <f>F34*F32</f>
        <v>28</v>
      </c>
      <c r="G35" s="12"/>
      <c r="H35" s="24">
        <f>H34*H32</f>
        <v>48</v>
      </c>
      <c r="I35" s="12"/>
      <c r="J35" s="24">
        <f>J34*J32</f>
        <v>40</v>
      </c>
      <c r="K35" s="12"/>
      <c r="L35" s="24">
        <f>L34*L32</f>
        <v>10.326869417270954</v>
      </c>
      <c r="M35" s="12"/>
      <c r="N35" s="24">
        <f>N34*N32</f>
        <v>38.620689655172427</v>
      </c>
      <c r="O35" s="12"/>
      <c r="P35" s="24">
        <f>P34*P32</f>
        <v>3.6856862887157851</v>
      </c>
      <c r="Q35" s="12"/>
      <c r="R35" s="24">
        <f>R34*R32</f>
        <v>2.8143190322984402</v>
      </c>
      <c r="S35" s="12"/>
      <c r="T35" s="24">
        <f>T34*T32</f>
        <v>1.3352494743421541</v>
      </c>
      <c r="U35" s="12"/>
      <c r="V35" s="24">
        <f>V34*V32</f>
        <v>4.16</v>
      </c>
      <c r="W35" s="12"/>
      <c r="X35" s="24">
        <f>X34*X32</f>
        <v>2.8868328996886863</v>
      </c>
      <c r="Y35" s="12"/>
      <c r="Z35" s="24">
        <f>Z34*Z32</f>
        <v>9.2523860473659827</v>
      </c>
      <c r="AA35" s="12"/>
      <c r="AB35" s="24">
        <f>AB34*AB32</f>
        <v>2.4871228242758949</v>
      </c>
      <c r="AC35" s="12"/>
      <c r="AD35" s="24">
        <f>AD34*AD32</f>
        <v>16.925387420039016</v>
      </c>
      <c r="AE35" s="12"/>
      <c r="AF35" s="24">
        <f>AF34*AF32</f>
        <v>18.390804597701148</v>
      </c>
      <c r="AG35" s="24"/>
      <c r="AH35" s="24">
        <f>AH34*AH32</f>
        <v>1.8480000000000001</v>
      </c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</row>
    <row r="36" spans="1:59" x14ac:dyDescent="0.2">
      <c r="A36" s="40" t="s">
        <v>1124</v>
      </c>
      <c r="B36" s="25"/>
      <c r="C36" s="41" t="s">
        <v>999</v>
      </c>
      <c r="D36" s="25"/>
      <c r="E36" s="12"/>
      <c r="F36" s="24">
        <f>F32/alk_el_lifetime</f>
        <v>11.666666666666666</v>
      </c>
      <c r="G36" s="12"/>
      <c r="H36" s="24">
        <f>H32/alk_el_lifetime</f>
        <v>20</v>
      </c>
      <c r="I36" s="12"/>
      <c r="J36" s="24">
        <f>J32/DAC_lifetime</f>
        <v>20</v>
      </c>
      <c r="K36" s="12"/>
      <c r="L36" s="24">
        <f>L32/n2_lifetime</f>
        <v>6.4542933857943465</v>
      </c>
      <c r="M36" s="12"/>
      <c r="N36" s="24">
        <f>N32/nh3_lifetime</f>
        <v>24.137931034482765</v>
      </c>
      <c r="O36" s="12"/>
      <c r="P36" s="24">
        <f>P32/FA_lifetime</f>
        <v>2.3035539304473653</v>
      </c>
      <c r="Q36" s="12"/>
      <c r="R36" s="24">
        <f>R32/meoh_lifetime</f>
        <v>1.4071595161492201</v>
      </c>
      <c r="S36" s="12"/>
      <c r="T36" s="24">
        <f>T32/DBT_lifetime</f>
        <v>0.83453092146384633</v>
      </c>
      <c r="U36" s="12"/>
      <c r="V36" s="24">
        <f>V32/nabh4_lifetime</f>
        <v>2.6</v>
      </c>
      <c r="W36" s="12"/>
      <c r="X36" s="24">
        <f>X32/Dme_lifetime</f>
        <v>1.8042705623054289</v>
      </c>
      <c r="Y36" s="12"/>
      <c r="Z36" s="24">
        <f>Z32/ome_lifetime</f>
        <v>5.782741279603739</v>
      </c>
      <c r="AA36" s="12"/>
      <c r="AB36" s="24">
        <f>AB32/sng_lifetime</f>
        <v>1.5544517651724343</v>
      </c>
      <c r="AC36" s="12"/>
      <c r="AD36" s="24">
        <f>AD32/lh2_lifetime</f>
        <v>7.0522447583495902</v>
      </c>
      <c r="AE36" s="12"/>
      <c r="AF36" s="24">
        <f>AF32/lng_lifetime</f>
        <v>11.494252873563218</v>
      </c>
      <c r="AG36" s="24"/>
      <c r="AH36" s="24">
        <f>AH32/AH28</f>
        <v>1.155</v>
      </c>
      <c r="AI36" s="12"/>
      <c r="AJ36" s="12"/>
      <c r="AK36" s="24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</row>
    <row r="37" spans="1:59" x14ac:dyDescent="0.2">
      <c r="A37" s="40" t="s">
        <v>1132</v>
      </c>
      <c r="B37" s="25"/>
      <c r="C37" s="41" t="s">
        <v>999</v>
      </c>
      <c r="D37" s="25"/>
      <c r="E37" s="12"/>
      <c r="F37" s="24">
        <f>F36+F35</f>
        <v>39.666666666666664</v>
      </c>
      <c r="G37" s="12"/>
      <c r="H37" s="24">
        <f>H36+H35</f>
        <v>68</v>
      </c>
      <c r="I37" s="12"/>
      <c r="J37" s="24">
        <f>J36+J35</f>
        <v>60</v>
      </c>
      <c r="K37" s="12"/>
      <c r="L37" s="24">
        <f>L36+L35</f>
        <v>16.7811628030653</v>
      </c>
      <c r="M37" s="12"/>
      <c r="N37" s="24">
        <f>N36+N35</f>
        <v>62.758620689655189</v>
      </c>
      <c r="O37" s="12"/>
      <c r="P37" s="24">
        <f>P36+P35</f>
        <v>5.9892402191631504</v>
      </c>
      <c r="Q37" s="12"/>
      <c r="R37" s="24">
        <f>R36+R35</f>
        <v>4.22147854844766</v>
      </c>
      <c r="S37" s="12"/>
      <c r="T37" s="24">
        <f>T36+T35</f>
        <v>2.1697803958060007</v>
      </c>
      <c r="U37" s="12"/>
      <c r="V37" s="24">
        <f>V36+V35</f>
        <v>6.76</v>
      </c>
      <c r="W37" s="12"/>
      <c r="X37" s="24">
        <f>X36+X35</f>
        <v>4.691103461994115</v>
      </c>
      <c r="Y37" s="12"/>
      <c r="Z37" s="24">
        <f>Z36+Z35</f>
        <v>15.035127326969722</v>
      </c>
      <c r="AA37" s="12"/>
      <c r="AB37" s="24">
        <f>AB36+AB35</f>
        <v>4.041574589448329</v>
      </c>
      <c r="AC37" s="12"/>
      <c r="AD37" s="24">
        <f>AD36+AD35</f>
        <v>23.977632178388607</v>
      </c>
      <c r="AE37" s="12"/>
      <c r="AF37" s="24">
        <f>AF36+AF35</f>
        <v>29.885057471264368</v>
      </c>
      <c r="AG37" s="24"/>
      <c r="AH37" s="24">
        <f>AH36+AH35</f>
        <v>3.0030000000000001</v>
      </c>
      <c r="AI37" s="12"/>
      <c r="AJ37" s="12"/>
      <c r="AK37" s="24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</row>
    <row r="38" spans="1:59" x14ac:dyDescent="0.2">
      <c r="A38" s="40"/>
      <c r="B38" s="25"/>
      <c r="C38" s="41"/>
      <c r="D38" s="25"/>
      <c r="E38" s="12"/>
      <c r="F38" s="24"/>
      <c r="G38" s="12"/>
      <c r="H38" s="24"/>
      <c r="I38" s="12"/>
      <c r="J38" s="24"/>
      <c r="K38" s="12"/>
      <c r="L38" s="24"/>
      <c r="M38" s="12"/>
      <c r="N38" s="24"/>
      <c r="O38" s="12"/>
      <c r="P38" s="24"/>
      <c r="Q38" s="12"/>
      <c r="R38" s="24"/>
      <c r="S38" s="12"/>
      <c r="T38" s="24"/>
      <c r="U38" s="12"/>
      <c r="V38" s="24"/>
      <c r="W38" s="12"/>
      <c r="X38" s="24"/>
      <c r="Y38" s="12"/>
      <c r="Z38" s="24"/>
      <c r="AA38" s="12"/>
      <c r="AB38" s="24"/>
      <c r="AC38" s="12"/>
      <c r="AD38" s="24"/>
      <c r="AE38" s="12"/>
      <c r="AF38" s="24"/>
      <c r="AG38" s="24"/>
      <c r="AH38" s="12"/>
      <c r="AI38" s="12"/>
      <c r="AJ38" s="12"/>
      <c r="AK38" s="24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</row>
    <row r="39" spans="1:59" x14ac:dyDescent="0.2">
      <c r="A39" s="40" t="s">
        <v>1072</v>
      </c>
      <c r="B39" s="25"/>
      <c r="C39" s="41" t="s">
        <v>1176</v>
      </c>
      <c r="D39" s="25"/>
      <c r="E39" s="12"/>
      <c r="F39" s="46"/>
      <c r="G39" s="12"/>
      <c r="H39" s="46"/>
      <c r="I39" s="12"/>
      <c r="J39" s="12"/>
      <c r="K39" s="12"/>
      <c r="L39" s="12"/>
      <c r="M39" s="12"/>
      <c r="N39" s="12"/>
      <c r="O39" s="12"/>
      <c r="P39" s="45">
        <f>P10*P15/(P29/24)/1000000</f>
        <v>103.83729523809524</v>
      </c>
      <c r="Q39" s="12"/>
      <c r="R39" s="45">
        <f>R10*R15/(R29/24)/1000000</f>
        <v>36.140866666666668</v>
      </c>
      <c r="S39" s="12"/>
      <c r="T39" s="16">
        <f>T10*T15/(T29/24)/1000000</f>
        <v>2632.2580645161297</v>
      </c>
      <c r="U39" s="12"/>
      <c r="V39" s="16">
        <f>V10*V15/(V29/24)/1000000</f>
        <v>287.64</v>
      </c>
      <c r="W39" s="12"/>
      <c r="X39" s="45">
        <f>X10*X15/(X29/24)/1000000</f>
        <v>34.664378937880279</v>
      </c>
      <c r="Y39" s="12"/>
      <c r="Z39" s="45">
        <f>Z10*Z15/(Z29/24)/1000000</f>
        <v>42.910509523809523</v>
      </c>
      <c r="AA39" s="12"/>
      <c r="AB39" s="45">
        <f>AB10*AB15/(AB29/24)/1000000</f>
        <v>13.853019987123902</v>
      </c>
      <c r="AC39" s="12"/>
      <c r="AD39" s="24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</row>
    <row r="40" spans="1:59" x14ac:dyDescent="0.2">
      <c r="A40" s="40"/>
      <c r="B40" s="25"/>
      <c r="C40" s="41"/>
      <c r="D40" s="25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</row>
    <row r="41" spans="1:59" x14ac:dyDescent="0.2">
      <c r="A41" s="40" t="s">
        <v>938</v>
      </c>
      <c r="B41" s="25"/>
      <c r="C41" s="41" t="s">
        <v>943</v>
      </c>
      <c r="D41" s="25"/>
      <c r="E41" s="12"/>
      <c r="F41" s="15">
        <v>51.37</v>
      </c>
      <c r="G41" s="12"/>
      <c r="H41" s="15">
        <v>49.84</v>
      </c>
      <c r="I41" s="12"/>
      <c r="J41" s="15">
        <v>0.55000000000000004</v>
      </c>
      <c r="K41" s="12"/>
      <c r="L41" s="38">
        <f>L42/L63/1000</f>
        <v>0.10817997567896233</v>
      </c>
      <c r="M41" s="12"/>
      <c r="N41" s="38">
        <f>N42/N63/1000</f>
        <v>0.64160000000000006</v>
      </c>
      <c r="O41" s="12"/>
      <c r="P41" s="38">
        <f>0.296+8.5*P23/(3.06*24)/(P23/24)</f>
        <v>3.0737777777777779</v>
      </c>
      <c r="Q41" s="12"/>
      <c r="R41" s="15">
        <v>0.45</v>
      </c>
      <c r="S41" s="12"/>
      <c r="T41" s="38">
        <f>(0.37)*Carrier_properties!K7</f>
        <v>2.2939999999999999E-2</v>
      </c>
      <c r="U41" s="12"/>
      <c r="V41" s="38">
        <f>((181)/4.7)/3.6/0.7</f>
        <v>15.281999324552517</v>
      </c>
      <c r="W41" s="12"/>
      <c r="X41" s="37">
        <f>21/68</f>
        <v>0.30882352941176472</v>
      </c>
      <c r="Y41" s="12" t="s">
        <v>1413</v>
      </c>
      <c r="Z41" s="37">
        <f>4.56/3.6</f>
        <v>1.2666666666666666</v>
      </c>
      <c r="AA41" s="12"/>
      <c r="AB41" s="15">
        <v>0.45</v>
      </c>
      <c r="AC41" s="12"/>
      <c r="AD41" s="15">
        <v>6.4</v>
      </c>
      <c r="AE41" s="12"/>
      <c r="AF41" s="15">
        <f>1.8/3.6</f>
        <v>0.5</v>
      </c>
      <c r="AG41" s="46"/>
      <c r="AH41" s="15">
        <f>0.072</f>
        <v>7.1999999999999995E-2</v>
      </c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</row>
    <row r="42" spans="1:59" x14ac:dyDescent="0.2">
      <c r="A42" s="40" t="s">
        <v>939</v>
      </c>
      <c r="B42" s="25"/>
      <c r="C42" s="41" t="s">
        <v>944</v>
      </c>
      <c r="D42" s="25"/>
      <c r="E42" s="12"/>
      <c r="F42" s="12">
        <f>F41*F63*1000</f>
        <v>4999.9999999999991</v>
      </c>
      <c r="G42" s="12"/>
      <c r="H42" s="12">
        <f>H41*H63*1000</f>
        <v>5000</v>
      </c>
      <c r="I42" s="12"/>
      <c r="J42" s="12">
        <f>J41*J63*1000</f>
        <v>550</v>
      </c>
      <c r="K42" s="12"/>
      <c r="L42" s="16">
        <f>L24*L29</f>
        <v>88.96</v>
      </c>
      <c r="M42" s="12"/>
      <c r="N42" s="16">
        <f>N24*N29</f>
        <v>641.6</v>
      </c>
      <c r="O42" s="12"/>
      <c r="P42" s="16">
        <f>P41*P63*1000</f>
        <v>376.23039999999997</v>
      </c>
      <c r="Q42" s="12"/>
      <c r="R42" s="12">
        <f>R41*R63*1000</f>
        <v>450</v>
      </c>
      <c r="S42" s="12"/>
      <c r="T42" s="16">
        <f>T41*T63*1000</f>
        <v>7.6466666666666665</v>
      </c>
      <c r="U42" s="12"/>
      <c r="V42" s="16">
        <f>V41*V63*1000</f>
        <v>611.27997298210073</v>
      </c>
      <c r="W42" s="12"/>
      <c r="X42" s="16">
        <f>X41*X63*1000</f>
        <v>102.94117647058823</v>
      </c>
      <c r="Y42" s="12" t="s">
        <v>1414</v>
      </c>
      <c r="Z42" s="16">
        <f>Z41*Z63*1000</f>
        <v>422.22222222222217</v>
      </c>
      <c r="AA42" s="12"/>
      <c r="AB42" s="12">
        <f>AB41*AB63*1000</f>
        <v>150</v>
      </c>
      <c r="AC42" s="12"/>
      <c r="AD42" s="12">
        <f>AD41*AD63*1000</f>
        <v>320.00000000000006</v>
      </c>
      <c r="AE42" s="12"/>
      <c r="AF42" s="16">
        <f>AF41*AF63*1000</f>
        <v>166.66666666666666</v>
      </c>
      <c r="AG42" s="16"/>
      <c r="AH42" s="16">
        <f>AH41*AH63*1000</f>
        <v>69.11999999999999</v>
      </c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</row>
    <row r="43" spans="1:59" x14ac:dyDescent="0.2">
      <c r="A43" s="40" t="s">
        <v>928</v>
      </c>
      <c r="B43" s="25"/>
      <c r="C43" s="41" t="s">
        <v>1000</v>
      </c>
      <c r="D43" s="25"/>
      <c r="E43" s="12"/>
      <c r="F43" s="38">
        <v>0.03</v>
      </c>
      <c r="G43" s="12"/>
      <c r="H43" s="38">
        <v>0.03</v>
      </c>
      <c r="I43" s="12"/>
      <c r="J43" s="38">
        <v>0.03</v>
      </c>
      <c r="K43" s="12"/>
      <c r="L43" s="38">
        <v>0.03</v>
      </c>
      <c r="M43" s="12"/>
      <c r="N43" s="38">
        <v>0.03</v>
      </c>
      <c r="O43" s="12"/>
      <c r="P43" s="38">
        <v>0.03</v>
      </c>
      <c r="Q43" s="12"/>
      <c r="R43" s="38">
        <v>0.03</v>
      </c>
      <c r="S43" s="12"/>
      <c r="T43" s="38">
        <v>0.03</v>
      </c>
      <c r="U43" s="12"/>
      <c r="V43" s="38">
        <v>0.03</v>
      </c>
      <c r="W43" s="12"/>
      <c r="X43" s="38">
        <v>0.03</v>
      </c>
      <c r="Y43" s="12"/>
      <c r="Z43" s="38">
        <v>0.03</v>
      </c>
      <c r="AA43" s="12"/>
      <c r="AB43" s="38">
        <v>0.03</v>
      </c>
      <c r="AC43" s="12"/>
      <c r="AD43" s="38">
        <v>0.03</v>
      </c>
      <c r="AE43" s="12"/>
      <c r="AF43" s="38">
        <v>0.03</v>
      </c>
      <c r="AG43" s="47"/>
      <c r="AH43" s="38">
        <f>nl_min_offshore_price_nl/100</f>
        <v>4.7226011236875837E-2</v>
      </c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</row>
    <row r="44" spans="1:59" x14ac:dyDescent="0.2">
      <c r="A44" s="40" t="s">
        <v>929</v>
      </c>
      <c r="B44" s="25"/>
      <c r="C44" s="41" t="s">
        <v>999</v>
      </c>
      <c r="D44" s="25"/>
      <c r="E44" s="12"/>
      <c r="F44" s="24">
        <f>F43*F42</f>
        <v>149.99999999999997</v>
      </c>
      <c r="G44" s="12"/>
      <c r="H44" s="24">
        <f>H43*H42</f>
        <v>150</v>
      </c>
      <c r="I44" s="12"/>
      <c r="J44" s="24">
        <f>J43*J42</f>
        <v>16.5</v>
      </c>
      <c r="K44" s="12"/>
      <c r="L44" s="24">
        <f>L43*L42</f>
        <v>2.6687999999999996</v>
      </c>
      <c r="M44" s="12"/>
      <c r="N44" s="24">
        <f>N43*N42</f>
        <v>19.248000000000001</v>
      </c>
      <c r="O44" s="12"/>
      <c r="P44" s="24">
        <f>P43*P42</f>
        <v>11.286911999999999</v>
      </c>
      <c r="Q44" s="12"/>
      <c r="R44" s="24">
        <f>R43*R42</f>
        <v>13.5</v>
      </c>
      <c r="S44" s="12"/>
      <c r="T44" s="24">
        <f>T43*T42</f>
        <v>0.22939999999999999</v>
      </c>
      <c r="U44" s="12"/>
      <c r="V44" s="24">
        <f>V43*V42</f>
        <v>18.338399189463022</v>
      </c>
      <c r="W44" s="12"/>
      <c r="X44" s="24">
        <f>X43*X42</f>
        <v>3.0882352941176467</v>
      </c>
      <c r="Y44" s="12"/>
      <c r="Z44" s="24">
        <f>Z43*Z42</f>
        <v>12.666666666666664</v>
      </c>
      <c r="AA44" s="12"/>
      <c r="AB44" s="24">
        <f>AB43*AB42</f>
        <v>4.5</v>
      </c>
      <c r="AC44" s="12"/>
      <c r="AD44" s="24">
        <f>AD43*AD42</f>
        <v>9.6000000000000014</v>
      </c>
      <c r="AE44" s="12"/>
      <c r="AF44" s="24">
        <f>AF43*AF42</f>
        <v>4.9999999999999991</v>
      </c>
      <c r="AG44" s="24"/>
      <c r="AH44" s="24">
        <f>AH43*AH42</f>
        <v>3.2642618966928572</v>
      </c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</row>
    <row r="45" spans="1:59" x14ac:dyDescent="0.2">
      <c r="A45" s="40"/>
      <c r="B45" s="25"/>
      <c r="C45" s="41"/>
      <c r="D45" s="25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21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</row>
    <row r="46" spans="1:59" x14ac:dyDescent="0.2">
      <c r="A46" s="40" t="s">
        <v>907</v>
      </c>
      <c r="B46" s="25"/>
      <c r="C46" s="41" t="s">
        <v>1202</v>
      </c>
      <c r="D46" s="25"/>
      <c r="E46" s="12"/>
      <c r="F46" s="18">
        <v>0.03</v>
      </c>
      <c r="G46" s="12"/>
      <c r="H46" s="18">
        <v>0.03</v>
      </c>
      <c r="I46" s="12"/>
      <c r="J46" s="18">
        <v>7.0000000000000007E-2</v>
      </c>
      <c r="K46" s="12"/>
      <c r="L46" s="23">
        <v>2.2499999999999999E-2</v>
      </c>
      <c r="M46" s="12"/>
      <c r="N46" s="18">
        <v>0.03</v>
      </c>
      <c r="O46" s="12"/>
      <c r="P46" s="18">
        <v>0.03</v>
      </c>
      <c r="Q46" s="12"/>
      <c r="R46" s="18">
        <v>0.03</v>
      </c>
      <c r="S46" s="12"/>
      <c r="T46" s="18">
        <v>0.03</v>
      </c>
      <c r="U46" s="12"/>
      <c r="V46" s="18">
        <v>0.05</v>
      </c>
      <c r="W46" s="12"/>
      <c r="X46" s="48">
        <v>0.03</v>
      </c>
      <c r="Y46" s="12"/>
      <c r="Z46" s="48">
        <v>0.03</v>
      </c>
      <c r="AA46" s="12"/>
      <c r="AB46" s="18">
        <v>0.03</v>
      </c>
      <c r="AC46" s="12"/>
      <c r="AD46" s="18">
        <v>0.03</v>
      </c>
      <c r="AE46" s="12"/>
      <c r="AF46" s="18">
        <v>0.03</v>
      </c>
      <c r="AG46" s="19"/>
      <c r="AH46" s="18">
        <v>0.03</v>
      </c>
      <c r="AI46" s="12"/>
      <c r="AJ46" s="12"/>
      <c r="AK46" s="17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</row>
    <row r="47" spans="1:59" x14ac:dyDescent="0.2">
      <c r="A47" s="40"/>
      <c r="B47" s="25"/>
      <c r="C47" s="41" t="s">
        <v>999</v>
      </c>
      <c r="D47" s="25"/>
      <c r="E47" s="12"/>
      <c r="F47" s="28">
        <f>F46*F32</f>
        <v>10.5</v>
      </c>
      <c r="G47" s="12"/>
      <c r="H47" s="28">
        <f>H46*H32</f>
        <v>18</v>
      </c>
      <c r="I47" s="12"/>
      <c r="J47" s="28">
        <f>J46*J32</f>
        <v>35</v>
      </c>
      <c r="K47" s="12"/>
      <c r="L47" s="28">
        <f>L46*L32</f>
        <v>2.9044320236074559</v>
      </c>
      <c r="M47" s="12"/>
      <c r="N47" s="28">
        <f>N46*N32</f>
        <v>14.482758620689658</v>
      </c>
      <c r="O47" s="12"/>
      <c r="P47" s="28">
        <f>P46*P32</f>
        <v>1.3821323582684193</v>
      </c>
      <c r="Q47" s="12"/>
      <c r="R47" s="28">
        <f>R46*R32</f>
        <v>1.055369637111915</v>
      </c>
      <c r="S47" s="12"/>
      <c r="T47" s="28">
        <f>T46*T32</f>
        <v>0.5007185528783078</v>
      </c>
      <c r="U47" s="12"/>
      <c r="V47" s="28">
        <f>V46*V32</f>
        <v>2.6</v>
      </c>
      <c r="W47" s="12"/>
      <c r="X47" s="28">
        <f>X46*X32</f>
        <v>1.0825623373832574</v>
      </c>
      <c r="Y47" s="12"/>
      <c r="Z47" s="28">
        <f>Z46*Z32</f>
        <v>3.4696447677622428</v>
      </c>
      <c r="AA47" s="12"/>
      <c r="AB47" s="28">
        <f>AB46*AB32</f>
        <v>0.93267105910346049</v>
      </c>
      <c r="AC47" s="12"/>
      <c r="AD47" s="28">
        <f>AD46*AD32</f>
        <v>6.3470202825146309</v>
      </c>
      <c r="AE47" s="12"/>
      <c r="AF47" s="28">
        <f>AF46*AF32</f>
        <v>6.8965517241379306</v>
      </c>
      <c r="AG47" s="28"/>
      <c r="AH47" s="28">
        <f>AH46*AH32</f>
        <v>0.69300000000000006</v>
      </c>
      <c r="AI47" s="12"/>
      <c r="AJ47" s="12"/>
      <c r="AK47" s="28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</row>
    <row r="48" spans="1:59" x14ac:dyDescent="0.2">
      <c r="A48" s="40" t="s">
        <v>1224</v>
      </c>
      <c r="B48" s="25"/>
      <c r="C48" s="41"/>
      <c r="D48" s="25"/>
      <c r="E48" s="12"/>
      <c r="F48" s="17">
        <v>0</v>
      </c>
      <c r="G48" s="12"/>
      <c r="H48" s="17">
        <v>0</v>
      </c>
      <c r="I48" s="12"/>
      <c r="J48" s="17">
        <v>0</v>
      </c>
      <c r="K48" s="12"/>
      <c r="L48" s="17">
        <v>0</v>
      </c>
      <c r="M48" s="12"/>
      <c r="N48" s="17">
        <v>0</v>
      </c>
      <c r="O48" s="12"/>
      <c r="P48" s="48">
        <f>Carrier_properties!G21</f>
        <v>9.0444113263786763E-3</v>
      </c>
      <c r="Q48" s="12"/>
      <c r="R48" s="48">
        <f>Carrier_properties!I21</f>
        <v>0</v>
      </c>
      <c r="S48" s="12"/>
      <c r="T48" s="49">
        <v>1E-3</v>
      </c>
      <c r="U48" s="21"/>
      <c r="V48" s="50">
        <v>0.05</v>
      </c>
      <c r="W48" s="12"/>
      <c r="X48" s="48">
        <f>Carrier_properties!U21</f>
        <v>0</v>
      </c>
      <c r="Y48" s="12"/>
      <c r="Z48" s="48">
        <f>Carrier_properties!W21</f>
        <v>0</v>
      </c>
      <c r="AA48" s="12"/>
      <c r="AB48" s="48">
        <f>Carrier_properties!S21</f>
        <v>6.3990303030303064E-2</v>
      </c>
      <c r="AC48" s="12"/>
      <c r="AD48" s="17">
        <v>0</v>
      </c>
      <c r="AE48" s="12"/>
      <c r="AF48" s="17">
        <v>0</v>
      </c>
      <c r="AG48" s="17"/>
      <c r="AH48" s="17">
        <v>0</v>
      </c>
      <c r="AI48" s="12"/>
      <c r="AJ48" s="12"/>
      <c r="AK48" s="17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</row>
    <row r="49" spans="1:59" x14ac:dyDescent="0.2">
      <c r="A49" s="40" t="s">
        <v>1225</v>
      </c>
      <c r="B49" s="25"/>
      <c r="C49" s="41"/>
      <c r="D49" s="25"/>
      <c r="E49" s="12"/>
      <c r="F49" s="17"/>
      <c r="G49" s="12"/>
      <c r="H49" s="17"/>
      <c r="I49" s="12"/>
      <c r="J49" s="17"/>
      <c r="K49" s="12"/>
      <c r="L49" s="17"/>
      <c r="M49" s="12"/>
      <c r="N49" s="17"/>
      <c r="O49" s="12"/>
      <c r="P49" s="51">
        <f>H2_retrieval!H34</f>
        <v>0</v>
      </c>
      <c r="Q49" s="12"/>
      <c r="R49" s="51">
        <f>H2_retrieval!J34</f>
        <v>0</v>
      </c>
      <c r="S49" s="12"/>
      <c r="T49" s="51">
        <f>H2_retrieval!L34</f>
        <v>0</v>
      </c>
      <c r="U49" s="21"/>
      <c r="V49" s="52">
        <f>H2_retrieval!N34</f>
        <v>0.02</v>
      </c>
      <c r="W49" s="12"/>
      <c r="X49" s="51">
        <f>H2_retrieval!V34</f>
        <v>0</v>
      </c>
      <c r="Y49" s="12"/>
      <c r="Z49" s="51"/>
      <c r="AA49" s="12"/>
      <c r="AB49" s="52">
        <f>H2_retrieval!T34</f>
        <v>0</v>
      </c>
      <c r="AC49" s="12"/>
      <c r="AD49" s="17"/>
      <c r="AE49" s="12"/>
      <c r="AF49" s="17"/>
      <c r="AG49" s="17"/>
      <c r="AH49" s="17"/>
      <c r="AI49" s="12"/>
      <c r="AJ49" s="12"/>
      <c r="AK49" s="17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</row>
    <row r="50" spans="1:59" x14ac:dyDescent="0.2">
      <c r="A50" s="40" t="s">
        <v>1224</v>
      </c>
      <c r="B50" s="25"/>
      <c r="C50" s="41" t="s">
        <v>999</v>
      </c>
      <c r="D50" s="25"/>
      <c r="E50" s="12"/>
      <c r="F50" s="28">
        <f>(F48+F49)*F63*F15</f>
        <v>0</v>
      </c>
      <c r="G50" s="12"/>
      <c r="H50" s="28">
        <f>(H48+H49)*H63*H15</f>
        <v>0</v>
      </c>
      <c r="I50" s="12"/>
      <c r="J50" s="28">
        <f>(J48+J49)*J63*J15</f>
        <v>0</v>
      </c>
      <c r="K50" s="12"/>
      <c r="L50" s="28">
        <f>(L48+L49)*L63*L15</f>
        <v>0</v>
      </c>
      <c r="M50" s="12"/>
      <c r="N50" s="28">
        <f>(N48+N49)*N63*N15</f>
        <v>0</v>
      </c>
      <c r="O50" s="12"/>
      <c r="P50" s="28">
        <f>(P48+P49)*P63*P15</f>
        <v>0.12343450801788559</v>
      </c>
      <c r="Q50" s="12"/>
      <c r="R50" s="28">
        <f>(R48+R49)*R63*R15</f>
        <v>0</v>
      </c>
      <c r="S50" s="12"/>
      <c r="T50" s="28">
        <f>(T48+T49)*T63*T15</f>
        <v>1.3333333333333333</v>
      </c>
      <c r="U50" s="12"/>
      <c r="V50" s="28">
        <f>(V48+V49)*V63*V15</f>
        <v>4.2</v>
      </c>
      <c r="W50" s="12"/>
      <c r="X50" s="28">
        <f>(X48+X49)*X63*X15</f>
        <v>0</v>
      </c>
      <c r="Y50" s="12"/>
      <c r="Z50" s="28">
        <f>(Z48+Z49)*Z63*Z15</f>
        <v>0</v>
      </c>
      <c r="AA50" s="12"/>
      <c r="AB50" s="28">
        <f>(AB48+AB49)*AB63*AB15</f>
        <v>2.3783062626262641</v>
      </c>
      <c r="AC50" s="12"/>
      <c r="AD50" s="28">
        <f>(AD48+AD49)*AD63*AD15</f>
        <v>0</v>
      </c>
      <c r="AE50" s="12"/>
      <c r="AF50" s="28">
        <f>(AF48+AF49)*AF63*AF15</f>
        <v>0</v>
      </c>
      <c r="AG50" s="28"/>
      <c r="AH50" s="28">
        <f>(AH48+AH49)*AH63*AH15</f>
        <v>0</v>
      </c>
      <c r="AI50" s="12"/>
      <c r="AJ50" s="12"/>
      <c r="AK50" s="28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</row>
    <row r="51" spans="1:59" x14ac:dyDescent="0.2">
      <c r="A51" s="40" t="s">
        <v>907</v>
      </c>
      <c r="B51" s="25"/>
      <c r="C51" s="41" t="s">
        <v>999</v>
      </c>
      <c r="D51" s="25"/>
      <c r="E51" s="12"/>
      <c r="F51" s="24">
        <f>F46*F32</f>
        <v>10.5</v>
      </c>
      <c r="G51" s="12"/>
      <c r="H51" s="24">
        <f>H47+H50</f>
        <v>18</v>
      </c>
      <c r="I51" s="12"/>
      <c r="J51" s="24">
        <f>J47+J50</f>
        <v>35</v>
      </c>
      <c r="K51" s="12"/>
      <c r="L51" s="24">
        <f>L47+L50</f>
        <v>2.9044320236074559</v>
      </c>
      <c r="M51" s="12"/>
      <c r="N51" s="24">
        <f>N47+N50</f>
        <v>14.482758620689658</v>
      </c>
      <c r="O51" s="12"/>
      <c r="P51" s="24">
        <f>P47+P50</f>
        <v>1.5055668662863049</v>
      </c>
      <c r="Q51" s="12"/>
      <c r="R51" s="24">
        <f>R47+R50</f>
        <v>1.055369637111915</v>
      </c>
      <c r="S51" s="12"/>
      <c r="T51" s="24">
        <f>T47+T50</f>
        <v>1.8340518862116411</v>
      </c>
      <c r="U51" s="12"/>
      <c r="V51" s="24">
        <f>V47+V50</f>
        <v>6.8000000000000007</v>
      </c>
      <c r="W51" s="12"/>
      <c r="X51" s="24">
        <f>X47+X50</f>
        <v>1.0825623373832574</v>
      </c>
      <c r="Y51" s="12"/>
      <c r="Z51" s="24">
        <f>Z47+Z50</f>
        <v>3.4696447677622428</v>
      </c>
      <c r="AA51" s="12"/>
      <c r="AB51" s="24">
        <f>AB47+AB50</f>
        <v>3.3109773217297245</v>
      </c>
      <c r="AC51" s="12"/>
      <c r="AD51" s="24">
        <f>AD46*AD32</f>
        <v>6.3470202825146309</v>
      </c>
      <c r="AE51" s="12"/>
      <c r="AF51" s="24">
        <f>AF46*AF32</f>
        <v>6.8965517241379306</v>
      </c>
      <c r="AG51" s="24"/>
      <c r="AH51" s="24">
        <f>AH46*AH32</f>
        <v>0.69300000000000006</v>
      </c>
      <c r="AI51" s="12"/>
      <c r="AJ51" s="12"/>
      <c r="AK51" s="24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</row>
    <row r="52" spans="1:59" x14ac:dyDescent="0.2">
      <c r="A52" s="40" t="s">
        <v>907</v>
      </c>
      <c r="B52" s="25"/>
      <c r="C52" s="41" t="s">
        <v>946</v>
      </c>
      <c r="D52" s="25"/>
      <c r="E52" s="12"/>
      <c r="F52" s="24">
        <f>F51/F63</f>
        <v>107.87700000000001</v>
      </c>
      <c r="G52" s="12"/>
      <c r="H52" s="24">
        <f>H51/H63</f>
        <v>179.42400000000001</v>
      </c>
      <c r="I52" s="12"/>
      <c r="J52" s="24">
        <f>J51/J63</f>
        <v>35</v>
      </c>
      <c r="K52" s="12"/>
      <c r="L52" s="24">
        <f>L51/L63</f>
        <v>3.5319400368149045</v>
      </c>
      <c r="M52" s="12"/>
      <c r="N52" s="24">
        <f>N51/N63</f>
        <v>14.482758620689658</v>
      </c>
      <c r="O52" s="12"/>
      <c r="P52" s="24">
        <f>P51/P63</f>
        <v>12.300382894495957</v>
      </c>
      <c r="Q52" s="12"/>
      <c r="R52" s="24">
        <f>R51/R63</f>
        <v>1.055369637111915</v>
      </c>
      <c r="S52" s="12"/>
      <c r="T52" s="24">
        <f>T51/T63</f>
        <v>5.5021556586349236</v>
      </c>
      <c r="U52" s="12"/>
      <c r="V52" s="24">
        <f>V51/V63</f>
        <v>170.00000000000003</v>
      </c>
      <c r="W52" s="12"/>
      <c r="X52" s="24">
        <f>X51/X63</f>
        <v>3.2476870121497723</v>
      </c>
      <c r="Y52" s="12"/>
      <c r="Z52" s="24">
        <f>Z51/Z63</f>
        <v>10.408934303286729</v>
      </c>
      <c r="AA52" s="12"/>
      <c r="AB52" s="24">
        <f>AB51/AB63</f>
        <v>9.9329319651891748</v>
      </c>
      <c r="AC52" s="12"/>
      <c r="AD52" s="24">
        <f>AD51/AD63</f>
        <v>126.94040565029262</v>
      </c>
      <c r="AE52" s="12"/>
      <c r="AF52" s="24">
        <f>AF51/AF63</f>
        <v>20.689655172413794</v>
      </c>
      <c r="AG52" s="24"/>
      <c r="AH52" s="24">
        <f>AH51/AH63</f>
        <v>0.72187500000000004</v>
      </c>
      <c r="AI52" s="12"/>
      <c r="AJ52" s="12"/>
      <c r="AK52" s="24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</row>
    <row r="53" spans="1:59" x14ac:dyDescent="0.2">
      <c r="A53" s="40"/>
      <c r="B53" s="25"/>
      <c r="C53" s="41"/>
      <c r="D53" s="25"/>
      <c r="E53" s="12"/>
      <c r="F53" s="24"/>
      <c r="G53" s="12"/>
      <c r="H53" s="24"/>
      <c r="I53" s="12"/>
      <c r="J53" s="24"/>
      <c r="K53" s="12"/>
      <c r="L53" s="24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</row>
    <row r="54" spans="1:59" x14ac:dyDescent="0.2">
      <c r="A54" s="40" t="s">
        <v>1219</v>
      </c>
      <c r="B54" s="25"/>
      <c r="C54" s="41" t="s">
        <v>999</v>
      </c>
      <c r="D54" s="25"/>
      <c r="E54" s="12"/>
      <c r="F54" s="24"/>
      <c r="G54" s="12"/>
      <c r="H54" s="24"/>
      <c r="I54" s="12"/>
      <c r="J54" s="24"/>
      <c r="K54" s="12"/>
      <c r="L54" s="24"/>
      <c r="M54" s="12"/>
      <c r="N54" s="24">
        <f>N18/24*N29*MIN($F$64,$H$64)/1000000</f>
        <v>365.37369122222213</v>
      </c>
      <c r="O54" s="12"/>
      <c r="P54" s="24">
        <f>P18/24*P29*MIN($F$64,$H$64)/1000000</f>
        <v>14.889149293333329</v>
      </c>
      <c r="Q54" s="12"/>
      <c r="R54" s="24">
        <f>R18/24*R29*MIN($F$64,$H$64)/1000000</f>
        <v>396.90688033333333</v>
      </c>
      <c r="S54" s="12"/>
      <c r="T54" s="24">
        <f>T18/24*T29*MIN($F$64,$H$64)/1000000</f>
        <v>42.501254888888887</v>
      </c>
      <c r="U54" s="12"/>
      <c r="V54" s="12"/>
      <c r="W54" s="12"/>
      <c r="X54" s="24">
        <f>X18/24*X29*MIN($F$64,$H$64)/1000000</f>
        <v>0</v>
      </c>
      <c r="Y54" s="12"/>
      <c r="Z54" s="24">
        <f>Z18/24*Z29*MIN($F$64,$H$64)/1000000</f>
        <v>0</v>
      </c>
      <c r="AA54" s="12"/>
      <c r="AB54" s="24">
        <f>AB18/24*AB29*MIN($F$64,$H$64)/1000000</f>
        <v>344.80446307385228</v>
      </c>
      <c r="AC54" s="12"/>
      <c r="AD54" s="24">
        <f>AD18/24*AD29*MIN($F$64,$H$64)/1000000</f>
        <v>102.82561666666666</v>
      </c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</row>
    <row r="55" spans="1:59" x14ac:dyDescent="0.2">
      <c r="A55" s="40" t="s">
        <v>1221</v>
      </c>
      <c r="B55" s="25"/>
      <c r="C55" s="41" t="s">
        <v>999</v>
      </c>
      <c r="D55" s="25"/>
      <c r="E55" s="12"/>
      <c r="F55" s="24"/>
      <c r="G55" s="12"/>
      <c r="H55" s="24"/>
      <c r="I55" s="12"/>
      <c r="J55" s="24"/>
      <c r="K55" s="12"/>
      <c r="L55" s="24"/>
      <c r="M55" s="12"/>
      <c r="N55" s="24">
        <f>N19/24*N29*$L$64/1000000</f>
        <v>22.35439482667276</v>
      </c>
      <c r="O55" s="12"/>
      <c r="P55" s="12"/>
      <c r="Q55" s="12"/>
      <c r="R55" s="24"/>
      <c r="S55" s="12"/>
      <c r="T55" s="24"/>
      <c r="U55" s="12"/>
      <c r="V55" s="12"/>
      <c r="W55" s="12"/>
      <c r="X55" s="24"/>
      <c r="Y55" s="12"/>
      <c r="Z55" s="24"/>
      <c r="AA55" s="12"/>
      <c r="AB55" s="24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</row>
    <row r="56" spans="1:59" x14ac:dyDescent="0.2">
      <c r="A56" s="40" t="s">
        <v>1220</v>
      </c>
      <c r="B56" s="25"/>
      <c r="C56" s="41" t="s">
        <v>999</v>
      </c>
      <c r="D56" s="25"/>
      <c r="E56" s="12"/>
      <c r="F56" s="24"/>
      <c r="G56" s="12"/>
      <c r="H56" s="24"/>
      <c r="I56" s="12"/>
      <c r="J56" s="24"/>
      <c r="K56" s="12"/>
      <c r="L56" s="24"/>
      <c r="M56" s="12"/>
      <c r="N56" s="24"/>
      <c r="O56" s="12"/>
      <c r="P56" s="24">
        <f>P20/24*P29*$AH$64/1000000</f>
        <v>0.73662771739999422</v>
      </c>
      <c r="Q56" s="12"/>
      <c r="R56" s="24">
        <f>R20/24*R29*$AH$64/1000000</f>
        <v>10.150381932677085</v>
      </c>
      <c r="S56" s="12"/>
      <c r="T56" s="24"/>
      <c r="U56" s="12"/>
      <c r="V56" s="12"/>
      <c r="W56" s="12"/>
      <c r="X56" s="24">
        <f>X20/24*X29*$AH$64/1000000</f>
        <v>0</v>
      </c>
      <c r="Y56" s="12"/>
      <c r="Z56" s="24">
        <f>Z20/24*Z29*$AH$64/1000000</f>
        <v>0</v>
      </c>
      <c r="AA56" s="12"/>
      <c r="AB56" s="24">
        <f>AB20/24*AB29*$AH$64/1000000</f>
        <v>6.6328177727549615</v>
      </c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</row>
    <row r="57" spans="1:59" x14ac:dyDescent="0.2">
      <c r="A57" s="40" t="s">
        <v>1222</v>
      </c>
      <c r="B57" s="25"/>
      <c r="C57" s="41" t="s">
        <v>999</v>
      </c>
      <c r="D57" s="25"/>
      <c r="E57" s="12"/>
      <c r="F57" s="24"/>
      <c r="G57" s="12"/>
      <c r="H57" s="24"/>
      <c r="I57" s="12"/>
      <c r="J57" s="24"/>
      <c r="K57" s="12"/>
      <c r="L57" s="24"/>
      <c r="M57" s="12"/>
      <c r="N57" s="24"/>
      <c r="O57" s="12"/>
      <c r="P57" s="24"/>
      <c r="Q57" s="12"/>
      <c r="R57" s="24"/>
      <c r="S57" s="12"/>
      <c r="T57" s="24"/>
      <c r="U57" s="12"/>
      <c r="V57" s="12"/>
      <c r="W57" s="12"/>
      <c r="X57" s="24">
        <f>X21/24*X29*$R$64/1000000</f>
        <v>200.7736136882844</v>
      </c>
      <c r="Y57" s="12"/>
      <c r="Z57" s="24">
        <f>Z21/24*Z29*$R$64/1000000</f>
        <v>340.47019665297057</v>
      </c>
      <c r="AA57" s="12"/>
      <c r="AB57" s="24"/>
      <c r="AC57" s="12"/>
      <c r="AD57" s="12"/>
      <c r="AE57" s="12"/>
      <c r="AF57" s="12"/>
      <c r="AG57" s="12"/>
      <c r="AH57" s="12"/>
      <c r="AI57" s="12"/>
      <c r="AJ57" s="12"/>
      <c r="AK57" s="24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</row>
    <row r="58" spans="1:59" x14ac:dyDescent="0.2">
      <c r="A58" s="40" t="s">
        <v>1223</v>
      </c>
      <c r="B58" s="25"/>
      <c r="C58" s="41" t="s">
        <v>999</v>
      </c>
      <c r="D58" s="25"/>
      <c r="E58" s="12"/>
      <c r="F58" s="24"/>
      <c r="G58" s="12"/>
      <c r="H58" s="24"/>
      <c r="I58" s="12"/>
      <c r="J58" s="24"/>
      <c r="K58" s="12"/>
      <c r="L58" s="24"/>
      <c r="M58" s="12"/>
      <c r="N58" s="24"/>
      <c r="O58" s="12"/>
      <c r="P58" s="24"/>
      <c r="Q58" s="12"/>
      <c r="R58" s="24"/>
      <c r="S58" s="12"/>
      <c r="T58" s="24"/>
      <c r="U58" s="12"/>
      <c r="V58" s="12"/>
      <c r="W58" s="12"/>
      <c r="X58" s="24"/>
      <c r="Y58" s="12"/>
      <c r="Z58" s="24"/>
      <c r="AA58" s="12"/>
      <c r="AB58" s="24"/>
      <c r="AC58" s="12"/>
      <c r="AD58" s="12"/>
      <c r="AE58" s="12"/>
      <c r="AF58" s="24">
        <f>AF22/24*AF29*$AB$64/1000000</f>
        <v>363.28983275778523</v>
      </c>
      <c r="AG58" s="24"/>
      <c r="AH58" s="12"/>
      <c r="AI58" s="12"/>
      <c r="AJ58" s="12"/>
      <c r="AK58" s="24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</row>
    <row r="59" spans="1:59" x14ac:dyDescent="0.2">
      <c r="A59" s="40"/>
      <c r="B59" s="25"/>
      <c r="C59" s="41"/>
      <c r="D59" s="25"/>
      <c r="E59" s="12"/>
      <c r="F59" s="24"/>
      <c r="G59" s="12"/>
      <c r="H59" s="24"/>
      <c r="I59" s="12"/>
      <c r="J59" s="24"/>
      <c r="K59" s="12"/>
      <c r="L59" s="24"/>
      <c r="M59" s="12"/>
      <c r="N59" s="12"/>
      <c r="O59" s="12"/>
      <c r="P59" s="24"/>
      <c r="Q59" s="12"/>
      <c r="R59" s="24"/>
      <c r="S59" s="12"/>
      <c r="T59" s="24"/>
      <c r="U59" s="12"/>
      <c r="V59" s="12"/>
      <c r="W59" s="12"/>
      <c r="X59" s="24"/>
      <c r="Y59" s="12"/>
      <c r="Z59" s="24"/>
      <c r="AA59" s="12"/>
      <c r="AB59" s="24"/>
      <c r="AC59" s="12"/>
      <c r="AD59" s="12"/>
      <c r="AE59" s="12"/>
      <c r="AF59" s="12"/>
      <c r="AG59" s="12"/>
      <c r="AH59" s="12"/>
      <c r="AI59" s="12"/>
      <c r="AJ59" s="12"/>
      <c r="AK59" s="24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</row>
    <row r="60" spans="1:59" x14ac:dyDescent="0.2">
      <c r="A60" s="40" t="s">
        <v>846</v>
      </c>
      <c r="B60" s="25"/>
      <c r="C60" s="41" t="s">
        <v>908</v>
      </c>
      <c r="D60" s="25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53">
        <v>1.6250000000000001E-2</v>
      </c>
      <c r="AE60" s="12"/>
      <c r="AF60" s="12"/>
      <c r="AG60" s="12"/>
      <c r="AH60" s="12"/>
      <c r="AI60" s="12"/>
      <c r="AJ60" s="12"/>
      <c r="AK60" s="24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</row>
    <row r="61" spans="1:59" x14ac:dyDescent="0.2">
      <c r="A61" s="40"/>
      <c r="B61" s="25"/>
      <c r="C61" s="41"/>
      <c r="D61" s="25"/>
      <c r="E61" s="12"/>
      <c r="F61" s="12"/>
      <c r="G61" s="12"/>
      <c r="H61" s="12"/>
      <c r="I61" s="12"/>
      <c r="J61" s="12"/>
      <c r="K61" s="12"/>
      <c r="L61" s="24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</row>
    <row r="62" spans="1:59" x14ac:dyDescent="0.2">
      <c r="A62" s="40" t="s">
        <v>940</v>
      </c>
      <c r="B62" s="25"/>
      <c r="C62" s="41" t="s">
        <v>999</v>
      </c>
      <c r="D62" s="25"/>
      <c r="E62" s="12"/>
      <c r="F62" s="24">
        <f>(F51+F44+F37)/(1-F60)</f>
        <v>200.16666666666663</v>
      </c>
      <c r="G62" s="12"/>
      <c r="H62" s="24">
        <f>(H51+H44+H37+SUM(H54:H58))/(1-H60)</f>
        <v>236</v>
      </c>
      <c r="I62" s="12"/>
      <c r="J62" s="24">
        <f>(J51+J44+J37+SUM(J54:J58))/(1-J60)</f>
        <v>111.5</v>
      </c>
      <c r="K62" s="12"/>
      <c r="L62" s="24">
        <f>(L51+L44+L37+SUM(L54:L58))/(1-L60)</f>
        <v>22.354394826672756</v>
      </c>
      <c r="M62" s="12"/>
      <c r="N62" s="24">
        <f>(N51+N44+N37+SUM(N54:N58))/(1-N60)</f>
        <v>484.21746535923978</v>
      </c>
      <c r="O62" s="12"/>
      <c r="P62" s="24">
        <f>(P51+P44+P37+SUM(P54:P58))/(1-P60)</f>
        <v>34.407496096182776</v>
      </c>
      <c r="Q62" s="12"/>
      <c r="R62" s="24">
        <f>(R51+R44+R37+SUM(R54:R58))/(1-R60)</f>
        <v>425.83411045156998</v>
      </c>
      <c r="S62" s="12"/>
      <c r="T62" s="24">
        <f>T51+T44+T37+SUM(T54:T58)</f>
        <v>46.734487170906533</v>
      </c>
      <c r="U62" s="12"/>
      <c r="V62" s="24">
        <f>V51+V44+V37+SUM(V54:V58)</f>
        <v>31.898399189463021</v>
      </c>
      <c r="W62" s="12"/>
      <c r="X62" s="24">
        <f>(X51+X44+X37+SUM(X54:X58))/(1-X60)</f>
        <v>209.63551478177942</v>
      </c>
      <c r="Y62" s="12"/>
      <c r="Z62" s="24">
        <f>(Z51+Z44+Z37+SUM(Z54:Z58))/(1-Z60)</f>
        <v>371.6416354143692</v>
      </c>
      <c r="AA62" s="12"/>
      <c r="AB62" s="24">
        <f>(AB51+AB44+AB37+SUM(AB54:AB58))/(1-AB60)</f>
        <v>363.28983275778529</v>
      </c>
      <c r="AC62" s="12"/>
      <c r="AD62" s="24">
        <f>(AD51+AD44+AD37+SUM(AD54:AD58))/(1-AD60)</f>
        <v>145.10827865572546</v>
      </c>
      <c r="AE62" s="12"/>
      <c r="AF62" s="24">
        <f>(AF51+AF44+AF37+SUM(AF54:AF58))/(1-AF60)</f>
        <v>405.07144195318756</v>
      </c>
      <c r="AG62" s="24"/>
      <c r="AH62" s="24">
        <f>(AH51+AH44+AH37+SUM(AH54:AH58))/(1-AH60)</f>
        <v>6.9602618966928578</v>
      </c>
      <c r="AI62" s="12"/>
      <c r="AJ62" s="12"/>
      <c r="AK62" s="54" t="s">
        <v>1291</v>
      </c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</row>
    <row r="63" spans="1:59" x14ac:dyDescent="0.2">
      <c r="A63" s="40" t="s">
        <v>941</v>
      </c>
      <c r="B63" s="25"/>
      <c r="C63" s="41" t="s">
        <v>945</v>
      </c>
      <c r="D63" s="25"/>
      <c r="E63" s="12"/>
      <c r="F63" s="24">
        <f>F24*F29/F41/1000</f>
        <v>9.733307377846992E-2</v>
      </c>
      <c r="G63" s="24"/>
      <c r="H63" s="24">
        <f>H24*H29/H41/1000</f>
        <v>0.10032102728731941</v>
      </c>
      <c r="I63" s="12"/>
      <c r="J63" s="12">
        <v>1</v>
      </c>
      <c r="K63" s="12"/>
      <c r="L63" s="24">
        <f>L23/24*L29/1000000</f>
        <v>0.82233333333333314</v>
      </c>
      <c r="M63" s="12"/>
      <c r="N63" s="24">
        <f>N23/24*N29/1000000</f>
        <v>1</v>
      </c>
      <c r="O63" s="12"/>
      <c r="P63" s="24">
        <f>P23/24*P29/1000000</f>
        <v>0.12239999999999998</v>
      </c>
      <c r="Q63" s="12"/>
      <c r="R63" s="24">
        <f>R23/24*R29/1000000</f>
        <v>1</v>
      </c>
      <c r="S63" s="12"/>
      <c r="T63" s="24">
        <f>T23/24*T29/1000000</f>
        <v>0.33333333333333331</v>
      </c>
      <c r="U63" s="12"/>
      <c r="V63" s="24">
        <f>V23/24*V29/1000000</f>
        <v>0.04</v>
      </c>
      <c r="W63" s="12"/>
      <c r="X63" s="24">
        <f>X23/24*X29/1000000</f>
        <v>0.33333333333333331</v>
      </c>
      <c r="Y63" s="12"/>
      <c r="Z63" s="24">
        <f>Z23/24*Z29/1000000</f>
        <v>0.33333333333333331</v>
      </c>
      <c r="AA63" s="12"/>
      <c r="AB63" s="24">
        <f>AB23/24*AB29/1000000</f>
        <v>0.33333333333333331</v>
      </c>
      <c r="AC63" s="12"/>
      <c r="AD63" s="24">
        <f>AD23/24*AD29/1000000</f>
        <v>0.05</v>
      </c>
      <c r="AE63" s="12"/>
      <c r="AF63" s="24">
        <f>AF23/24*AF29/1000000</f>
        <v>0.33333333333333331</v>
      </c>
      <c r="AG63" s="24"/>
      <c r="AH63" s="24">
        <f>AH23/24*AH29/1000000</f>
        <v>0.96</v>
      </c>
      <c r="AI63" s="12"/>
      <c r="AJ63" s="12"/>
      <c r="AK63" s="24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</row>
    <row r="64" spans="1:59" x14ac:dyDescent="0.2">
      <c r="A64" s="40" t="s">
        <v>942</v>
      </c>
      <c r="B64" s="25"/>
      <c r="C64" s="55" t="s">
        <v>946</v>
      </c>
      <c r="D64" s="25"/>
      <c r="E64" s="12"/>
      <c r="F64" s="24">
        <f>F62/F63</f>
        <v>2056.5123333333331</v>
      </c>
      <c r="G64" s="12"/>
      <c r="H64" s="24">
        <f>H62/H63</f>
        <v>2352.4480000000003</v>
      </c>
      <c r="I64" s="12"/>
      <c r="J64" s="24">
        <f>J62/J63</f>
        <v>111.5</v>
      </c>
      <c r="K64" s="12"/>
      <c r="L64" s="24">
        <f>L62/L63</f>
        <v>27.184103964336558</v>
      </c>
      <c r="M64" s="12"/>
      <c r="N64" s="24">
        <f>N62/N63</f>
        <v>484.21746535923978</v>
      </c>
      <c r="O64" s="12"/>
      <c r="P64" s="24">
        <f>P62/P63</f>
        <v>281.10699424985933</v>
      </c>
      <c r="Q64" s="12"/>
      <c r="R64" s="24">
        <f>R62/R63</f>
        <v>425.83411045156998</v>
      </c>
      <c r="S64" s="12"/>
      <c r="T64" s="24">
        <f>T62/T63</f>
        <v>140.2034615127196</v>
      </c>
      <c r="U64" s="12"/>
      <c r="V64" s="24">
        <f>V62/V63</f>
        <v>797.45997973657552</v>
      </c>
      <c r="W64" s="12"/>
      <c r="X64" s="24">
        <f>X62/X63</f>
        <v>628.90654434533826</v>
      </c>
      <c r="Y64" s="12"/>
      <c r="Z64" s="24">
        <f>Z62/Z63</f>
        <v>1114.9249062431077</v>
      </c>
      <c r="AA64" s="12"/>
      <c r="AB64" s="24">
        <f>AB62/AB63</f>
        <v>1089.8694982733559</v>
      </c>
      <c r="AC64" s="12"/>
      <c r="AD64" s="24">
        <f>AD62/AD63</f>
        <v>2902.1655731145088</v>
      </c>
      <c r="AE64" s="12"/>
      <c r="AF64" s="24">
        <f>AF62/AF63</f>
        <v>1215.2143258595627</v>
      </c>
      <c r="AG64" s="24"/>
      <c r="AH64" s="24">
        <f>AH62/AH63</f>
        <v>7.2502728090550601</v>
      </c>
      <c r="AI64" s="12"/>
      <c r="AJ64" s="12"/>
      <c r="AK64" s="24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</row>
    <row r="65" spans="1:59" x14ac:dyDescent="0.2">
      <c r="A65" s="25"/>
      <c r="B65" s="25"/>
      <c r="C65" s="25"/>
      <c r="D65" s="25"/>
      <c r="E65" s="12"/>
      <c r="F65" s="12"/>
      <c r="G65" s="12"/>
      <c r="H65" s="12"/>
      <c r="I65" s="12"/>
      <c r="J65" s="12"/>
      <c r="K65" s="12"/>
      <c r="L65" s="24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</row>
    <row r="66" spans="1:59" x14ac:dyDescent="0.2">
      <c r="A66" s="12"/>
      <c r="B66" s="12"/>
      <c r="C66" s="56"/>
      <c r="D66" s="12"/>
      <c r="E66" s="12"/>
      <c r="F66" s="12"/>
      <c r="G66" s="12"/>
      <c r="H66" s="12"/>
      <c r="I66" s="12"/>
      <c r="J66" s="12"/>
      <c r="K66" s="12"/>
      <c r="L66" s="24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</row>
    <row r="67" spans="1:59" x14ac:dyDescent="0.2">
      <c r="A67" s="12"/>
      <c r="B67" s="12"/>
      <c r="C67" s="56"/>
      <c r="D67" s="12"/>
      <c r="E67" s="12"/>
      <c r="F67" s="12"/>
      <c r="G67" s="12"/>
      <c r="H67" s="12"/>
      <c r="I67" s="12"/>
      <c r="J67" s="12"/>
      <c r="K67" s="12"/>
      <c r="L67" s="24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</row>
    <row r="68" spans="1:59" x14ac:dyDescent="0.2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24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57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</row>
    <row r="69" spans="1:59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</row>
    <row r="70" spans="1:59" x14ac:dyDescent="0.2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21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</row>
    <row r="71" spans="1:59" x14ac:dyDescent="0.2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</row>
    <row r="72" spans="1:59" x14ac:dyDescent="0.2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</row>
    <row r="73" spans="1:59" x14ac:dyDescent="0.2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58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</row>
    <row r="74" spans="1:59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58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</row>
    <row r="75" spans="1:59" x14ac:dyDescent="0.2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</row>
    <row r="76" spans="1:59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4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</row>
    <row r="77" spans="1:59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</row>
    <row r="78" spans="1:59" x14ac:dyDescent="0.2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58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</row>
    <row r="79" spans="1:59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</row>
    <row r="80" spans="1:59" x14ac:dyDescent="0.2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</row>
    <row r="81" spans="1:59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</row>
    <row r="82" spans="1:59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</row>
    <row r="83" spans="1:59" x14ac:dyDescent="0.2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</row>
    <row r="84" spans="1:59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</row>
    <row r="85" spans="1:59" x14ac:dyDescent="0.2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</row>
    <row r="86" spans="1:59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</row>
    <row r="87" spans="1:59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</row>
    <row r="88" spans="1:59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</row>
    <row r="89" spans="1:59" x14ac:dyDescent="0.2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</row>
    <row r="90" spans="1:59" x14ac:dyDescent="0.2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</row>
    <row r="91" spans="1:59" x14ac:dyDescent="0.2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</row>
    <row r="92" spans="1:59" x14ac:dyDescent="0.2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</row>
    <row r="93" spans="1:59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</row>
    <row r="94" spans="1:59" x14ac:dyDescent="0.2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</row>
    <row r="95" spans="1:59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</row>
    <row r="96" spans="1:59" x14ac:dyDescent="0.2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</row>
    <row r="97" spans="1:59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</row>
    <row r="98" spans="1:59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</row>
    <row r="99" spans="1:59" x14ac:dyDescent="0.2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</row>
    <row r="100" spans="1:59" x14ac:dyDescent="0.2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</row>
    <row r="101" spans="1:59" x14ac:dyDescent="0.2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</row>
    <row r="102" spans="1:59" x14ac:dyDescent="0.2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</row>
    <row r="103" spans="1:59" x14ac:dyDescent="0.2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</row>
    <row r="104" spans="1:59" x14ac:dyDescent="0.2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</row>
    <row r="105" spans="1:59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</row>
    <row r="106" spans="1:59" x14ac:dyDescent="0.2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</row>
    <row r="107" spans="1:59" x14ac:dyDescent="0.2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</row>
    <row r="108" spans="1:59" x14ac:dyDescent="0.2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</row>
    <row r="109" spans="1:59" x14ac:dyDescent="0.2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</row>
    <row r="110" spans="1:59" x14ac:dyDescent="0.2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</row>
    <row r="111" spans="1:59" x14ac:dyDescent="0.2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</row>
    <row r="112" spans="1:59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</row>
    <row r="113" spans="1:59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</row>
    <row r="114" spans="1:59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</row>
    <row r="115" spans="1:59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</row>
    <row r="116" spans="1:59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</row>
    <row r="117" spans="1:59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</row>
    <row r="118" spans="1:59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</row>
    <row r="119" spans="1:59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</row>
    <row r="120" spans="1:59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</row>
    <row r="121" spans="1:59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60"/>
  <sheetViews>
    <sheetView zoomScaleNormal="100" workbookViewId="0">
      <pane xSplit="4" ySplit="5" topLeftCell="E6" activePane="bottomRight" state="frozen"/>
      <selection activeCell="A2" sqref="A2:XFD2"/>
      <selection pane="topRight" activeCell="A2" sqref="A2:XFD2"/>
      <selection pane="bottomLeft" activeCell="A2" sqref="A2:XFD2"/>
      <selection pane="bottomRight" activeCell="A2" sqref="A2:XFD2"/>
    </sheetView>
  </sheetViews>
  <sheetFormatPr defaultColWidth="11" defaultRowHeight="12.75" x14ac:dyDescent="0.2"/>
  <cols>
    <col min="1" max="1" width="16.875" style="26" customWidth="1"/>
    <col min="2" max="2" width="24.125" style="26" customWidth="1"/>
    <col min="3" max="3" width="8.125" style="26" customWidth="1"/>
    <col min="4" max="4" width="4.375" style="26" customWidth="1"/>
    <col min="5" max="5" width="4.625" style="26" customWidth="1"/>
    <col min="6" max="8" width="12.625" style="26" customWidth="1"/>
    <col min="9" max="9" width="11" style="26"/>
    <col min="10" max="10" width="14.25" style="26" bestFit="1" customWidth="1"/>
    <col min="11" max="11" width="11" style="26"/>
    <col min="12" max="12" width="13.75" style="26" bestFit="1" customWidth="1"/>
    <col min="13" max="13" width="11" style="26"/>
    <col min="14" max="14" width="14.25" style="26" bestFit="1" customWidth="1"/>
    <col min="15" max="15" width="11" style="26"/>
    <col min="16" max="16" width="11.625" style="26" customWidth="1"/>
    <col min="17" max="17" width="11" style="26"/>
    <col min="18" max="18" width="13.75" style="26" bestFit="1" customWidth="1"/>
    <col min="19" max="19" width="11" style="26"/>
    <col min="20" max="20" width="13.75" style="26" bestFit="1" customWidth="1"/>
    <col min="21" max="21" width="11" style="26"/>
    <col min="22" max="22" width="13.5" style="26" bestFit="1" customWidth="1"/>
    <col min="23" max="23" width="11" style="26"/>
    <col min="24" max="24" width="13.25" style="26" bestFit="1" customWidth="1"/>
    <col min="25" max="25" width="11" style="26"/>
    <col min="26" max="26" width="12.5" style="26" bestFit="1" customWidth="1"/>
    <col min="27" max="27" width="11" style="26"/>
    <col min="28" max="28" width="12.5" style="26" bestFit="1" customWidth="1"/>
    <col min="29" max="29" width="11" style="26"/>
    <col min="30" max="30" width="11.375" style="26" bestFit="1" customWidth="1"/>
    <col min="31" max="16384" width="11" style="26"/>
  </cols>
  <sheetData>
    <row r="1" spans="1:56" s="211" customFormat="1" ht="23.25" x14ac:dyDescent="0.35">
      <c r="A1" s="207" t="s">
        <v>1617</v>
      </c>
    </row>
    <row r="2" spans="1:56" s="237" customFormat="1" x14ac:dyDescent="0.2"/>
    <row r="3" spans="1:56" x14ac:dyDescent="0.2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6" x14ac:dyDescent="0.2">
      <c r="A4" s="40" t="s">
        <v>1229</v>
      </c>
      <c r="B4" s="59">
        <v>5000</v>
      </c>
      <c r="C4" s="25" t="s">
        <v>1038</v>
      </c>
      <c r="D4" s="25"/>
      <c r="E4" s="25"/>
      <c r="F4" s="40" t="s">
        <v>1097</v>
      </c>
      <c r="G4" s="40"/>
      <c r="H4" s="40" t="s">
        <v>690</v>
      </c>
      <c r="I4" s="25"/>
      <c r="J4" s="40" t="s">
        <v>853</v>
      </c>
      <c r="K4" s="25"/>
      <c r="L4" s="40" t="s">
        <v>4</v>
      </c>
      <c r="M4" s="25"/>
      <c r="N4" s="40" t="s">
        <v>1036</v>
      </c>
      <c r="O4" s="25"/>
      <c r="P4" s="40" t="s">
        <v>6</v>
      </c>
      <c r="Q4" s="25"/>
      <c r="R4" s="40" t="s">
        <v>964</v>
      </c>
      <c r="S4" s="40"/>
      <c r="T4" s="40" t="s">
        <v>1411</v>
      </c>
      <c r="U4" s="40"/>
      <c r="V4" s="40" t="s">
        <v>976</v>
      </c>
      <c r="W4" s="25"/>
      <c r="X4" s="40" t="s">
        <v>806</v>
      </c>
      <c r="Y4" s="25"/>
      <c r="Z4" s="40" t="s">
        <v>977</v>
      </c>
      <c r="AA4" s="25"/>
      <c r="AB4" s="40" t="s">
        <v>3</v>
      </c>
      <c r="AC4" s="25"/>
      <c r="AD4" s="25" t="s">
        <v>1324</v>
      </c>
      <c r="AE4" s="25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</row>
    <row r="5" spans="1:56" x14ac:dyDescent="0.2">
      <c r="A5" s="40"/>
      <c r="B5" s="25"/>
      <c r="C5" s="25"/>
      <c r="D5" s="25"/>
      <c r="E5" s="25"/>
      <c r="F5" s="40"/>
      <c r="G5" s="40"/>
      <c r="H5" s="40"/>
      <c r="I5" s="25"/>
      <c r="J5" s="40"/>
      <c r="K5" s="25"/>
      <c r="L5" s="40"/>
      <c r="M5" s="25"/>
      <c r="N5" s="40"/>
      <c r="O5" s="25"/>
      <c r="P5" s="25"/>
      <c r="Q5" s="25"/>
      <c r="R5" s="25"/>
      <c r="S5" s="25"/>
      <c r="T5" s="25"/>
      <c r="U5" s="25"/>
      <c r="V5" s="40"/>
      <c r="W5" s="25"/>
      <c r="X5" s="40"/>
      <c r="Y5" s="25"/>
      <c r="Z5" s="40"/>
      <c r="AA5" s="25"/>
      <c r="AB5" s="40"/>
      <c r="AC5" s="25"/>
      <c r="AD5" s="25"/>
      <c r="AE5" s="25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</row>
    <row r="6" spans="1:56" x14ac:dyDescent="0.2">
      <c r="A6" s="25"/>
      <c r="B6" s="25"/>
      <c r="C6" s="25"/>
      <c r="D6" s="25"/>
      <c r="E6" s="12"/>
      <c r="F6" s="8"/>
      <c r="G6" s="8"/>
      <c r="H6" s="8"/>
      <c r="I6" s="12"/>
      <c r="J6" s="8"/>
      <c r="K6" s="12"/>
      <c r="L6" s="8"/>
      <c r="M6" s="12"/>
      <c r="N6" s="8"/>
      <c r="O6" s="12"/>
      <c r="P6" s="12"/>
      <c r="Q6" s="12"/>
      <c r="R6" s="12"/>
      <c r="S6" s="12"/>
      <c r="T6" s="12"/>
      <c r="U6" s="12"/>
      <c r="V6" s="8"/>
      <c r="W6" s="12"/>
      <c r="X6" s="8"/>
      <c r="Y6" s="12"/>
      <c r="Z6" s="8"/>
      <c r="AA6" s="12"/>
      <c r="AB6" s="8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</row>
    <row r="7" spans="1:56" x14ac:dyDescent="0.2">
      <c r="A7" s="25"/>
      <c r="B7" s="40" t="s">
        <v>1142</v>
      </c>
      <c r="C7" s="25"/>
      <c r="D7" s="25"/>
      <c r="E7" s="12"/>
      <c r="F7" s="12" t="s">
        <v>856</v>
      </c>
      <c r="G7" s="12"/>
      <c r="H7" s="12" t="s">
        <v>1095</v>
      </c>
      <c r="I7" s="12"/>
      <c r="J7" s="12" t="s">
        <v>872</v>
      </c>
      <c r="K7" s="12"/>
      <c r="L7" s="12" t="s">
        <v>888</v>
      </c>
      <c r="M7" s="12"/>
      <c r="N7" s="12" t="s">
        <v>890</v>
      </c>
      <c r="O7" s="12"/>
      <c r="P7" s="12" t="s">
        <v>1089</v>
      </c>
      <c r="Q7" s="12"/>
      <c r="R7" s="12" t="s">
        <v>1593</v>
      </c>
      <c r="S7" s="12"/>
      <c r="T7" s="12" t="s">
        <v>890</v>
      </c>
      <c r="U7" s="12"/>
      <c r="V7" s="12" t="s">
        <v>893</v>
      </c>
      <c r="W7" s="12"/>
      <c r="X7" s="12" t="s">
        <v>898</v>
      </c>
      <c r="Y7" s="12"/>
      <c r="Z7" s="12" t="s">
        <v>989</v>
      </c>
      <c r="AA7" s="12"/>
      <c r="AB7" s="12" t="s">
        <v>989</v>
      </c>
      <c r="AC7" s="12"/>
      <c r="AD7" s="12" t="s">
        <v>1325</v>
      </c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</row>
    <row r="8" spans="1:56" x14ac:dyDescent="0.2">
      <c r="A8" s="25"/>
      <c r="B8" s="40" t="s">
        <v>1141</v>
      </c>
      <c r="C8" s="25"/>
      <c r="D8" s="25"/>
      <c r="E8" s="12"/>
      <c r="F8" s="12" t="s">
        <v>990</v>
      </c>
      <c r="G8" s="12"/>
      <c r="H8" s="12" t="s">
        <v>1093</v>
      </c>
      <c r="I8" s="12"/>
      <c r="J8" s="12" t="s">
        <v>991</v>
      </c>
      <c r="K8" s="12"/>
      <c r="L8" s="12" t="s">
        <v>991</v>
      </c>
      <c r="M8" s="12"/>
      <c r="N8" s="12" t="s">
        <v>991</v>
      </c>
      <c r="O8" s="12"/>
      <c r="P8" s="12" t="s">
        <v>992</v>
      </c>
      <c r="Q8" s="12"/>
      <c r="R8" s="12" t="str">
        <f>H8</f>
        <v>LPG Tanker</v>
      </c>
      <c r="S8" s="12"/>
      <c r="T8" s="12" t="s">
        <v>991</v>
      </c>
      <c r="U8" s="12"/>
      <c r="V8" s="12" t="s">
        <v>993</v>
      </c>
      <c r="W8" s="12"/>
      <c r="X8" s="12" t="s">
        <v>993</v>
      </c>
      <c r="Y8" s="12"/>
      <c r="Z8" s="12" t="s">
        <v>994</v>
      </c>
      <c r="AA8" s="12"/>
      <c r="AB8" s="12" t="s">
        <v>994</v>
      </c>
      <c r="AC8" s="12"/>
      <c r="AD8" s="12" t="s">
        <v>1324</v>
      </c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</row>
    <row r="9" spans="1:56" x14ac:dyDescent="0.2">
      <c r="A9" s="25"/>
      <c r="B9" s="40" t="s">
        <v>1140</v>
      </c>
      <c r="C9" s="25"/>
      <c r="D9" s="25"/>
      <c r="E9" s="12"/>
      <c r="F9" s="12" t="s">
        <v>813</v>
      </c>
      <c r="G9" s="12"/>
      <c r="H9" s="12" t="s">
        <v>1094</v>
      </c>
      <c r="I9" s="12"/>
      <c r="J9" s="12" t="s">
        <v>813</v>
      </c>
      <c r="K9" s="12"/>
      <c r="L9" s="12" t="s">
        <v>882</v>
      </c>
      <c r="M9" s="12"/>
      <c r="N9" s="12" t="s">
        <v>882</v>
      </c>
      <c r="O9" s="12"/>
      <c r="P9" s="12" t="s">
        <v>1088</v>
      </c>
      <c r="Q9" s="12"/>
      <c r="R9" s="12" t="str">
        <f>H9</f>
        <v>VLGC</v>
      </c>
      <c r="S9" s="12"/>
      <c r="T9" s="12" t="s">
        <v>882</v>
      </c>
      <c r="U9" s="12"/>
      <c r="V9" s="12" t="s">
        <v>892</v>
      </c>
      <c r="W9" s="12"/>
      <c r="X9" s="12" t="s">
        <v>894</v>
      </c>
      <c r="Y9" s="12"/>
      <c r="Z9" s="12" t="s">
        <v>845</v>
      </c>
      <c r="AA9" s="12"/>
      <c r="AB9" s="12" t="s">
        <v>858</v>
      </c>
      <c r="AC9" s="12"/>
      <c r="AD9" s="12" t="s">
        <v>1324</v>
      </c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</row>
    <row r="10" spans="1:56" x14ac:dyDescent="0.2">
      <c r="A10" s="25"/>
      <c r="B10" s="40" t="s">
        <v>870</v>
      </c>
      <c r="C10" s="25"/>
      <c r="D10" s="25"/>
      <c r="E10" s="12"/>
      <c r="F10" s="12" t="s">
        <v>865</v>
      </c>
      <c r="G10" s="12"/>
      <c r="H10" s="12" t="s">
        <v>865</v>
      </c>
      <c r="I10" s="12"/>
      <c r="J10" s="12" t="s">
        <v>865</v>
      </c>
      <c r="K10" s="12"/>
      <c r="L10" s="12" t="s">
        <v>865</v>
      </c>
      <c r="M10" s="12"/>
      <c r="N10" s="12" t="s">
        <v>866</v>
      </c>
      <c r="O10" s="12"/>
      <c r="P10" s="12"/>
      <c r="Q10" s="12"/>
      <c r="R10" s="12" t="str">
        <f>H10</f>
        <v>II</v>
      </c>
      <c r="S10" s="12"/>
      <c r="T10" s="12" t="s">
        <v>865</v>
      </c>
      <c r="U10" s="12"/>
      <c r="V10" s="12" t="s">
        <v>865</v>
      </c>
      <c r="W10" s="12"/>
      <c r="X10" s="12" t="s">
        <v>865</v>
      </c>
      <c r="Y10" s="12"/>
      <c r="Z10" s="12" t="s">
        <v>865</v>
      </c>
      <c r="AA10" s="12"/>
      <c r="AB10" s="12" t="s">
        <v>865</v>
      </c>
      <c r="AC10" s="12"/>
      <c r="AD10" s="12"/>
      <c r="AE10" s="12"/>
      <c r="AF10" s="12"/>
      <c r="AG10" s="12" t="s">
        <v>871</v>
      </c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</row>
    <row r="11" spans="1:56" x14ac:dyDescent="0.2">
      <c r="A11" s="25"/>
      <c r="B11" s="40" t="s">
        <v>867</v>
      </c>
      <c r="C11" s="25"/>
      <c r="D11" s="25"/>
      <c r="E11" s="12"/>
      <c r="F11" s="12" t="s">
        <v>868</v>
      </c>
      <c r="G11" s="12"/>
      <c r="H11" s="12" t="s">
        <v>868</v>
      </c>
      <c r="I11" s="12"/>
      <c r="J11" s="12" t="s">
        <v>873</v>
      </c>
      <c r="K11" s="12"/>
      <c r="L11" s="12" t="s">
        <v>868</v>
      </c>
      <c r="M11" s="12"/>
      <c r="N11" s="12" t="s">
        <v>868</v>
      </c>
      <c r="O11" s="12"/>
      <c r="P11" s="12"/>
      <c r="Q11" s="12"/>
      <c r="R11" s="12" t="str">
        <f>H11</f>
        <v>Double</v>
      </c>
      <c r="S11" s="12"/>
      <c r="T11" s="12" t="s">
        <v>868</v>
      </c>
      <c r="U11" s="12"/>
      <c r="V11" s="12" t="s">
        <v>868</v>
      </c>
      <c r="W11" s="12"/>
      <c r="X11" s="12" t="s">
        <v>1084</v>
      </c>
      <c r="Y11" s="12"/>
      <c r="Z11" s="12" t="s">
        <v>868</v>
      </c>
      <c r="AA11" s="12"/>
      <c r="AB11" s="12" t="s">
        <v>1084</v>
      </c>
      <c r="AC11" s="12"/>
      <c r="AD11" s="12" t="s">
        <v>868</v>
      </c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</row>
    <row r="12" spans="1:56" x14ac:dyDescent="0.2">
      <c r="A12" s="25"/>
      <c r="B12" s="40" t="s">
        <v>884</v>
      </c>
      <c r="C12" s="25"/>
      <c r="D12" s="25"/>
      <c r="E12" s="12"/>
      <c r="F12" s="12" t="s">
        <v>864</v>
      </c>
      <c r="G12" s="12"/>
      <c r="H12" s="12"/>
      <c r="I12" s="12"/>
      <c r="J12" s="12" t="s">
        <v>854</v>
      </c>
      <c r="K12" s="12"/>
      <c r="L12" s="12" t="s">
        <v>897</v>
      </c>
      <c r="M12" s="12"/>
      <c r="N12" s="12" t="s">
        <v>1143</v>
      </c>
      <c r="O12" s="12"/>
      <c r="P12" s="12"/>
      <c r="Q12" s="12"/>
      <c r="R12" s="12" t="s">
        <v>1143</v>
      </c>
      <c r="S12" s="12"/>
      <c r="T12" s="12" t="s">
        <v>1143</v>
      </c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</row>
    <row r="13" spans="1:56" x14ac:dyDescent="0.2">
      <c r="A13" s="40"/>
      <c r="B13" s="25"/>
      <c r="C13" s="25"/>
      <c r="D13" s="25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</row>
    <row r="14" spans="1:56" x14ac:dyDescent="0.2">
      <c r="A14" s="40" t="s">
        <v>1020</v>
      </c>
      <c r="B14" s="25"/>
      <c r="C14" s="25" t="s">
        <v>1018</v>
      </c>
      <c r="D14" s="25"/>
      <c r="E14" s="12"/>
      <c r="F14" s="12"/>
      <c r="G14" s="39"/>
      <c r="H14" s="39">
        <f>Storage!G57</f>
        <v>76626754.477640763</v>
      </c>
      <c r="I14" s="12"/>
      <c r="J14" s="39">
        <f>Storage!I57</f>
        <v>310425396.82539684</v>
      </c>
      <c r="K14" s="12"/>
      <c r="L14" s="39">
        <f>Storage!K57</f>
        <v>108044444.44444443</v>
      </c>
      <c r="M14" s="12"/>
      <c r="N14" s="39">
        <f>Storage!M57</f>
        <v>219354838.70967743</v>
      </c>
      <c r="O14" s="12"/>
      <c r="P14" s="39">
        <f>Storage!O57</f>
        <v>63920000</v>
      </c>
      <c r="Q14" s="12"/>
      <c r="R14" s="39">
        <f>Storage!Q57</f>
        <v>103547089.94708996</v>
      </c>
      <c r="S14" s="39"/>
      <c r="T14" s="39">
        <f>Storage!S57</f>
        <v>128282539.68253967</v>
      </c>
      <c r="U14" s="39"/>
      <c r="V14" s="39">
        <f>Storage!U57</f>
        <v>40630929.305007793</v>
      </c>
      <c r="W14" s="12"/>
      <c r="X14" s="39">
        <f>Storage!W57</f>
        <v>40642847.722161599</v>
      </c>
      <c r="Y14" s="12"/>
      <c r="Z14" s="39">
        <f>Storage!Y57</f>
        <v>13619024.63475859</v>
      </c>
      <c r="AA14" s="12"/>
      <c r="AB14" s="39">
        <f>Storage!AA57</f>
        <v>13623940.113020999</v>
      </c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</row>
    <row r="15" spans="1:56" x14ac:dyDescent="0.2">
      <c r="A15" s="25"/>
      <c r="B15" s="25"/>
      <c r="C15" s="25"/>
      <c r="D15" s="25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</row>
    <row r="16" spans="1:56" x14ac:dyDescent="0.2">
      <c r="A16" s="25"/>
      <c r="B16" s="40" t="s">
        <v>965</v>
      </c>
      <c r="C16" s="25"/>
      <c r="D16" s="25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>
        <v>18270</v>
      </c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</row>
    <row r="17" spans="1:56" x14ac:dyDescent="0.2">
      <c r="A17" s="25"/>
      <c r="B17" s="40" t="s">
        <v>909</v>
      </c>
      <c r="C17" s="25"/>
      <c r="D17" s="25"/>
      <c r="E17" s="12"/>
      <c r="F17" s="12">
        <v>0.76900000000000002</v>
      </c>
      <c r="G17" s="12"/>
      <c r="H17" s="12">
        <v>0.76900000000000002</v>
      </c>
      <c r="I17" s="12"/>
      <c r="J17" s="12">
        <v>1.22</v>
      </c>
      <c r="K17" s="12"/>
      <c r="L17" s="12">
        <v>0.79200000000000004</v>
      </c>
      <c r="M17" s="12"/>
      <c r="N17" s="12">
        <v>0.871</v>
      </c>
      <c r="O17" s="12"/>
      <c r="P17" s="12">
        <v>1.07</v>
      </c>
      <c r="Q17" s="12"/>
      <c r="R17" s="12">
        <f>Dme_density</f>
        <v>0.73499999999999999</v>
      </c>
      <c r="S17" s="12"/>
      <c r="T17" s="12">
        <f>ome_density</f>
        <v>0.87</v>
      </c>
      <c r="U17" s="12"/>
      <c r="V17" s="12">
        <v>0.45</v>
      </c>
      <c r="W17" s="12"/>
      <c r="X17" s="12">
        <v>0.45</v>
      </c>
      <c r="Y17" s="12"/>
      <c r="Z17" s="12">
        <v>7.0989999999999998E-2</v>
      </c>
      <c r="AA17" s="12"/>
      <c r="AB17" s="12">
        <v>7.0989999999999998E-2</v>
      </c>
      <c r="AC17" s="12"/>
      <c r="AD17" s="21">
        <f>L17</f>
        <v>0.79200000000000004</v>
      </c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</row>
    <row r="18" spans="1:56" x14ac:dyDescent="0.2">
      <c r="A18" s="25"/>
      <c r="B18" s="40"/>
      <c r="C18" s="25"/>
      <c r="D18" s="25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</row>
    <row r="19" spans="1:56" x14ac:dyDescent="0.2">
      <c r="A19" s="40" t="s">
        <v>825</v>
      </c>
      <c r="B19" s="40" t="s">
        <v>805</v>
      </c>
      <c r="C19" s="25" t="s">
        <v>1008</v>
      </c>
      <c r="D19" s="25"/>
      <c r="E19" s="12"/>
      <c r="F19" s="15">
        <v>43</v>
      </c>
      <c r="G19" s="46"/>
      <c r="H19" s="27">
        <v>64</v>
      </c>
      <c r="I19" s="56"/>
      <c r="J19" s="15">
        <v>60</v>
      </c>
      <c r="K19" s="56"/>
      <c r="L19" s="15">
        <v>44</v>
      </c>
      <c r="M19" s="56"/>
      <c r="N19" s="15">
        <f>L19</f>
        <v>44</v>
      </c>
      <c r="O19" s="56"/>
      <c r="P19" s="27">
        <f>P16*10000/1000000/eurusd_rate</f>
        <v>157.5</v>
      </c>
      <c r="Q19" s="56"/>
      <c r="R19" s="27">
        <f>H19</f>
        <v>64</v>
      </c>
      <c r="S19" s="56"/>
      <c r="T19" s="15">
        <v>44</v>
      </c>
      <c r="U19" s="56"/>
      <c r="V19" s="27">
        <f>2849.6/14/eurusd_rate</f>
        <v>175.46798029556652</v>
      </c>
      <c r="W19" s="12"/>
      <c r="X19" s="27">
        <f>2425.4/15/eurusd_rate</f>
        <v>139.39080459770116</v>
      </c>
      <c r="Y19" s="12"/>
      <c r="Z19" s="27">
        <f>V19*1.25</f>
        <v>219.33497536945816</v>
      </c>
      <c r="AA19" s="12"/>
      <c r="AB19" s="27">
        <f>1.25*X19</f>
        <v>174.23850574712645</v>
      </c>
      <c r="AC19" s="12"/>
      <c r="AD19" s="60">
        <v>93</v>
      </c>
      <c r="AE19" s="12"/>
      <c r="AF19" s="12"/>
      <c r="AG19" s="12" t="s">
        <v>1453</v>
      </c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</row>
    <row r="20" spans="1:56" x14ac:dyDescent="0.2">
      <c r="A20" s="40"/>
      <c r="B20" s="40" t="s">
        <v>816</v>
      </c>
      <c r="C20" s="25" t="s">
        <v>947</v>
      </c>
      <c r="D20" s="25"/>
      <c r="E20" s="12"/>
      <c r="F20" s="15">
        <v>20</v>
      </c>
      <c r="G20" s="46"/>
      <c r="H20" s="15">
        <v>20</v>
      </c>
      <c r="I20" s="56"/>
      <c r="J20" s="15">
        <v>20</v>
      </c>
      <c r="K20" s="56"/>
      <c r="L20" s="15">
        <v>20</v>
      </c>
      <c r="M20" s="56"/>
      <c r="N20" s="15">
        <v>20</v>
      </c>
      <c r="O20" s="56"/>
      <c r="P20" s="15">
        <v>20</v>
      </c>
      <c r="Q20" s="56"/>
      <c r="R20" s="15">
        <v>20</v>
      </c>
      <c r="S20" s="56"/>
      <c r="T20" s="15">
        <v>20</v>
      </c>
      <c r="U20" s="56"/>
      <c r="V20" s="15">
        <v>20</v>
      </c>
      <c r="W20" s="12"/>
      <c r="X20" s="15">
        <v>20</v>
      </c>
      <c r="Y20" s="12"/>
      <c r="Z20" s="15">
        <v>20</v>
      </c>
      <c r="AA20" s="12"/>
      <c r="AB20" s="15">
        <v>20</v>
      </c>
      <c r="AC20" s="12"/>
      <c r="AD20" s="15">
        <v>20</v>
      </c>
      <c r="AE20" s="12"/>
      <c r="AF20" s="12"/>
      <c r="AG20" s="12" t="s">
        <v>1144</v>
      </c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</row>
    <row r="21" spans="1:56" x14ac:dyDescent="0.2">
      <c r="A21" s="25"/>
      <c r="B21" s="40" t="s">
        <v>13</v>
      </c>
      <c r="C21" s="25"/>
      <c r="D21" s="25"/>
      <c r="E21" s="12"/>
      <c r="F21" s="23">
        <v>6.7500000000000004E-2</v>
      </c>
      <c r="G21" s="61"/>
      <c r="H21" s="23">
        <v>6.7500000000000004E-2</v>
      </c>
      <c r="I21" s="56"/>
      <c r="J21" s="23">
        <v>6.7500000000000004E-2</v>
      </c>
      <c r="K21" s="56"/>
      <c r="L21" s="36">
        <v>6.7500000000000004E-2</v>
      </c>
      <c r="M21" s="56"/>
      <c r="N21" s="36">
        <v>6.7500000000000004E-2</v>
      </c>
      <c r="O21" s="56"/>
      <c r="P21" s="36">
        <v>6.7500000000000004E-2</v>
      </c>
      <c r="Q21" s="56"/>
      <c r="R21" s="36">
        <v>6.7500000000000004E-2</v>
      </c>
      <c r="S21" s="56"/>
      <c r="T21" s="36">
        <v>6.7500000000000004E-2</v>
      </c>
      <c r="U21" s="56"/>
      <c r="V21" s="36">
        <v>0.08</v>
      </c>
      <c r="W21" s="12"/>
      <c r="X21" s="36">
        <v>6.7500000000000004E-2</v>
      </c>
      <c r="Y21" s="12"/>
      <c r="Z21" s="36">
        <v>6.7500000000000004E-2</v>
      </c>
      <c r="AA21" s="12"/>
      <c r="AB21" s="36">
        <v>6.7500000000000004E-2</v>
      </c>
      <c r="AC21" s="12"/>
      <c r="AD21" s="36">
        <v>6.7500000000000004E-2</v>
      </c>
      <c r="AE21" s="12"/>
      <c r="AF21" s="12"/>
      <c r="AG21" s="12" t="s">
        <v>808</v>
      </c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</row>
    <row r="22" spans="1:56" x14ac:dyDescent="0.2">
      <c r="A22" s="25"/>
      <c r="B22" s="40" t="s">
        <v>1028</v>
      </c>
      <c r="C22" s="25" t="s">
        <v>1119</v>
      </c>
      <c r="D22" s="25"/>
      <c r="E22" s="12"/>
      <c r="F22" s="28">
        <f>F19/(F20*F25*365.25)*1000000</f>
        <v>6005.5865921787699</v>
      </c>
      <c r="G22" s="28"/>
      <c r="H22" s="28">
        <f>H19/(H20*H25*365.25)*1000000</f>
        <v>8938.547486033518</v>
      </c>
      <c r="I22" s="62"/>
      <c r="J22" s="28">
        <f>J19/(J20*J25*365.25)*1000000</f>
        <v>8379.8882681564228</v>
      </c>
      <c r="K22" s="56"/>
      <c r="L22" s="28">
        <f>L19/(L20*L25*365.25)*1000000</f>
        <v>6145.2513966480446</v>
      </c>
      <c r="M22" s="56"/>
      <c r="N22" s="28">
        <f>N19/(N20*N25*365.25)*1000000</f>
        <v>6145.2513966480446</v>
      </c>
      <c r="O22" s="56"/>
      <c r="P22" s="28">
        <f>P19/(P20*P25*365.25)*1000000</f>
        <v>21997.206703910611</v>
      </c>
      <c r="Q22" s="56"/>
      <c r="R22" s="28">
        <f>R19/(R20*R25*365.25)*1000000</f>
        <v>8938.547486033518</v>
      </c>
      <c r="S22" s="56"/>
      <c r="T22" s="28">
        <f>T19/(T20*T25*365.25)*1000000</f>
        <v>6145.2513966480446</v>
      </c>
      <c r="U22" s="56"/>
      <c r="V22" s="28">
        <f>V19/(V20*V25*365.25)*1000000</f>
        <v>24506.701158598673</v>
      </c>
      <c r="W22" s="12"/>
      <c r="X22" s="28">
        <f>X19/(X20*X25*365.25)*1000000</f>
        <v>19467.989468952674</v>
      </c>
      <c r="Y22" s="12"/>
      <c r="Z22" s="28">
        <f>Z19/(Z20*Z25*365.25)*1000000</f>
        <v>30633.376448248342</v>
      </c>
      <c r="AA22" s="12"/>
      <c r="AB22" s="28">
        <f>AB19/(AB20*AB25*365.25)*1000000</f>
        <v>24334.986836190841</v>
      </c>
      <c r="AC22" s="12"/>
      <c r="AD22" s="28">
        <f>AD19/(AD20*AD25*365.25)*1000000</f>
        <v>12988.826815642456</v>
      </c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</row>
    <row r="23" spans="1:56" x14ac:dyDescent="0.2">
      <c r="A23" s="25"/>
      <c r="B23" s="40" t="s">
        <v>817</v>
      </c>
      <c r="C23" s="25" t="s">
        <v>1119</v>
      </c>
      <c r="D23" s="25"/>
      <c r="E23" s="12"/>
      <c r="F23" s="33">
        <f>F21*F19/365.25*1000000</f>
        <v>7946.6119096509246</v>
      </c>
      <c r="G23" s="33"/>
      <c r="H23" s="63">
        <f>H21*H19/365.25*1000000</f>
        <v>11827.515400410679</v>
      </c>
      <c r="I23" s="56"/>
      <c r="J23" s="63">
        <f>J21*J19/365.25*1000000</f>
        <v>11088.295687885013</v>
      </c>
      <c r="K23" s="56"/>
      <c r="L23" s="63">
        <f>L21*L19/365.25*1000000</f>
        <v>8131.4168377823407</v>
      </c>
      <c r="M23" s="56"/>
      <c r="N23" s="63">
        <f>N21*N19/365.25*1000000</f>
        <v>8131.4168377823407</v>
      </c>
      <c r="O23" s="56"/>
      <c r="P23" s="63">
        <f>P21*P19/365.25*1000000</f>
        <v>29106.776180698154</v>
      </c>
      <c r="Q23" s="56"/>
      <c r="R23" s="63">
        <f>R21*R19/365.25*1000000</f>
        <v>11827.515400410679</v>
      </c>
      <c r="S23" s="56"/>
      <c r="T23" s="63">
        <f>T21*T19/365.25*1000000</f>
        <v>8131.4168377823407</v>
      </c>
      <c r="U23" s="56"/>
      <c r="V23" s="63">
        <f>V21*V19/365.25*1000000</f>
        <v>38432.411837495747</v>
      </c>
      <c r="W23" s="56"/>
      <c r="X23" s="63">
        <f>X21*X19/365.25*1000000</f>
        <v>25760.107625858531</v>
      </c>
      <c r="Y23" s="56"/>
      <c r="Z23" s="63">
        <f>Z21*Z19/365.25*1000000</f>
        <v>40534.184359858802</v>
      </c>
      <c r="AA23" s="56"/>
      <c r="AB23" s="63">
        <f>AB21*AB19/365.25*1000000</f>
        <v>32200.134532323169</v>
      </c>
      <c r="AC23" s="56"/>
      <c r="AD23" s="63">
        <f>AD21*AD19/365.25*1000000</f>
        <v>17186.858316221766</v>
      </c>
      <c r="AE23" s="56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</row>
    <row r="24" spans="1:56" x14ac:dyDescent="0.2">
      <c r="A24" s="25"/>
      <c r="B24" s="40" t="s">
        <v>818</v>
      </c>
      <c r="C24" s="25" t="s">
        <v>1119</v>
      </c>
      <c r="D24" s="25"/>
      <c r="E24" s="12"/>
      <c r="F24" s="63">
        <f>F22+F23</f>
        <v>13952.198501829695</v>
      </c>
      <c r="G24" s="63"/>
      <c r="H24" s="63">
        <f>H22+H23</f>
        <v>20766.062886444197</v>
      </c>
      <c r="I24" s="56"/>
      <c r="J24" s="63">
        <f>J22+J23</f>
        <v>19468.183956041437</v>
      </c>
      <c r="K24" s="56"/>
      <c r="L24" s="63">
        <f>L22+L23</f>
        <v>14276.668234430384</v>
      </c>
      <c r="M24" s="56"/>
      <c r="N24" s="63">
        <f>N22+N23</f>
        <v>14276.668234430384</v>
      </c>
      <c r="O24" s="56"/>
      <c r="P24" s="63">
        <f>P22+P23</f>
        <v>51103.982884608762</v>
      </c>
      <c r="Q24" s="56"/>
      <c r="R24" s="63">
        <f>R22+R23</f>
        <v>20766.062886444197</v>
      </c>
      <c r="S24" s="56"/>
      <c r="T24" s="63">
        <f>T22+T23</f>
        <v>14276.668234430384</v>
      </c>
      <c r="U24" s="56"/>
      <c r="V24" s="63">
        <f>V22+V23</f>
        <v>62939.112996094424</v>
      </c>
      <c r="W24" s="56"/>
      <c r="X24" s="63">
        <f>X22+X23</f>
        <v>45228.097094811208</v>
      </c>
      <c r="Y24" s="56"/>
      <c r="Z24" s="63">
        <f>Z22+Z23</f>
        <v>71167.56080810714</v>
      </c>
      <c r="AA24" s="56"/>
      <c r="AB24" s="63">
        <f>AB22+AB23</f>
        <v>56535.12136851401</v>
      </c>
      <c r="AC24" s="56"/>
      <c r="AD24" s="63">
        <f>AD22+AD23</f>
        <v>30175.685131864222</v>
      </c>
      <c r="AE24" s="56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</row>
    <row r="25" spans="1:56" x14ac:dyDescent="0.2">
      <c r="A25" s="25"/>
      <c r="B25" s="40" t="s">
        <v>807</v>
      </c>
      <c r="C25" s="25"/>
      <c r="D25" s="25"/>
      <c r="E25" s="12"/>
      <c r="F25" s="38">
        <f>358/365.25</f>
        <v>0.98015058179329229</v>
      </c>
      <c r="G25" s="47"/>
      <c r="H25" s="38">
        <f>358/365.25</f>
        <v>0.98015058179329229</v>
      </c>
      <c r="I25" s="56"/>
      <c r="J25" s="38">
        <f>358/365.25</f>
        <v>0.98015058179329229</v>
      </c>
      <c r="K25" s="56"/>
      <c r="L25" s="38">
        <f>358/365.25</f>
        <v>0.98015058179329229</v>
      </c>
      <c r="M25" s="56"/>
      <c r="N25" s="38">
        <f>358/365.25</f>
        <v>0.98015058179329229</v>
      </c>
      <c r="O25" s="56"/>
      <c r="P25" s="38">
        <f>358/365.25</f>
        <v>0.98015058179329229</v>
      </c>
      <c r="Q25" s="56"/>
      <c r="R25" s="38">
        <f>358/365.25</f>
        <v>0.98015058179329229</v>
      </c>
      <c r="S25" s="56"/>
      <c r="T25" s="38">
        <f>358/365.25</f>
        <v>0.98015058179329229</v>
      </c>
      <c r="U25" s="56"/>
      <c r="V25" s="38">
        <f>358/365.25</f>
        <v>0.98015058179329229</v>
      </c>
      <c r="W25" s="56"/>
      <c r="X25" s="38">
        <f>358/365.25</f>
        <v>0.98015058179329229</v>
      </c>
      <c r="Y25" s="56"/>
      <c r="Z25" s="38">
        <f>358/365.25</f>
        <v>0.98015058179329229</v>
      </c>
      <c r="AA25" s="56"/>
      <c r="AB25" s="38">
        <f>358/365.25</f>
        <v>0.98015058179329229</v>
      </c>
      <c r="AC25" s="56"/>
      <c r="AD25" s="38">
        <f>358/365.25</f>
        <v>0.98015058179329229</v>
      </c>
      <c r="AE25" s="56"/>
      <c r="AF25" s="12"/>
      <c r="AG25" s="12" t="s">
        <v>808</v>
      </c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</row>
    <row r="26" spans="1:56" x14ac:dyDescent="0.2">
      <c r="A26" s="25"/>
      <c r="B26" s="40"/>
      <c r="C26" s="25"/>
      <c r="D26" s="25"/>
      <c r="E26" s="12"/>
      <c r="F26" s="47"/>
      <c r="G26" s="47"/>
      <c r="H26" s="47"/>
      <c r="I26" s="56"/>
      <c r="J26" s="47"/>
      <c r="K26" s="56"/>
      <c r="L26" s="47"/>
      <c r="M26" s="56"/>
      <c r="N26" s="47"/>
      <c r="O26" s="56"/>
      <c r="P26" s="47"/>
      <c r="Q26" s="56"/>
      <c r="R26" s="47"/>
      <c r="S26" s="56"/>
      <c r="T26" s="47"/>
      <c r="U26" s="56"/>
      <c r="V26" s="47"/>
      <c r="W26" s="56"/>
      <c r="X26" s="47"/>
      <c r="Y26" s="56"/>
      <c r="Z26" s="47"/>
      <c r="AA26" s="56"/>
      <c r="AB26" s="47"/>
      <c r="AC26" s="56"/>
      <c r="AD26" s="47"/>
      <c r="AE26" s="56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</row>
    <row r="27" spans="1:56" x14ac:dyDescent="0.2">
      <c r="A27" s="40" t="s">
        <v>1145</v>
      </c>
      <c r="B27" s="40" t="s">
        <v>693</v>
      </c>
      <c r="C27" s="25" t="s">
        <v>980</v>
      </c>
      <c r="D27" s="25"/>
      <c r="E27" s="12"/>
      <c r="F27" s="64">
        <v>18208</v>
      </c>
      <c r="G27" s="64"/>
      <c r="H27" s="64">
        <v>50534</v>
      </c>
      <c r="I27" s="65"/>
      <c r="J27" s="65">
        <v>49000</v>
      </c>
      <c r="K27" s="65"/>
      <c r="L27" s="65">
        <v>50000</v>
      </c>
      <c r="M27" s="65"/>
      <c r="N27" s="65">
        <f>L27</f>
        <v>50000</v>
      </c>
      <c r="O27" s="65"/>
      <c r="P27" s="32">
        <v>194153</v>
      </c>
      <c r="Q27" s="56"/>
      <c r="R27" s="65">
        <f>H27</f>
        <v>50534</v>
      </c>
      <c r="S27" s="56"/>
      <c r="T27" s="65">
        <v>50000</v>
      </c>
      <c r="U27" s="56"/>
      <c r="V27" s="65">
        <v>128900</v>
      </c>
      <c r="W27" s="56"/>
      <c r="X27" s="65">
        <v>84554</v>
      </c>
      <c r="Y27" s="56"/>
      <c r="Z27" s="65">
        <v>128900</v>
      </c>
      <c r="AA27" s="56"/>
      <c r="AB27" s="65">
        <v>84554</v>
      </c>
      <c r="AC27" s="56"/>
      <c r="AD27" s="65">
        <v>317821</v>
      </c>
      <c r="AE27" s="56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</row>
    <row r="28" spans="1:56" x14ac:dyDescent="0.2">
      <c r="A28" s="25"/>
      <c r="B28" s="40" t="s">
        <v>987</v>
      </c>
      <c r="C28" s="25"/>
      <c r="D28" s="25"/>
      <c r="E28" s="12"/>
      <c r="F28" s="38">
        <v>0.9</v>
      </c>
      <c r="G28" s="66"/>
      <c r="H28" s="38">
        <v>0.9</v>
      </c>
      <c r="I28" s="65"/>
      <c r="J28" s="67">
        <v>0.9</v>
      </c>
      <c r="K28" s="65"/>
      <c r="L28" s="67">
        <v>0.9</v>
      </c>
      <c r="M28" s="65"/>
      <c r="N28" s="67">
        <v>0.9</v>
      </c>
      <c r="O28" s="65"/>
      <c r="P28" s="67">
        <v>0.9</v>
      </c>
      <c r="Q28" s="56"/>
      <c r="R28" s="67">
        <v>0.9</v>
      </c>
      <c r="S28" s="56"/>
      <c r="T28" s="67">
        <v>0.9</v>
      </c>
      <c r="U28" s="56"/>
      <c r="V28" s="67">
        <v>0.9</v>
      </c>
      <c r="W28" s="56"/>
      <c r="X28" s="67">
        <v>0.9</v>
      </c>
      <c r="Y28" s="56"/>
      <c r="Z28" s="67">
        <v>0.9</v>
      </c>
      <c r="AA28" s="56"/>
      <c r="AB28" s="67">
        <v>0.9</v>
      </c>
      <c r="AC28" s="56"/>
      <c r="AD28" s="67">
        <v>0.9</v>
      </c>
      <c r="AE28" s="56"/>
      <c r="AF28" s="12"/>
      <c r="AG28" s="12" t="s">
        <v>988</v>
      </c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</row>
    <row r="29" spans="1:56" x14ac:dyDescent="0.2">
      <c r="A29" s="25"/>
      <c r="B29" s="40" t="s">
        <v>809</v>
      </c>
      <c r="C29" s="25" t="s">
        <v>980</v>
      </c>
      <c r="D29" s="25"/>
      <c r="E29" s="12"/>
      <c r="F29" s="46">
        <v>8842</v>
      </c>
      <c r="G29" s="46"/>
      <c r="H29" s="46">
        <v>19128</v>
      </c>
      <c r="I29" s="56"/>
      <c r="J29" s="65">
        <f>L29</f>
        <v>11121</v>
      </c>
      <c r="K29" s="56"/>
      <c r="L29" s="65">
        <v>11121</v>
      </c>
      <c r="M29" s="56"/>
      <c r="N29" s="65">
        <f>L29</f>
        <v>11121</v>
      </c>
      <c r="O29" s="56"/>
      <c r="P29" s="65">
        <f>50/12*P16</f>
        <v>76125</v>
      </c>
      <c r="Q29" s="56"/>
      <c r="R29" s="65">
        <f>H29</f>
        <v>19128</v>
      </c>
      <c r="S29" s="56"/>
      <c r="T29" s="65">
        <v>11121</v>
      </c>
      <c r="U29" s="56"/>
      <c r="V29" s="65">
        <v>48008</v>
      </c>
      <c r="W29" s="56"/>
      <c r="X29" s="65">
        <f>84554-X31</f>
        <v>18989</v>
      </c>
      <c r="Y29" s="56"/>
      <c r="Z29" s="65">
        <v>48008</v>
      </c>
      <c r="AA29" s="56"/>
      <c r="AB29" s="65">
        <f>X29</f>
        <v>18989</v>
      </c>
      <c r="AC29" s="56"/>
      <c r="AD29" s="65">
        <f>AD32-AD27</f>
        <v>44840</v>
      </c>
      <c r="AE29" s="56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</row>
    <row r="30" spans="1:56" x14ac:dyDescent="0.2">
      <c r="A30" s="25"/>
      <c r="B30" s="40" t="s">
        <v>810</v>
      </c>
      <c r="C30" s="25" t="s">
        <v>985</v>
      </c>
      <c r="D30" s="25"/>
      <c r="E30" s="12"/>
      <c r="F30" s="64">
        <v>20600</v>
      </c>
      <c r="G30" s="64"/>
      <c r="H30" s="64">
        <v>82200</v>
      </c>
      <c r="I30" s="65"/>
      <c r="J30" s="65">
        <v>54600</v>
      </c>
      <c r="K30" s="65"/>
      <c r="L30" s="65">
        <v>52560</v>
      </c>
      <c r="M30" s="65"/>
      <c r="N30" s="65">
        <f>L30</f>
        <v>52560</v>
      </c>
      <c r="O30" s="65"/>
      <c r="P30" s="65">
        <f>33.2*0.8*P16</f>
        <v>485251.20000000007</v>
      </c>
      <c r="Q30" s="56"/>
      <c r="R30" s="65">
        <f t="shared" ref="R30:R35" si="0">H30</f>
        <v>82200</v>
      </c>
      <c r="S30" s="56"/>
      <c r="T30" s="65">
        <v>52560</v>
      </c>
      <c r="U30" s="56"/>
      <c r="V30" s="65">
        <v>266000</v>
      </c>
      <c r="W30" s="65"/>
      <c r="X30" s="65">
        <v>145700</v>
      </c>
      <c r="Y30" s="65"/>
      <c r="Z30" s="65">
        <v>266000</v>
      </c>
      <c r="AA30" s="65"/>
      <c r="AB30" s="65">
        <v>145700</v>
      </c>
      <c r="AC30" s="65"/>
      <c r="AD30" s="65">
        <v>336522</v>
      </c>
      <c r="AE30" s="65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</row>
    <row r="31" spans="1:56" x14ac:dyDescent="0.2">
      <c r="A31" s="25"/>
      <c r="B31" s="40" t="s">
        <v>821</v>
      </c>
      <c r="C31" s="25" t="s">
        <v>980</v>
      </c>
      <c r="D31" s="25"/>
      <c r="E31" s="12"/>
      <c r="F31" s="65">
        <f>IF(F17*F30&lt;F28*F27,F17*F30,F27*F28)</f>
        <v>15841.4</v>
      </c>
      <c r="G31" s="65"/>
      <c r="H31" s="65">
        <f>IF(H17*H30&lt;H28*H27,H17*H30,H27*H28)</f>
        <v>45480.6</v>
      </c>
      <c r="I31" s="65"/>
      <c r="J31" s="65">
        <f>IF(J17*J30&lt;J28*J27,J17*J30,J27*J28)</f>
        <v>44100</v>
      </c>
      <c r="K31" s="65"/>
      <c r="L31" s="65">
        <f>IF(L17*L30&lt;L28*L27,L17*L30,L27*L28)</f>
        <v>41627.520000000004</v>
      </c>
      <c r="M31" s="65"/>
      <c r="N31" s="65">
        <f>IF(N17*N30&lt;N28*N27,N17*N30,N27*N28)</f>
        <v>45000</v>
      </c>
      <c r="O31" s="65"/>
      <c r="P31" s="65">
        <f>IF(P17*P30&lt;P28*P27,P17*P30,P27*P28)</f>
        <v>174737.7</v>
      </c>
      <c r="Q31" s="56"/>
      <c r="R31" s="65">
        <f t="shared" si="0"/>
        <v>45480.6</v>
      </c>
      <c r="S31" s="56"/>
      <c r="T31" s="65">
        <f>IF(T17*T30&lt;T28*T27,T17*T30,T27*T28)</f>
        <v>45000</v>
      </c>
      <c r="U31" s="56"/>
      <c r="V31" s="65">
        <f>IF(V17*V30&lt;V28*V27,V17*V30,V27*V28)</f>
        <v>116010</v>
      </c>
      <c r="W31" s="65"/>
      <c r="X31" s="65">
        <f>IF(X17*X30&lt;X28*X27,X17*X30,X27*X28)</f>
        <v>65565</v>
      </c>
      <c r="Y31" s="65"/>
      <c r="Z31" s="65">
        <f>IF(Z17*Z30&lt;Z28*Z27,Z17*Z30,Z27*Z28)</f>
        <v>18883.34</v>
      </c>
      <c r="AA31" s="65"/>
      <c r="AB31" s="65">
        <f>IF(AB17*AB30&lt;AB28*AB27,AB17*AB30,AB27*AB28)</f>
        <v>10343.243</v>
      </c>
      <c r="AC31" s="65"/>
      <c r="AD31" s="65">
        <f>IF(AD17*AD30&lt;AD28*AD27,AD17*AD30,AD27*AD28)</f>
        <v>266525.424</v>
      </c>
      <c r="AE31" s="65"/>
      <c r="AF31" s="12"/>
      <c r="AG31" s="12" t="s">
        <v>824</v>
      </c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</row>
    <row r="32" spans="1:56" x14ac:dyDescent="0.2">
      <c r="A32" s="25"/>
      <c r="B32" s="40" t="s">
        <v>829</v>
      </c>
      <c r="C32" s="25" t="s">
        <v>980</v>
      </c>
      <c r="D32" s="25"/>
      <c r="E32" s="12"/>
      <c r="F32" s="65">
        <f>F31+F29+(1-F28)*F27</f>
        <v>26504.2</v>
      </c>
      <c r="G32" s="65"/>
      <c r="H32" s="65">
        <f>H31+H29+(1-H28)*H27</f>
        <v>69662</v>
      </c>
      <c r="I32" s="65"/>
      <c r="J32" s="65">
        <f>J31+J29+(1-J28)*J27</f>
        <v>60121</v>
      </c>
      <c r="K32" s="65"/>
      <c r="L32" s="65">
        <f>L31+L29+(1-L28)*L27</f>
        <v>57748.520000000004</v>
      </c>
      <c r="M32" s="65"/>
      <c r="N32" s="65">
        <f>N31+N29+(1-N28)*N27</f>
        <v>61121</v>
      </c>
      <c r="O32" s="65"/>
      <c r="P32" s="65">
        <f>P31+P29+(1-P28)*P27</f>
        <v>270278</v>
      </c>
      <c r="Q32" s="65"/>
      <c r="R32" s="65">
        <f t="shared" si="0"/>
        <v>69662</v>
      </c>
      <c r="S32" s="65"/>
      <c r="T32" s="65">
        <f>T31+T29+(1-T28)*T27</f>
        <v>61121</v>
      </c>
      <c r="U32" s="65"/>
      <c r="V32" s="65">
        <f>V31+V29+(1-V28)*V27</f>
        <v>176908</v>
      </c>
      <c r="W32" s="56"/>
      <c r="X32" s="65">
        <f>X31+X29+(1-X28)*X27</f>
        <v>93009.4</v>
      </c>
      <c r="Y32" s="56"/>
      <c r="Z32" s="65">
        <f>Z31+Z29+(1-Z28)*Z27</f>
        <v>79781.34</v>
      </c>
      <c r="AA32" s="56"/>
      <c r="AB32" s="65">
        <f>AB31+AB29+(1-AB28)*AB27</f>
        <v>37787.642999999996</v>
      </c>
      <c r="AC32" s="56"/>
      <c r="AD32" s="65">
        <f>362661</f>
        <v>362661</v>
      </c>
      <c r="AE32" s="56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</row>
    <row r="33" spans="1:56" x14ac:dyDescent="0.2">
      <c r="A33" s="25"/>
      <c r="B33" s="40" t="s">
        <v>804</v>
      </c>
      <c r="C33" s="25"/>
      <c r="D33" s="25"/>
      <c r="E33" s="12"/>
      <c r="F33" s="65">
        <v>18446</v>
      </c>
      <c r="G33" s="65"/>
      <c r="H33" s="65">
        <v>47058</v>
      </c>
      <c r="I33" s="65"/>
      <c r="J33" s="65">
        <f>L33</f>
        <v>30945</v>
      </c>
      <c r="K33" s="65"/>
      <c r="L33" s="65">
        <v>30945</v>
      </c>
      <c r="M33" s="65"/>
      <c r="N33" s="65">
        <f>L33</f>
        <v>30945</v>
      </c>
      <c r="O33" s="65"/>
      <c r="P33" s="65">
        <v>194849</v>
      </c>
      <c r="Q33" s="65"/>
      <c r="R33" s="65">
        <f t="shared" si="0"/>
        <v>47058</v>
      </c>
      <c r="S33" s="65"/>
      <c r="T33" s="65">
        <v>30945</v>
      </c>
      <c r="U33" s="65"/>
      <c r="V33" s="65">
        <v>163922</v>
      </c>
      <c r="W33" s="65"/>
      <c r="X33" s="65">
        <v>97496</v>
      </c>
      <c r="Y33" s="65"/>
      <c r="Z33" s="65">
        <v>163922</v>
      </c>
      <c r="AA33" s="65"/>
      <c r="AB33" s="65">
        <v>97496</v>
      </c>
      <c r="AC33" s="65"/>
      <c r="AD33" s="65">
        <v>160782</v>
      </c>
      <c r="AE33" s="65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</row>
    <row r="34" spans="1:56" x14ac:dyDescent="0.2">
      <c r="A34" s="25"/>
      <c r="B34" s="40"/>
      <c r="C34" s="25"/>
      <c r="D34" s="25"/>
      <c r="E34" s="12"/>
      <c r="F34" s="65"/>
      <c r="G34" s="65"/>
      <c r="H34" s="65"/>
      <c r="I34" s="65"/>
      <c r="J34" s="65"/>
      <c r="K34" s="65"/>
      <c r="L34" s="12"/>
      <c r="M34" s="65"/>
      <c r="N34" s="12"/>
      <c r="O34" s="65"/>
      <c r="P34" s="56"/>
      <c r="Q34" s="56"/>
      <c r="R34" s="12"/>
      <c r="S34" s="56"/>
      <c r="T34" s="12"/>
      <c r="U34" s="56"/>
      <c r="V34" s="12"/>
      <c r="W34" s="65"/>
      <c r="X34" s="12"/>
      <c r="Y34" s="65"/>
      <c r="Z34" s="12"/>
      <c r="AA34" s="65"/>
      <c r="AB34" s="12"/>
      <c r="AC34" s="65"/>
      <c r="AD34" s="12"/>
      <c r="AE34" s="65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</row>
    <row r="35" spans="1:56" x14ac:dyDescent="0.2">
      <c r="A35" s="40" t="s">
        <v>811</v>
      </c>
      <c r="B35" s="40" t="s">
        <v>1152</v>
      </c>
      <c r="C35" s="25" t="s">
        <v>1119</v>
      </c>
      <c r="D35" s="40"/>
      <c r="E35" s="8"/>
      <c r="F35" s="28">
        <f>7552/eurusd_rate</f>
        <v>6510.3448275862074</v>
      </c>
      <c r="G35" s="28"/>
      <c r="H35" s="28">
        <f>9091/eurusd_rate</f>
        <v>7837.0689655172418</v>
      </c>
      <c r="I35" s="68"/>
      <c r="J35" s="28">
        <f>8041/eurusd_rate</f>
        <v>6931.8965517241386</v>
      </c>
      <c r="K35" s="68"/>
      <c r="L35" s="28">
        <f>9091/eurusd_rate</f>
        <v>7837.0689655172418</v>
      </c>
      <c r="M35" s="68"/>
      <c r="N35" s="28">
        <f>7940/eurusd_rate</f>
        <v>6844.8275862068967</v>
      </c>
      <c r="O35" s="68"/>
      <c r="P35" s="28">
        <f>10000/eurusd_rate</f>
        <v>8620.6896551724149</v>
      </c>
      <c r="Q35" s="28"/>
      <c r="R35" s="65">
        <f t="shared" si="0"/>
        <v>7837.0689655172418</v>
      </c>
      <c r="S35" s="28"/>
      <c r="T35" s="28">
        <f>9091/eurusd_rate</f>
        <v>7837.0689655172418</v>
      </c>
      <c r="U35" s="28"/>
      <c r="V35" s="28">
        <f>10107/eurusd_rate</f>
        <v>8712.9310344827591</v>
      </c>
      <c r="W35" s="28"/>
      <c r="X35" s="28">
        <f>10107/eurusd_rate</f>
        <v>8712.9310344827591</v>
      </c>
      <c r="Y35" s="28"/>
      <c r="Z35" s="28">
        <f>V35*1.25</f>
        <v>10891.163793103449</v>
      </c>
      <c r="AA35" s="28"/>
      <c r="AB35" s="28">
        <f>V35*1.25</f>
        <v>10891.163793103449</v>
      </c>
      <c r="AC35" s="65"/>
      <c r="AD35" s="28">
        <f>10107/eurusd_rate</f>
        <v>8712.9310344827591</v>
      </c>
      <c r="AE35" s="65"/>
      <c r="AF35" s="12"/>
      <c r="AG35" s="12" t="s">
        <v>814</v>
      </c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</row>
    <row r="36" spans="1:56" x14ac:dyDescent="0.2">
      <c r="A36" s="25"/>
      <c r="B36" s="40"/>
      <c r="C36" s="25"/>
      <c r="D36" s="25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65"/>
      <c r="R36" s="12"/>
      <c r="S36" s="65"/>
      <c r="T36" s="12"/>
      <c r="U36" s="65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</row>
    <row r="37" spans="1:56" x14ac:dyDescent="0.2">
      <c r="A37" s="40" t="s">
        <v>843</v>
      </c>
      <c r="B37" s="40" t="s">
        <v>844</v>
      </c>
      <c r="C37" s="25" t="s">
        <v>984</v>
      </c>
      <c r="D37" s="25"/>
      <c r="E37" s="12"/>
      <c r="F37" s="23">
        <v>0</v>
      </c>
      <c r="G37" s="61"/>
      <c r="H37" s="23">
        <v>2E-3</v>
      </c>
      <c r="I37" s="12"/>
      <c r="J37" s="23">
        <v>0</v>
      </c>
      <c r="K37" s="12"/>
      <c r="L37" s="23">
        <v>0</v>
      </c>
      <c r="M37" s="12"/>
      <c r="N37" s="23">
        <v>0</v>
      </c>
      <c r="O37" s="12"/>
      <c r="P37" s="23">
        <v>0</v>
      </c>
      <c r="Q37" s="56"/>
      <c r="R37" s="23">
        <v>0</v>
      </c>
      <c r="S37" s="56"/>
      <c r="T37" s="23">
        <v>0</v>
      </c>
      <c r="U37" s="56"/>
      <c r="V37" s="23">
        <v>1.25E-3</v>
      </c>
      <c r="W37" s="12"/>
      <c r="X37" s="23">
        <v>1.25E-3</v>
      </c>
      <c r="Y37" s="12"/>
      <c r="Z37" s="23">
        <v>2E-3</v>
      </c>
      <c r="AA37" s="12"/>
      <c r="AB37" s="23">
        <v>2E-3</v>
      </c>
      <c r="AC37" s="12"/>
      <c r="AD37" s="23">
        <v>0</v>
      </c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</row>
    <row r="38" spans="1:56" x14ac:dyDescent="0.2">
      <c r="A38" s="40"/>
      <c r="B38" s="40" t="s">
        <v>846</v>
      </c>
      <c r="C38" s="25"/>
      <c r="D38" s="25"/>
      <c r="E38" s="12"/>
      <c r="F38" s="69">
        <f>1-(1-F37)^($F$46+0.5*$F$59)</f>
        <v>0</v>
      </c>
      <c r="G38" s="69"/>
      <c r="H38" s="69">
        <f>1-(1-H37)^(H46+0.5*H59)</f>
        <v>3.4008523569063809E-2</v>
      </c>
      <c r="I38" s="12"/>
      <c r="J38" s="69">
        <f>1-(1-J37)^(J46+0.5*J59)</f>
        <v>0</v>
      </c>
      <c r="K38" s="12"/>
      <c r="L38" s="69">
        <f>1-(1-L37)^(L46+0.5*L59)</f>
        <v>0</v>
      </c>
      <c r="M38" s="12"/>
      <c r="N38" s="69">
        <f>1-(1-N37)^(N46+0.5*N59)</f>
        <v>0</v>
      </c>
      <c r="O38" s="12"/>
      <c r="P38" s="69">
        <f>1-(1-P37)^(P46+0.5*P59)</f>
        <v>0</v>
      </c>
      <c r="Q38" s="12"/>
      <c r="R38" s="69">
        <f>1-(1-R37)^(R46+0.5*R59)</f>
        <v>0</v>
      </c>
      <c r="S38" s="12"/>
      <c r="T38" s="69">
        <f>1-(1-T37)^(T46+0.5*T59)</f>
        <v>0</v>
      </c>
      <c r="U38" s="12"/>
      <c r="V38" s="69">
        <f>1-(1-V37)^(V46+0.5*V59)</f>
        <v>1.7800987774226007E-2</v>
      </c>
      <c r="W38" s="12"/>
      <c r="X38" s="69">
        <f>1-(1-X37)^(X46+0.5*X59)</f>
        <v>2.2630650373812844E-2</v>
      </c>
      <c r="Y38" s="12"/>
      <c r="Z38" s="69">
        <f>1-(1-Z37)^(Z46+0.5*Z59)</f>
        <v>2.8339604701514309E-2</v>
      </c>
      <c r="AA38" s="12"/>
      <c r="AB38" s="69">
        <f>1-(1-AB37)^(AB46+0.5*AB59)</f>
        <v>3.5975723468155585E-2</v>
      </c>
      <c r="AC38" s="12"/>
      <c r="AD38" s="69">
        <f>1-(1-AD37)^(AD46+0.5*AD59)</f>
        <v>0</v>
      </c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</row>
    <row r="39" spans="1:56" x14ac:dyDescent="0.2">
      <c r="A39" s="25"/>
      <c r="B39" s="40"/>
      <c r="C39" s="25"/>
      <c r="D39" s="25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</row>
    <row r="40" spans="1:56" x14ac:dyDescent="0.2">
      <c r="A40" s="40" t="s">
        <v>887</v>
      </c>
      <c r="B40" s="40" t="s">
        <v>886</v>
      </c>
      <c r="C40" s="25" t="s">
        <v>1147</v>
      </c>
      <c r="D40" s="25"/>
      <c r="E40" s="12"/>
      <c r="F40" s="12">
        <v>15.9</v>
      </c>
      <c r="G40" s="12"/>
      <c r="H40" s="12">
        <v>13.2</v>
      </c>
      <c r="I40" s="12"/>
      <c r="J40" s="12"/>
      <c r="K40" s="12"/>
      <c r="L40" s="12">
        <v>14.5</v>
      </c>
      <c r="M40" s="12"/>
      <c r="N40" s="12">
        <f>L40</f>
        <v>14.5</v>
      </c>
      <c r="O40" s="12"/>
      <c r="P40" s="12">
        <v>17.7</v>
      </c>
      <c r="Q40" s="12"/>
      <c r="R40" s="12">
        <f>H40</f>
        <v>13.2</v>
      </c>
      <c r="S40" s="12"/>
      <c r="T40" s="12">
        <v>14.5</v>
      </c>
      <c r="U40" s="12"/>
      <c r="V40" s="12">
        <v>16.2</v>
      </c>
      <c r="W40" s="12"/>
      <c r="X40" s="12">
        <v>12.4</v>
      </c>
      <c r="Y40" s="12"/>
      <c r="Z40" s="12">
        <f>V40</f>
        <v>16.2</v>
      </c>
      <c r="AA40" s="12"/>
      <c r="AB40" s="12">
        <f>X40</f>
        <v>12.4</v>
      </c>
      <c r="AC40" s="12"/>
      <c r="AD40" s="12">
        <v>9.1999999999999993</v>
      </c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</row>
    <row r="41" spans="1:56" x14ac:dyDescent="0.2">
      <c r="A41" s="25"/>
      <c r="B41" s="40" t="s">
        <v>1092</v>
      </c>
      <c r="C41" s="25" t="s">
        <v>1147</v>
      </c>
      <c r="D41" s="25"/>
      <c r="E41" s="12"/>
      <c r="F41" s="12">
        <v>17.100000000000001</v>
      </c>
      <c r="G41" s="12"/>
      <c r="H41" s="12">
        <v>15.2</v>
      </c>
      <c r="I41" s="12"/>
      <c r="J41" s="12"/>
      <c r="K41" s="12"/>
      <c r="L41" s="12">
        <v>15.1</v>
      </c>
      <c r="M41" s="12"/>
      <c r="N41" s="12">
        <f>L41</f>
        <v>15.1</v>
      </c>
      <c r="O41" s="12"/>
      <c r="P41" s="12">
        <v>19.8</v>
      </c>
      <c r="Q41" s="12"/>
      <c r="R41" s="12">
        <f>H41</f>
        <v>15.2</v>
      </c>
      <c r="S41" s="12"/>
      <c r="T41" s="12">
        <v>15.1</v>
      </c>
      <c r="U41" s="12"/>
      <c r="V41" s="12">
        <v>17.399999999999999</v>
      </c>
      <c r="W41" s="12"/>
      <c r="X41" s="12">
        <v>14.9</v>
      </c>
      <c r="Y41" s="12"/>
      <c r="Z41" s="12">
        <f>V41</f>
        <v>17.399999999999999</v>
      </c>
      <c r="AA41" s="12"/>
      <c r="AB41" s="12">
        <f>X41</f>
        <v>14.9</v>
      </c>
      <c r="AC41" s="12"/>
      <c r="AD41" s="12">
        <v>12.1</v>
      </c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</row>
    <row r="42" spans="1:56" x14ac:dyDescent="0.2">
      <c r="A42" s="25"/>
      <c r="B42" s="40"/>
      <c r="C42" s="25"/>
      <c r="D42" s="25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</row>
    <row r="43" spans="1:56" x14ac:dyDescent="0.2">
      <c r="A43" s="40" t="s">
        <v>826</v>
      </c>
      <c r="B43" s="40" t="s">
        <v>827</v>
      </c>
      <c r="C43" s="25" t="s">
        <v>946</v>
      </c>
      <c r="D43" s="25"/>
      <c r="E43" s="12"/>
      <c r="F43" s="27">
        <f>450/eurusd_rate</f>
        <v>387.93103448275866</v>
      </c>
      <c r="G43" s="70"/>
      <c r="H43" s="27">
        <f>450/eurusd_rate</f>
        <v>387.93103448275866</v>
      </c>
      <c r="I43" s="12"/>
      <c r="J43" s="27">
        <f>450/eurusd_rate</f>
        <v>387.93103448275866</v>
      </c>
      <c r="K43" s="12"/>
      <c r="L43" s="27">
        <f>450/eurusd_rate</f>
        <v>387.93103448275866</v>
      </c>
      <c r="M43" s="12"/>
      <c r="N43" s="27">
        <f>450/eurusd_rate</f>
        <v>387.93103448275866</v>
      </c>
      <c r="O43" s="12"/>
      <c r="P43" s="27">
        <f>450/eurusd_rate</f>
        <v>387.93103448275866</v>
      </c>
      <c r="Q43" s="12"/>
      <c r="R43" s="27">
        <f>450/eurusd_rate</f>
        <v>387.93103448275866</v>
      </c>
      <c r="S43" s="12"/>
      <c r="T43" s="27">
        <f>450/eurusd_rate</f>
        <v>387.93103448275866</v>
      </c>
      <c r="U43" s="12"/>
      <c r="V43" s="27">
        <v>10</v>
      </c>
      <c r="W43" s="12"/>
      <c r="X43" s="27">
        <f>450/eurusd_rate</f>
        <v>387.93103448275866</v>
      </c>
      <c r="Y43" s="12"/>
      <c r="Z43" s="27">
        <f>450/eurusd_rate</f>
        <v>387.93103448275866</v>
      </c>
      <c r="AA43" s="12"/>
      <c r="AB43" s="27">
        <f>450/eurusd_rate</f>
        <v>387.93103448275866</v>
      </c>
      <c r="AC43" s="12"/>
      <c r="AD43" s="27">
        <f>450/eurusd_rate</f>
        <v>387.93103448275866</v>
      </c>
      <c r="AE43" s="12"/>
      <c r="AF43" s="12"/>
      <c r="AG43" s="12" t="s">
        <v>899</v>
      </c>
      <c r="AH43" s="12"/>
      <c r="AI43" s="12"/>
      <c r="AJ43" s="12" t="s">
        <v>1228</v>
      </c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</row>
    <row r="44" spans="1:56" x14ac:dyDescent="0.2">
      <c r="A44" s="25" t="s">
        <v>901</v>
      </c>
      <c r="B44" s="40" t="s">
        <v>828</v>
      </c>
      <c r="C44" s="25" t="s">
        <v>1147</v>
      </c>
      <c r="D44" s="25"/>
      <c r="E44" s="12"/>
      <c r="F44" s="15">
        <f>F40</f>
        <v>15.9</v>
      </c>
      <c r="G44" s="46"/>
      <c r="H44" s="15">
        <f>H40</f>
        <v>13.2</v>
      </c>
      <c r="I44" s="12"/>
      <c r="J44" s="15">
        <v>15</v>
      </c>
      <c r="K44" s="12"/>
      <c r="L44" s="15">
        <f>L40</f>
        <v>14.5</v>
      </c>
      <c r="M44" s="12"/>
      <c r="N44" s="15">
        <f>N40</f>
        <v>14.5</v>
      </c>
      <c r="O44" s="12"/>
      <c r="P44" s="15">
        <f>P40</f>
        <v>17.7</v>
      </c>
      <c r="Q44" s="12"/>
      <c r="R44" s="15">
        <f>R40</f>
        <v>13.2</v>
      </c>
      <c r="S44" s="12"/>
      <c r="T44" s="15">
        <f>T40</f>
        <v>14.5</v>
      </c>
      <c r="U44" s="12"/>
      <c r="V44" s="15">
        <f>V40</f>
        <v>16.2</v>
      </c>
      <c r="W44" s="12"/>
      <c r="X44" s="15">
        <f>X40</f>
        <v>12.4</v>
      </c>
      <c r="Y44" s="12"/>
      <c r="Z44" s="15">
        <f>Z40</f>
        <v>16.2</v>
      </c>
      <c r="AA44" s="12"/>
      <c r="AB44" s="15">
        <f>AB40</f>
        <v>12.4</v>
      </c>
      <c r="AC44" s="12"/>
      <c r="AD44" s="15">
        <f>AD40</f>
        <v>9.1999999999999993</v>
      </c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</row>
    <row r="45" spans="1:56" x14ac:dyDescent="0.2">
      <c r="A45" s="25" t="s">
        <v>1234</v>
      </c>
      <c r="B45" s="40" t="s">
        <v>830</v>
      </c>
      <c r="C45" s="25" t="s">
        <v>954</v>
      </c>
      <c r="D45" s="25"/>
      <c r="E45" s="12"/>
      <c r="F45" s="47">
        <f>1/120000*F32^(2/3)*F44^3</f>
        <v>29.777387574153892</v>
      </c>
      <c r="G45" s="47"/>
      <c r="H45" s="47">
        <f>1/120000*H32^(2/3)*H44^3</f>
        <v>32.449238303238651</v>
      </c>
      <c r="I45" s="12"/>
      <c r="J45" s="47">
        <f>1/120000*J32^(2/3)*J44^3</f>
        <v>43.162838262038179</v>
      </c>
      <c r="K45" s="12"/>
      <c r="L45" s="47">
        <f>1/120000*L32^(2/3)*L44^3</f>
        <v>37.956253014422195</v>
      </c>
      <c r="M45" s="12"/>
      <c r="N45" s="47">
        <f>1/120000*N32^(2/3)*N44^3</f>
        <v>39.419979558090084</v>
      </c>
      <c r="O45" s="12"/>
      <c r="P45" s="47">
        <f>1/120000*P32^(2/3)*P44^3</f>
        <v>193.17267066332587</v>
      </c>
      <c r="Q45" s="12"/>
      <c r="R45" s="47">
        <f>1/120000*R32^(2/3)*R44^3</f>
        <v>32.449238303238651</v>
      </c>
      <c r="S45" s="12"/>
      <c r="T45" s="47">
        <f>1/120000*T32^(2/3)*T44^3</f>
        <v>39.419979558090084</v>
      </c>
      <c r="U45" s="12"/>
      <c r="V45" s="47">
        <f>1/120000*V32^(2/3)*V44^3</f>
        <v>111.65087030861608</v>
      </c>
      <c r="W45" s="12"/>
      <c r="X45" s="47">
        <f>1/120000*X32^(2/3)*X44^3</f>
        <v>32.616325903400956</v>
      </c>
      <c r="Y45" s="12"/>
      <c r="Z45" s="47">
        <f>1/110000*Z32^(2/3)*Z44^3</f>
        <v>71.628618675520272</v>
      </c>
      <c r="AA45" s="12"/>
      <c r="AB45" s="71">
        <f>1/110000*AB32^(2/3)*AB44^3</f>
        <v>19.51816145238605</v>
      </c>
      <c r="AC45" s="12"/>
      <c r="AD45" s="47">
        <f>1/120000*AD32^(2/3)*AD44^3</f>
        <v>33.000167112628255</v>
      </c>
      <c r="AE45" s="12"/>
      <c r="AF45" s="12"/>
      <c r="AG45" s="12" t="s">
        <v>802</v>
      </c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</row>
    <row r="46" spans="1:56" x14ac:dyDescent="0.2">
      <c r="A46" s="25"/>
      <c r="B46" s="40" t="s">
        <v>831</v>
      </c>
      <c r="C46" s="25" t="s">
        <v>1148</v>
      </c>
      <c r="D46" s="25"/>
      <c r="E46" s="12"/>
      <c r="F46" s="24">
        <f>B4/F44/24</f>
        <v>13.102725366876308</v>
      </c>
      <c r="G46" s="24"/>
      <c r="H46" s="24">
        <f>B4/H44/24</f>
        <v>15.782828282828284</v>
      </c>
      <c r="I46" s="12"/>
      <c r="J46" s="24">
        <f>B4/J44/24</f>
        <v>13.888888888888888</v>
      </c>
      <c r="K46" s="12"/>
      <c r="L46" s="24">
        <f>B4/L44/24</f>
        <v>14.367816091954024</v>
      </c>
      <c r="M46" s="12"/>
      <c r="N46" s="24">
        <f>B4/N44/24</f>
        <v>14.367816091954024</v>
      </c>
      <c r="O46" s="12"/>
      <c r="P46" s="24">
        <f>B4/P44/24</f>
        <v>11.770244821092279</v>
      </c>
      <c r="Q46" s="12"/>
      <c r="R46" s="24">
        <f>$B4/R44/24</f>
        <v>15.782828282828284</v>
      </c>
      <c r="S46" s="12"/>
      <c r="T46" s="24">
        <f>$B4/T44/24</f>
        <v>14.367816091954024</v>
      </c>
      <c r="U46" s="12"/>
      <c r="V46" s="24">
        <f>B4/V44/24</f>
        <v>12.860082304526749</v>
      </c>
      <c r="W46" s="12"/>
      <c r="X46" s="24">
        <f>B4/X44/24</f>
        <v>16.801075268817204</v>
      </c>
      <c r="Y46" s="12"/>
      <c r="Z46" s="24">
        <f>B4/Z44/24</f>
        <v>12.860082304526749</v>
      </c>
      <c r="AA46" s="12"/>
      <c r="AB46" s="24">
        <f>B4/AB44/24</f>
        <v>16.801075268817204</v>
      </c>
      <c r="AC46" s="12"/>
      <c r="AD46" s="24">
        <f>B4/AD44/24</f>
        <v>22.644927536231886</v>
      </c>
      <c r="AE46" s="12"/>
      <c r="AF46" s="12"/>
      <c r="AG46" s="12"/>
      <c r="AH46" s="12" t="s">
        <v>862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</row>
    <row r="47" spans="1:56" x14ac:dyDescent="0.2">
      <c r="A47" s="25"/>
      <c r="B47" s="40" t="s">
        <v>827</v>
      </c>
      <c r="C47" s="25" t="s">
        <v>1149</v>
      </c>
      <c r="D47" s="25"/>
      <c r="E47" s="12"/>
      <c r="F47" s="65">
        <f>F45*F43*F46</f>
        <v>151357.08550623115</v>
      </c>
      <c r="G47" s="65"/>
      <c r="H47" s="65">
        <f>H45*H43*H46</f>
        <v>198675.29329471159</v>
      </c>
      <c r="I47" s="65"/>
      <c r="J47" s="65">
        <f>J45*J43*J46</f>
        <v>232558.39580839538</v>
      </c>
      <c r="K47" s="65"/>
      <c r="L47" s="65">
        <f>L45*L43*L46</f>
        <v>211557.59334732947</v>
      </c>
      <c r="M47" s="65"/>
      <c r="N47" s="65">
        <f>N45*N43*N46</f>
        <v>219715.99783418229</v>
      </c>
      <c r="O47" s="65"/>
      <c r="P47" s="65">
        <f>P45*P43*P46</f>
        <v>882034.76888207684</v>
      </c>
      <c r="Q47" s="65"/>
      <c r="R47" s="65">
        <f>R45*R43*R46</f>
        <v>198675.29329471159</v>
      </c>
      <c r="S47" s="65"/>
      <c r="T47" s="65">
        <f>T45*T43*T46</f>
        <v>219715.99783418229</v>
      </c>
      <c r="U47" s="65"/>
      <c r="V47" s="65">
        <f>V45*V43*V46</f>
        <v>14358.393815408446</v>
      </c>
      <c r="W47" s="65"/>
      <c r="X47" s="65">
        <f>X45*X43*X46</f>
        <v>212582.07407145717</v>
      </c>
      <c r="Y47" s="65"/>
      <c r="Z47" s="65">
        <f>Z45*Z43*Z46</f>
        <v>357342.64585089538</v>
      </c>
      <c r="AA47" s="65"/>
      <c r="AB47" s="65">
        <f>AB45*AB43*AB46</f>
        <v>127212.71107905953</v>
      </c>
      <c r="AC47" s="12"/>
      <c r="AD47" s="65">
        <f>AD45*AD43*AD46</f>
        <v>289895.58347159851</v>
      </c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</row>
    <row r="48" spans="1:56" x14ac:dyDescent="0.2">
      <c r="A48" s="25"/>
      <c r="B48" s="40"/>
      <c r="C48" s="25"/>
      <c r="D48" s="25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</row>
    <row r="49" spans="1:56" x14ac:dyDescent="0.2">
      <c r="A49" s="40" t="s">
        <v>826</v>
      </c>
      <c r="B49" s="40" t="s">
        <v>827</v>
      </c>
      <c r="C49" s="25" t="s">
        <v>946</v>
      </c>
      <c r="D49" s="25"/>
      <c r="E49" s="12"/>
      <c r="F49" s="27">
        <f>450/eurusd_rate</f>
        <v>387.93103448275866</v>
      </c>
      <c r="G49" s="70"/>
      <c r="H49" s="27">
        <f>450/eurusd_rate</f>
        <v>387.93103448275866</v>
      </c>
      <c r="I49" s="12"/>
      <c r="J49" s="27">
        <f>450/eurusd_rate</f>
        <v>387.93103448275866</v>
      </c>
      <c r="K49" s="12"/>
      <c r="L49" s="27">
        <f>450/eurusd_rate</f>
        <v>387.93103448275866</v>
      </c>
      <c r="M49" s="12"/>
      <c r="N49" s="27">
        <f>450/eurusd_rate</f>
        <v>387.93103448275866</v>
      </c>
      <c r="O49" s="12"/>
      <c r="P49" s="27">
        <f>450/eurusd_rate</f>
        <v>387.93103448275866</v>
      </c>
      <c r="Q49" s="12"/>
      <c r="R49" s="27">
        <f>450/eurusd_rate</f>
        <v>387.93103448275866</v>
      </c>
      <c r="S49" s="12"/>
      <c r="T49" s="27">
        <f>450/eurusd_rate</f>
        <v>387.93103448275866</v>
      </c>
      <c r="U49" s="12"/>
      <c r="V49" s="27">
        <f>450/eurusd_rate</f>
        <v>387.93103448275866</v>
      </c>
      <c r="W49" s="12"/>
      <c r="X49" s="27">
        <f>450/eurusd_rate</f>
        <v>387.93103448275866</v>
      </c>
      <c r="Y49" s="12"/>
      <c r="Z49" s="27">
        <f>450/eurusd_rate</f>
        <v>387.93103448275866</v>
      </c>
      <c r="AA49" s="12"/>
      <c r="AB49" s="27">
        <f>450/eurusd_rate</f>
        <v>387.93103448275866</v>
      </c>
      <c r="AC49" s="12"/>
      <c r="AD49" s="27">
        <f>450/eurusd_rate</f>
        <v>387.93103448275866</v>
      </c>
      <c r="AE49" s="12"/>
      <c r="AF49" s="12"/>
      <c r="AG49" s="12" t="s">
        <v>899</v>
      </c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</row>
    <row r="50" spans="1:56" x14ac:dyDescent="0.2">
      <c r="A50" s="25" t="s">
        <v>902</v>
      </c>
      <c r="B50" s="40" t="s">
        <v>828</v>
      </c>
      <c r="C50" s="25" t="s">
        <v>1147</v>
      </c>
      <c r="D50" s="25"/>
      <c r="E50" s="12"/>
      <c r="F50" s="15">
        <f>F44</f>
        <v>15.9</v>
      </c>
      <c r="G50" s="46"/>
      <c r="H50" s="15">
        <f>H44</f>
        <v>13.2</v>
      </c>
      <c r="I50" s="12"/>
      <c r="J50" s="15">
        <f>J44</f>
        <v>15</v>
      </c>
      <c r="K50" s="12"/>
      <c r="L50" s="15">
        <f>L44</f>
        <v>14.5</v>
      </c>
      <c r="M50" s="12"/>
      <c r="N50" s="15">
        <f>N44</f>
        <v>14.5</v>
      </c>
      <c r="O50" s="12"/>
      <c r="P50" s="15">
        <f>P44</f>
        <v>17.7</v>
      </c>
      <c r="Q50" s="12"/>
      <c r="R50" s="15">
        <f>R44</f>
        <v>13.2</v>
      </c>
      <c r="S50" s="12"/>
      <c r="T50" s="15">
        <f>T44</f>
        <v>14.5</v>
      </c>
      <c r="U50" s="12"/>
      <c r="V50" s="15">
        <f>V44</f>
        <v>16.2</v>
      </c>
      <c r="W50" s="12"/>
      <c r="X50" s="15">
        <f>X44</f>
        <v>12.4</v>
      </c>
      <c r="Y50" s="12"/>
      <c r="Z50" s="15">
        <f>Z44</f>
        <v>16.2</v>
      </c>
      <c r="AA50" s="12"/>
      <c r="AB50" s="15">
        <f>AB44</f>
        <v>12.4</v>
      </c>
      <c r="AC50" s="12"/>
      <c r="AD50" s="15">
        <f>AD44</f>
        <v>9.1999999999999993</v>
      </c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</row>
    <row r="51" spans="1:56" x14ac:dyDescent="0.2">
      <c r="A51" s="25" t="s">
        <v>842</v>
      </c>
      <c r="B51" s="40" t="s">
        <v>830</v>
      </c>
      <c r="C51" s="25" t="s">
        <v>954</v>
      </c>
      <c r="D51" s="25"/>
      <c r="E51" s="12"/>
      <c r="F51" s="47">
        <f>1/120000*(F29+0.2*F31)^(2/3)*F50^3</f>
        <v>17.567591134015188</v>
      </c>
      <c r="G51" s="47"/>
      <c r="H51" s="47">
        <f>1/120000*(H29+0.2*H31)^(2/3)*H50^3</f>
        <v>17.76727485686618</v>
      </c>
      <c r="I51" s="12"/>
      <c r="J51" s="47">
        <f>1/120000*(J29+J31)^(2/3)*J50^3</f>
        <v>40.784521917923904</v>
      </c>
      <c r="K51" s="12"/>
      <c r="L51" s="47">
        <f>1/120000*(L29+L31)^(2/3)*L50^3</f>
        <v>35.732462496237694</v>
      </c>
      <c r="M51" s="12"/>
      <c r="N51" s="47">
        <f>1/120000*(N29+N31)^(2/3)*N50^3</f>
        <v>37.23971608771209</v>
      </c>
      <c r="O51" s="12"/>
      <c r="P51" s="47">
        <f>1/120000*(P29+P31)^(2/3)*P50^3</f>
        <v>183.80724027903932</v>
      </c>
      <c r="Q51" s="12"/>
      <c r="R51" s="47">
        <f>1/120000*(R29+R31)^(2/3)*R50^3</f>
        <v>30.860344357587447</v>
      </c>
      <c r="S51" s="12"/>
      <c r="T51" s="47">
        <f>1/120000*(T29+T31)^(2/3)*T50^3</f>
        <v>37.23971608771209</v>
      </c>
      <c r="U51" s="12"/>
      <c r="V51" s="47">
        <f>1/120000*(V29+V31)^(2/3)*V50^3</f>
        <v>106.15932264979949</v>
      </c>
      <c r="W51" s="12"/>
      <c r="X51" s="47">
        <f>1/120000*(X29+X31)^(2/3)*X50^3</f>
        <v>30.608349699386569</v>
      </c>
      <c r="Y51" s="12"/>
      <c r="Z51" s="47">
        <f>1/110000*(Z29+0.2*Z31)^(2/3)*Z50^3</f>
        <v>53.69738739809965</v>
      </c>
      <c r="AA51" s="12"/>
      <c r="AB51" s="47">
        <f>1/110000*(AB29+0.2*AB31)^(2/3)*AB50^3</f>
        <v>13.217387413190169</v>
      </c>
      <c r="AC51" s="12"/>
      <c r="AD51" s="47">
        <f>1/120000*(AD29+AD31)^(2/3)*AD50^3</f>
        <v>29.810035419144352</v>
      </c>
      <c r="AE51" s="12"/>
      <c r="AF51" s="12"/>
      <c r="AG51" s="12" t="s">
        <v>900</v>
      </c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</row>
    <row r="52" spans="1:56" x14ac:dyDescent="0.2">
      <c r="A52" s="25"/>
      <c r="B52" s="40" t="s">
        <v>832</v>
      </c>
      <c r="C52" s="25" t="s">
        <v>1148</v>
      </c>
      <c r="D52" s="25"/>
      <c r="E52" s="12"/>
      <c r="F52" s="24">
        <f>B4/F50/24</f>
        <v>13.102725366876308</v>
      </c>
      <c r="G52" s="24"/>
      <c r="H52" s="24">
        <f>B4/H50/24</f>
        <v>15.782828282828284</v>
      </c>
      <c r="I52" s="12"/>
      <c r="J52" s="24">
        <f>B4/J50/24</f>
        <v>13.888888888888888</v>
      </c>
      <c r="K52" s="12"/>
      <c r="L52" s="24">
        <f>B4/L50/24</f>
        <v>14.367816091954024</v>
      </c>
      <c r="M52" s="12"/>
      <c r="N52" s="24">
        <f>B4/N50/24</f>
        <v>14.367816091954024</v>
      </c>
      <c r="O52" s="12"/>
      <c r="P52" s="24">
        <f>B4/P50/24</f>
        <v>11.770244821092279</v>
      </c>
      <c r="Q52" s="12"/>
      <c r="R52" s="24">
        <f>$B4/R50/24</f>
        <v>15.782828282828284</v>
      </c>
      <c r="S52" s="12"/>
      <c r="T52" s="24">
        <f>$B4/T50/24</f>
        <v>14.367816091954024</v>
      </c>
      <c r="U52" s="12"/>
      <c r="V52" s="24">
        <f>B4/V50/24</f>
        <v>12.860082304526749</v>
      </c>
      <c r="W52" s="12"/>
      <c r="X52" s="24">
        <f>B4/X50/24</f>
        <v>16.801075268817204</v>
      </c>
      <c r="Y52" s="12"/>
      <c r="Z52" s="24">
        <f>B4/Z50/24</f>
        <v>12.860082304526749</v>
      </c>
      <c r="AA52" s="12"/>
      <c r="AB52" s="24">
        <f>B4/AB50/24</f>
        <v>16.801075268817204</v>
      </c>
      <c r="AC52" s="12"/>
      <c r="AD52" s="24">
        <f>B4/AD50/24</f>
        <v>22.644927536231886</v>
      </c>
      <c r="AE52" s="12"/>
      <c r="AF52" s="12"/>
      <c r="AG52" s="12" t="s">
        <v>1300</v>
      </c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</row>
    <row r="53" spans="1:56" x14ac:dyDescent="0.2">
      <c r="A53" s="25"/>
      <c r="B53" s="40" t="s">
        <v>827</v>
      </c>
      <c r="C53" s="25" t="s">
        <v>1149</v>
      </c>
      <c r="D53" s="25"/>
      <c r="E53" s="12"/>
      <c r="F53" s="65">
        <f>F51*F49*F52</f>
        <v>89295.254218928865</v>
      </c>
      <c r="G53" s="65"/>
      <c r="H53" s="65">
        <f>H51*H49*H52</f>
        <v>108782.78590851651</v>
      </c>
      <c r="I53" s="65"/>
      <c r="J53" s="65">
        <f>J51*J49*J52</f>
        <v>219744.19136812448</v>
      </c>
      <c r="K53" s="65"/>
      <c r="L53" s="65">
        <f>L51*L49*L52</f>
        <v>199162.80374686589</v>
      </c>
      <c r="M53" s="65"/>
      <c r="N53" s="65">
        <f>N51*N49*N52</f>
        <v>207563.81588721814</v>
      </c>
      <c r="O53" s="65"/>
      <c r="P53" s="65">
        <f>P51*P49*P52</f>
        <v>839271.80869666568</v>
      </c>
      <c r="Q53" s="65"/>
      <c r="R53" s="65">
        <f>R51*R49*R52</f>
        <v>188947.05352167081</v>
      </c>
      <c r="S53" s="65"/>
      <c r="T53" s="65">
        <f>T51*T49*T52</f>
        <v>207563.81588721814</v>
      </c>
      <c r="U53" s="65"/>
      <c r="V53" s="65">
        <f>V51*V49*V52</f>
        <v>529610.28620789177</v>
      </c>
      <c r="W53" s="65"/>
      <c r="X53" s="65">
        <f>X51*X49*X52</f>
        <v>199494.77087857976</v>
      </c>
      <c r="Y53" s="65"/>
      <c r="Z53" s="65">
        <f>Z51*Z49*Z52</f>
        <v>267886.87040080049</v>
      </c>
      <c r="AA53" s="65"/>
      <c r="AB53" s="65">
        <f>AB51*AB49*AB52</f>
        <v>86146.417546341661</v>
      </c>
      <c r="AC53" s="12"/>
      <c r="AD53" s="65">
        <f>AD51*AD49*AD52</f>
        <v>261871.3287616926</v>
      </c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</row>
    <row r="54" spans="1:56" x14ac:dyDescent="0.2">
      <c r="A54" s="25"/>
      <c r="B54" s="40"/>
      <c r="C54" s="25"/>
      <c r="D54" s="25"/>
      <c r="E54" s="12"/>
      <c r="F54" s="24"/>
      <c r="G54" s="24"/>
      <c r="H54" s="24"/>
      <c r="I54" s="12"/>
      <c r="J54" s="24"/>
      <c r="K54" s="12"/>
      <c r="L54" s="24"/>
      <c r="M54" s="12"/>
      <c r="N54" s="24"/>
      <c r="O54" s="12"/>
      <c r="P54" s="24"/>
      <c r="Q54" s="12"/>
      <c r="R54" s="24"/>
      <c r="S54" s="12"/>
      <c r="T54" s="24"/>
      <c r="U54" s="12"/>
      <c r="V54" s="24"/>
      <c r="W54" s="12"/>
      <c r="X54" s="24"/>
      <c r="Y54" s="12"/>
      <c r="Z54" s="24"/>
      <c r="AA54" s="12"/>
      <c r="AB54" s="24"/>
      <c r="AC54" s="12"/>
      <c r="AD54" s="24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</row>
    <row r="55" spans="1:56" x14ac:dyDescent="0.2">
      <c r="A55" s="40" t="s">
        <v>835</v>
      </c>
      <c r="B55" s="40" t="s">
        <v>113</v>
      </c>
      <c r="C55" s="25" t="s">
        <v>1149</v>
      </c>
      <c r="D55" s="25"/>
      <c r="E55" s="12"/>
      <c r="F55" s="28">
        <f>68000/eurusd_rate*1.9</f>
        <v>111379.31034482759</v>
      </c>
      <c r="G55" s="28"/>
      <c r="H55" s="28">
        <f>200000/eurusd_rate*1.9</f>
        <v>327586.20689655171</v>
      </c>
      <c r="I55" s="28"/>
      <c r="J55" s="28">
        <f>106000/eurusd_rate*1.9</f>
        <v>173620.68965517243</v>
      </c>
      <c r="K55" s="28"/>
      <c r="L55" s="28">
        <f>106000/eurusd_rate*1.9</f>
        <v>173620.68965517243</v>
      </c>
      <c r="M55" s="28"/>
      <c r="N55" s="28">
        <f>106000/eurusd_rate*1.9</f>
        <v>173620.68965517243</v>
      </c>
      <c r="O55" s="28"/>
      <c r="P55" s="28">
        <f>1652234/eurusd_rate*1.9</f>
        <v>2706245.3448275863</v>
      </c>
      <c r="Q55" s="28"/>
      <c r="R55" s="28">
        <f>106000/eurusd_rate*1.9</f>
        <v>173620.68965517243</v>
      </c>
      <c r="S55" s="28"/>
      <c r="T55" s="28">
        <f>106000/eurusd_rate*1.9</f>
        <v>173620.68965517243</v>
      </c>
      <c r="U55" s="28"/>
      <c r="V55" s="28" t="s">
        <v>1326</v>
      </c>
      <c r="W55" s="28"/>
      <c r="X55" s="28">
        <f>332000/eurusd_rate*1.9</f>
        <v>543793.10344827594</v>
      </c>
      <c r="Y55" s="28"/>
      <c r="Z55" s="28" t="s">
        <v>1326</v>
      </c>
      <c r="AA55" s="28"/>
      <c r="AB55" s="28">
        <f>X55</f>
        <v>543793.10344827594</v>
      </c>
      <c r="AC55" s="12"/>
      <c r="AD55" s="28" t="s">
        <v>1326</v>
      </c>
      <c r="AE55" s="12"/>
      <c r="AF55" s="12"/>
      <c r="AG55" s="12" t="s">
        <v>1098</v>
      </c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</row>
    <row r="56" spans="1:56" x14ac:dyDescent="0.2">
      <c r="A56" s="25"/>
      <c r="B56" s="40" t="s">
        <v>1099</v>
      </c>
      <c r="C56" s="25" t="s">
        <v>1149</v>
      </c>
      <c r="D56" s="25"/>
      <c r="E56" s="12"/>
      <c r="F56" s="28">
        <f>97000/eurusd_rate*1.9</f>
        <v>158879.31034482759</v>
      </c>
      <c r="G56" s="28"/>
      <c r="H56" s="28">
        <f>185000/eurusd_rate*1.9</f>
        <v>303017.24137931032</v>
      </c>
      <c r="I56" s="28"/>
      <c r="J56" s="28">
        <f>206000/eurusd_rate*1.9</f>
        <v>337413.79310344829</v>
      </c>
      <c r="K56" s="28"/>
      <c r="L56" s="28">
        <f>206000/eurusd_rate*1.9</f>
        <v>337413.79310344829</v>
      </c>
      <c r="M56" s="28"/>
      <c r="N56" s="28">
        <f>206000/eurusd_rate*1.9</f>
        <v>337413.79310344829</v>
      </c>
      <c r="O56" s="28"/>
      <c r="P56" s="28">
        <f>469400/eurusd_rate*1.9</f>
        <v>768844.82758620696</v>
      </c>
      <c r="Q56" s="28"/>
      <c r="R56" s="28">
        <f>206000/eurusd_rate*1.9</f>
        <v>337413.79310344829</v>
      </c>
      <c r="S56" s="28"/>
      <c r="T56" s="28">
        <f>206000/eurusd_rate*1.9</f>
        <v>337413.79310344829</v>
      </c>
      <c r="U56" s="28"/>
      <c r="V56" s="28">
        <f>446000/eurusd_rate*1.9</f>
        <v>730517.24137931038</v>
      </c>
      <c r="W56" s="28"/>
      <c r="X56" s="28">
        <f>324000/eurusd_rate*1.9</f>
        <v>530689.6551724138</v>
      </c>
      <c r="Y56" s="28"/>
      <c r="Z56" s="28">
        <f>V56</f>
        <v>730517.24137931038</v>
      </c>
      <c r="AA56" s="28"/>
      <c r="AB56" s="28">
        <f>X56</f>
        <v>530689.6551724138</v>
      </c>
      <c r="AC56" s="12"/>
      <c r="AD56" s="28">
        <f>532500/eurusd_rate*1.9</f>
        <v>872198.27586206899</v>
      </c>
      <c r="AE56" s="12"/>
      <c r="AF56" s="12"/>
      <c r="AG56" s="12" t="s">
        <v>1452</v>
      </c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</row>
    <row r="57" spans="1:56" x14ac:dyDescent="0.2">
      <c r="A57" s="25"/>
      <c r="B57" s="40"/>
      <c r="C57" s="25"/>
      <c r="D57" s="25"/>
      <c r="E57" s="12"/>
      <c r="F57" s="24"/>
      <c r="G57" s="24"/>
      <c r="H57" s="24"/>
      <c r="I57" s="12"/>
      <c r="J57" s="24"/>
      <c r="K57" s="33"/>
      <c r="L57" s="24"/>
      <c r="M57" s="12"/>
      <c r="N57" s="24"/>
      <c r="O57" s="12"/>
      <c r="P57" s="24"/>
      <c r="Q57" s="12"/>
      <c r="R57" s="24"/>
      <c r="S57" s="12"/>
      <c r="T57" s="24"/>
      <c r="U57" s="12"/>
      <c r="V57" s="24"/>
      <c r="W57" s="12"/>
      <c r="X57" s="24"/>
      <c r="Y57" s="12"/>
      <c r="Z57" s="24"/>
      <c r="AA57" s="12"/>
      <c r="AB57" s="24"/>
      <c r="AC57" s="12"/>
      <c r="AD57" s="24"/>
      <c r="AE57" s="12"/>
      <c r="AF57" s="12"/>
      <c r="AG57" s="12" t="s">
        <v>1173</v>
      </c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</row>
    <row r="58" spans="1:56" x14ac:dyDescent="0.2">
      <c r="A58" s="25"/>
      <c r="B58" s="40"/>
      <c r="C58" s="25"/>
      <c r="D58" s="25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</row>
    <row r="59" spans="1:56" x14ac:dyDescent="0.2">
      <c r="A59" s="40" t="s">
        <v>875</v>
      </c>
      <c r="B59" s="40" t="s">
        <v>812</v>
      </c>
      <c r="C59" s="25" t="s">
        <v>1148</v>
      </c>
      <c r="D59" s="25"/>
      <c r="E59" s="12"/>
      <c r="F59" s="15">
        <v>3</v>
      </c>
      <c r="G59" s="46"/>
      <c r="H59" s="15">
        <v>3</v>
      </c>
      <c r="I59" s="12"/>
      <c r="J59" s="15">
        <v>3</v>
      </c>
      <c r="K59" s="12"/>
      <c r="L59" s="15">
        <v>3</v>
      </c>
      <c r="M59" s="12"/>
      <c r="N59" s="15">
        <v>3</v>
      </c>
      <c r="O59" s="12"/>
      <c r="P59" s="15">
        <v>3</v>
      </c>
      <c r="Q59" s="12"/>
      <c r="R59" s="15">
        <v>3</v>
      </c>
      <c r="S59" s="12"/>
      <c r="T59" s="15">
        <v>3</v>
      </c>
      <c r="U59" s="12"/>
      <c r="V59" s="15">
        <v>3</v>
      </c>
      <c r="W59" s="12"/>
      <c r="X59" s="15">
        <v>3</v>
      </c>
      <c r="Y59" s="12"/>
      <c r="Z59" s="15">
        <v>3</v>
      </c>
      <c r="AA59" s="12"/>
      <c r="AB59" s="15">
        <v>3</v>
      </c>
      <c r="AC59" s="12"/>
      <c r="AD59" s="15">
        <v>3</v>
      </c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</row>
    <row r="60" spans="1:56" x14ac:dyDescent="0.2">
      <c r="A60" s="40" t="s">
        <v>877</v>
      </c>
      <c r="B60" s="40" t="s">
        <v>838</v>
      </c>
      <c r="C60" s="25" t="s">
        <v>954</v>
      </c>
      <c r="D60" s="25"/>
      <c r="E60" s="12"/>
      <c r="F60" s="72">
        <f>0.1*F45</f>
        <v>2.9777387574153895</v>
      </c>
      <c r="G60" s="73"/>
      <c r="H60" s="72">
        <f>0.1*H45</f>
        <v>3.2449238303238652</v>
      </c>
      <c r="I60" s="33"/>
      <c r="J60" s="72">
        <f>0.1*J45</f>
        <v>4.3162838262038177</v>
      </c>
      <c r="K60" s="33"/>
      <c r="L60" s="72">
        <f>0.1*L45</f>
        <v>3.7956253014422199</v>
      </c>
      <c r="M60" s="33"/>
      <c r="N60" s="72">
        <f>0.1*N45</f>
        <v>3.9419979558090086</v>
      </c>
      <c r="O60" s="33"/>
      <c r="P60" s="72">
        <f>0.1*P45</f>
        <v>19.31726706633259</v>
      </c>
      <c r="Q60" s="33"/>
      <c r="R60" s="72">
        <f>0.1*R45</f>
        <v>3.2449238303238652</v>
      </c>
      <c r="S60" s="33"/>
      <c r="T60" s="72">
        <f>0.1*T45</f>
        <v>3.9419979558090086</v>
      </c>
      <c r="U60" s="33"/>
      <c r="V60" s="72">
        <f>0.1*V45</f>
        <v>11.165087030861608</v>
      </c>
      <c r="W60" s="33"/>
      <c r="X60" s="72">
        <f>0.1*X45</f>
        <v>3.2616325903400956</v>
      </c>
      <c r="Y60" s="33"/>
      <c r="Z60" s="72">
        <f>0.1*Z45</f>
        <v>7.1628618675520279</v>
      </c>
      <c r="AA60" s="33"/>
      <c r="AB60" s="72">
        <f>0.1*AB45</f>
        <v>1.9518161452386051</v>
      </c>
      <c r="AC60" s="12"/>
      <c r="AD60" s="72">
        <f>0.1*AD45</f>
        <v>3.3000167112628258</v>
      </c>
      <c r="AE60" s="12"/>
      <c r="AF60" s="12"/>
      <c r="AG60" s="12" t="s">
        <v>1151</v>
      </c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</row>
    <row r="61" spans="1:56" x14ac:dyDescent="0.2">
      <c r="A61" s="40" t="s">
        <v>878</v>
      </c>
      <c r="B61" s="40" t="s">
        <v>840</v>
      </c>
      <c r="C61" s="25" t="s">
        <v>1149</v>
      </c>
      <c r="D61" s="25"/>
      <c r="E61" s="12"/>
      <c r="F61" s="63">
        <f>F60*F59*F43</f>
        <v>3465.4718297506693</v>
      </c>
      <c r="G61" s="63"/>
      <c r="H61" s="63">
        <f>H60*H59*H43</f>
        <v>3776.419974945878</v>
      </c>
      <c r="I61" s="63"/>
      <c r="J61" s="63">
        <f>J60*J59*J43</f>
        <v>5023.2613494613397</v>
      </c>
      <c r="K61" s="63"/>
      <c r="L61" s="63">
        <f>L60*L59*L43</f>
        <v>4417.3225490922396</v>
      </c>
      <c r="M61" s="63"/>
      <c r="N61" s="63">
        <f>N60*N59*N43</f>
        <v>4587.670034777726</v>
      </c>
      <c r="O61" s="63"/>
      <c r="P61" s="63">
        <f>P60*P59*P43</f>
        <v>22481.302189266378</v>
      </c>
      <c r="Q61" s="63"/>
      <c r="R61" s="63">
        <f>R60*R59*R43</f>
        <v>3776.419974945878</v>
      </c>
      <c r="S61" s="63"/>
      <c r="T61" s="63">
        <f>T60*T59*T43</f>
        <v>4587.670034777726</v>
      </c>
      <c r="U61" s="63"/>
      <c r="V61" s="63">
        <f>V60*V59*V43</f>
        <v>334.95261092584826</v>
      </c>
      <c r="W61" s="63"/>
      <c r="X61" s="63">
        <f>X60*X59*X43</f>
        <v>3795.8655146199394</v>
      </c>
      <c r="Y61" s="63"/>
      <c r="Z61" s="63">
        <f>Z60*Z59*Z43</f>
        <v>8336.0892424096892</v>
      </c>
      <c r="AA61" s="63"/>
      <c r="AB61" s="63">
        <f>AB60*AB59*AB43</f>
        <v>2271.5101690276874</v>
      </c>
      <c r="AC61" s="12"/>
      <c r="AD61" s="63">
        <f>AD60*AD59*AD43</f>
        <v>3840.5366898317375</v>
      </c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</row>
    <row r="62" spans="1:56" x14ac:dyDescent="0.2">
      <c r="A62" s="25"/>
      <c r="B62" s="40" t="s">
        <v>820</v>
      </c>
      <c r="C62" s="25" t="s">
        <v>1149</v>
      </c>
      <c r="D62" s="25"/>
      <c r="E62" s="12"/>
      <c r="F62" s="63">
        <f>F33*0.303+MIN(1.337*F33*0.493,F31*0.493)</f>
        <v>13398.948199999999</v>
      </c>
      <c r="G62" s="63"/>
      <c r="H62" s="63">
        <f>H33*0.303+MIN(1.337*H33*0.493,H31*0.493)</f>
        <v>36680.5098</v>
      </c>
      <c r="I62" s="63"/>
      <c r="J62" s="63">
        <f>J33*0.303+MIN(1.337*J33*0.493,J31*0.493)</f>
        <v>29773.453244999997</v>
      </c>
      <c r="K62" s="63"/>
      <c r="L62" s="63">
        <f>L33*0.303+MIN(1.337*L33*0.493,L31*0.493)</f>
        <v>29773.453244999997</v>
      </c>
      <c r="M62" s="63"/>
      <c r="N62" s="63">
        <f>N33*0.303+MIN(1.337*N33*0.493,N31*0.493)</f>
        <v>29773.453244999997</v>
      </c>
      <c r="O62" s="63"/>
      <c r="P62" s="63">
        <f>P33*0.243+P31*0.483</f>
        <v>131746.61609999998</v>
      </c>
      <c r="Q62" s="63"/>
      <c r="R62" s="63">
        <f>R33*0.303+MIN(1.337*R33*0.493,R31*0.493)</f>
        <v>36680.5098</v>
      </c>
      <c r="S62" s="63"/>
      <c r="T62" s="63">
        <f>T33*0.303+MIN(1.337*T33*0.493,T31*0.493)</f>
        <v>29773.453244999997</v>
      </c>
      <c r="U62" s="63"/>
      <c r="V62" s="63">
        <f>V33*0.313+MIN(1.337*V33*0.51,V31*0.51)</f>
        <v>110472.686</v>
      </c>
      <c r="W62" s="63"/>
      <c r="X62" s="63">
        <f>X33*0.313+MIN(1.337*X33*0.51,X31*0.51)</f>
        <v>63954.398000000001</v>
      </c>
      <c r="Y62" s="63"/>
      <c r="Z62" s="63">
        <f>Z33*0.313+MIN(1.337*Z33*0.51,Z31*0.51)</f>
        <v>60938.089400000004</v>
      </c>
      <c r="AA62" s="63"/>
      <c r="AB62" s="63">
        <f>AB33*0.313+MIN(1.337*AB33*0.51,AB31*0.51)</f>
        <v>35791.301930000001</v>
      </c>
      <c r="AC62" s="12"/>
      <c r="AD62" s="63">
        <f>AD33*0.313+MIN(1.337*AD33*0.51,AD31*0.51)</f>
        <v>159957.18833999999</v>
      </c>
      <c r="AE62" s="12"/>
      <c r="AF62" s="12"/>
      <c r="AG62" s="12" t="s">
        <v>850</v>
      </c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</row>
    <row r="63" spans="1:56" x14ac:dyDescent="0.2">
      <c r="A63" s="25"/>
      <c r="B63" s="40"/>
      <c r="C63" s="25"/>
      <c r="D63" s="25"/>
      <c r="E63" s="12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12"/>
      <c r="AD63" s="63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</row>
    <row r="64" spans="1:56" x14ac:dyDescent="0.2">
      <c r="A64" s="40" t="s">
        <v>876</v>
      </c>
      <c r="B64" s="40" t="s">
        <v>822</v>
      </c>
      <c r="C64" s="25" t="s">
        <v>1148</v>
      </c>
      <c r="D64" s="25"/>
      <c r="E64" s="12"/>
      <c r="F64" s="15">
        <v>3</v>
      </c>
      <c r="G64" s="46"/>
      <c r="H64" s="15">
        <v>3</v>
      </c>
      <c r="I64" s="12"/>
      <c r="J64" s="15">
        <v>3</v>
      </c>
      <c r="K64" s="12"/>
      <c r="L64" s="15">
        <v>3</v>
      </c>
      <c r="M64" s="12"/>
      <c r="N64" s="15">
        <v>3</v>
      </c>
      <c r="O64" s="12"/>
      <c r="P64" s="15">
        <v>3</v>
      </c>
      <c r="Q64" s="12"/>
      <c r="R64" s="15">
        <v>3</v>
      </c>
      <c r="S64" s="12"/>
      <c r="T64" s="15">
        <v>3</v>
      </c>
      <c r="U64" s="12"/>
      <c r="V64" s="15">
        <v>3</v>
      </c>
      <c r="W64" s="12"/>
      <c r="X64" s="15">
        <v>3</v>
      </c>
      <c r="Y64" s="12"/>
      <c r="Z64" s="15">
        <v>3</v>
      </c>
      <c r="AA64" s="12"/>
      <c r="AB64" s="15">
        <v>3</v>
      </c>
      <c r="AC64" s="12"/>
      <c r="AD64" s="15">
        <v>3</v>
      </c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</row>
    <row r="65" spans="1:56" x14ac:dyDescent="0.2">
      <c r="A65" s="40" t="s">
        <v>879</v>
      </c>
      <c r="B65" s="40" t="s">
        <v>839</v>
      </c>
      <c r="C65" s="25" t="s">
        <v>954</v>
      </c>
      <c r="D65" s="25"/>
      <c r="E65" s="12"/>
      <c r="F65" s="72">
        <f>0.1*F51</f>
        <v>1.756759113401519</v>
      </c>
      <c r="G65" s="73"/>
      <c r="H65" s="72">
        <f>0.1*H51</f>
        <v>1.7767274856866182</v>
      </c>
      <c r="I65" s="12"/>
      <c r="J65" s="72">
        <f>0.1*J51</f>
        <v>4.0784521917923904</v>
      </c>
      <c r="K65" s="12"/>
      <c r="L65" s="72">
        <f>0.1*L51</f>
        <v>3.5732462496237698</v>
      </c>
      <c r="M65" s="12"/>
      <c r="N65" s="72">
        <f>0.1*N51</f>
        <v>3.7239716087712091</v>
      </c>
      <c r="O65" s="12"/>
      <c r="P65" s="72">
        <f>0.1*P51</f>
        <v>18.380724027903934</v>
      </c>
      <c r="Q65" s="12"/>
      <c r="R65" s="72">
        <f>0.1*R51</f>
        <v>3.0860344357587448</v>
      </c>
      <c r="S65" s="12"/>
      <c r="T65" s="72">
        <f>0.1*T51</f>
        <v>3.7239716087712091</v>
      </c>
      <c r="U65" s="12"/>
      <c r="V65" s="72">
        <f>0.1*V51</f>
        <v>10.61593226497995</v>
      </c>
      <c r="W65" s="12"/>
      <c r="X65" s="72">
        <f>0.1*X51</f>
        <v>3.0608349699386572</v>
      </c>
      <c r="Y65" s="12"/>
      <c r="Z65" s="72">
        <f>0.1*Z51</f>
        <v>5.3697387398099652</v>
      </c>
      <c r="AA65" s="12"/>
      <c r="AB65" s="72">
        <f>0.1*AB51</f>
        <v>1.3217387413190169</v>
      </c>
      <c r="AC65" s="12"/>
      <c r="AD65" s="72">
        <f>0.1*AD51</f>
        <v>2.9810035419144354</v>
      </c>
      <c r="AE65" s="12"/>
      <c r="AF65" s="12"/>
      <c r="AG65" s="12" t="s">
        <v>1151</v>
      </c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</row>
    <row r="66" spans="1:56" x14ac:dyDescent="0.2">
      <c r="A66" s="40" t="s">
        <v>880</v>
      </c>
      <c r="B66" s="40" t="s">
        <v>841</v>
      </c>
      <c r="C66" s="25" t="s">
        <v>1149</v>
      </c>
      <c r="D66" s="25"/>
      <c r="E66" s="12"/>
      <c r="F66" s="63">
        <f>F65*F64*F49</f>
        <v>2044.5041405965956</v>
      </c>
      <c r="G66" s="63"/>
      <c r="H66" s="63">
        <f>H65*H64*H49</f>
        <v>2067.7431945490816</v>
      </c>
      <c r="I66" s="63"/>
      <c r="J66" s="63">
        <f>J65*J64*J49</f>
        <v>4746.474533551489</v>
      </c>
      <c r="K66" s="63"/>
      <c r="L66" s="63">
        <f>L65*L64*L49</f>
        <v>4158.5193422345601</v>
      </c>
      <c r="M66" s="63"/>
      <c r="N66" s="63">
        <f>N65*N64*N49</f>
        <v>4333.9324757251152</v>
      </c>
      <c r="O66" s="63"/>
      <c r="P66" s="63">
        <f>P65*P64*P49</f>
        <v>21391.359860060613</v>
      </c>
      <c r="Q66" s="63"/>
      <c r="R66" s="63">
        <f>R65*R64*R49</f>
        <v>3591.505593339919</v>
      </c>
      <c r="S66" s="63"/>
      <c r="T66" s="63">
        <f>T65*T64*T49</f>
        <v>4333.9324757251152</v>
      </c>
      <c r="U66" s="63"/>
      <c r="V66" s="63">
        <f>V65*V64*V49</f>
        <v>12354.748756657702</v>
      </c>
      <c r="W66" s="63"/>
      <c r="X66" s="63">
        <f>X65*X64*X49</f>
        <v>3562.1786288079206</v>
      </c>
      <c r="Y66" s="63"/>
      <c r="Z66" s="63">
        <f>Z65*Z64*Z49</f>
        <v>6249.2649127098739</v>
      </c>
      <c r="AA66" s="63"/>
      <c r="AB66" s="63">
        <f>AB65*AB64*AB49</f>
        <v>1538.2304317074768</v>
      </c>
      <c r="AC66" s="12"/>
      <c r="AD66" s="63">
        <f>AD65*AD64*AD49</f>
        <v>3469.2713634349034</v>
      </c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</row>
    <row r="67" spans="1:56" x14ac:dyDescent="0.2">
      <c r="A67" s="25"/>
      <c r="B67" s="40" t="s">
        <v>823</v>
      </c>
      <c r="C67" s="25" t="s">
        <v>1149</v>
      </c>
      <c r="D67" s="25"/>
      <c r="E67" s="12"/>
      <c r="F67" s="63">
        <f>F62</f>
        <v>13398.948199999999</v>
      </c>
      <c r="G67" s="63"/>
      <c r="H67" s="63">
        <f>H62</f>
        <v>36680.5098</v>
      </c>
      <c r="I67" s="63"/>
      <c r="J67" s="63">
        <f>J62</f>
        <v>29773.453244999997</v>
      </c>
      <c r="K67" s="63"/>
      <c r="L67" s="63">
        <f>L62</f>
        <v>29773.453244999997</v>
      </c>
      <c r="M67" s="63"/>
      <c r="N67" s="63">
        <f>N62</f>
        <v>29773.453244999997</v>
      </c>
      <c r="O67" s="63"/>
      <c r="P67" s="63">
        <f>P62</f>
        <v>131746.61609999998</v>
      </c>
      <c r="Q67" s="63"/>
      <c r="R67" s="63">
        <f>R62</f>
        <v>36680.5098</v>
      </c>
      <c r="S67" s="63"/>
      <c r="T67" s="63">
        <f>T62</f>
        <v>29773.453244999997</v>
      </c>
      <c r="U67" s="63"/>
      <c r="V67" s="63">
        <f>V62</f>
        <v>110472.686</v>
      </c>
      <c r="W67" s="63"/>
      <c r="X67" s="63">
        <f>X62</f>
        <v>63954.398000000001</v>
      </c>
      <c r="Y67" s="63"/>
      <c r="Z67" s="63">
        <f>Z62</f>
        <v>60938.089400000004</v>
      </c>
      <c r="AA67" s="63"/>
      <c r="AB67" s="63">
        <f>AB62</f>
        <v>35791.301930000001</v>
      </c>
      <c r="AC67" s="12"/>
      <c r="AD67" s="63">
        <f>AD62</f>
        <v>159957.18833999999</v>
      </c>
      <c r="AE67" s="12"/>
      <c r="AF67" s="12"/>
      <c r="AG67" s="12" t="s">
        <v>851</v>
      </c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</row>
    <row r="68" spans="1:56" x14ac:dyDescent="0.2">
      <c r="A68" s="25"/>
      <c r="B68" s="40"/>
      <c r="C68" s="25"/>
      <c r="D68" s="25"/>
      <c r="E68" s="12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  <c r="AC68" s="12"/>
      <c r="AD68" s="63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</row>
    <row r="69" spans="1:56" x14ac:dyDescent="0.2">
      <c r="A69" s="25"/>
      <c r="B69" s="40"/>
      <c r="C69" s="25"/>
      <c r="D69" s="25"/>
      <c r="E69" s="12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12"/>
      <c r="AD69" s="63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</row>
    <row r="70" spans="1:56" x14ac:dyDescent="0.2">
      <c r="A70" s="40" t="s">
        <v>1073</v>
      </c>
      <c r="B70" s="40" t="s">
        <v>970</v>
      </c>
      <c r="C70" s="25" t="s">
        <v>1148</v>
      </c>
      <c r="D70" s="25"/>
      <c r="E70" s="12"/>
      <c r="F70" s="63">
        <f>F64+F59+F52+F46</f>
        <v>32.205450733752613</v>
      </c>
      <c r="G70" s="63"/>
      <c r="H70" s="63">
        <f>H64+H59+H52+H46</f>
        <v>37.565656565656568</v>
      </c>
      <c r="I70" s="63"/>
      <c r="J70" s="63">
        <f>J64+J59+J52+J46</f>
        <v>33.777777777777771</v>
      </c>
      <c r="K70" s="63"/>
      <c r="L70" s="63">
        <f>L64+L59+L52+L46</f>
        <v>34.735632183908052</v>
      </c>
      <c r="M70" s="63"/>
      <c r="N70" s="63">
        <f>N64+N59+N52+N46</f>
        <v>34.735632183908052</v>
      </c>
      <c r="O70" s="63"/>
      <c r="P70" s="63">
        <f>P64+P59+P52+P46</f>
        <v>29.540489642184554</v>
      </c>
      <c r="Q70" s="63"/>
      <c r="R70" s="63">
        <f>R64+R59+R52+R46</f>
        <v>37.565656565656568</v>
      </c>
      <c r="S70" s="63"/>
      <c r="T70" s="63">
        <f>T64+T59+T52+T46</f>
        <v>34.735632183908052</v>
      </c>
      <c r="U70" s="63"/>
      <c r="V70" s="63">
        <f>V64+V59+V52+V46</f>
        <v>31.720164609053498</v>
      </c>
      <c r="W70" s="63"/>
      <c r="X70" s="63">
        <f>X64+X59+X52+X46</f>
        <v>39.602150537634408</v>
      </c>
      <c r="Y70" s="63"/>
      <c r="Z70" s="63">
        <f>Z64+Z59+Z52+Z46</f>
        <v>31.720164609053498</v>
      </c>
      <c r="AA70" s="63"/>
      <c r="AB70" s="63">
        <f>AB64+AB59+AB52+AB46</f>
        <v>39.602150537634408</v>
      </c>
      <c r="AC70" s="12"/>
      <c r="AD70" s="63">
        <f>AD64+AD59+AD52+AD46</f>
        <v>51.289855072463773</v>
      </c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</row>
    <row r="71" spans="1:56" x14ac:dyDescent="0.2">
      <c r="A71" s="25"/>
      <c r="B71" s="40" t="s">
        <v>1025</v>
      </c>
      <c r="C71" s="25" t="s">
        <v>1149</v>
      </c>
      <c r="D71" s="25"/>
      <c r="E71" s="12"/>
      <c r="F71" s="63">
        <f>F70*F24</f>
        <v>449336.84147821326</v>
      </c>
      <c r="G71" s="63"/>
      <c r="H71" s="63">
        <f>H70*H24</f>
        <v>780090.78661298961</v>
      </c>
      <c r="I71" s="63"/>
      <c r="J71" s="63">
        <f>J70*J24</f>
        <v>657591.99140406621</v>
      </c>
      <c r="K71" s="63"/>
      <c r="L71" s="63">
        <f>L70*L24</f>
        <v>495909.09660285781</v>
      </c>
      <c r="M71" s="63"/>
      <c r="N71" s="63">
        <f>N70*N24</f>
        <v>495909.09660285781</v>
      </c>
      <c r="O71" s="63"/>
      <c r="P71" s="63">
        <f>P70*P24</f>
        <v>1509636.6770771618</v>
      </c>
      <c r="Q71" s="63"/>
      <c r="R71" s="63">
        <f>R70*R24</f>
        <v>780090.78661298961</v>
      </c>
      <c r="S71" s="63"/>
      <c r="T71" s="63">
        <f>T70*T24</f>
        <v>495909.09660285781</v>
      </c>
      <c r="U71" s="63"/>
      <c r="V71" s="63">
        <f>V70*V24</f>
        <v>1996439.0245839334</v>
      </c>
      <c r="W71" s="63"/>
      <c r="X71" s="63">
        <f>X70*X24</f>
        <v>1791129.9096794589</v>
      </c>
      <c r="Y71" s="63"/>
      <c r="Z71" s="63">
        <f>Z70*Z24</f>
        <v>2257446.7436579829</v>
      </c>
      <c r="AA71" s="63"/>
      <c r="AB71" s="63">
        <f>AB70*AB24</f>
        <v>2238912.3870993238</v>
      </c>
      <c r="AC71" s="12"/>
      <c r="AD71" s="63">
        <f>AD70*AD24</f>
        <v>1547706.5171256159</v>
      </c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</row>
    <row r="72" spans="1:56" x14ac:dyDescent="0.2">
      <c r="A72" s="25"/>
      <c r="B72" s="40" t="s">
        <v>1026</v>
      </c>
      <c r="C72" s="25" t="s">
        <v>1149</v>
      </c>
      <c r="D72" s="25"/>
      <c r="E72" s="12"/>
      <c r="F72" s="63">
        <f>F70*F35</f>
        <v>209668.58960456876</v>
      </c>
      <c r="G72" s="63"/>
      <c r="H72" s="63">
        <f>H70*H35</f>
        <v>294404.64123998611</v>
      </c>
      <c r="I72" s="63"/>
      <c r="J72" s="63">
        <f>J70*J35</f>
        <v>234144.06130268198</v>
      </c>
      <c r="K72" s="63"/>
      <c r="L72" s="63">
        <f>L70*L35</f>
        <v>272225.5449861277</v>
      </c>
      <c r="M72" s="63"/>
      <c r="N72" s="63">
        <f>N70*N35</f>
        <v>237759.41339674994</v>
      </c>
      <c r="O72" s="63"/>
      <c r="P72" s="63">
        <f>P70*P35</f>
        <v>254659.39346710825</v>
      </c>
      <c r="Q72" s="63"/>
      <c r="R72" s="63">
        <f>R70*R35</f>
        <v>294404.64123998611</v>
      </c>
      <c r="S72" s="63"/>
      <c r="T72" s="63">
        <f>T70*T35</f>
        <v>272225.5449861277</v>
      </c>
      <c r="U72" s="63"/>
      <c r="V72" s="63">
        <f>V70*V35</f>
        <v>276375.60664112389</v>
      </c>
      <c r="W72" s="63"/>
      <c r="X72" s="63">
        <f>X70*X35</f>
        <v>345050.80645161291</v>
      </c>
      <c r="Y72" s="63"/>
      <c r="Z72" s="63">
        <f>Z70*Z35</f>
        <v>345469.50830140489</v>
      </c>
      <c r="AA72" s="63"/>
      <c r="AB72" s="63">
        <f>AB70*AB35</f>
        <v>431313.50806451618</v>
      </c>
      <c r="AC72" s="12"/>
      <c r="AD72" s="63">
        <f>AD70*AD35</f>
        <v>446884.97001499258</v>
      </c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</row>
    <row r="73" spans="1:56" x14ac:dyDescent="0.2">
      <c r="A73" s="25"/>
      <c r="B73" s="40" t="s">
        <v>837</v>
      </c>
      <c r="C73" s="25" t="s">
        <v>1149</v>
      </c>
      <c r="D73" s="25"/>
      <c r="E73" s="12"/>
      <c r="F73" s="63">
        <f>F62+F67</f>
        <v>26797.896399999998</v>
      </c>
      <c r="G73" s="63"/>
      <c r="H73" s="63">
        <f>H62+H67</f>
        <v>73361.0196</v>
      </c>
      <c r="I73" s="63"/>
      <c r="J73" s="63">
        <f>J62+J67</f>
        <v>59546.906489999994</v>
      </c>
      <c r="K73" s="63"/>
      <c r="L73" s="63">
        <f>L62+L67</f>
        <v>59546.906489999994</v>
      </c>
      <c r="M73" s="63"/>
      <c r="N73" s="63">
        <f>N62+N67</f>
        <v>59546.906489999994</v>
      </c>
      <c r="O73" s="63"/>
      <c r="P73" s="63">
        <f>P62+P67</f>
        <v>263493.23219999997</v>
      </c>
      <c r="Q73" s="63"/>
      <c r="R73" s="63">
        <f>R62+R67</f>
        <v>73361.0196</v>
      </c>
      <c r="S73" s="63"/>
      <c r="T73" s="63">
        <f>T62+T67</f>
        <v>59546.906489999994</v>
      </c>
      <c r="U73" s="63"/>
      <c r="V73" s="63">
        <f>V62+V67</f>
        <v>220945.372</v>
      </c>
      <c r="W73" s="63"/>
      <c r="X73" s="63">
        <f>X62+X67</f>
        <v>127908.796</v>
      </c>
      <c r="Y73" s="63"/>
      <c r="Z73" s="63">
        <f>Z62+Z67</f>
        <v>121876.17880000001</v>
      </c>
      <c r="AA73" s="63"/>
      <c r="AB73" s="63">
        <f>AB62+AB67</f>
        <v>71582.603860000003</v>
      </c>
      <c r="AC73" s="12"/>
      <c r="AD73" s="63">
        <f>AD62+AD67</f>
        <v>319914.37667999999</v>
      </c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</row>
    <row r="74" spans="1:56" x14ac:dyDescent="0.2">
      <c r="A74" s="25"/>
      <c r="B74" s="40" t="s">
        <v>1027</v>
      </c>
      <c r="C74" s="25" t="s">
        <v>1149</v>
      </c>
      <c r="D74" s="25"/>
      <c r="E74" s="12"/>
      <c r="F74" s="63">
        <f>F66+F61+F53+F47</f>
        <v>246162.31569550728</v>
      </c>
      <c r="G74" s="63"/>
      <c r="H74" s="63">
        <f>H66+H61+H53+H47</f>
        <v>313302.24237272306</v>
      </c>
      <c r="I74" s="63"/>
      <c r="J74" s="63">
        <f>J66+J61+J53+J47</f>
        <v>462072.32305953267</v>
      </c>
      <c r="K74" s="63"/>
      <c r="L74" s="63">
        <f>L66+L61+L53+L47</f>
        <v>419296.23898552218</v>
      </c>
      <c r="M74" s="63"/>
      <c r="N74" s="63">
        <f>N66+N61+N53+N47</f>
        <v>436201.41623190325</v>
      </c>
      <c r="O74" s="63"/>
      <c r="P74" s="63">
        <f>P66+P61+P53+P47</f>
        <v>1765179.2396280696</v>
      </c>
      <c r="Q74" s="63"/>
      <c r="R74" s="63">
        <f>R66+R61+R53+R47</f>
        <v>394990.27238466823</v>
      </c>
      <c r="S74" s="63"/>
      <c r="T74" s="63">
        <f>T66+T61+T53+T47</f>
        <v>436201.41623190325</v>
      </c>
      <c r="U74" s="63"/>
      <c r="V74" s="63">
        <f>V66+V61+V53+V47</f>
        <v>556658.38139088382</v>
      </c>
      <c r="W74" s="63"/>
      <c r="X74" s="63">
        <f>X66+X61+X53+X47</f>
        <v>419434.88909346482</v>
      </c>
      <c r="Y74" s="63"/>
      <c r="Z74" s="63">
        <f>Z66+Z61+Z53+Z47</f>
        <v>639814.87040681543</v>
      </c>
      <c r="AA74" s="63"/>
      <c r="AB74" s="63">
        <f>AB66+AB61+AB53+AB47</f>
        <v>217168.86922613636</v>
      </c>
      <c r="AC74" s="12"/>
      <c r="AD74" s="63">
        <f>AD66+AD61+AD53+AD47</f>
        <v>559076.72028655768</v>
      </c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</row>
    <row r="75" spans="1:56" x14ac:dyDescent="0.2">
      <c r="A75" s="25"/>
      <c r="B75" s="40"/>
      <c r="C75" s="25"/>
      <c r="D75" s="25"/>
      <c r="E75" s="12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12"/>
      <c r="AD75" s="63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</row>
    <row r="76" spans="1:56" x14ac:dyDescent="0.2">
      <c r="A76" s="25"/>
      <c r="B76" s="40" t="s">
        <v>971</v>
      </c>
      <c r="C76" s="25" t="s">
        <v>980</v>
      </c>
      <c r="D76" s="25"/>
      <c r="E76" s="12"/>
      <c r="F76" s="63">
        <f>(365.25*F25/F70)*F31*(1-F38)</f>
        <v>176095.07306340325</v>
      </c>
      <c r="G76" s="63"/>
      <c r="H76" s="63">
        <f>(365.25*H25/H70)*H31*(1-H38)</f>
        <v>418688.97268151643</v>
      </c>
      <c r="I76" s="63"/>
      <c r="J76" s="63">
        <f>(365.25*J25/J70)*J31*(1-J38)</f>
        <v>467401.97368421062</v>
      </c>
      <c r="K76" s="63"/>
      <c r="L76" s="63">
        <f>(365.25*L25/L70)*L31*(1-L38)</f>
        <v>429030.68759761739</v>
      </c>
      <c r="M76" s="63"/>
      <c r="N76" s="63">
        <f>(365.25*N25/N70)*N31*(1-N38)</f>
        <v>463788.88153540692</v>
      </c>
      <c r="O76" s="63"/>
      <c r="P76" s="63">
        <f>(365.25*P25/P70)*P31*(1-P38)</f>
        <v>2117639.1237154156</v>
      </c>
      <c r="Q76" s="63"/>
      <c r="R76" s="63">
        <f>(365.25*R25/R70)*R31*(1-R38)</f>
        <v>433429.26195213763</v>
      </c>
      <c r="S76" s="63"/>
      <c r="T76" s="63">
        <f>(365.25*T25/T70)*T31*(1-T38)</f>
        <v>463788.88153540692</v>
      </c>
      <c r="U76" s="63"/>
      <c r="V76" s="63">
        <f>(365.25*V25/V70)*V31*(1-V38)</f>
        <v>1286004.5764243251</v>
      </c>
      <c r="W76" s="63"/>
      <c r="X76" s="63">
        <f>(365.25*X25/X70)*X31*(1-X38)</f>
        <v>579288.67378929525</v>
      </c>
      <c r="Y76" s="63"/>
      <c r="Z76" s="63">
        <f>(365.25*Z25/Z70)*Z31*(1-Z38)</f>
        <v>207081.31224928552</v>
      </c>
      <c r="AA76" s="63"/>
      <c r="AB76" s="63">
        <f>(365.25*AB25/AB70)*AB31*(1-AB38)</f>
        <v>90138.215295456466</v>
      </c>
      <c r="AC76" s="12"/>
      <c r="AD76" s="63">
        <f>(365.25*AD25/AD70)*AD31*(1-AD38)</f>
        <v>1860330.8911127434</v>
      </c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</row>
    <row r="77" spans="1:56" x14ac:dyDescent="0.2">
      <c r="A77" s="25"/>
      <c r="B77" s="40"/>
      <c r="C77" s="25"/>
      <c r="D77" s="25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</row>
    <row r="78" spans="1:56" x14ac:dyDescent="0.2">
      <c r="A78" s="40" t="s">
        <v>833</v>
      </c>
      <c r="B78" s="40" t="s">
        <v>1146</v>
      </c>
      <c r="C78" s="74" t="s">
        <v>1149</v>
      </c>
      <c r="D78" s="74"/>
      <c r="E78" s="75"/>
      <c r="F78" s="76">
        <f>SUM(F71:F74)</f>
        <v>931965.64317828929</v>
      </c>
      <c r="G78" s="76"/>
      <c r="H78" s="76">
        <f>SUM(H71:H74)</f>
        <v>1461158.6898256987</v>
      </c>
      <c r="I78" s="77"/>
      <c r="J78" s="76">
        <f>SUM(J71:J74)</f>
        <v>1413355.282256281</v>
      </c>
      <c r="K78" s="77"/>
      <c r="L78" s="76">
        <f>SUM(L71:L74)</f>
        <v>1246977.7870645076</v>
      </c>
      <c r="M78" s="77"/>
      <c r="N78" s="76">
        <f>SUM(N71:N74)</f>
        <v>1229416.8327215109</v>
      </c>
      <c r="O78" s="77"/>
      <c r="P78" s="76">
        <f>SUM(P71:P74)</f>
        <v>3792968.5423723394</v>
      </c>
      <c r="Q78" s="77"/>
      <c r="R78" s="76">
        <f>SUM(R71:R74)</f>
        <v>1542846.7198376439</v>
      </c>
      <c r="S78" s="77"/>
      <c r="T78" s="76">
        <f>SUM(T71:T74)</f>
        <v>1263882.9643108887</v>
      </c>
      <c r="U78" s="77"/>
      <c r="V78" s="76">
        <f>SUM(V71:V74)</f>
        <v>3050418.384615941</v>
      </c>
      <c r="W78" s="77"/>
      <c r="X78" s="76">
        <f>SUM(X71:X74)</f>
        <v>2683524.4012245368</v>
      </c>
      <c r="Y78" s="77"/>
      <c r="Z78" s="76">
        <f>SUM(Z71:Z74)</f>
        <v>3364607.3011662029</v>
      </c>
      <c r="AA78" s="77"/>
      <c r="AB78" s="76">
        <f>SUM(AB71:AB74)</f>
        <v>2958977.3682499765</v>
      </c>
      <c r="AC78" s="12"/>
      <c r="AD78" s="76">
        <f>SUM(AD71:AD74)</f>
        <v>2873582.5841071662</v>
      </c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</row>
    <row r="79" spans="1:56" x14ac:dyDescent="0.2">
      <c r="A79" s="25"/>
      <c r="B79" s="40" t="s">
        <v>834</v>
      </c>
      <c r="C79" s="25" t="s">
        <v>1150</v>
      </c>
      <c r="D79" s="25"/>
      <c r="E79" s="12"/>
      <c r="F79" s="78">
        <f>F78/F30</f>
        <v>45.241050639722779</v>
      </c>
      <c r="G79" s="78"/>
      <c r="H79" s="78">
        <f>H78/H30</f>
        <v>17.775653160896578</v>
      </c>
      <c r="I79" s="77"/>
      <c r="J79" s="78">
        <f>J78/J30</f>
        <v>25.885627880151667</v>
      </c>
      <c r="K79" s="77"/>
      <c r="L79" s="78">
        <f>L78/L30</f>
        <v>23.724843741714377</v>
      </c>
      <c r="M79" s="77"/>
      <c r="N79" s="78">
        <f>N78/N30</f>
        <v>23.390731216162688</v>
      </c>
      <c r="O79" s="77"/>
      <c r="P79" s="78">
        <f>P78/P30</f>
        <v>7.8165052293994099</v>
      </c>
      <c r="Q79" s="77"/>
      <c r="R79" s="78">
        <f>R78/R30</f>
        <v>18.769424815543115</v>
      </c>
      <c r="S79" s="77"/>
      <c r="T79" s="78">
        <f>T78/T30</f>
        <v>24.046479534073224</v>
      </c>
      <c r="U79" s="77"/>
      <c r="V79" s="78">
        <f>V78/V30</f>
        <v>11.467738288029853</v>
      </c>
      <c r="W79" s="77"/>
      <c r="X79" s="78">
        <f>X78/X30</f>
        <v>18.41814963091652</v>
      </c>
      <c r="Y79" s="77"/>
      <c r="Z79" s="78">
        <f>Z78/Z30</f>
        <v>12.648899628444372</v>
      </c>
      <c r="AA79" s="77"/>
      <c r="AB79" s="78">
        <f>AB78/AB30</f>
        <v>20.308698478036902</v>
      </c>
      <c r="AC79" s="12"/>
      <c r="AD79" s="78">
        <f>AD78/AD30</f>
        <v>8.5390630749465597</v>
      </c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</row>
    <row r="80" spans="1:56" x14ac:dyDescent="0.2">
      <c r="A80" s="25"/>
      <c r="B80" s="40" t="s">
        <v>1074</v>
      </c>
      <c r="C80" s="25" t="s">
        <v>946</v>
      </c>
      <c r="D80" s="25"/>
      <c r="E80" s="12"/>
      <c r="F80" s="77">
        <f>F78/F31</f>
        <v>58.831015136180469</v>
      </c>
      <c r="G80" s="77"/>
      <c r="H80" s="77">
        <f>H78/H31</f>
        <v>32.127075936238718</v>
      </c>
      <c r="I80" s="77"/>
      <c r="J80" s="77">
        <f>J78/(J31*(1-J38))</f>
        <v>32.048872613521112</v>
      </c>
      <c r="K80" s="77"/>
      <c r="L80" s="77">
        <f>L78/(L31*(1-L38))</f>
        <v>29.955610784992896</v>
      </c>
      <c r="M80" s="77"/>
      <c r="N80" s="77">
        <f>N78/(N31*(1-N38))</f>
        <v>27.32037406047802</v>
      </c>
      <c r="O80" s="77"/>
      <c r="P80" s="77">
        <f>P78/(P31*(1-P38))</f>
        <v>21.706641110489262</v>
      </c>
      <c r="Q80" s="77"/>
      <c r="R80" s="77">
        <f>R78/(R31*(1-R38))</f>
        <v>33.923183067893653</v>
      </c>
      <c r="S80" s="77"/>
      <c r="T80" s="77">
        <f>T78/(T31*(1-T38))</f>
        <v>28.086288095797524</v>
      </c>
      <c r="U80" s="77"/>
      <c r="V80" s="77">
        <f>V78/(V31*(1-V38))</f>
        <v>26.770993579248103</v>
      </c>
      <c r="W80" s="77"/>
      <c r="X80" s="77">
        <f>X78/(X31*(1-X38))</f>
        <v>41.876923414562611</v>
      </c>
      <c r="Y80" s="77"/>
      <c r="Z80" s="77">
        <f>Z78/(Z31*(1-Z38))</f>
        <v>183.37539775708203</v>
      </c>
      <c r="AA80" s="77"/>
      <c r="AB80" s="77">
        <f>AB78/(AB31*(1-AB38))</f>
        <v>296.75424822322583</v>
      </c>
      <c r="AC80" s="12"/>
      <c r="AD80" s="77">
        <f>AD78/(AD31*(1-AD38))</f>
        <v>10.781645296649696</v>
      </c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</row>
    <row r="81" spans="1:56" x14ac:dyDescent="0.2">
      <c r="A81" s="25"/>
      <c r="B81" s="40"/>
      <c r="C81" s="25"/>
      <c r="D81" s="25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</row>
    <row r="82" spans="1:56" x14ac:dyDescent="0.2">
      <c r="A82" s="25"/>
      <c r="B82" s="40"/>
      <c r="C82" s="25"/>
      <c r="D82" s="25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</row>
    <row r="83" spans="1:56" x14ac:dyDescent="0.2">
      <c r="A83" s="25"/>
      <c r="B83" s="40" t="s">
        <v>1023</v>
      </c>
      <c r="C83" s="25" t="s">
        <v>980</v>
      </c>
      <c r="D83" s="25"/>
      <c r="E83" s="12"/>
      <c r="F83" s="65">
        <f>F31</f>
        <v>15841.4</v>
      </c>
      <c r="G83" s="65"/>
      <c r="H83" s="65">
        <f>H31</f>
        <v>45480.6</v>
      </c>
      <c r="I83" s="12"/>
      <c r="J83" s="65">
        <f>J31</f>
        <v>44100</v>
      </c>
      <c r="K83" s="12"/>
      <c r="L83" s="65">
        <f>L31</f>
        <v>41627.520000000004</v>
      </c>
      <c r="M83" s="33"/>
      <c r="N83" s="65">
        <f>N31</f>
        <v>45000</v>
      </c>
      <c r="O83" s="12"/>
      <c r="P83" s="65">
        <f>P31</f>
        <v>174737.7</v>
      </c>
      <c r="Q83" s="33"/>
      <c r="R83" s="65">
        <f>R31</f>
        <v>45480.6</v>
      </c>
      <c r="S83" s="33"/>
      <c r="T83" s="65">
        <f>T31</f>
        <v>45000</v>
      </c>
      <c r="U83" s="33"/>
      <c r="V83" s="65">
        <f>V31</f>
        <v>116010</v>
      </c>
      <c r="W83" s="33"/>
      <c r="X83" s="65">
        <f>X31</f>
        <v>65565</v>
      </c>
      <c r="Y83" s="33"/>
      <c r="Z83" s="65">
        <f>Z31</f>
        <v>18883.34</v>
      </c>
      <c r="AA83" s="33"/>
      <c r="AB83" s="65">
        <f>AB31</f>
        <v>10343.243</v>
      </c>
      <c r="AC83" s="12"/>
      <c r="AD83" s="65">
        <f>AD31</f>
        <v>266525.424</v>
      </c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</row>
    <row r="84" spans="1:56" x14ac:dyDescent="0.2">
      <c r="A84" s="25"/>
      <c r="B84" s="40" t="s">
        <v>1022</v>
      </c>
      <c r="C84" s="25" t="s">
        <v>980</v>
      </c>
      <c r="D84" s="25"/>
      <c r="E84" s="12"/>
      <c r="F84" s="65">
        <f>F31*(1-F38)</f>
        <v>15841.4</v>
      </c>
      <c r="G84" s="65"/>
      <c r="H84" s="65">
        <f>H31*(1-H38)</f>
        <v>43933.871942964834</v>
      </c>
      <c r="I84" s="12"/>
      <c r="J84" s="65">
        <f>J31*(1-J38)</f>
        <v>44100</v>
      </c>
      <c r="K84" s="12"/>
      <c r="L84" s="65">
        <f>L31*(1-L38)</f>
        <v>41627.520000000004</v>
      </c>
      <c r="M84" s="33"/>
      <c r="N84" s="65">
        <f>N31*(1-N38)</f>
        <v>45000</v>
      </c>
      <c r="O84" s="12"/>
      <c r="P84" s="65">
        <f>P31*(1-P38)</f>
        <v>174737.7</v>
      </c>
      <c r="Q84" s="33"/>
      <c r="R84" s="65">
        <f>R31*(1-R38)</f>
        <v>45480.6</v>
      </c>
      <c r="S84" s="33"/>
      <c r="T84" s="65">
        <f>T31*(1-T38)</f>
        <v>45000</v>
      </c>
      <c r="U84" s="33"/>
      <c r="V84" s="65">
        <f>V31*(1-V38)</f>
        <v>113944.90740831204</v>
      </c>
      <c r="W84" s="33"/>
      <c r="X84" s="65">
        <f>X31*(1-X38)</f>
        <v>64081.221408240963</v>
      </c>
      <c r="Y84" s="33"/>
      <c r="Z84" s="65">
        <f>Z31*(1-Z38)</f>
        <v>18348.193608955706</v>
      </c>
      <c r="AA84" s="33"/>
      <c r="AB84" s="65">
        <f>AB31*(1-AB38)</f>
        <v>9971.1373500680638</v>
      </c>
      <c r="AC84" s="12"/>
      <c r="AD84" s="65">
        <f>AD31*(1-AD38)</f>
        <v>266525.424</v>
      </c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</row>
    <row r="85" spans="1:56" x14ac:dyDescent="0.2">
      <c r="A85" s="25"/>
      <c r="B85" s="40"/>
      <c r="C85" s="25"/>
      <c r="D85" s="25"/>
      <c r="E85" s="12"/>
      <c r="F85" s="65"/>
      <c r="G85" s="65"/>
      <c r="H85" s="65"/>
      <c r="I85" s="12"/>
      <c r="J85" s="65"/>
      <c r="K85" s="12"/>
      <c r="L85" s="65"/>
      <c r="M85" s="33"/>
      <c r="N85" s="65"/>
      <c r="O85" s="12"/>
      <c r="P85" s="65"/>
      <c r="Q85" s="33"/>
      <c r="R85" s="65"/>
      <c r="S85" s="33"/>
      <c r="T85" s="65"/>
      <c r="U85" s="33"/>
      <c r="V85" s="65"/>
      <c r="W85" s="33"/>
      <c r="X85" s="65"/>
      <c r="Y85" s="33"/>
      <c r="Z85" s="65"/>
      <c r="AA85" s="33"/>
      <c r="AB85" s="65"/>
      <c r="AC85" s="12"/>
      <c r="AD85" s="65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</row>
    <row r="86" spans="1:56" x14ac:dyDescent="0.2">
      <c r="A86" s="25"/>
      <c r="B86" s="40" t="s">
        <v>1021</v>
      </c>
      <c r="C86" s="25" t="s">
        <v>1018</v>
      </c>
      <c r="D86" s="25"/>
      <c r="E86" s="12"/>
      <c r="F86" s="12"/>
      <c r="G86" s="28"/>
      <c r="H86" s="28">
        <f>H83/H84*H14</f>
        <v>79324462.324196517</v>
      </c>
      <c r="I86" s="28"/>
      <c r="J86" s="28">
        <f>J83/J84*J14</f>
        <v>310425396.82539684</v>
      </c>
      <c r="K86" s="28"/>
      <c r="L86" s="28">
        <f>L83/L84*L14</f>
        <v>108044444.44444443</v>
      </c>
      <c r="M86" s="28"/>
      <c r="N86" s="28">
        <f>N83/N84*N14</f>
        <v>219354838.70967743</v>
      </c>
      <c r="O86" s="28"/>
      <c r="P86" s="28">
        <f>P83/P84*P14</f>
        <v>63920000</v>
      </c>
      <c r="Q86" s="28"/>
      <c r="R86" s="28">
        <f>R83/R84*R14</f>
        <v>103547089.94708996</v>
      </c>
      <c r="S86" s="28"/>
      <c r="T86" s="28">
        <f>T83/T84*T14</f>
        <v>128282539.68253967</v>
      </c>
      <c r="U86" s="28"/>
      <c r="V86" s="28">
        <f>V83/V84*V14</f>
        <v>41367308.253480636</v>
      </c>
      <c r="W86" s="28"/>
      <c r="X86" s="28">
        <f>X83/X84*X14</f>
        <v>41583918.850848146</v>
      </c>
      <c r="Y86" s="28"/>
      <c r="Z86" s="28">
        <f>Z83/Z84*Z14</f>
        <v>14016239.316386815</v>
      </c>
      <c r="AA86" s="28"/>
      <c r="AB86" s="28">
        <f>AB83/AB84*AB14</f>
        <v>14132362.062534599</v>
      </c>
      <c r="AC86" s="12"/>
      <c r="AD86" s="28">
        <f>AD83/AD84*AD14</f>
        <v>0</v>
      </c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</row>
    <row r="87" spans="1:56" x14ac:dyDescent="0.2">
      <c r="A87" s="25"/>
      <c r="B87" s="25"/>
      <c r="C87" s="25"/>
      <c r="D87" s="25"/>
      <c r="E87" s="12"/>
      <c r="F87" s="12"/>
      <c r="G87" s="12"/>
      <c r="H87" s="12"/>
      <c r="I87" s="12"/>
      <c r="J87" s="12"/>
      <c r="K87" s="12"/>
      <c r="L87" s="33"/>
      <c r="M87" s="33"/>
      <c r="N87" s="33"/>
      <c r="O87" s="12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</row>
    <row r="88" spans="1:56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 t="s">
        <v>1303</v>
      </c>
      <c r="K88" s="12"/>
      <c r="L88" s="12" t="s">
        <v>1303</v>
      </c>
      <c r="M88" s="33"/>
      <c r="N88" s="12"/>
      <c r="O88" s="12"/>
      <c r="P88" s="33"/>
      <c r="Q88" s="33"/>
      <c r="R88" s="12" t="s">
        <v>1303</v>
      </c>
      <c r="S88" s="33"/>
      <c r="T88" s="12" t="s">
        <v>1303</v>
      </c>
      <c r="U88" s="33"/>
      <c r="V88" s="14" t="s">
        <v>1303</v>
      </c>
      <c r="W88" s="33"/>
      <c r="X88" s="33"/>
      <c r="Y88" s="33"/>
      <c r="Z88" s="33"/>
      <c r="AA88" s="33"/>
      <c r="AB88" s="33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</row>
    <row r="89" spans="1:56" x14ac:dyDescent="0.2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</row>
    <row r="90" spans="1:56" x14ac:dyDescent="0.2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</row>
    <row r="91" spans="1:56" x14ac:dyDescent="0.2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33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</row>
    <row r="92" spans="1:56" x14ac:dyDescent="0.2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33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</row>
    <row r="93" spans="1:56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33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</row>
    <row r="94" spans="1:56" x14ac:dyDescent="0.2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</row>
    <row r="95" spans="1:56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</row>
    <row r="96" spans="1:56" x14ac:dyDescent="0.2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</row>
    <row r="97" spans="1:56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</row>
    <row r="98" spans="1:56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</row>
    <row r="99" spans="1:56" x14ac:dyDescent="0.2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</row>
    <row r="100" spans="1:56" x14ac:dyDescent="0.2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</row>
    <row r="101" spans="1:56" x14ac:dyDescent="0.2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</row>
    <row r="102" spans="1:56" x14ac:dyDescent="0.2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</row>
    <row r="103" spans="1:56" x14ac:dyDescent="0.2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</row>
    <row r="104" spans="1:56" x14ac:dyDescent="0.2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</row>
    <row r="105" spans="1:56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</row>
    <row r="106" spans="1:56" x14ac:dyDescent="0.2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</row>
    <row r="107" spans="1:56" x14ac:dyDescent="0.2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</row>
    <row r="108" spans="1:56" x14ac:dyDescent="0.2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</row>
    <row r="109" spans="1:56" x14ac:dyDescent="0.2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</row>
    <row r="110" spans="1:56" x14ac:dyDescent="0.2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</row>
    <row r="111" spans="1:56" x14ac:dyDescent="0.2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</row>
    <row r="112" spans="1:56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</row>
    <row r="113" spans="1:56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</row>
    <row r="114" spans="1:56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</row>
    <row r="115" spans="1:56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</row>
    <row r="116" spans="1:56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</row>
    <row r="117" spans="1:56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</row>
    <row r="118" spans="1:56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</row>
    <row r="119" spans="1:56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</row>
    <row r="120" spans="1:56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</row>
    <row r="121" spans="1:56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</row>
    <row r="122" spans="1:56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</row>
    <row r="123" spans="1:56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</row>
    <row r="124" spans="1:56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</row>
    <row r="125" spans="1:56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</row>
    <row r="126" spans="1:56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</row>
    <row r="127" spans="1:56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</row>
    <row r="128" spans="1:56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</row>
    <row r="129" spans="1:56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</row>
    <row r="130" spans="1:56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</row>
    <row r="131" spans="1:56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</row>
    <row r="132" spans="1:56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</row>
    <row r="133" spans="1:56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</row>
    <row r="134" spans="1:56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</row>
    <row r="135" spans="1:56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</row>
    <row r="136" spans="1:56" x14ac:dyDescent="0.2">
      <c r="A136" s="12"/>
      <c r="B136" s="12"/>
      <c r="C136" s="12"/>
      <c r="D136" s="12"/>
      <c r="E136" s="12"/>
      <c r="F136" s="12"/>
      <c r="G136" s="8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</row>
    <row r="137" spans="1:56" x14ac:dyDescent="0.2">
      <c r="A137" s="12"/>
      <c r="B137" s="12"/>
      <c r="C137" s="12"/>
      <c r="D137" s="12"/>
      <c r="E137" s="12"/>
      <c r="F137" s="12"/>
      <c r="G137" s="8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</row>
    <row r="138" spans="1:56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</row>
    <row r="139" spans="1:56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</row>
    <row r="140" spans="1:56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</row>
    <row r="141" spans="1:56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</row>
    <row r="142" spans="1:56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</row>
    <row r="143" spans="1:56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</row>
    <row r="144" spans="1:56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</row>
    <row r="145" spans="1:56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</row>
    <row r="146" spans="1:56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</row>
    <row r="147" spans="1:56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</row>
    <row r="148" spans="1:56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</row>
    <row r="149" spans="1:56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</row>
    <row r="150" spans="1:56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</row>
    <row r="151" spans="1:56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</row>
    <row r="152" spans="1:56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</row>
    <row r="153" spans="1:56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</row>
    <row r="154" spans="1:56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</row>
    <row r="155" spans="1:56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</row>
    <row r="156" spans="1:56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</row>
    <row r="157" spans="1:56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</row>
    <row r="158" spans="1:56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</row>
    <row r="159" spans="1:56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</row>
    <row r="160" spans="1:56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</row>
  </sheetData>
  <pageMargins left="0.7" right="0.7" top="0.75" bottom="0.75" header="0.3" footer="0.3"/>
  <pageSetup paperSize="9" orientation="portrait" horizontalDpi="0" verticalDpi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35"/>
  <sheetViews>
    <sheetView zoomScaleNormal="100" workbookViewId="0">
      <pane xSplit="5" ySplit="6" topLeftCell="W7" activePane="bottomRight" state="frozen"/>
      <selection activeCell="A2" sqref="A2:XFD2"/>
      <selection pane="topRight" activeCell="A2" sqref="A2:XFD2"/>
      <selection pane="bottomLeft" activeCell="A2" sqref="A2:XFD2"/>
      <selection pane="bottomRight" activeCell="A2" sqref="A2:XFD2"/>
    </sheetView>
  </sheetViews>
  <sheetFormatPr defaultColWidth="11" defaultRowHeight="12.75" x14ac:dyDescent="0.2"/>
  <cols>
    <col min="1" max="1" width="10.875" style="26" customWidth="1"/>
    <col min="2" max="2" width="26" style="26" customWidth="1"/>
    <col min="3" max="3" width="10.375" style="26" customWidth="1"/>
    <col min="4" max="4" width="11.875" style="26" customWidth="1"/>
    <col min="5" max="6" width="5.375" style="26" customWidth="1"/>
    <col min="7" max="7" width="17" style="26" bestFit="1" customWidth="1"/>
    <col min="8" max="8" width="11" style="26"/>
    <col min="9" max="9" width="12.875" style="26" customWidth="1"/>
    <col min="10" max="10" width="11" style="26"/>
    <col min="11" max="11" width="12.625" style="26" customWidth="1"/>
    <col min="12" max="12" width="11" style="26"/>
    <col min="13" max="13" width="13.625" style="26" bestFit="1" customWidth="1"/>
    <col min="14" max="14" width="11" style="26"/>
    <col min="15" max="15" width="12.375" style="26" bestFit="1" customWidth="1"/>
    <col min="16" max="16" width="11" style="26"/>
    <col min="17" max="17" width="12.375" style="26" customWidth="1"/>
    <col min="18" max="18" width="11" style="26"/>
    <col min="19" max="19" width="12" style="26" customWidth="1"/>
    <col min="20" max="20" width="11" style="26"/>
    <col min="21" max="21" width="12.375" style="26" bestFit="1" customWidth="1"/>
    <col min="22" max="22" width="11" style="26"/>
    <col min="23" max="23" width="12.375" style="26" bestFit="1" customWidth="1"/>
    <col min="24" max="24" width="11" style="26"/>
    <col min="25" max="25" width="12" style="26" customWidth="1"/>
    <col min="26" max="26" width="11" style="26"/>
    <col min="27" max="27" width="12.375" style="26" bestFit="1" customWidth="1"/>
    <col min="28" max="28" width="11" style="26"/>
    <col min="29" max="29" width="13.625" style="26" bestFit="1" customWidth="1"/>
    <col min="30" max="30" width="11" style="26"/>
    <col min="31" max="31" width="11.5" style="26" bestFit="1" customWidth="1"/>
    <col min="32" max="35" width="11.375" style="26" customWidth="1"/>
    <col min="36" max="36" width="11" style="26"/>
    <col min="37" max="37" width="11.625" style="26" bestFit="1" customWidth="1"/>
    <col min="38" max="38" width="11" style="26"/>
    <col min="39" max="41" width="11.125" style="26" bestFit="1" customWidth="1"/>
    <col min="42" max="16384" width="11" style="26"/>
  </cols>
  <sheetData>
    <row r="1" spans="1:57" s="211" customFormat="1" ht="23.25" x14ac:dyDescent="0.35">
      <c r="A1" s="207" t="s">
        <v>1616</v>
      </c>
    </row>
    <row r="2" spans="1:57" s="2" customFormat="1" ht="12.7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57" x14ac:dyDescent="0.2">
      <c r="A3" s="25"/>
      <c r="B3" s="25"/>
      <c r="C3" s="79" t="s">
        <v>1174</v>
      </c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40" t="s">
        <v>1030</v>
      </c>
      <c r="AD3" s="25"/>
      <c r="AE3" s="40" t="s">
        <v>1390</v>
      </c>
      <c r="AF3" s="40"/>
      <c r="AG3" s="40"/>
      <c r="AH3" s="40"/>
      <c r="AI3" s="40"/>
      <c r="AJ3" s="25"/>
      <c r="AK3" s="40" t="s">
        <v>1397</v>
      </c>
      <c r="AL3" s="25"/>
      <c r="AM3" s="25" t="s">
        <v>1398</v>
      </c>
      <c r="AN3" s="59">
        <v>8</v>
      </c>
      <c r="AO3" s="25" t="s">
        <v>1399</v>
      </c>
      <c r="AP3" s="25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</row>
    <row r="4" spans="1:57" x14ac:dyDescent="0.2">
      <c r="A4" s="25"/>
      <c r="B4" s="25"/>
      <c r="C4" s="25"/>
      <c r="D4" s="25"/>
      <c r="E4" s="25"/>
      <c r="F4" s="25"/>
      <c r="G4" s="40" t="s">
        <v>690</v>
      </c>
      <c r="H4" s="40"/>
      <c r="I4" s="40" t="s">
        <v>853</v>
      </c>
      <c r="J4" s="40"/>
      <c r="K4" s="40" t="s">
        <v>4</v>
      </c>
      <c r="L4" s="40"/>
      <c r="M4" s="40" t="s">
        <v>1036</v>
      </c>
      <c r="N4" s="40"/>
      <c r="O4" s="40" t="s">
        <v>6</v>
      </c>
      <c r="P4" s="40"/>
      <c r="Q4" s="40" t="s">
        <v>964</v>
      </c>
      <c r="R4" s="40"/>
      <c r="S4" s="40" t="s">
        <v>1411</v>
      </c>
      <c r="T4" s="40"/>
      <c r="U4" s="40" t="s">
        <v>976</v>
      </c>
      <c r="V4" s="40"/>
      <c r="W4" s="40" t="s">
        <v>806</v>
      </c>
      <c r="X4" s="40"/>
      <c r="Y4" s="40" t="s">
        <v>977</v>
      </c>
      <c r="Z4" s="40"/>
      <c r="AA4" s="40" t="s">
        <v>3</v>
      </c>
      <c r="AB4" s="40"/>
      <c r="AC4" s="25" t="s">
        <v>861</v>
      </c>
      <c r="AD4" s="40"/>
      <c r="AE4" s="40" t="s">
        <v>957</v>
      </c>
      <c r="AF4" s="40"/>
      <c r="AG4" s="40" t="s">
        <v>1391</v>
      </c>
      <c r="AH4" s="40"/>
      <c r="AI4" s="40" t="s">
        <v>1392</v>
      </c>
      <c r="AJ4" s="25"/>
      <c r="AK4" s="40" t="s">
        <v>861</v>
      </c>
      <c r="AL4" s="25"/>
      <c r="AM4" s="40" t="s">
        <v>948</v>
      </c>
      <c r="AN4" s="25"/>
      <c r="AO4" s="40" t="s">
        <v>957</v>
      </c>
      <c r="AP4" s="25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</row>
    <row r="5" spans="1:57" x14ac:dyDescent="0.2">
      <c r="A5" s="25"/>
      <c r="B5" s="40" t="s">
        <v>1197</v>
      </c>
      <c r="C5" s="80">
        <v>1.1000000000000001</v>
      </c>
      <c r="D5" s="25"/>
      <c r="E5" s="25"/>
      <c r="F5" s="25"/>
      <c r="G5" s="25" t="s">
        <v>973</v>
      </c>
      <c r="H5" s="25"/>
      <c r="I5" s="25" t="s">
        <v>974</v>
      </c>
      <c r="J5" s="25"/>
      <c r="K5" s="25" t="s">
        <v>975</v>
      </c>
      <c r="L5" s="25"/>
      <c r="M5" s="25" t="s">
        <v>1083</v>
      </c>
      <c r="N5" s="25"/>
      <c r="O5" s="25" t="s">
        <v>6</v>
      </c>
      <c r="P5" s="25"/>
      <c r="Q5" s="25" t="s">
        <v>964</v>
      </c>
      <c r="R5" s="25"/>
      <c r="S5" s="25"/>
      <c r="T5" s="25"/>
      <c r="U5" s="25" t="s">
        <v>5</v>
      </c>
      <c r="V5" s="25"/>
      <c r="W5" s="25" t="s">
        <v>5</v>
      </c>
      <c r="X5" s="25"/>
      <c r="Y5" s="25" t="s">
        <v>861</v>
      </c>
      <c r="Z5" s="25"/>
      <c r="AA5" s="25" t="s">
        <v>861</v>
      </c>
      <c r="AB5" s="25"/>
      <c r="AC5" s="25" t="s">
        <v>1104</v>
      </c>
      <c r="AD5" s="25"/>
      <c r="AE5" s="25" t="s">
        <v>957</v>
      </c>
      <c r="AF5" s="25"/>
      <c r="AG5" s="25"/>
      <c r="AH5" s="25"/>
      <c r="AI5" s="25"/>
      <c r="AJ5" s="25"/>
      <c r="AK5" s="25" t="s">
        <v>1395</v>
      </c>
      <c r="AL5" s="25"/>
      <c r="AM5" s="25"/>
      <c r="AN5" s="25"/>
      <c r="AO5" s="25"/>
      <c r="AP5" s="25"/>
      <c r="AQ5" s="12" t="s">
        <v>1344</v>
      </c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</row>
    <row r="6" spans="1:57" x14ac:dyDescent="0.2">
      <c r="A6" s="25"/>
      <c r="B6" s="40"/>
      <c r="C6" s="81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</row>
    <row r="7" spans="1:57" x14ac:dyDescent="0.2">
      <c r="A7" s="12"/>
      <c r="B7" s="40" t="s">
        <v>1013</v>
      </c>
      <c r="C7" s="25"/>
      <c r="D7" s="41" t="s">
        <v>955</v>
      </c>
      <c r="E7" s="25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>
        <v>1</v>
      </c>
      <c r="Z7" s="12"/>
      <c r="AA7" s="12">
        <v>1</v>
      </c>
      <c r="AB7" s="12"/>
      <c r="AC7" s="12"/>
      <c r="AD7" s="12"/>
      <c r="AE7" s="12">
        <v>7</v>
      </c>
      <c r="AF7" s="12"/>
      <c r="AG7" s="12"/>
      <c r="AH7" s="12"/>
      <c r="AI7" s="12"/>
      <c r="AJ7" s="12"/>
      <c r="AK7" s="12" t="s">
        <v>1396</v>
      </c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</row>
    <row r="8" spans="1:57" x14ac:dyDescent="0.2">
      <c r="A8" s="12"/>
      <c r="B8" s="40" t="s">
        <v>1198</v>
      </c>
      <c r="C8" s="25"/>
      <c r="D8" s="41" t="s">
        <v>1034</v>
      </c>
      <c r="E8" s="25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>
        <v>-253</v>
      </c>
      <c r="Z8" s="12"/>
      <c r="AA8" s="12">
        <v>-253</v>
      </c>
      <c r="AB8" s="12"/>
      <c r="AC8" s="12"/>
      <c r="AD8" s="12"/>
      <c r="AE8" s="12">
        <v>-50</v>
      </c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</row>
    <row r="9" spans="1:57" x14ac:dyDescent="0.2">
      <c r="A9" s="12"/>
      <c r="B9" s="40" t="s">
        <v>968</v>
      </c>
      <c r="C9" s="25"/>
      <c r="D9" s="41"/>
      <c r="E9" s="25"/>
      <c r="F9" s="12"/>
      <c r="G9" s="82">
        <f>3.024/17.024</f>
        <v>0.17763157894736842</v>
      </c>
      <c r="H9" s="12"/>
      <c r="I9" s="82">
        <f>2.016/46.016</f>
        <v>4.3810848400556331E-2</v>
      </c>
      <c r="J9" s="12"/>
      <c r="K9" s="82">
        <f>4.032/32.032</f>
        <v>0.12587412587412589</v>
      </c>
      <c r="L9" s="12"/>
      <c r="M9" s="82">
        <v>6.2E-2</v>
      </c>
      <c r="N9" s="12"/>
      <c r="O9" s="82">
        <f>1/4.7</f>
        <v>0.21276595744680851</v>
      </c>
      <c r="P9" s="12"/>
      <c r="Q9" s="82">
        <f>Carrier_properties!O7</f>
        <v>0.13134120917303682</v>
      </c>
      <c r="R9" s="12"/>
      <c r="S9" s="82">
        <f>Carrier_properties!Q7</f>
        <v>0.10601598653765251</v>
      </c>
      <c r="T9" s="12"/>
      <c r="U9" s="82">
        <f>4.032/12.032</f>
        <v>0.33510638297872342</v>
      </c>
      <c r="V9" s="12"/>
      <c r="W9" s="82">
        <f>4.032/12.032</f>
        <v>0.33510638297872342</v>
      </c>
      <c r="X9" s="12"/>
      <c r="Y9" s="82">
        <v>1</v>
      </c>
      <c r="Z9" s="12"/>
      <c r="AA9" s="82">
        <v>1</v>
      </c>
      <c r="AB9" s="12"/>
      <c r="AC9" s="82">
        <v>1</v>
      </c>
      <c r="AD9" s="82"/>
      <c r="AE9" s="82"/>
      <c r="AF9" s="82"/>
      <c r="AG9" s="82"/>
      <c r="AH9" s="82"/>
      <c r="AI9" s="8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</row>
    <row r="10" spans="1:57" x14ac:dyDescent="0.2">
      <c r="A10" s="12"/>
      <c r="B10" s="40" t="s">
        <v>909</v>
      </c>
      <c r="C10" s="25"/>
      <c r="D10" s="41" t="s">
        <v>1001</v>
      </c>
      <c r="E10" s="25"/>
      <c r="F10" s="12"/>
      <c r="G10" s="12">
        <v>0.76900000000000002</v>
      </c>
      <c r="H10" s="12"/>
      <c r="I10" s="12">
        <v>1.22</v>
      </c>
      <c r="J10" s="12"/>
      <c r="K10" s="12">
        <v>0.79200000000000004</v>
      </c>
      <c r="L10" s="12"/>
      <c r="M10" s="12">
        <v>0.871</v>
      </c>
      <c r="N10" s="12"/>
      <c r="O10" s="12">
        <v>1.07</v>
      </c>
      <c r="P10" s="12"/>
      <c r="Q10" s="12">
        <f>Dme_density</f>
        <v>0.73499999999999999</v>
      </c>
      <c r="R10" s="12"/>
      <c r="S10" s="12">
        <f>ome_density</f>
        <v>0.87</v>
      </c>
      <c r="T10" s="12"/>
      <c r="U10" s="12">
        <v>0.45</v>
      </c>
      <c r="V10" s="12"/>
      <c r="W10" s="12">
        <v>0.45</v>
      </c>
      <c r="X10" s="12"/>
      <c r="Y10" s="12">
        <v>7.0989999999999998E-2</v>
      </c>
      <c r="Z10" s="12"/>
      <c r="AA10" s="12">
        <v>7.0989999999999998E-2</v>
      </c>
      <c r="AB10" s="12"/>
      <c r="AC10" s="12">
        <v>8.9899999999999997E-3</v>
      </c>
      <c r="AD10" s="12"/>
      <c r="AE10" s="12">
        <f>Carrier_properties!Y8</f>
        <v>1.1559999999999999</v>
      </c>
      <c r="AF10" s="12"/>
      <c r="AG10" s="12"/>
      <c r="AH10" s="12"/>
      <c r="AI10" s="12"/>
      <c r="AJ10" s="12"/>
      <c r="AK10" s="12">
        <v>8.9899999999999997E-3</v>
      </c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</row>
    <row r="11" spans="1:57" x14ac:dyDescent="0.2">
      <c r="A11" s="12"/>
      <c r="B11" s="40"/>
      <c r="C11" s="25"/>
      <c r="D11" s="41"/>
      <c r="E11" s="25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</row>
    <row r="12" spans="1:57" x14ac:dyDescent="0.2">
      <c r="A12" s="12"/>
      <c r="B12" s="40" t="s">
        <v>1199</v>
      </c>
      <c r="C12" s="25"/>
      <c r="D12" s="41" t="s">
        <v>980</v>
      </c>
      <c r="E12" s="25"/>
      <c r="F12" s="12"/>
      <c r="G12" s="28">
        <f>h2_demand_kt*1000/G9</f>
        <v>76562962.96296297</v>
      </c>
      <c r="H12" s="12"/>
      <c r="I12" s="28">
        <f>h2_demand_kt*1000/I9</f>
        <v>310425396.82539684</v>
      </c>
      <c r="J12" s="12"/>
      <c r="K12" s="28">
        <f>h2_demand_kt*1000/K9</f>
        <v>108044444.44444443</v>
      </c>
      <c r="L12" s="12"/>
      <c r="M12" s="28">
        <f>h2_demand_kt*1000/M9</f>
        <v>219354838.70967743</v>
      </c>
      <c r="N12" s="12"/>
      <c r="O12" s="28">
        <f>h2_demand_kt*1000/O9</f>
        <v>63920000</v>
      </c>
      <c r="P12" s="12"/>
      <c r="Q12" s="28">
        <f>h2_demand_kt*1000/Q9</f>
        <v>103547089.94708996</v>
      </c>
      <c r="R12" s="28"/>
      <c r="S12" s="28">
        <f>h2_demand_kt*1000/S9</f>
        <v>128282539.68253967</v>
      </c>
      <c r="T12" s="28"/>
      <c r="U12" s="28">
        <f>h2_demand_kt*1000/U9</f>
        <v>40584126.984126985</v>
      </c>
      <c r="V12" s="12"/>
      <c r="W12" s="28">
        <f>h2_demand_kt*1000/W9</f>
        <v>40584126.984126985</v>
      </c>
      <c r="X12" s="12"/>
      <c r="Y12" s="28">
        <f>h2_demand_kt*1000/Y9</f>
        <v>13600000</v>
      </c>
      <c r="Z12" s="12"/>
      <c r="AA12" s="28">
        <f>h2_demand_kt*1000/AA9</f>
        <v>13600000</v>
      </c>
      <c r="AB12" s="12"/>
      <c r="AC12" s="28">
        <f>h2_demand_kt*1000/AC9</f>
        <v>13600000</v>
      </c>
      <c r="AD12" s="28"/>
      <c r="AE12" s="83">
        <v>6000000</v>
      </c>
      <c r="AF12" s="28"/>
      <c r="AG12" s="28"/>
      <c r="AH12" s="28"/>
      <c r="AI12" s="28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</row>
    <row r="13" spans="1:57" x14ac:dyDescent="0.2">
      <c r="A13" s="12"/>
      <c r="B13" s="40"/>
      <c r="C13" s="25"/>
      <c r="D13" s="41"/>
      <c r="E13" s="25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28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</row>
    <row r="14" spans="1:57" x14ac:dyDescent="0.2">
      <c r="A14" s="12"/>
      <c r="B14" s="40" t="s">
        <v>821</v>
      </c>
      <c r="C14" s="25"/>
      <c r="D14" s="41" t="s">
        <v>980</v>
      </c>
      <c r="E14" s="25"/>
      <c r="F14" s="12"/>
      <c r="G14" s="28">
        <f>INDEX(Shipping!$B$4:$AC$89,MATCH($B$14,Shipping!$B$4:$B$81,0),MATCH(G4,Shipping!$B$4:$AC$4,0))</f>
        <v>45480.6</v>
      </c>
      <c r="H14" s="12"/>
      <c r="I14" s="28">
        <f>INDEX(Shipping!$B$4:$AC$89,MATCH($B$14,Shipping!$B$4:$B$81,0),MATCH(I4,Shipping!$B$4:$AC$4,0))</f>
        <v>44100</v>
      </c>
      <c r="J14" s="12"/>
      <c r="K14" s="28">
        <f>INDEX(Shipping!$B$4:$AC$89,MATCH($B$14,Shipping!$B$4:$B$81,0),MATCH(K4,Shipping!$B$4:$AC$4,0))</f>
        <v>41627.520000000004</v>
      </c>
      <c r="L14" s="12"/>
      <c r="M14" s="28">
        <f>INDEX(Shipping!$B$4:$AC$89,MATCH($B$14,Shipping!$B$4:$B$81,0),MATCH(M4,Shipping!$B$4:$AC$4,0))</f>
        <v>45000</v>
      </c>
      <c r="N14" s="12"/>
      <c r="O14" s="28">
        <f>INDEX(Shipping!$B$4:$AC$89,MATCH($B$14,Shipping!$B$4:$B$81,0),MATCH(O4,Shipping!$B$4:$AC$4,0))</f>
        <v>174737.7</v>
      </c>
      <c r="P14" s="12"/>
      <c r="Q14" s="28">
        <f>INDEX(Shipping!$B$4:$AC$89,MATCH($B$14,Shipping!$B$4:$B$81,0),MATCH(Q4,Shipping!$B$4:$AC$4,0))</f>
        <v>45480.6</v>
      </c>
      <c r="R14" s="12"/>
      <c r="S14" s="28">
        <f>INDEX(Shipping!$B$4:$AC$89,MATCH($B$14,Shipping!$B$4:$B$81,0),MATCH(S4,Shipping!$B$4:$AC$4,0))</f>
        <v>45000</v>
      </c>
      <c r="T14" s="12"/>
      <c r="U14" s="28">
        <f>INDEX(Shipping!$B$4:$AC$89,MATCH($B$14,Shipping!$B$4:$B$81,0),MATCH(U4,Shipping!$B$4:$AC$4,0))</f>
        <v>116010</v>
      </c>
      <c r="V14" s="12"/>
      <c r="W14" s="28">
        <f>INDEX(Shipping!$B$4:$AC$89,MATCH($B$14,Shipping!$B$4:$B$81,0),MATCH(W4,Shipping!$B$4:$AC$4,0))</f>
        <v>65565</v>
      </c>
      <c r="X14" s="12"/>
      <c r="Y14" s="28">
        <f>INDEX(Shipping!$B$4:$AC$89,MATCH($B$14,Shipping!$B$4:$B$81,0),MATCH(Y4,Shipping!$B$4:$AC$4,0))</f>
        <v>18883.34</v>
      </c>
      <c r="Z14" s="12"/>
      <c r="AA14" s="28">
        <f>INDEX(Shipping!$B$4:$AC$89,MATCH($B$14,Shipping!$B$4:$B$81,0),MATCH(AA4,Shipping!$B$4:$AC$4,0))</f>
        <v>10343.243</v>
      </c>
      <c r="AB14" s="12"/>
      <c r="AC14" s="12"/>
      <c r="AD14" s="28"/>
      <c r="AE14" s="28" t="s">
        <v>1311</v>
      </c>
      <c r="AF14" s="28"/>
      <c r="AG14" s="28">
        <f>M14</f>
        <v>45000</v>
      </c>
      <c r="AH14" s="28"/>
      <c r="AI14" s="28">
        <f>O14</f>
        <v>174737.7</v>
      </c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</row>
    <row r="15" spans="1:57" x14ac:dyDescent="0.2">
      <c r="A15" s="84" t="s">
        <v>1611</v>
      </c>
      <c r="B15" s="40" t="s">
        <v>971</v>
      </c>
      <c r="C15" s="25"/>
      <c r="D15" s="41" t="s">
        <v>1002</v>
      </c>
      <c r="E15" s="25"/>
      <c r="F15" s="12"/>
      <c r="G15" s="28">
        <f>INDEX(Shipping!$B$4:$AC$89,MATCH($B$15,Shipping!$B$4:$B$81,0),MATCH(Storage!G4,Shipping!$B$4:$AC$4,0))</f>
        <v>418688.97268151643</v>
      </c>
      <c r="H15" s="12"/>
      <c r="I15" s="28">
        <f>INDEX(Shipping!$B$4:$AC$89,MATCH($B$15,Shipping!$B$4:$B$81,0),MATCH(Storage!I4,Shipping!$B$4:$AC$4,0))</f>
        <v>467401.97368421062</v>
      </c>
      <c r="J15" s="12"/>
      <c r="K15" s="28">
        <f>INDEX(Shipping!$B$4:$AC$89,MATCH($B$15,Shipping!$B$4:$B$81,0),MATCH(Storage!K4,Shipping!$B$4:$AC$4,0))</f>
        <v>429030.68759761739</v>
      </c>
      <c r="L15" s="12"/>
      <c r="M15" s="28">
        <f>INDEX(Shipping!$B$4:$AC$89,MATCH($B$15,Shipping!$B$4:$B$81,0),MATCH(Storage!M4,Shipping!$B$4:$AC$4,0))</f>
        <v>463788.88153540692</v>
      </c>
      <c r="N15" s="12"/>
      <c r="O15" s="28">
        <f>INDEX(Shipping!$B$4:$AC$89,MATCH($B$15,Shipping!$B$4:$B$81,0),MATCH(Storage!O4,Shipping!$B$4:$AC$4,0))</f>
        <v>2117639.1237154156</v>
      </c>
      <c r="P15" s="12"/>
      <c r="Q15" s="28">
        <f>INDEX(Shipping!$B$4:$AC$89,MATCH($B$15,Shipping!$B$4:$B$81,0),MATCH(Storage!Q4,Shipping!$B$4:$AC$4,0))</f>
        <v>433429.26195213763</v>
      </c>
      <c r="R15" s="12"/>
      <c r="S15" s="28">
        <f>INDEX(Shipping!$B$4:$AC$89,MATCH($B$15,Shipping!$B$4:$B$81,0),MATCH(Storage!S4,Shipping!$B$4:$AC$4,0))</f>
        <v>463788.88153540692</v>
      </c>
      <c r="T15" s="12"/>
      <c r="U15" s="28">
        <f>INDEX(Shipping!$B$4:$AC$89,MATCH($B$15,Shipping!$B$4:$B$81,0),MATCH(Storage!U4,Shipping!$B$4:$AC$4,0))</f>
        <v>1286004.5764243251</v>
      </c>
      <c r="V15" s="12"/>
      <c r="W15" s="28">
        <f>INDEX(Shipping!$B$4:$AC$89,MATCH($B$15,Shipping!$B$4:$B$81,0),MATCH(Storage!W4,Shipping!$B$4:$AC$4,0))</f>
        <v>579288.67378929525</v>
      </c>
      <c r="X15" s="12"/>
      <c r="Y15" s="28">
        <f>INDEX(Shipping!$B$4:$AC$89,MATCH($B$15,Shipping!$B$4:$B$81,0),MATCH(Storage!Y4,Shipping!$B$4:$AC$4,0))</f>
        <v>207081.31224928552</v>
      </c>
      <c r="Z15" s="12"/>
      <c r="AA15" s="28">
        <f>INDEX(Shipping!$B$4:$AC$89,MATCH($B$15,Shipping!$B$4:$B$81,0),MATCH(Storage!AA4,Shipping!$B$4:$AC$4,0))</f>
        <v>90138.215295456466</v>
      </c>
      <c r="AB15" s="12"/>
      <c r="AC15" s="12"/>
      <c r="AD15" s="28"/>
      <c r="AE15" s="28" t="s">
        <v>1312</v>
      </c>
      <c r="AF15" s="28"/>
      <c r="AG15" s="28"/>
      <c r="AH15" s="28"/>
      <c r="AI15" s="28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</row>
    <row r="16" spans="1:57" x14ac:dyDescent="0.2">
      <c r="A16" s="12"/>
      <c r="B16" s="40" t="s">
        <v>969</v>
      </c>
      <c r="C16" s="25"/>
      <c r="D16" s="41"/>
      <c r="E16" s="25"/>
      <c r="F16" s="12"/>
      <c r="G16" s="28">
        <f>G12/G15</f>
        <v>182.86357644580721</v>
      </c>
      <c r="H16" s="12"/>
      <c r="I16" s="28">
        <f>I12/I15</f>
        <v>664.1508044532319</v>
      </c>
      <c r="J16" s="12"/>
      <c r="K16" s="28">
        <f>K12/K15</f>
        <v>251.83383745681613</v>
      </c>
      <c r="L16" s="12"/>
      <c r="M16" s="28">
        <f>M12/M15</f>
        <v>472.9626936796916</v>
      </c>
      <c r="N16" s="12"/>
      <c r="O16" s="28">
        <f>O12/O15</f>
        <v>30.184557550037997</v>
      </c>
      <c r="P16" s="12"/>
      <c r="Q16" s="28">
        <f>Q12/Q15</f>
        <v>238.90193634070874</v>
      </c>
      <c r="R16" s="12"/>
      <c r="S16" s="28">
        <f>S12/S15</f>
        <v>276.59684134266212</v>
      </c>
      <c r="T16" s="12"/>
      <c r="U16" s="28">
        <f>U12/U15</f>
        <v>31.558306811760524</v>
      </c>
      <c r="V16" s="12"/>
      <c r="W16" s="28">
        <f>W12/W15</f>
        <v>70.058554258716015</v>
      </c>
      <c r="X16" s="12"/>
      <c r="Y16" s="28">
        <f>Y12/Y15</f>
        <v>65.674685234890973</v>
      </c>
      <c r="Z16" s="12"/>
      <c r="AA16" s="28">
        <f>AA12/AA15</f>
        <v>150.87940176562964</v>
      </c>
      <c r="AB16" s="12"/>
      <c r="AC16" s="12"/>
      <c r="AD16" s="28"/>
      <c r="AE16" s="28" t="s">
        <v>1313</v>
      </c>
      <c r="AF16" s="28"/>
      <c r="AG16" s="28"/>
      <c r="AH16" s="28"/>
      <c r="AI16" s="28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</row>
    <row r="17" spans="1:57" x14ac:dyDescent="0.2">
      <c r="A17" s="12"/>
      <c r="B17" s="40"/>
      <c r="C17" s="25"/>
      <c r="D17" s="41"/>
      <c r="E17" s="25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</row>
    <row r="18" spans="1:57" x14ac:dyDescent="0.2">
      <c r="A18" s="12"/>
      <c r="B18" s="40" t="s">
        <v>972</v>
      </c>
      <c r="C18" s="25"/>
      <c r="D18" s="41" t="s">
        <v>980</v>
      </c>
      <c r="E18" s="25"/>
      <c r="F18" s="12"/>
      <c r="G18" s="28">
        <f>MAX(30/365.25*G12,G14*1.5)</f>
        <v>6288539.052399422</v>
      </c>
      <c r="H18" s="12"/>
      <c r="I18" s="28">
        <f>MAX(30/365.25*I12,I14*1.5)</f>
        <v>25496952.511326227</v>
      </c>
      <c r="J18" s="12"/>
      <c r="K18" s="28">
        <f>MAX(30/365.25*K12,K14*1.5)</f>
        <v>8874287.0180241838</v>
      </c>
      <c r="L18" s="12"/>
      <c r="M18" s="28">
        <f>MAX(30/365.25*M12,M14*1.5)</f>
        <v>18016824.534675762</v>
      </c>
      <c r="N18" s="12"/>
      <c r="O18" s="28">
        <f>MAX(30/365.25*O12,O14*1.5)</f>
        <v>5250102.6694045169</v>
      </c>
      <c r="P18" s="12"/>
      <c r="Q18" s="28">
        <f>MAX(30/365.25*Q12,Q14*1.5)</f>
        <v>8504894.4515063614</v>
      </c>
      <c r="R18" s="12"/>
      <c r="S18" s="28">
        <f>MAX(30/365.25*S12,S14*1.5)</f>
        <v>10536553.567354387</v>
      </c>
      <c r="T18" s="12"/>
      <c r="U18" s="28">
        <f>MAX(30/365.25*U12,U14*1.5)</f>
        <v>3333398.5202568364</v>
      </c>
      <c r="V18" s="12"/>
      <c r="W18" s="28">
        <f>MAX(30/365.25*W12,W14*1.5)</f>
        <v>3333398.5202568364</v>
      </c>
      <c r="X18" s="12"/>
      <c r="Y18" s="28">
        <f>MAX(30/365.25*Y12,Y14*1.5)</f>
        <v>1117043.1211498973</v>
      </c>
      <c r="Z18" s="12"/>
      <c r="AA18" s="28">
        <f>MAX(30/365.25*AA12,AA14*1.5)</f>
        <v>1117043.1211498973</v>
      </c>
      <c r="AB18" s="12"/>
      <c r="AC18" s="28">
        <f>30/365.25*AC12</f>
        <v>1117043.1211498973</v>
      </c>
      <c r="AD18" s="28"/>
      <c r="AE18" s="28">
        <f>30/365.25*AE12</f>
        <v>492813.1416837782</v>
      </c>
      <c r="AF18" s="28"/>
      <c r="AG18" s="28">
        <f>M18</f>
        <v>18016824.534675762</v>
      </c>
      <c r="AH18" s="28"/>
      <c r="AI18" s="28">
        <f>O18</f>
        <v>5250102.6694045169</v>
      </c>
      <c r="AJ18" s="12"/>
      <c r="AK18" s="12"/>
      <c r="AL18" s="12"/>
      <c r="AM18" s="12"/>
      <c r="AN18" s="12"/>
      <c r="AO18" s="12"/>
      <c r="AP18" s="12"/>
      <c r="AQ18" s="12" t="s">
        <v>1403</v>
      </c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</row>
    <row r="19" spans="1:57" x14ac:dyDescent="0.2">
      <c r="A19" s="12"/>
      <c r="B19" s="40" t="s">
        <v>978</v>
      </c>
      <c r="C19" s="25"/>
      <c r="D19" s="41" t="s">
        <v>980</v>
      </c>
      <c r="E19" s="25"/>
      <c r="F19" s="12"/>
      <c r="G19" s="28">
        <f>G18*storage_multiplier</f>
        <v>6917392.9576393645</v>
      </c>
      <c r="H19" s="12"/>
      <c r="I19" s="28">
        <f>I18*storage_multiplier</f>
        <v>28046647.762458853</v>
      </c>
      <c r="J19" s="12"/>
      <c r="K19" s="28">
        <f>K18*storage_multiplier</f>
        <v>9761715.7198266033</v>
      </c>
      <c r="L19" s="12"/>
      <c r="M19" s="28">
        <f>M18*storage_multiplier</f>
        <v>19818506.98814334</v>
      </c>
      <c r="N19" s="12"/>
      <c r="O19" s="28">
        <f>O18*storage_multiplier</f>
        <v>5775112.9363449691</v>
      </c>
      <c r="P19" s="12"/>
      <c r="Q19" s="28">
        <f>Q18*storage_multiplier</f>
        <v>9355383.8966569975</v>
      </c>
      <c r="R19" s="12"/>
      <c r="S19" s="28">
        <f>S18*storage_multiplier</f>
        <v>11590208.924089827</v>
      </c>
      <c r="T19" s="12"/>
      <c r="U19" s="28">
        <f>U18*storage_multiplier</f>
        <v>3666738.3722825204</v>
      </c>
      <c r="V19" s="12"/>
      <c r="W19" s="28">
        <f>W18*storage_multiplier</f>
        <v>3666738.3722825204</v>
      </c>
      <c r="X19" s="12"/>
      <c r="Y19" s="28">
        <f>Y18*storage_multiplier</f>
        <v>1228747.4332648872</v>
      </c>
      <c r="Z19" s="12"/>
      <c r="AA19" s="28">
        <f>AA18*storage_multiplier</f>
        <v>1228747.4332648872</v>
      </c>
      <c r="AB19" s="12"/>
      <c r="AC19" s="28">
        <f>AC18*storage_multiplier</f>
        <v>1228747.4332648872</v>
      </c>
      <c r="AD19" s="28"/>
      <c r="AE19" s="28">
        <f>AE18*storage_multiplier</f>
        <v>542094.45585215604</v>
      </c>
      <c r="AF19" s="28"/>
      <c r="AG19" s="28">
        <f>M19</f>
        <v>19818506.98814334</v>
      </c>
      <c r="AH19" s="28"/>
      <c r="AI19" s="28">
        <f>O19</f>
        <v>5775112.9363449691</v>
      </c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</row>
    <row r="20" spans="1:57" x14ac:dyDescent="0.2">
      <c r="A20" s="12"/>
      <c r="B20" s="40" t="s">
        <v>979</v>
      </c>
      <c r="C20" s="25"/>
      <c r="D20" s="41" t="s">
        <v>985</v>
      </c>
      <c r="E20" s="25"/>
      <c r="F20" s="12"/>
      <c r="G20" s="28">
        <f>G19/G10</f>
        <v>8995309.4377625026</v>
      </c>
      <c r="H20" s="12"/>
      <c r="I20" s="28">
        <f>I19/I10</f>
        <v>22989055.542999059</v>
      </c>
      <c r="J20" s="12"/>
      <c r="K20" s="28">
        <f>K19/K10</f>
        <v>12325398.636144701</v>
      </c>
      <c r="L20" s="12"/>
      <c r="M20" s="28">
        <f>M19/M10</f>
        <v>22753739.366410263</v>
      </c>
      <c r="N20" s="12"/>
      <c r="O20" s="28">
        <f>O19/O10</f>
        <v>5397301.8096681954</v>
      </c>
      <c r="P20" s="12"/>
      <c r="Q20" s="28">
        <f>Q19/Q10</f>
        <v>12728413.464839453</v>
      </c>
      <c r="R20" s="12"/>
      <c r="S20" s="28">
        <f>S19/S10</f>
        <v>13322079.223091755</v>
      </c>
      <c r="T20" s="12"/>
      <c r="U20" s="28">
        <f>U19/U10</f>
        <v>8148307.4939611563</v>
      </c>
      <c r="V20" s="12"/>
      <c r="W20" s="28">
        <f>W19/W10</f>
        <v>8148307.4939611563</v>
      </c>
      <c r="X20" s="12"/>
      <c r="Y20" s="28">
        <f>Y19/Y10</f>
        <v>17308739.727636106</v>
      </c>
      <c r="Z20" s="12"/>
      <c r="AA20" s="28">
        <f>AA19/AA10</f>
        <v>17308739.727636106</v>
      </c>
      <c r="AB20" s="12"/>
      <c r="AC20" s="28">
        <f>AC19/AC10</f>
        <v>136679358.5389196</v>
      </c>
      <c r="AD20" s="28"/>
      <c r="AE20" s="28">
        <f>AE19/AE10</f>
        <v>468939.84070255718</v>
      </c>
      <c r="AF20" s="28"/>
      <c r="AG20" s="28">
        <f>M20</f>
        <v>22753739.366410263</v>
      </c>
      <c r="AH20" s="28"/>
      <c r="AI20" s="28">
        <f>O20</f>
        <v>5397301.8096681954</v>
      </c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</row>
    <row r="21" spans="1:57" x14ac:dyDescent="0.2">
      <c r="A21" s="12"/>
      <c r="B21" s="40"/>
      <c r="C21" s="25"/>
      <c r="D21" s="41"/>
      <c r="E21" s="25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</row>
    <row r="22" spans="1:57" x14ac:dyDescent="0.2">
      <c r="A22" s="12"/>
      <c r="B22" s="40" t="s">
        <v>983</v>
      </c>
      <c r="C22" s="25"/>
      <c r="D22" s="41" t="s">
        <v>985</v>
      </c>
      <c r="E22" s="25"/>
      <c r="F22" s="12"/>
      <c r="G22" s="28">
        <v>50000</v>
      </c>
      <c r="H22" s="28"/>
      <c r="I22" s="28">
        <f>M22</f>
        <v>50000</v>
      </c>
      <c r="J22" s="28"/>
      <c r="K22" s="28">
        <v>50000</v>
      </c>
      <c r="L22" s="28"/>
      <c r="M22" s="28">
        <f>K22</f>
        <v>50000</v>
      </c>
      <c r="N22" s="28"/>
      <c r="O22" s="28">
        <f>M22</f>
        <v>50000</v>
      </c>
      <c r="P22" s="28"/>
      <c r="Q22" s="28">
        <f>O22</f>
        <v>50000</v>
      </c>
      <c r="R22" s="28"/>
      <c r="S22" s="28">
        <f>Q22</f>
        <v>50000</v>
      </c>
      <c r="T22" s="28"/>
      <c r="U22" s="28">
        <v>50000</v>
      </c>
      <c r="V22" s="28"/>
      <c r="W22" s="28">
        <v>50000</v>
      </c>
      <c r="X22" s="28"/>
      <c r="Y22" s="28">
        <v>50000</v>
      </c>
      <c r="Z22" s="12"/>
      <c r="AA22" s="28">
        <v>50000</v>
      </c>
      <c r="AB22" s="12"/>
      <c r="AC22" s="65">
        <v>500000</v>
      </c>
      <c r="AD22" s="28"/>
      <c r="AE22" s="28">
        <f>AE23/AE10</f>
        <v>20761.245674740487</v>
      </c>
      <c r="AF22" s="28"/>
      <c r="AG22" s="28">
        <f>M22</f>
        <v>50000</v>
      </c>
      <c r="AH22" s="28"/>
      <c r="AI22" s="28">
        <f>O22</f>
        <v>50000</v>
      </c>
      <c r="AJ22" s="12"/>
      <c r="AK22" s="12">
        <v>1000</v>
      </c>
      <c r="AL22" s="12"/>
      <c r="AM22" s="12">
        <v>2000</v>
      </c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</row>
    <row r="23" spans="1:57" x14ac:dyDescent="0.2">
      <c r="A23" s="12"/>
      <c r="B23" s="40" t="s">
        <v>986</v>
      </c>
      <c r="C23" s="25"/>
      <c r="D23" s="41" t="s">
        <v>980</v>
      </c>
      <c r="E23" s="25"/>
      <c r="F23" s="12"/>
      <c r="G23" s="28">
        <f>G22*G10</f>
        <v>38450</v>
      </c>
      <c r="H23" s="28"/>
      <c r="I23" s="28">
        <f>I22*I10</f>
        <v>61000</v>
      </c>
      <c r="J23" s="28"/>
      <c r="K23" s="28">
        <f>K22*K10</f>
        <v>39600</v>
      </c>
      <c r="L23" s="28"/>
      <c r="M23" s="28">
        <f>M22*M10</f>
        <v>43550</v>
      </c>
      <c r="N23" s="28"/>
      <c r="O23" s="28">
        <f>O22*O10</f>
        <v>53500</v>
      </c>
      <c r="P23" s="28"/>
      <c r="Q23" s="28">
        <f>Q22*Q10</f>
        <v>36750</v>
      </c>
      <c r="R23" s="28"/>
      <c r="S23" s="28">
        <f>S22*S10</f>
        <v>43500</v>
      </c>
      <c r="T23" s="28"/>
      <c r="U23" s="28">
        <f>U22*U10</f>
        <v>22500</v>
      </c>
      <c r="V23" s="28"/>
      <c r="W23" s="28">
        <f>W22*W10</f>
        <v>22500</v>
      </c>
      <c r="X23" s="28"/>
      <c r="Y23" s="29">
        <f>Y22*Y10</f>
        <v>3549.5</v>
      </c>
      <c r="Z23" s="12"/>
      <c r="AA23" s="29">
        <f>AA22*AA10</f>
        <v>3549.5</v>
      </c>
      <c r="AB23" s="12"/>
      <c r="AC23" s="28">
        <f>AC22*AC10</f>
        <v>4495</v>
      </c>
      <c r="AD23" s="29"/>
      <c r="AE23" s="28">
        <v>24000</v>
      </c>
      <c r="AF23" s="28"/>
      <c r="AG23" s="28">
        <f>M23</f>
        <v>43550</v>
      </c>
      <c r="AH23" s="28"/>
      <c r="AI23" s="28">
        <f>O23</f>
        <v>53500</v>
      </c>
      <c r="AJ23" s="12"/>
      <c r="AK23" s="12">
        <f>AK22*AK10</f>
        <v>8.99</v>
      </c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</row>
    <row r="24" spans="1:57" x14ac:dyDescent="0.2">
      <c r="A24" s="12"/>
      <c r="B24" s="40" t="s">
        <v>1016</v>
      </c>
      <c r="C24" s="25"/>
      <c r="D24" s="41" t="s">
        <v>947</v>
      </c>
      <c r="E24" s="25"/>
      <c r="F24" s="12"/>
      <c r="G24" s="85">
        <v>30</v>
      </c>
      <c r="H24" s="28"/>
      <c r="I24" s="85">
        <v>30</v>
      </c>
      <c r="J24" s="28"/>
      <c r="K24" s="85">
        <v>30</v>
      </c>
      <c r="L24" s="28"/>
      <c r="M24" s="85">
        <v>30</v>
      </c>
      <c r="N24" s="28"/>
      <c r="O24" s="85">
        <v>30</v>
      </c>
      <c r="P24" s="28"/>
      <c r="Q24" s="85">
        <v>30</v>
      </c>
      <c r="R24" s="28"/>
      <c r="S24" s="85">
        <v>30</v>
      </c>
      <c r="T24" s="28"/>
      <c r="U24" s="85">
        <v>30</v>
      </c>
      <c r="V24" s="28"/>
      <c r="W24" s="85">
        <v>30</v>
      </c>
      <c r="X24" s="28"/>
      <c r="Y24" s="85">
        <v>30</v>
      </c>
      <c r="Z24" s="12"/>
      <c r="AA24" s="85">
        <v>30</v>
      </c>
      <c r="AB24" s="12"/>
      <c r="AC24" s="15">
        <v>30</v>
      </c>
      <c r="AD24" s="86"/>
      <c r="AE24" s="85">
        <v>30</v>
      </c>
      <c r="AF24" s="86"/>
      <c r="AG24" s="85">
        <f>M24</f>
        <v>30</v>
      </c>
      <c r="AH24" s="86"/>
      <c r="AI24" s="85">
        <f>O24</f>
        <v>30</v>
      </c>
      <c r="AJ24" s="12"/>
      <c r="AK24" s="15">
        <v>20</v>
      </c>
      <c r="AL24" s="12"/>
      <c r="AM24" s="15">
        <v>20</v>
      </c>
      <c r="AN24" s="12"/>
      <c r="AO24" s="15">
        <v>20</v>
      </c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</row>
    <row r="25" spans="1:57" x14ac:dyDescent="0.2">
      <c r="A25" s="12"/>
      <c r="B25" s="40"/>
      <c r="C25" s="25"/>
      <c r="D25" s="41"/>
      <c r="E25" s="25"/>
      <c r="F25" s="12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12"/>
      <c r="AA25" s="28"/>
      <c r="AB25" s="12"/>
      <c r="AC25" s="12"/>
      <c r="AD25" s="28"/>
      <c r="AE25" s="28"/>
      <c r="AF25" s="28"/>
      <c r="AG25" s="28"/>
      <c r="AH25" s="28"/>
      <c r="AI25" s="28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</row>
    <row r="26" spans="1:57" x14ac:dyDescent="0.2">
      <c r="A26" s="12"/>
      <c r="B26" s="40" t="s">
        <v>997</v>
      </c>
      <c r="C26" s="25"/>
      <c r="D26" s="41" t="s">
        <v>1008</v>
      </c>
      <c r="E26" s="25"/>
      <c r="F26" s="12"/>
      <c r="G26" s="85">
        <f>50*G22/50000</f>
        <v>50</v>
      </c>
      <c r="H26" s="28"/>
      <c r="I26" s="85">
        <f>30*I22/50000</f>
        <v>30</v>
      </c>
      <c r="J26" s="28"/>
      <c r="K26" s="87">
        <f>15*K22/50000</f>
        <v>15</v>
      </c>
      <c r="L26" s="28"/>
      <c r="M26" s="87">
        <f>250*M22/1000000</f>
        <v>12.5</v>
      </c>
      <c r="N26" s="28"/>
      <c r="O26" s="87">
        <f>0.5*M26</f>
        <v>6.25</v>
      </c>
      <c r="P26" s="28"/>
      <c r="Q26" s="85">
        <f>30*Q22/50000</f>
        <v>30</v>
      </c>
      <c r="R26" s="28"/>
      <c r="S26" s="87">
        <f>15*S22/50000</f>
        <v>15</v>
      </c>
      <c r="T26" s="28"/>
      <c r="U26" s="85">
        <f>75*U22/50000</f>
        <v>75</v>
      </c>
      <c r="V26" s="28"/>
      <c r="W26" s="85">
        <f>75*W22/50000</f>
        <v>75</v>
      </c>
      <c r="X26" s="28"/>
      <c r="Y26" s="85">
        <f>500*Y22/50000</f>
        <v>500</v>
      </c>
      <c r="Z26" s="12"/>
      <c r="AA26" s="85">
        <f>500*AA22/50000</f>
        <v>500</v>
      </c>
      <c r="AB26" s="12"/>
      <c r="AC26" s="107">
        <f>AC22*Carrier_properties!W8*h2_e_density_lhv*225.7*1.15/1000000</f>
        <v>34.607333333333337</v>
      </c>
      <c r="AD26" s="86"/>
      <c r="AE26" s="88">
        <f>AE22*600/1000000</f>
        <v>12.456747404844291</v>
      </c>
      <c r="AF26" s="28"/>
      <c r="AG26" s="89">
        <f>M26</f>
        <v>12.5</v>
      </c>
      <c r="AH26" s="28"/>
      <c r="AI26" s="85">
        <f>O26</f>
        <v>6.25</v>
      </c>
      <c r="AJ26" s="12"/>
      <c r="AK26" s="85">
        <f>8/eurusd_rate*AK23*h2_e_density_lhv/1000</f>
        <v>2.0666666666666669</v>
      </c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</row>
    <row r="27" spans="1:57" x14ac:dyDescent="0.2">
      <c r="A27" s="12"/>
      <c r="B27" s="40" t="s">
        <v>998</v>
      </c>
      <c r="C27" s="25"/>
      <c r="D27" s="41" t="s">
        <v>1008</v>
      </c>
      <c r="E27" s="25"/>
      <c r="F27" s="12"/>
      <c r="G27" s="28">
        <f>G26*G19/G23</f>
        <v>8995.3094377625021</v>
      </c>
      <c r="H27" s="28"/>
      <c r="I27" s="28">
        <f>I26*I19/I23</f>
        <v>13793.433325799437</v>
      </c>
      <c r="J27" s="28"/>
      <c r="K27" s="28">
        <f>K26*K19/K23</f>
        <v>3697.6195908434102</v>
      </c>
      <c r="L27" s="28"/>
      <c r="M27" s="28">
        <f>M26*M19/M23</f>
        <v>5688.4348416025659</v>
      </c>
      <c r="N27" s="28"/>
      <c r="O27" s="28">
        <f>O26*O19/O23</f>
        <v>674.66272620852442</v>
      </c>
      <c r="P27" s="28"/>
      <c r="Q27" s="28">
        <f>Q26*Q19/Q23</f>
        <v>7637.0480789036719</v>
      </c>
      <c r="R27" s="28"/>
      <c r="S27" s="28">
        <f>S26*S19/S23</f>
        <v>3996.6237669275265</v>
      </c>
      <c r="T27" s="28"/>
      <c r="U27" s="28">
        <f>U26*U19/U23</f>
        <v>12222.461240941733</v>
      </c>
      <c r="V27" s="28"/>
      <c r="W27" s="28">
        <f>W26*W19/W23</f>
        <v>12222.461240941733</v>
      </c>
      <c r="X27" s="28"/>
      <c r="Y27" s="28">
        <f>Y26*Y19/Y23</f>
        <v>173087.39727636104</v>
      </c>
      <c r="Z27" s="12"/>
      <c r="AA27" s="28">
        <f>AA26*AA19/AA23</f>
        <v>173087.39727636104</v>
      </c>
      <c r="AB27" s="12"/>
      <c r="AC27" s="16">
        <f>81*(AC20/AC22)^0.28</f>
        <v>389.73574430976203</v>
      </c>
      <c r="AD27" s="28"/>
      <c r="AE27" s="29">
        <f>AE26*AE19/AE23</f>
        <v>281.3639044215343</v>
      </c>
      <c r="AF27" s="28"/>
      <c r="AG27" s="28">
        <f>AG26*AG19/AG23</f>
        <v>5688.4348416025659</v>
      </c>
      <c r="AH27" s="28"/>
      <c r="AI27" s="28">
        <f>AI26*AI19/AI23</f>
        <v>674.66272620852442</v>
      </c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</row>
    <row r="28" spans="1:57" x14ac:dyDescent="0.2">
      <c r="A28" s="12"/>
      <c r="B28" s="40"/>
      <c r="C28" s="25"/>
      <c r="D28" s="41"/>
      <c r="E28" s="25"/>
      <c r="F28" s="12"/>
      <c r="G28" s="29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12"/>
      <c r="AA28" s="28"/>
      <c r="AB28" s="12"/>
      <c r="AC28" s="12"/>
      <c r="AD28" s="28"/>
      <c r="AE28" s="28"/>
      <c r="AF28" s="28"/>
      <c r="AG28" s="28"/>
      <c r="AH28" s="28"/>
      <c r="AI28" s="28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</row>
    <row r="29" spans="1:57" x14ac:dyDescent="0.2">
      <c r="A29" s="12"/>
      <c r="B29" s="79" t="s">
        <v>1015</v>
      </c>
      <c r="C29" s="25"/>
      <c r="D29" s="41"/>
      <c r="E29" s="25"/>
      <c r="F29" s="12"/>
      <c r="G29" s="29"/>
      <c r="H29" s="28"/>
      <c r="I29" s="28"/>
      <c r="J29" s="28"/>
      <c r="K29" s="28"/>
      <c r="L29" s="28"/>
      <c r="M29" s="28"/>
      <c r="N29" s="28"/>
      <c r="O29" s="90" t="s">
        <v>1246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12"/>
      <c r="AA29" s="28"/>
      <c r="AB29" s="12"/>
      <c r="AC29" s="12"/>
      <c r="AD29" s="28"/>
      <c r="AE29" s="28"/>
      <c r="AF29" s="28"/>
      <c r="AG29" s="28" t="s">
        <v>1393</v>
      </c>
      <c r="AH29" s="28"/>
      <c r="AI29" s="28" t="s">
        <v>1394</v>
      </c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</row>
    <row r="30" spans="1:57" x14ac:dyDescent="0.2">
      <c r="A30" s="12"/>
      <c r="B30" s="79"/>
      <c r="C30" s="25"/>
      <c r="D30" s="41"/>
      <c r="E30" s="25"/>
      <c r="F30" s="12"/>
      <c r="G30" s="29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12"/>
      <c r="AA30" s="28"/>
      <c r="AB30" s="12"/>
      <c r="AC30" s="12"/>
      <c r="AD30" s="28"/>
      <c r="AE30" s="28"/>
      <c r="AF30" s="28"/>
      <c r="AG30" s="28"/>
      <c r="AH30" s="28"/>
      <c r="AI30" s="28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</row>
    <row r="31" spans="1:57" x14ac:dyDescent="0.2">
      <c r="A31" s="91"/>
      <c r="B31" s="247"/>
      <c r="C31" s="248"/>
      <c r="D31" s="249"/>
      <c r="E31" s="248"/>
      <c r="F31" s="91"/>
      <c r="G31" s="92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1"/>
      <c r="AA31" s="93"/>
      <c r="AB31" s="91"/>
      <c r="AC31" s="91"/>
      <c r="AD31" s="93"/>
      <c r="AE31" s="93"/>
      <c r="AF31" s="93"/>
      <c r="AG31" s="93"/>
      <c r="AH31" s="93"/>
      <c r="AI31" s="93"/>
      <c r="AJ31" s="91"/>
      <c r="AK31" s="91"/>
      <c r="AL31" s="91"/>
      <c r="AM31" s="91"/>
      <c r="AN31" s="91"/>
      <c r="AO31" s="91"/>
      <c r="AP31" s="91"/>
      <c r="AQ31" s="91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</row>
    <row r="32" spans="1:57" x14ac:dyDescent="0.2">
      <c r="A32" s="94" t="s">
        <v>1017</v>
      </c>
      <c r="B32" s="79" t="s">
        <v>1194</v>
      </c>
      <c r="C32" s="25"/>
      <c r="D32" s="41"/>
      <c r="E32" s="25"/>
      <c r="F32" s="12"/>
      <c r="G32" s="29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12"/>
      <c r="AA32" s="28"/>
      <c r="AB32" s="12"/>
      <c r="AC32" s="12"/>
      <c r="AD32" s="28"/>
      <c r="AE32" s="28"/>
      <c r="AF32" s="28"/>
      <c r="AG32" s="28"/>
      <c r="AH32" s="28"/>
      <c r="AI32" s="28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</row>
    <row r="33" spans="1:57" x14ac:dyDescent="0.2">
      <c r="A33" s="12"/>
      <c r="B33" s="40" t="s">
        <v>805</v>
      </c>
      <c r="C33" s="25"/>
      <c r="D33" s="41" t="s">
        <v>946</v>
      </c>
      <c r="E33" s="25"/>
      <c r="F33" s="12"/>
      <c r="G33" s="29">
        <f>G27*1000000/(G24*G12)</f>
        <v>3.9163015160537205</v>
      </c>
      <c r="H33" s="28"/>
      <c r="I33" s="29">
        <f>I27*1000000/(I24*I12)</f>
        <v>1.4811323930386777</v>
      </c>
      <c r="J33" s="28"/>
      <c r="K33" s="29">
        <f>K27*1000000/(K24*K12)</f>
        <v>1.1407711613050422</v>
      </c>
      <c r="L33" s="28"/>
      <c r="M33" s="29">
        <f>M27*1000000/(M24*M12)</f>
        <v>0.86441902004744864</v>
      </c>
      <c r="N33" s="28"/>
      <c r="O33" s="29">
        <f>O27*1000000/(O24*O12)</f>
        <v>0.35182661984174202</v>
      </c>
      <c r="P33" s="28"/>
      <c r="Q33" s="29">
        <f>Q27*1000000/(Q24*Q12)</f>
        <v>2.4584782578329074</v>
      </c>
      <c r="R33" s="28"/>
      <c r="S33" s="29">
        <f>S27*1000000/(S24*S12)</f>
        <v>1.0384951261535558</v>
      </c>
      <c r="T33" s="28"/>
      <c r="U33" s="29">
        <f>U27*1000000/(U24*U12)</f>
        <v>10.03878621948437</v>
      </c>
      <c r="V33" s="28"/>
      <c r="W33" s="29">
        <f>W27*1000000/(W24*W12)</f>
        <v>10.03878621948437</v>
      </c>
      <c r="X33" s="28"/>
      <c r="Y33" s="29">
        <f>Y27*1000000/(Y24*Y12)</f>
        <v>424.23381685382606</v>
      </c>
      <c r="Z33" s="12"/>
      <c r="AA33" s="29">
        <f>AA27*1000000/(AA24*AA12)</f>
        <v>424.23381685382606</v>
      </c>
      <c r="AB33" s="12"/>
      <c r="AC33" s="29">
        <f>AC27*1000000/(AC24*AC12)</f>
        <v>0.95523466742588725</v>
      </c>
      <c r="AD33" s="29"/>
      <c r="AE33" s="29">
        <f>AE27*1000000/(AE24*AE12)</f>
        <v>1.5631328023418571</v>
      </c>
      <c r="AF33" s="29"/>
      <c r="AG33" s="95" t="s">
        <v>1402</v>
      </c>
      <c r="AH33" s="29"/>
      <c r="AI33" s="29"/>
      <c r="AJ33" s="12"/>
      <c r="AK33" s="29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</row>
    <row r="34" spans="1:57" x14ac:dyDescent="0.2">
      <c r="A34" s="12"/>
      <c r="B34" s="40" t="s">
        <v>13</v>
      </c>
      <c r="C34" s="25"/>
      <c r="D34" s="41"/>
      <c r="E34" s="25"/>
      <c r="F34" s="12"/>
      <c r="G34" s="96">
        <f>wacc_nl</f>
        <v>7.1839951463439675E-2</v>
      </c>
      <c r="H34" s="28"/>
      <c r="I34" s="96">
        <f>wacc_nl</f>
        <v>7.1839951463439675E-2</v>
      </c>
      <c r="J34" s="28"/>
      <c r="K34" s="96">
        <f>wacc_nl</f>
        <v>7.1839951463439675E-2</v>
      </c>
      <c r="L34" s="28"/>
      <c r="M34" s="96">
        <f>wacc_nl</f>
        <v>7.1839951463439675E-2</v>
      </c>
      <c r="N34" s="28"/>
      <c r="O34" s="96">
        <f>wacc_nl</f>
        <v>7.1839951463439675E-2</v>
      </c>
      <c r="P34" s="28"/>
      <c r="Q34" s="96">
        <f>wacc_nl</f>
        <v>7.1839951463439675E-2</v>
      </c>
      <c r="R34" s="28"/>
      <c r="S34" s="96">
        <f>wacc_nl</f>
        <v>7.1839951463439675E-2</v>
      </c>
      <c r="T34" s="28"/>
      <c r="U34" s="96">
        <f>wacc_nl</f>
        <v>7.1839951463439675E-2</v>
      </c>
      <c r="V34" s="28"/>
      <c r="W34" s="96">
        <f>wacc_nl</f>
        <v>7.1839951463439675E-2</v>
      </c>
      <c r="X34" s="28"/>
      <c r="Y34" s="96">
        <f>wacc_nl</f>
        <v>7.1839951463439675E-2</v>
      </c>
      <c r="Z34" s="12"/>
      <c r="AA34" s="96">
        <f>wacc_nl</f>
        <v>7.1839951463439675E-2</v>
      </c>
      <c r="AB34" s="12"/>
      <c r="AC34" s="96">
        <f>wacc_nl</f>
        <v>7.1839951463439675E-2</v>
      </c>
      <c r="AD34" s="96"/>
      <c r="AE34" s="96">
        <f>wacc_nl</f>
        <v>7.1839951463439675E-2</v>
      </c>
      <c r="AF34" s="96"/>
      <c r="AG34" s="96"/>
      <c r="AH34" s="96"/>
      <c r="AI34" s="96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</row>
    <row r="35" spans="1:57" x14ac:dyDescent="0.2">
      <c r="A35" s="12"/>
      <c r="B35" s="40" t="s">
        <v>817</v>
      </c>
      <c r="C35" s="25"/>
      <c r="D35" s="41" t="s">
        <v>999</v>
      </c>
      <c r="E35" s="25"/>
      <c r="F35" s="12"/>
      <c r="G35" s="24">
        <f>G34*G27</f>
        <v>646.22259340747894</v>
      </c>
      <c r="H35" s="28"/>
      <c r="I35" s="24">
        <f>I34*I27</f>
        <v>990.91958063962284</v>
      </c>
      <c r="J35" s="28"/>
      <c r="K35" s="24">
        <f>K34*K27</f>
        <v>265.63681193645425</v>
      </c>
      <c r="L35" s="28"/>
      <c r="M35" s="24">
        <f>M34*M27</f>
        <v>408.65688292366747</v>
      </c>
      <c r="N35" s="28"/>
      <c r="O35" s="24">
        <f>O34*O27</f>
        <v>48.467737505012288</v>
      </c>
      <c r="P35" s="28"/>
      <c r="Q35" s="24">
        <f>Q34*Q27</f>
        <v>548.64516331239497</v>
      </c>
      <c r="R35" s="28"/>
      <c r="S35" s="24">
        <f>S34*S27</f>
        <v>287.11725743370295</v>
      </c>
      <c r="T35" s="28"/>
      <c r="U35" s="24">
        <f>U34*U27</f>
        <v>878.0610223130268</v>
      </c>
      <c r="V35" s="28"/>
      <c r="W35" s="24">
        <f>W34*W27</f>
        <v>878.0610223130268</v>
      </c>
      <c r="X35" s="28"/>
      <c r="Y35" s="24">
        <f>Y34*Y27</f>
        <v>12434.590219266878</v>
      </c>
      <c r="Z35" s="12"/>
      <c r="AA35" s="24">
        <f>AA34*AA27</f>
        <v>12434.590219266878</v>
      </c>
      <c r="AB35" s="12"/>
      <c r="AC35" s="24">
        <f>AC34*AC27</f>
        <v>27.99859695478084</v>
      </c>
      <c r="AD35" s="24"/>
      <c r="AE35" s="24">
        <f>AE34*AE27</f>
        <v>20.213169237206905</v>
      </c>
      <c r="AF35" s="24"/>
      <c r="AG35" s="24"/>
      <c r="AH35" s="24"/>
      <c r="AI35" s="24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</row>
    <row r="36" spans="1:57" x14ac:dyDescent="0.2">
      <c r="A36" s="12"/>
      <c r="B36" s="40" t="s">
        <v>1124</v>
      </c>
      <c r="C36" s="25"/>
      <c r="D36" s="41" t="s">
        <v>999</v>
      </c>
      <c r="E36" s="25"/>
      <c r="F36" s="12"/>
      <c r="G36" s="16">
        <f>G27/G24</f>
        <v>299.84364792541675</v>
      </c>
      <c r="H36" s="28"/>
      <c r="I36" s="16">
        <f>I27/I24</f>
        <v>459.7811108599812</v>
      </c>
      <c r="J36" s="28"/>
      <c r="K36" s="16">
        <f>K27/K24</f>
        <v>123.25398636144701</v>
      </c>
      <c r="L36" s="28"/>
      <c r="M36" s="16">
        <f>M27/M24</f>
        <v>189.61449472008553</v>
      </c>
      <c r="N36" s="28"/>
      <c r="O36" s="16">
        <f>O27/O24</f>
        <v>22.488757540284148</v>
      </c>
      <c r="P36" s="28"/>
      <c r="Q36" s="16">
        <f>Q27/Q24</f>
        <v>254.56826929678905</v>
      </c>
      <c r="R36" s="28"/>
      <c r="S36" s="16">
        <f>S27/S24</f>
        <v>133.22079223091754</v>
      </c>
      <c r="T36" s="28"/>
      <c r="U36" s="16">
        <f>U27/U24</f>
        <v>407.41537469805775</v>
      </c>
      <c r="V36" s="28"/>
      <c r="W36" s="16">
        <f>W27/W24</f>
        <v>407.41537469805775</v>
      </c>
      <c r="X36" s="28"/>
      <c r="Y36" s="16">
        <f>Y27/Y24</f>
        <v>5769.5799092120342</v>
      </c>
      <c r="Z36" s="12"/>
      <c r="AA36" s="16">
        <f>AA27/AA24</f>
        <v>5769.5799092120342</v>
      </c>
      <c r="AB36" s="12"/>
      <c r="AC36" s="16">
        <f>AC27/AC24</f>
        <v>12.991191476992068</v>
      </c>
      <c r="AD36" s="16"/>
      <c r="AE36" s="16">
        <f>AE27/AE24</f>
        <v>9.3787968140511442</v>
      </c>
      <c r="AF36" s="16"/>
      <c r="AG36" s="16"/>
      <c r="AH36" s="16"/>
      <c r="AI36" s="16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</row>
    <row r="37" spans="1:57" x14ac:dyDescent="0.2">
      <c r="A37" s="12"/>
      <c r="B37" s="40" t="s">
        <v>1132</v>
      </c>
      <c r="C37" s="25"/>
      <c r="D37" s="41" t="s">
        <v>999</v>
      </c>
      <c r="E37" s="25"/>
      <c r="F37" s="12"/>
      <c r="G37" s="16">
        <f>G36+G35</f>
        <v>946.06624133289574</v>
      </c>
      <c r="H37" s="28"/>
      <c r="I37" s="16">
        <f>I36+I35</f>
        <v>1450.7006914996041</v>
      </c>
      <c r="J37" s="28"/>
      <c r="K37" s="16">
        <f>K36+K35</f>
        <v>388.89079829790126</v>
      </c>
      <c r="L37" s="28"/>
      <c r="M37" s="16">
        <f>M36+M35</f>
        <v>598.271377643753</v>
      </c>
      <c r="N37" s="28"/>
      <c r="O37" s="16">
        <f>O36+O35</f>
        <v>70.956495045296435</v>
      </c>
      <c r="P37" s="28"/>
      <c r="Q37" s="16">
        <f>Q36+Q35</f>
        <v>803.213432609184</v>
      </c>
      <c r="R37" s="28"/>
      <c r="S37" s="16">
        <f>S36+S35</f>
        <v>420.33804966462048</v>
      </c>
      <c r="T37" s="28"/>
      <c r="U37" s="16">
        <f>U36+U35</f>
        <v>1285.4763970110846</v>
      </c>
      <c r="V37" s="28"/>
      <c r="W37" s="16">
        <f>W36+W35</f>
        <v>1285.4763970110846</v>
      </c>
      <c r="X37" s="28"/>
      <c r="Y37" s="16">
        <f>Y36+Y35</f>
        <v>18204.170128478912</v>
      </c>
      <c r="Z37" s="12"/>
      <c r="AA37" s="16">
        <f>AA36+AA35</f>
        <v>18204.170128478912</v>
      </c>
      <c r="AB37" s="12"/>
      <c r="AC37" s="16">
        <f>AC36+AC35</f>
        <v>40.989788431772908</v>
      </c>
      <c r="AD37" s="16"/>
      <c r="AE37" s="16">
        <f>AE36+AE35</f>
        <v>29.591966051258048</v>
      </c>
      <c r="AF37" s="16"/>
      <c r="AG37" s="16"/>
      <c r="AH37" s="16"/>
      <c r="AI37" s="16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</row>
    <row r="38" spans="1:57" x14ac:dyDescent="0.2">
      <c r="A38" s="12"/>
      <c r="B38" s="40"/>
      <c r="C38" s="25"/>
      <c r="D38" s="41"/>
      <c r="E38" s="25"/>
      <c r="F38" s="12"/>
      <c r="G38" s="24"/>
      <c r="H38" s="28"/>
      <c r="I38" s="24"/>
      <c r="J38" s="28"/>
      <c r="K38" s="24"/>
      <c r="L38" s="28"/>
      <c r="M38" s="24"/>
      <c r="N38" s="28"/>
      <c r="O38" s="28"/>
      <c r="P38" s="28"/>
      <c r="Q38" s="28"/>
      <c r="R38" s="28"/>
      <c r="S38" s="28"/>
      <c r="T38" s="28"/>
      <c r="U38" s="24"/>
      <c r="V38" s="28"/>
      <c r="W38" s="24"/>
      <c r="X38" s="28"/>
      <c r="Y38" s="24"/>
      <c r="Z38" s="12"/>
      <c r="AA38" s="24"/>
      <c r="AB38" s="12"/>
      <c r="AC38" s="24"/>
      <c r="AD38" s="24"/>
      <c r="AE38" s="24"/>
      <c r="AF38" s="24"/>
      <c r="AG38" s="24"/>
      <c r="AH38" s="24"/>
      <c r="AI38" s="24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</row>
    <row r="39" spans="1:57" x14ac:dyDescent="0.2">
      <c r="A39" s="12"/>
      <c r="B39" s="40" t="s">
        <v>920</v>
      </c>
      <c r="C39" s="25"/>
      <c r="D39" s="41" t="s">
        <v>943</v>
      </c>
      <c r="E39" s="25"/>
      <c r="F39" s="12"/>
      <c r="G39" s="87">
        <v>0.01</v>
      </c>
      <c r="H39" s="12"/>
      <c r="I39" s="87">
        <v>1.5E-3</v>
      </c>
      <c r="J39" s="12"/>
      <c r="K39" s="87">
        <v>1.5E-3</v>
      </c>
      <c r="L39" s="12"/>
      <c r="M39" s="87">
        <v>1E-3</v>
      </c>
      <c r="N39" s="12"/>
      <c r="O39" s="87">
        <v>0.05</v>
      </c>
      <c r="P39" s="12"/>
      <c r="Q39" s="87">
        <v>0.01</v>
      </c>
      <c r="R39" s="12"/>
      <c r="S39" s="87">
        <v>1.5E-3</v>
      </c>
      <c r="T39" s="12"/>
      <c r="U39" s="87">
        <v>0.02</v>
      </c>
      <c r="V39" s="12"/>
      <c r="W39" s="87">
        <v>0.02</v>
      </c>
      <c r="X39" s="12"/>
      <c r="Y39" s="87">
        <v>0.1</v>
      </c>
      <c r="Z39" s="12"/>
      <c r="AA39" s="87">
        <v>0.1</v>
      </c>
      <c r="AB39" s="12"/>
      <c r="AC39" s="87">
        <v>0.1</v>
      </c>
      <c r="AD39" s="97"/>
      <c r="AE39" s="87">
        <v>0.1</v>
      </c>
      <c r="AF39" s="97"/>
      <c r="AG39" s="16"/>
      <c r="AH39" s="16"/>
      <c r="AI39" s="16"/>
      <c r="AJ39" s="12"/>
      <c r="AK39" s="12"/>
      <c r="AL39" s="12"/>
      <c r="AM39" s="12"/>
      <c r="AN39" s="12"/>
      <c r="AO39" s="12"/>
      <c r="AP39" s="12"/>
      <c r="AQ39" s="12" t="s">
        <v>1041</v>
      </c>
      <c r="AR39" s="12"/>
      <c r="AS39" s="12" t="s">
        <v>1042</v>
      </c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</row>
    <row r="40" spans="1:57" x14ac:dyDescent="0.2">
      <c r="A40" s="12"/>
      <c r="B40" s="40" t="s">
        <v>939</v>
      </c>
      <c r="C40" s="25"/>
      <c r="D40" s="41" t="s">
        <v>944</v>
      </c>
      <c r="E40" s="25"/>
      <c r="F40" s="12"/>
      <c r="G40" s="16">
        <f>G12*G39/1000</f>
        <v>765.62962962962968</v>
      </c>
      <c r="H40" s="28"/>
      <c r="I40" s="16">
        <f>I12*I39/1000</f>
        <v>465.63809523809527</v>
      </c>
      <c r="J40" s="28"/>
      <c r="K40" s="16">
        <f>K12*K39/1000</f>
        <v>162.06666666666666</v>
      </c>
      <c r="L40" s="28"/>
      <c r="M40" s="16">
        <f>M12*M39/1000</f>
        <v>219.35483870967744</v>
      </c>
      <c r="N40" s="28"/>
      <c r="O40" s="16">
        <f>O12*O39/1000</f>
        <v>3196</v>
      </c>
      <c r="P40" s="28"/>
      <c r="Q40" s="16">
        <f>Q12*Q39/1000</f>
        <v>1035.4708994708997</v>
      </c>
      <c r="R40" s="28"/>
      <c r="S40" s="16">
        <f>S12*S39/1000</f>
        <v>192.4238095238095</v>
      </c>
      <c r="T40" s="28"/>
      <c r="U40" s="16">
        <f>U12*U39/1000</f>
        <v>811.68253968253975</v>
      </c>
      <c r="V40" s="28"/>
      <c r="W40" s="16">
        <f>W12*W39/1000</f>
        <v>811.68253968253975</v>
      </c>
      <c r="X40" s="28"/>
      <c r="Y40" s="16">
        <f>Y12*Y39/1000</f>
        <v>1360</v>
      </c>
      <c r="Z40" s="12"/>
      <c r="AA40" s="16">
        <f>AA12*AA39/1000</f>
        <v>1360</v>
      </c>
      <c r="AB40" s="12"/>
      <c r="AC40" s="16">
        <f>AC12*AC39/1000</f>
        <v>1360</v>
      </c>
      <c r="AD40" s="16"/>
      <c r="AE40" s="16">
        <f>AE12*AE39/1000</f>
        <v>600</v>
      </c>
      <c r="AF40" s="16"/>
      <c r="AG40" s="16"/>
      <c r="AH40" s="16"/>
      <c r="AI40" s="16"/>
      <c r="AJ40" s="12"/>
      <c r="AK40" s="12"/>
      <c r="AL40" s="12"/>
      <c r="AM40" s="12"/>
      <c r="AN40" s="12"/>
      <c r="AO40" s="12"/>
      <c r="AP40" s="12"/>
      <c r="AQ40" s="12" t="s">
        <v>1404</v>
      </c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</row>
    <row r="41" spans="1:57" x14ac:dyDescent="0.2">
      <c r="A41" s="12"/>
      <c r="B41" s="40" t="s">
        <v>928</v>
      </c>
      <c r="C41" s="25"/>
      <c r="D41" s="41" t="s">
        <v>1069</v>
      </c>
      <c r="E41" s="25"/>
      <c r="F41" s="12"/>
      <c r="G41" s="24">
        <f>min_offshore_price_nl/100</f>
        <v>4.7226011236875837E-2</v>
      </c>
      <c r="H41" s="28"/>
      <c r="I41" s="24">
        <f>min_offshore_price_nl/100</f>
        <v>4.7226011236875837E-2</v>
      </c>
      <c r="J41" s="28"/>
      <c r="K41" s="24">
        <f>min_offshore_price_nl/100</f>
        <v>4.7226011236875837E-2</v>
      </c>
      <c r="L41" s="28"/>
      <c r="M41" s="24">
        <f>min_offshore_price_nl/100</f>
        <v>4.7226011236875837E-2</v>
      </c>
      <c r="N41" s="28"/>
      <c r="O41" s="24">
        <f>min_offshore_price_nl/100</f>
        <v>4.7226011236875837E-2</v>
      </c>
      <c r="P41" s="28"/>
      <c r="Q41" s="24">
        <f>min_offshore_price_nl/100</f>
        <v>4.7226011236875837E-2</v>
      </c>
      <c r="R41" s="28"/>
      <c r="S41" s="24">
        <f>min_offshore_price_nl/100</f>
        <v>4.7226011236875837E-2</v>
      </c>
      <c r="T41" s="28"/>
      <c r="U41" s="24">
        <f>min_offshore_price_nl/100</f>
        <v>4.7226011236875837E-2</v>
      </c>
      <c r="V41" s="28"/>
      <c r="W41" s="24">
        <f>min_offshore_price_nl/100</f>
        <v>4.7226011236875837E-2</v>
      </c>
      <c r="X41" s="28"/>
      <c r="Y41" s="24">
        <f>min_offshore_price_nl/100</f>
        <v>4.7226011236875837E-2</v>
      </c>
      <c r="Z41" s="12"/>
      <c r="AA41" s="24">
        <f>min_offshore_price_nl/100</f>
        <v>4.7226011236875837E-2</v>
      </c>
      <c r="AB41" s="12"/>
      <c r="AC41" s="24">
        <f>min_offshore_price_nl/100</f>
        <v>4.7226011236875837E-2</v>
      </c>
      <c r="AD41" s="24"/>
      <c r="AE41" s="24">
        <f>min_offshore_price_nl/100</f>
        <v>4.7226011236875837E-2</v>
      </c>
      <c r="AF41" s="24"/>
      <c r="AG41" s="24"/>
      <c r="AH41" s="24"/>
      <c r="AI41" s="24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</row>
    <row r="42" spans="1:57" x14ac:dyDescent="0.2">
      <c r="A42" s="12"/>
      <c r="B42" s="40" t="s">
        <v>929</v>
      </c>
      <c r="C42" s="25"/>
      <c r="D42" s="41" t="s">
        <v>999</v>
      </c>
      <c r="E42" s="25"/>
      <c r="F42" s="12"/>
      <c r="G42" s="24">
        <f>G41*G40</f>
        <v>36.157633492173979</v>
      </c>
      <c r="H42" s="28"/>
      <c r="I42" s="24">
        <f>I41*I40</f>
        <v>21.990229918031748</v>
      </c>
      <c r="J42" s="28"/>
      <c r="K42" s="24">
        <f>K41*K40</f>
        <v>7.6537622211230101</v>
      </c>
      <c r="L42" s="28"/>
      <c r="M42" s="24">
        <f>M41*M40</f>
        <v>10.359254077766314</v>
      </c>
      <c r="N42" s="28"/>
      <c r="O42" s="24">
        <f>O41*O40</f>
        <v>150.93433191305516</v>
      </c>
      <c r="P42" s="28"/>
      <c r="Q42" s="24">
        <f>Q41*Q40</f>
        <v>48.901160333870635</v>
      </c>
      <c r="R42" s="28"/>
      <c r="S42" s="24">
        <f>S41*S40</f>
        <v>9.0874089908138824</v>
      </c>
      <c r="T42" s="28"/>
      <c r="U42" s="24">
        <f>U41*U40</f>
        <v>38.332528739823537</v>
      </c>
      <c r="V42" s="28"/>
      <c r="W42" s="24">
        <f>W41*W40</f>
        <v>38.332528739823537</v>
      </c>
      <c r="X42" s="28"/>
      <c r="Y42" s="24">
        <f>Y41*Y40</f>
        <v>64.227375282151144</v>
      </c>
      <c r="Z42" s="12"/>
      <c r="AA42" s="24">
        <f>AA41*AA40</f>
        <v>64.227375282151144</v>
      </c>
      <c r="AB42" s="12"/>
      <c r="AC42" s="24">
        <f>AC41*AC40</f>
        <v>64.227375282151144</v>
      </c>
      <c r="AD42" s="24"/>
      <c r="AE42" s="24">
        <f>AE41*AE40</f>
        <v>28.335606742125503</v>
      </c>
      <c r="AF42" s="24"/>
      <c r="AG42" s="24"/>
      <c r="AH42" s="24"/>
      <c r="AI42" s="24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</row>
    <row r="43" spans="1:57" x14ac:dyDescent="0.2">
      <c r="A43" s="12"/>
      <c r="B43" s="40"/>
      <c r="C43" s="25"/>
      <c r="D43" s="41"/>
      <c r="E43" s="25"/>
      <c r="F43" s="12"/>
      <c r="G43" s="29"/>
      <c r="H43" s="28"/>
      <c r="I43" s="29"/>
      <c r="J43" s="28"/>
      <c r="K43" s="29"/>
      <c r="L43" s="28"/>
      <c r="M43" s="29"/>
      <c r="N43" s="28"/>
      <c r="O43" s="28"/>
      <c r="P43" s="28"/>
      <c r="Q43" s="28"/>
      <c r="R43" s="28"/>
      <c r="S43" s="28"/>
      <c r="T43" s="28"/>
      <c r="U43" s="29"/>
      <c r="V43" s="28"/>
      <c r="W43" s="29"/>
      <c r="X43" s="28"/>
      <c r="Y43" s="29"/>
      <c r="Z43" s="12"/>
      <c r="AA43" s="29"/>
      <c r="AB43" s="12"/>
      <c r="AC43" s="29"/>
      <c r="AD43" s="29"/>
      <c r="AE43" s="29"/>
      <c r="AF43" s="29"/>
      <c r="AG43" s="29"/>
      <c r="AH43" s="29"/>
      <c r="AI43" s="29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</row>
    <row r="44" spans="1:57" x14ac:dyDescent="0.2">
      <c r="A44" s="12"/>
      <c r="B44" s="40" t="s">
        <v>907</v>
      </c>
      <c r="C44" s="25"/>
      <c r="D44" s="41" t="s">
        <v>1202</v>
      </c>
      <c r="E44" s="44"/>
      <c r="F44" s="56"/>
      <c r="G44" s="98">
        <v>2.5000000000000001E-2</v>
      </c>
      <c r="H44" s="28"/>
      <c r="I44" s="98">
        <v>2.5000000000000001E-2</v>
      </c>
      <c r="J44" s="28"/>
      <c r="K44" s="98">
        <v>2.5000000000000001E-2</v>
      </c>
      <c r="L44" s="28"/>
      <c r="M44" s="98">
        <v>2.5000000000000001E-2</v>
      </c>
      <c r="N44" s="28"/>
      <c r="O44" s="98">
        <v>1.4999999999999999E-2</v>
      </c>
      <c r="P44" s="28"/>
      <c r="Q44" s="98">
        <v>2.5000000000000001E-2</v>
      </c>
      <c r="R44" s="28"/>
      <c r="S44" s="98">
        <v>2.5000000000000001E-2</v>
      </c>
      <c r="T44" s="28"/>
      <c r="U44" s="98">
        <v>2.5000000000000001E-2</v>
      </c>
      <c r="V44" s="28"/>
      <c r="W44" s="98">
        <v>2.5000000000000001E-2</v>
      </c>
      <c r="X44" s="28"/>
      <c r="Y44" s="98">
        <v>2.5000000000000001E-2</v>
      </c>
      <c r="Z44" s="12"/>
      <c r="AA44" s="98">
        <v>2.5000000000000001E-2</v>
      </c>
      <c r="AB44" s="12"/>
      <c r="AC44" s="98">
        <v>1.4999999999999999E-2</v>
      </c>
      <c r="AD44" s="99"/>
      <c r="AE44" s="98">
        <v>2.5000000000000001E-2</v>
      </c>
      <c r="AF44" s="99"/>
      <c r="AG44" s="99"/>
      <c r="AH44" s="99"/>
      <c r="AI44" s="99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</row>
    <row r="45" spans="1:57" x14ac:dyDescent="0.2">
      <c r="A45" s="12"/>
      <c r="B45" s="40"/>
      <c r="C45" s="25"/>
      <c r="D45" s="41" t="s">
        <v>999</v>
      </c>
      <c r="E45" s="44"/>
      <c r="F45" s="56"/>
      <c r="G45" s="100">
        <f>G44*G27</f>
        <v>224.88273594406257</v>
      </c>
      <c r="H45" s="28"/>
      <c r="I45" s="100">
        <f>I44*I27</f>
        <v>344.83583314498594</v>
      </c>
      <c r="J45" s="28"/>
      <c r="K45" s="100">
        <f>K44*K27</f>
        <v>92.440489771085254</v>
      </c>
      <c r="L45" s="28"/>
      <c r="M45" s="100">
        <f>M44*M27</f>
        <v>142.21087104006415</v>
      </c>
      <c r="N45" s="28"/>
      <c r="O45" s="100">
        <f>O44*O27</f>
        <v>10.119940893127866</v>
      </c>
      <c r="P45" s="28"/>
      <c r="Q45" s="100">
        <f>Q44*Q27</f>
        <v>190.9262019725918</v>
      </c>
      <c r="R45" s="28"/>
      <c r="S45" s="100">
        <f>S44*S27</f>
        <v>99.915594173188168</v>
      </c>
      <c r="T45" s="28"/>
      <c r="U45" s="100">
        <f>U44*U27</f>
        <v>305.56153102354335</v>
      </c>
      <c r="V45" s="28"/>
      <c r="W45" s="100">
        <f>W44*W27</f>
        <v>305.56153102354335</v>
      </c>
      <c r="X45" s="28"/>
      <c r="Y45" s="100">
        <f>Y44*Y27</f>
        <v>4327.1849319090261</v>
      </c>
      <c r="Z45" s="12"/>
      <c r="AA45" s="100">
        <f>AA44*AA27</f>
        <v>4327.1849319090261</v>
      </c>
      <c r="AB45" s="12"/>
      <c r="AC45" s="100">
        <f>AC44*AC27</f>
        <v>5.8460361646464305</v>
      </c>
      <c r="AD45" s="100"/>
      <c r="AE45" s="100">
        <f>AE44*AE27</f>
        <v>7.0340976105383577</v>
      </c>
      <c r="AF45" s="100"/>
      <c r="AG45" s="100"/>
      <c r="AH45" s="100"/>
      <c r="AI45" s="100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</row>
    <row r="46" spans="1:57" x14ac:dyDescent="0.2">
      <c r="A46" s="12"/>
      <c r="B46" s="40"/>
      <c r="C46" s="25"/>
      <c r="D46" s="55" t="s">
        <v>946</v>
      </c>
      <c r="E46" s="113"/>
      <c r="F46" s="101"/>
      <c r="G46" s="100">
        <f>G45*1000000/G12</f>
        <v>2.9372261370402906</v>
      </c>
      <c r="H46" s="28"/>
      <c r="I46" s="100">
        <f>I45*1000000/I12</f>
        <v>1.1108492947790085</v>
      </c>
      <c r="J46" s="28"/>
      <c r="K46" s="100">
        <f>K45*1000000/K12</f>
        <v>0.85557837097878164</v>
      </c>
      <c r="L46" s="28"/>
      <c r="M46" s="100">
        <f>M45*1000000/M12</f>
        <v>0.64831426503558653</v>
      </c>
      <c r="N46" s="28"/>
      <c r="O46" s="100">
        <f>O45*1000000/O12</f>
        <v>0.15832197892878389</v>
      </c>
      <c r="P46" s="28"/>
      <c r="Q46" s="100">
        <f>Q45*1000000/Q12</f>
        <v>1.8438586933746803</v>
      </c>
      <c r="R46" s="28"/>
      <c r="S46" s="100">
        <f>S45*1000000/S12</f>
        <v>0.77887134461516683</v>
      </c>
      <c r="T46" s="28"/>
      <c r="U46" s="100">
        <f>U45*1000000/U12</f>
        <v>7.529089664613279</v>
      </c>
      <c r="V46" s="28"/>
      <c r="W46" s="100">
        <f>W45*1000000/W12</f>
        <v>7.529089664613279</v>
      </c>
      <c r="X46" s="28"/>
      <c r="Y46" s="100">
        <f>Y45*1000000/Y12</f>
        <v>318.17536264036954</v>
      </c>
      <c r="Z46" s="12"/>
      <c r="AA46" s="100">
        <f>AA45*1000000/AA12</f>
        <v>318.17536264036954</v>
      </c>
      <c r="AB46" s="12"/>
      <c r="AC46" s="100">
        <f>AC45*1000000/AC12</f>
        <v>0.42985560034164932</v>
      </c>
      <c r="AD46" s="100"/>
      <c r="AE46" s="100">
        <f>AE45*1000000/AE12</f>
        <v>1.172349601756393</v>
      </c>
      <c r="AF46" s="100"/>
      <c r="AG46" s="100"/>
      <c r="AH46" s="100"/>
      <c r="AI46" s="100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</row>
    <row r="47" spans="1:57" x14ac:dyDescent="0.2">
      <c r="A47" s="12"/>
      <c r="B47" s="40"/>
      <c r="C47" s="25"/>
      <c r="D47" s="41"/>
      <c r="E47" s="25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</row>
    <row r="48" spans="1:57" x14ac:dyDescent="0.2">
      <c r="A48" s="12"/>
      <c r="B48" s="40" t="s">
        <v>833</v>
      </c>
      <c r="C48" s="25"/>
      <c r="D48" s="41" t="s">
        <v>999</v>
      </c>
      <c r="E48" s="44"/>
      <c r="F48" s="56"/>
      <c r="G48" s="33">
        <f>G45+G42+G37</f>
        <v>1207.1066107691322</v>
      </c>
      <c r="H48" s="12"/>
      <c r="I48" s="33">
        <f>I45+I42+I37</f>
        <v>1817.5267545626218</v>
      </c>
      <c r="J48" s="12"/>
      <c r="K48" s="33">
        <f>K45+K42+K37</f>
        <v>488.98505029010948</v>
      </c>
      <c r="L48" s="12"/>
      <c r="M48" s="33">
        <f>M45+M42+M37</f>
        <v>750.84150276158346</v>
      </c>
      <c r="N48" s="12"/>
      <c r="O48" s="33">
        <f>O45+O42+O37</f>
        <v>232.01076785147947</v>
      </c>
      <c r="P48" s="12"/>
      <c r="Q48" s="33">
        <f>Q45+Q42+Q37</f>
        <v>1043.0407949156465</v>
      </c>
      <c r="R48" s="12"/>
      <c r="S48" s="33">
        <f>S45+S42+S37</f>
        <v>529.34105282862254</v>
      </c>
      <c r="T48" s="12"/>
      <c r="U48" s="33">
        <f>U45+U42+U37</f>
        <v>1629.3704567744514</v>
      </c>
      <c r="V48" s="12"/>
      <c r="W48" s="33">
        <f>W45+W42+W37</f>
        <v>1629.3704567744514</v>
      </c>
      <c r="X48" s="12"/>
      <c r="Y48" s="33">
        <f>Y45+Y42+Y37</f>
        <v>22595.58243567009</v>
      </c>
      <c r="Z48" s="12"/>
      <c r="AA48" s="33">
        <f>AA45+AA42+AA37</f>
        <v>22595.58243567009</v>
      </c>
      <c r="AB48" s="12"/>
      <c r="AC48" s="33">
        <f>AC45+AC42+AC37</f>
        <v>111.06319987857049</v>
      </c>
      <c r="AD48" s="33"/>
      <c r="AE48" s="33">
        <f>AE45+AE42+AE37</f>
        <v>64.961670403921914</v>
      </c>
      <c r="AF48" s="33"/>
      <c r="AG48" s="33"/>
      <c r="AH48" s="33"/>
      <c r="AI48" s="33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</row>
    <row r="49" spans="1:57" x14ac:dyDescent="0.2">
      <c r="A49" s="12"/>
      <c r="B49" s="40"/>
      <c r="C49" s="25"/>
      <c r="D49" s="41" t="s">
        <v>945</v>
      </c>
      <c r="E49" s="44"/>
      <c r="F49" s="56"/>
      <c r="G49" s="33">
        <f>G12/1000000</f>
        <v>76.56296296296297</v>
      </c>
      <c r="H49" s="12"/>
      <c r="I49" s="33">
        <f>I12/1000000</f>
        <v>310.42539682539683</v>
      </c>
      <c r="J49" s="12"/>
      <c r="K49" s="33">
        <f>K12/1000000</f>
        <v>108.04444444444444</v>
      </c>
      <c r="L49" s="12"/>
      <c r="M49" s="33">
        <f>M12/1000000</f>
        <v>219.35483870967744</v>
      </c>
      <c r="N49" s="12"/>
      <c r="O49" s="33">
        <f>O12/1000000</f>
        <v>63.92</v>
      </c>
      <c r="P49" s="12"/>
      <c r="Q49" s="33">
        <f>Q12/1000000</f>
        <v>103.54708994708996</v>
      </c>
      <c r="R49" s="12"/>
      <c r="S49" s="33">
        <f>S12/1000000</f>
        <v>128.28253968253966</v>
      </c>
      <c r="T49" s="12"/>
      <c r="U49" s="33">
        <f>U12/1000000</f>
        <v>40.584126984126982</v>
      </c>
      <c r="V49" s="12"/>
      <c r="W49" s="33">
        <f>W12/1000000</f>
        <v>40.584126984126982</v>
      </c>
      <c r="X49" s="12"/>
      <c r="Y49" s="33">
        <f>Y12/1000000</f>
        <v>13.6</v>
      </c>
      <c r="Z49" s="12"/>
      <c r="AA49" s="33">
        <f>AA12/1000000</f>
        <v>13.6</v>
      </c>
      <c r="AB49" s="12"/>
      <c r="AC49" s="33">
        <f>AC12/1000000</f>
        <v>13.6</v>
      </c>
      <c r="AD49" s="33"/>
      <c r="AE49" s="33">
        <f>AE12/1000000</f>
        <v>6</v>
      </c>
      <c r="AF49" s="33"/>
      <c r="AG49" s="33"/>
      <c r="AH49" s="33"/>
      <c r="AI49" s="33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</row>
    <row r="50" spans="1:57" x14ac:dyDescent="0.2">
      <c r="A50" s="12"/>
      <c r="B50" s="40"/>
      <c r="C50" s="25"/>
      <c r="D50" s="55" t="s">
        <v>946</v>
      </c>
      <c r="E50" s="113"/>
      <c r="F50" s="101"/>
      <c r="G50" s="24">
        <f>G48/G49</f>
        <v>15.766195090347603</v>
      </c>
      <c r="H50" s="12"/>
      <c r="I50" s="24">
        <f>I48/I49</f>
        <v>5.8549550814778071</v>
      </c>
      <c r="J50" s="12"/>
      <c r="K50" s="24">
        <f>K48/K49</f>
        <v>4.5257768949105159</v>
      </c>
      <c r="L50" s="12"/>
      <c r="M50" s="24">
        <f>M48/M49</f>
        <v>3.422953909648395</v>
      </c>
      <c r="N50" s="12"/>
      <c r="O50" s="24">
        <f>O48/O49</f>
        <v>3.6297053794036214</v>
      </c>
      <c r="P50" s="12"/>
      <c r="Q50" s="24">
        <f>Q48/Q49</f>
        <v>10.07310582507548</v>
      </c>
      <c r="R50" s="12"/>
      <c r="S50" s="24">
        <f>S48/S49</f>
        <v>4.1263686713607397</v>
      </c>
      <c r="T50" s="12"/>
      <c r="U50" s="24">
        <f>U48/U49</f>
        <v>40.147973551623295</v>
      </c>
      <c r="V50" s="12"/>
      <c r="W50" s="24">
        <f>W48/W49</f>
        <v>40.147973551623295</v>
      </c>
      <c r="X50" s="12"/>
      <c r="Y50" s="24">
        <f>Y48/Y49</f>
        <v>1661.439884975742</v>
      </c>
      <c r="Z50" s="12"/>
      <c r="AA50" s="24">
        <f>AA48/AA49</f>
        <v>1661.439884975742</v>
      </c>
      <c r="AB50" s="12"/>
      <c r="AC50" s="24">
        <f>AC48/AC49</f>
        <v>8.1664117557772418</v>
      </c>
      <c r="AD50" s="24"/>
      <c r="AE50" s="24">
        <f>AE48/AE49</f>
        <v>10.826945067320318</v>
      </c>
      <c r="AF50" s="24"/>
      <c r="AG50" s="24"/>
      <c r="AH50" s="24"/>
      <c r="AI50" s="24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</row>
    <row r="51" spans="1:57" x14ac:dyDescent="0.2">
      <c r="A51" s="12"/>
      <c r="B51" s="40"/>
      <c r="C51" s="25"/>
      <c r="D51" s="41"/>
      <c r="E51" s="25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</row>
    <row r="52" spans="1:57" x14ac:dyDescent="0.2">
      <c r="A52" s="12"/>
      <c r="B52" s="40" t="s">
        <v>1195</v>
      </c>
      <c r="C52" s="25"/>
      <c r="D52" s="41" t="s">
        <v>984</v>
      </c>
      <c r="E52" s="25"/>
      <c r="F52" s="12"/>
      <c r="G52" s="22">
        <v>2.9999999999999997E-4</v>
      </c>
      <c r="H52" s="12"/>
      <c r="I52" s="49">
        <v>0</v>
      </c>
      <c r="J52" s="12"/>
      <c r="K52" s="49">
        <v>0</v>
      </c>
      <c r="L52" s="12"/>
      <c r="M52" s="49">
        <v>0</v>
      </c>
      <c r="N52" s="12"/>
      <c r="O52" s="49">
        <v>0</v>
      </c>
      <c r="P52" s="12"/>
      <c r="Q52" s="49">
        <v>0</v>
      </c>
      <c r="R52" s="12"/>
      <c r="S52" s="49">
        <v>0</v>
      </c>
      <c r="T52" s="12"/>
      <c r="U52" s="49">
        <v>5.0000000000000001E-4</v>
      </c>
      <c r="V52" s="12"/>
      <c r="W52" s="49">
        <v>5.0000000000000001E-4</v>
      </c>
      <c r="X52" s="12"/>
      <c r="Y52" s="23">
        <v>5.9999999999999995E-4</v>
      </c>
      <c r="Z52" s="12"/>
      <c r="AA52" s="23">
        <v>5.9999999999999995E-4</v>
      </c>
      <c r="AB52" s="12"/>
      <c r="AC52" s="49">
        <v>0</v>
      </c>
      <c r="AD52" s="61"/>
      <c r="AE52" s="23">
        <v>0</v>
      </c>
      <c r="AF52" s="61"/>
      <c r="AG52" s="61"/>
      <c r="AH52" s="61"/>
      <c r="AI52" s="61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</row>
    <row r="53" spans="1:57" x14ac:dyDescent="0.2">
      <c r="A53" s="12"/>
      <c r="B53" s="40" t="s">
        <v>1288</v>
      </c>
      <c r="C53" s="25"/>
      <c r="D53" s="41" t="s">
        <v>980</v>
      </c>
      <c r="E53" s="25"/>
      <c r="F53" s="12"/>
      <c r="G53" s="28">
        <f>G14*MAX(0.07*G16,0.8)</f>
        <v>582172.16224308254</v>
      </c>
      <c r="H53" s="12"/>
      <c r="I53" s="28">
        <f>I14*MAX(0.07*I16,0.8)</f>
        <v>2050233.533347127</v>
      </c>
      <c r="J53" s="12"/>
      <c r="K53" s="28">
        <f>K14*MAX(0.07*K16,0.8)</f>
        <v>733825.26737872558</v>
      </c>
      <c r="L53" s="12"/>
      <c r="M53" s="28">
        <f>M14*MAX(0.07*M16,0.8)</f>
        <v>1489832.4850910287</v>
      </c>
      <c r="N53" s="12"/>
      <c r="O53" s="28">
        <f>O14*MAX(0.07*O16,0.8)</f>
        <v>369206.61132678925</v>
      </c>
      <c r="P53" s="12"/>
      <c r="Q53" s="28">
        <f>Q14*MAX(0.07*Q16,0.8)</f>
        <v>760578.23841560679</v>
      </c>
      <c r="R53" s="12"/>
      <c r="S53" s="28">
        <f>S14*MAX(0.07*S16,0.8)</f>
        <v>871280.05022938584</v>
      </c>
      <c r="T53" s="12"/>
      <c r="U53" s="28">
        <f>U14*MAX(0.07*U16,0.8)</f>
        <v>256275.5421262637</v>
      </c>
      <c r="V53" s="12"/>
      <c r="W53" s="28">
        <f>W14*MAX(0.07*W16,0.8)</f>
        <v>321537.23769809009</v>
      </c>
      <c r="X53" s="12"/>
      <c r="Y53" s="28">
        <f>Y14*MAX(0.07*Y16,0.8)</f>
        <v>86811.018747839829</v>
      </c>
      <c r="Z53" s="12"/>
      <c r="AA53" s="28">
        <f>AA14*MAX(0.07*AA16,0.8)</f>
        <v>109240.76213095756</v>
      </c>
      <c r="AB53" s="12"/>
      <c r="AC53" s="12">
        <f>AC14*MAX(0.1*AC16,1)*2</f>
        <v>0</v>
      </c>
      <c r="AD53" s="102"/>
      <c r="AE53" s="28"/>
      <c r="AF53" s="102"/>
      <c r="AG53" s="102"/>
      <c r="AH53" s="102"/>
      <c r="AI53" s="10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</row>
    <row r="54" spans="1:57" x14ac:dyDescent="0.2">
      <c r="A54" s="12"/>
      <c r="B54" s="40" t="s">
        <v>1196</v>
      </c>
      <c r="C54" s="25"/>
      <c r="D54" s="41" t="s">
        <v>980</v>
      </c>
      <c r="E54" s="25"/>
      <c r="F54" s="12"/>
      <c r="G54" s="28">
        <f>G52*G53*365.25</f>
        <v>63791.514677785766</v>
      </c>
      <c r="H54" s="12"/>
      <c r="I54" s="28">
        <f>I52*I53*365.25</f>
        <v>0</v>
      </c>
      <c r="J54" s="12"/>
      <c r="K54" s="28">
        <f>K52*K53*365.25</f>
        <v>0</v>
      </c>
      <c r="L54" s="12"/>
      <c r="M54" s="28">
        <f>M52*M53*365.25</f>
        <v>0</v>
      </c>
      <c r="N54" s="12"/>
      <c r="O54" s="12"/>
      <c r="P54" s="12"/>
      <c r="Q54" s="12"/>
      <c r="R54" s="12"/>
      <c r="S54" s="12"/>
      <c r="T54" s="12"/>
      <c r="U54" s="28">
        <f>U52*U53*365.25</f>
        <v>46802.320880808911</v>
      </c>
      <c r="V54" s="12"/>
      <c r="W54" s="28">
        <f>W52*W53*365.25</f>
        <v>58720.738034613707</v>
      </c>
      <c r="X54" s="12"/>
      <c r="Y54" s="28">
        <f>Y52*Y53*365.25</f>
        <v>19024.634758589098</v>
      </c>
      <c r="Z54" s="12"/>
      <c r="AA54" s="28">
        <f>AA52*AA53*365.25</f>
        <v>23940.113020999346</v>
      </c>
      <c r="AB54" s="12"/>
      <c r="AC54" s="65">
        <f>0.5%*AC12</f>
        <v>68000</v>
      </c>
      <c r="AD54" s="28"/>
      <c r="AE54" s="28"/>
      <c r="AF54" s="28"/>
      <c r="AG54" s="28"/>
      <c r="AH54" s="28"/>
      <c r="AI54" s="28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</row>
    <row r="55" spans="1:57" x14ac:dyDescent="0.2">
      <c r="A55" s="12"/>
      <c r="B55" s="40"/>
      <c r="C55" s="25"/>
      <c r="D55" s="41"/>
      <c r="E55" s="25"/>
      <c r="F55" s="12"/>
      <c r="G55" s="103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03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</row>
    <row r="56" spans="1:57" x14ac:dyDescent="0.2">
      <c r="A56" s="12"/>
      <c r="B56" s="40"/>
      <c r="C56" s="25"/>
      <c r="D56" s="41"/>
      <c r="E56" s="25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</row>
    <row r="57" spans="1:57" x14ac:dyDescent="0.2">
      <c r="A57" s="12"/>
      <c r="B57" s="40" t="s">
        <v>1021</v>
      </c>
      <c r="C57" s="25" t="s">
        <v>1200</v>
      </c>
      <c r="D57" s="41" t="s">
        <v>1018</v>
      </c>
      <c r="E57" s="25"/>
      <c r="F57" s="12"/>
      <c r="G57" s="104">
        <f>G12+G54</f>
        <v>76626754.477640763</v>
      </c>
      <c r="H57" s="12"/>
      <c r="I57" s="104">
        <f>I12+I54</f>
        <v>310425396.82539684</v>
      </c>
      <c r="J57" s="12"/>
      <c r="K57" s="104">
        <f>K12+K54</f>
        <v>108044444.44444443</v>
      </c>
      <c r="L57" s="12"/>
      <c r="M57" s="104">
        <f>M12+M54</f>
        <v>219354838.70967743</v>
      </c>
      <c r="N57" s="12"/>
      <c r="O57" s="104">
        <f>O12+O54</f>
        <v>63920000</v>
      </c>
      <c r="P57" s="12"/>
      <c r="Q57" s="104">
        <f>Q12+Q54</f>
        <v>103547089.94708996</v>
      </c>
      <c r="R57" s="12"/>
      <c r="S57" s="104">
        <f>S12+S54</f>
        <v>128282539.68253967</v>
      </c>
      <c r="T57" s="12"/>
      <c r="U57" s="104">
        <f>U12+U54</f>
        <v>40630929.305007793</v>
      </c>
      <c r="V57" s="12"/>
      <c r="W57" s="104">
        <f>W12+W54</f>
        <v>40642847.722161599</v>
      </c>
      <c r="X57" s="12"/>
      <c r="Y57" s="104">
        <f>Y12+Y54</f>
        <v>13619024.63475859</v>
      </c>
      <c r="Z57" s="12"/>
      <c r="AA57" s="104">
        <f>AA12+AA54</f>
        <v>13623940.113020999</v>
      </c>
      <c r="AB57" s="12"/>
      <c r="AC57" s="104">
        <f>AC12+AC54</f>
        <v>13668000</v>
      </c>
      <c r="AD57" s="104"/>
      <c r="AE57" s="104">
        <f>AE12+AE54</f>
        <v>6000000</v>
      </c>
      <c r="AF57" s="104"/>
      <c r="AG57" s="104"/>
      <c r="AH57" s="104"/>
      <c r="AI57" s="104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</row>
    <row r="58" spans="1:57" x14ac:dyDescent="0.2">
      <c r="A58" s="12"/>
      <c r="B58" s="40"/>
      <c r="C58" s="25"/>
      <c r="D58" s="41"/>
      <c r="E58" s="25"/>
      <c r="F58" s="12"/>
      <c r="G58" s="28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</row>
    <row r="59" spans="1:57" x14ac:dyDescent="0.2">
      <c r="A59" s="12"/>
      <c r="B59" s="40" t="s">
        <v>1101</v>
      </c>
      <c r="C59" s="25"/>
      <c r="D59" s="41"/>
      <c r="E59" s="25"/>
      <c r="F59" s="12"/>
      <c r="G59" s="12" t="s">
        <v>950</v>
      </c>
      <c r="H59" s="12"/>
      <c r="I59" s="12" t="s">
        <v>1464</v>
      </c>
      <c r="J59" s="12"/>
      <c r="K59" s="28" t="s">
        <v>1035</v>
      </c>
      <c r="L59" s="12"/>
      <c r="M59" s="28" t="s">
        <v>881</v>
      </c>
      <c r="N59" s="12"/>
      <c r="O59" s="12" t="s">
        <v>1241</v>
      </c>
      <c r="P59" s="12"/>
      <c r="Q59" s="12" t="s">
        <v>1412</v>
      </c>
      <c r="R59" s="12"/>
      <c r="S59" s="12" t="s">
        <v>1412</v>
      </c>
      <c r="T59" s="12"/>
      <c r="U59" s="12" t="s">
        <v>1102</v>
      </c>
      <c r="V59" s="12"/>
      <c r="W59" s="12" t="s">
        <v>1102</v>
      </c>
      <c r="X59" s="12"/>
      <c r="Y59" s="12" t="s">
        <v>950</v>
      </c>
      <c r="Z59" s="12"/>
      <c r="AA59" s="12"/>
      <c r="AB59" s="12"/>
      <c r="AC59" s="12" t="s">
        <v>1100</v>
      </c>
      <c r="AD59" s="12"/>
      <c r="AE59" s="12" t="s">
        <v>1314</v>
      </c>
      <c r="AF59" s="12"/>
      <c r="AG59" s="12"/>
      <c r="AH59" s="12"/>
      <c r="AI59" s="12"/>
      <c r="AJ59" s="12"/>
      <c r="AK59" s="12" t="s">
        <v>1405</v>
      </c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</row>
    <row r="60" spans="1:57" x14ac:dyDescent="0.2">
      <c r="A60" s="12"/>
      <c r="B60" s="40"/>
      <c r="C60" s="25"/>
      <c r="D60" s="41"/>
      <c r="E60" s="25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 t="s">
        <v>1103</v>
      </c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 t="s">
        <v>1400</v>
      </c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</row>
    <row r="61" spans="1:57" x14ac:dyDescent="0.2">
      <c r="A61" s="12"/>
      <c r="B61" s="40"/>
      <c r="C61" s="25"/>
      <c r="D61" s="41"/>
      <c r="E61" s="25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 t="s">
        <v>1565</v>
      </c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</row>
    <row r="62" spans="1:57" x14ac:dyDescent="0.2">
      <c r="A62" s="91"/>
      <c r="B62" s="247"/>
      <c r="C62" s="248"/>
      <c r="D62" s="249"/>
      <c r="E62" s="248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</row>
    <row r="63" spans="1:57" x14ac:dyDescent="0.2">
      <c r="A63" s="12"/>
      <c r="B63" s="40" t="s">
        <v>1020</v>
      </c>
      <c r="C63" s="25" t="s">
        <v>1019</v>
      </c>
      <c r="D63" s="41"/>
      <c r="E63" s="25"/>
      <c r="F63" s="12"/>
      <c r="G63" s="39">
        <f>Shipping!H86</f>
        <v>79324462.324196517</v>
      </c>
      <c r="H63" s="12"/>
      <c r="I63" s="39">
        <f>Shipping!J86</f>
        <v>310425396.82539684</v>
      </c>
      <c r="J63" s="12"/>
      <c r="K63" s="39">
        <f>Shipping!L86</f>
        <v>108044444.44444443</v>
      </c>
      <c r="L63" s="12"/>
      <c r="M63" s="39">
        <f>Shipping!N86</f>
        <v>219354838.70967743</v>
      </c>
      <c r="N63" s="12"/>
      <c r="O63" s="39">
        <f>Shipping!P86</f>
        <v>63920000</v>
      </c>
      <c r="P63" s="12"/>
      <c r="Q63" s="39">
        <f>Shipping!R86</f>
        <v>103547089.94708996</v>
      </c>
      <c r="R63" s="12"/>
      <c r="S63" s="39">
        <f>Shipping!T86</f>
        <v>128282539.68253967</v>
      </c>
      <c r="T63" s="12"/>
      <c r="U63" s="39">
        <f>Shipping!V86</f>
        <v>41367308.253480636</v>
      </c>
      <c r="V63" s="12"/>
      <c r="W63" s="39">
        <f>Shipping!X86</f>
        <v>41583918.850848146</v>
      </c>
      <c r="X63" s="12"/>
      <c r="Y63" s="39">
        <f>Shipping!Z86</f>
        <v>14016239.316386815</v>
      </c>
      <c r="Z63" s="12"/>
      <c r="AA63" s="39">
        <f>Shipping!AB86</f>
        <v>14132362.062534599</v>
      </c>
      <c r="AB63" s="12"/>
      <c r="AC63" s="12"/>
      <c r="AD63" s="39"/>
      <c r="AE63" s="39">
        <f>AE57</f>
        <v>6000000</v>
      </c>
      <c r="AF63" s="39"/>
      <c r="AG63" s="39"/>
      <c r="AH63" s="39"/>
      <c r="AI63" s="39"/>
      <c r="AJ63" s="12"/>
      <c r="AK63" s="39">
        <f>Shipping!AL86</f>
        <v>0</v>
      </c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</row>
    <row r="64" spans="1:57" x14ac:dyDescent="0.2">
      <c r="A64" s="12"/>
      <c r="B64" s="40"/>
      <c r="C64" s="25"/>
      <c r="D64" s="41"/>
      <c r="E64" s="25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</row>
    <row r="65" spans="1:57" x14ac:dyDescent="0.2">
      <c r="A65" s="94" t="s">
        <v>879</v>
      </c>
      <c r="B65" s="40" t="s">
        <v>998</v>
      </c>
      <c r="C65" s="25"/>
      <c r="D65" s="41" t="s">
        <v>1008</v>
      </c>
      <c r="E65" s="25"/>
      <c r="F65" s="12"/>
      <c r="G65" s="29">
        <f>G27</f>
        <v>8995.3094377625021</v>
      </c>
      <c r="H65" s="12"/>
      <c r="I65" s="29">
        <f>I27</f>
        <v>13793.433325799437</v>
      </c>
      <c r="J65" s="12"/>
      <c r="K65" s="29">
        <f>K27</f>
        <v>3697.6195908434102</v>
      </c>
      <c r="L65" s="12"/>
      <c r="M65" s="29">
        <f>M27</f>
        <v>5688.4348416025659</v>
      </c>
      <c r="N65" s="12"/>
      <c r="O65" s="29">
        <f>O27</f>
        <v>674.66272620852442</v>
      </c>
      <c r="P65" s="12"/>
      <c r="Q65" s="29">
        <f>Q27</f>
        <v>7637.0480789036719</v>
      </c>
      <c r="R65" s="12"/>
      <c r="S65" s="29">
        <f>S27</f>
        <v>3996.6237669275265</v>
      </c>
      <c r="T65" s="12"/>
      <c r="U65" s="29">
        <f>U27</f>
        <v>12222.461240941733</v>
      </c>
      <c r="V65" s="12"/>
      <c r="W65" s="29">
        <f>W27</f>
        <v>12222.461240941733</v>
      </c>
      <c r="X65" s="12"/>
      <c r="Y65" s="29">
        <f>Y27</f>
        <v>173087.39727636104</v>
      </c>
      <c r="Z65" s="12"/>
      <c r="AA65" s="29">
        <f>AA27</f>
        <v>173087.39727636104</v>
      </c>
      <c r="AB65" s="12"/>
      <c r="AC65" s="29"/>
      <c r="AD65" s="29"/>
      <c r="AE65" s="29">
        <f>AE27</f>
        <v>281.3639044215343</v>
      </c>
      <c r="AF65" s="29"/>
      <c r="AG65" s="95" t="s">
        <v>1402</v>
      </c>
      <c r="AH65" s="29"/>
      <c r="AI65" s="29"/>
      <c r="AJ65" s="12"/>
      <c r="AK65" s="29">
        <f>AK27</f>
        <v>0</v>
      </c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</row>
    <row r="66" spans="1:57" x14ac:dyDescent="0.2">
      <c r="A66" s="12"/>
      <c r="B66" s="40" t="s">
        <v>805</v>
      </c>
      <c r="C66" s="25"/>
      <c r="D66" s="41" t="s">
        <v>946</v>
      </c>
      <c r="E66" s="25"/>
      <c r="F66" s="12"/>
      <c r="G66" s="29">
        <f>G65*1000000/(G63*G24)</f>
        <v>3.7799644540919224</v>
      </c>
      <c r="H66" s="12"/>
      <c r="I66" s="29">
        <f>I65*1000000/(I63*I24)</f>
        <v>1.4811323930386777</v>
      </c>
      <c r="J66" s="12"/>
      <c r="K66" s="29">
        <f>K65*1000000/(K63*K24)</f>
        <v>1.1407711613050422</v>
      </c>
      <c r="L66" s="12"/>
      <c r="M66" s="29">
        <f>M65*1000000/(M63*M24)</f>
        <v>0.86441902004744864</v>
      </c>
      <c r="N66" s="12"/>
      <c r="O66" s="29">
        <f>O65*1000000/(O63*O24)</f>
        <v>0.35182661984174202</v>
      </c>
      <c r="P66" s="12"/>
      <c r="Q66" s="29">
        <f>Q65*1000000/(Q63*Q24)</f>
        <v>2.4584782578329074</v>
      </c>
      <c r="R66" s="12"/>
      <c r="S66" s="29">
        <f>S65*1000000/(S63*S24)</f>
        <v>1.0384951261535558</v>
      </c>
      <c r="T66" s="12"/>
      <c r="U66" s="29">
        <f>U65*1000000/(U63*U24)</f>
        <v>9.8487281841398993</v>
      </c>
      <c r="V66" s="12"/>
      <c r="W66" s="29">
        <f>W65*1000000/(W63*W24)</f>
        <v>9.7974261675375534</v>
      </c>
      <c r="X66" s="12"/>
      <c r="Y66" s="29">
        <f>Y65*1000000/(Y63*Y24)</f>
        <v>411.63537372443699</v>
      </c>
      <c r="Z66" s="12"/>
      <c r="AA66" s="29">
        <f>AA65*1000000/(AA63*AA24)</f>
        <v>408.25304953850554</v>
      </c>
      <c r="AB66" s="12"/>
      <c r="AC66" s="29"/>
      <c r="AD66" s="29"/>
      <c r="AE66" s="29">
        <f>AE65*1000000/(AE63*AE24)</f>
        <v>1.5631328023418571</v>
      </c>
      <c r="AF66" s="29"/>
      <c r="AG66" s="29"/>
      <c r="AH66" s="29"/>
      <c r="AI66" s="29"/>
      <c r="AJ66" s="12"/>
      <c r="AK66" s="12"/>
      <c r="AL66" s="12"/>
      <c r="AM66" s="33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</row>
    <row r="67" spans="1:57" x14ac:dyDescent="0.2">
      <c r="A67" s="12"/>
      <c r="B67" s="40"/>
      <c r="C67" s="25"/>
      <c r="D67" s="41"/>
      <c r="E67" s="25"/>
      <c r="F67" s="12"/>
      <c r="G67" s="29"/>
      <c r="H67" s="12"/>
      <c r="I67" s="29"/>
      <c r="J67" s="12"/>
      <c r="K67" s="29"/>
      <c r="L67" s="12"/>
      <c r="M67" s="29"/>
      <c r="N67" s="12"/>
      <c r="O67" s="29"/>
      <c r="P67" s="12"/>
      <c r="Q67" s="29"/>
      <c r="R67" s="12"/>
      <c r="S67" s="29"/>
      <c r="T67" s="12"/>
      <c r="U67" s="29"/>
      <c r="V67" s="12"/>
      <c r="W67" s="29"/>
      <c r="X67" s="12"/>
      <c r="Y67" s="29"/>
      <c r="Z67" s="12"/>
      <c r="AA67" s="29"/>
      <c r="AB67" s="12"/>
      <c r="AC67" s="29"/>
      <c r="AD67" s="29"/>
      <c r="AE67" s="29"/>
      <c r="AF67" s="29"/>
      <c r="AG67" s="29"/>
      <c r="AH67" s="29"/>
      <c r="AI67" s="29"/>
      <c r="AJ67" s="12"/>
      <c r="AK67" s="105">
        <f>8/eurusd_rate*h2_e_density_lhv*1000</f>
        <v>229885.05747126439</v>
      </c>
      <c r="AL67" s="12"/>
      <c r="AM67" s="77">
        <f>G66*nh3_st_lifetime</f>
        <v>113.39893362275767</v>
      </c>
      <c r="AN67" s="12"/>
      <c r="AO67" s="34">
        <f>co2_st_invest_lev*co2_st_lifetime</f>
        <v>46.893984070255712</v>
      </c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</row>
    <row r="68" spans="1:57" x14ac:dyDescent="0.2">
      <c r="A68" s="12"/>
      <c r="B68" s="40" t="s">
        <v>13</v>
      </c>
      <c r="C68" s="25"/>
      <c r="D68" s="41"/>
      <c r="E68" s="25"/>
      <c r="F68" s="12"/>
      <c r="G68" s="106">
        <v>0.08</v>
      </c>
      <c r="H68" s="12"/>
      <c r="I68" s="106">
        <v>0.08</v>
      </c>
      <c r="J68" s="12"/>
      <c r="K68" s="106">
        <v>0.08</v>
      </c>
      <c r="L68" s="12"/>
      <c r="M68" s="106">
        <v>0.08</v>
      </c>
      <c r="N68" s="12"/>
      <c r="O68" s="106">
        <v>0.08</v>
      </c>
      <c r="P68" s="12"/>
      <c r="Q68" s="106">
        <v>0.08</v>
      </c>
      <c r="R68" s="12"/>
      <c r="S68" s="106">
        <v>0.08</v>
      </c>
      <c r="T68" s="12"/>
      <c r="U68" s="106">
        <v>0.08</v>
      </c>
      <c r="V68" s="12"/>
      <c r="W68" s="106">
        <v>0.08</v>
      </c>
      <c r="X68" s="12"/>
      <c r="Y68" s="106">
        <v>0.08</v>
      </c>
      <c r="Z68" s="12"/>
      <c r="AA68" s="106">
        <v>0.08</v>
      </c>
      <c r="AB68" s="12"/>
      <c r="AC68" s="96"/>
      <c r="AD68" s="99"/>
      <c r="AE68" s="106">
        <v>0.08</v>
      </c>
      <c r="AF68" s="99"/>
      <c r="AG68" s="99"/>
      <c r="AH68" s="99"/>
      <c r="AI68" s="99"/>
      <c r="AJ68" s="12"/>
      <c r="AK68" s="106">
        <v>0.08</v>
      </c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</row>
    <row r="69" spans="1:57" x14ac:dyDescent="0.2">
      <c r="A69" s="12"/>
      <c r="B69" s="40" t="s">
        <v>817</v>
      </c>
      <c r="C69" s="25"/>
      <c r="D69" s="41" t="s">
        <v>999</v>
      </c>
      <c r="E69" s="25"/>
      <c r="F69" s="12"/>
      <c r="G69" s="24">
        <f>G68*nh3_st_invest</f>
        <v>719.62475502100017</v>
      </c>
      <c r="H69" s="12"/>
      <c r="I69" s="24">
        <f>I68*I65</f>
        <v>1103.4746660639551</v>
      </c>
      <c r="J69" s="12"/>
      <c r="K69" s="24">
        <f>K68*K65</f>
        <v>295.8095672674728</v>
      </c>
      <c r="L69" s="12"/>
      <c r="M69" s="24">
        <f>M68*M65</f>
        <v>455.07478732820528</v>
      </c>
      <c r="N69" s="12"/>
      <c r="O69" s="24">
        <f>O68*O65</f>
        <v>53.973018096681955</v>
      </c>
      <c r="P69" s="12"/>
      <c r="Q69" s="24">
        <f>Q68*Q65</f>
        <v>610.96384631229375</v>
      </c>
      <c r="R69" s="12"/>
      <c r="S69" s="24">
        <f>S68*S65</f>
        <v>319.72990135420213</v>
      </c>
      <c r="T69" s="12"/>
      <c r="U69" s="24">
        <f>U68*U65</f>
        <v>977.79689927533866</v>
      </c>
      <c r="V69" s="12"/>
      <c r="W69" s="24">
        <f>W68*W65</f>
        <v>977.79689927533866</v>
      </c>
      <c r="X69" s="12"/>
      <c r="Y69" s="24">
        <f>Y68*Y65</f>
        <v>13846.991782108884</v>
      </c>
      <c r="Z69" s="12"/>
      <c r="AA69" s="24">
        <f>AA68*AA65</f>
        <v>13846.991782108884</v>
      </c>
      <c r="AB69" s="12"/>
      <c r="AC69" s="24"/>
      <c r="AD69" s="24"/>
      <c r="AE69" s="24">
        <f>AE68*AE65</f>
        <v>22.509112353722745</v>
      </c>
      <c r="AF69" s="24"/>
      <c r="AG69" s="24"/>
      <c r="AH69" s="24"/>
      <c r="AI69" s="24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</row>
    <row r="70" spans="1:57" x14ac:dyDescent="0.2">
      <c r="A70" s="12"/>
      <c r="B70" s="40" t="s">
        <v>1124</v>
      </c>
      <c r="C70" s="25"/>
      <c r="D70" s="41" t="s">
        <v>999</v>
      </c>
      <c r="E70" s="25"/>
      <c r="F70" s="12"/>
      <c r="G70" s="24">
        <f>nh3_st_invest/nh3_st_lifetime</f>
        <v>299.84364792541675</v>
      </c>
      <c r="H70" s="12"/>
      <c r="I70" s="24">
        <f>I65/I24</f>
        <v>459.7811108599812</v>
      </c>
      <c r="J70" s="12"/>
      <c r="K70" s="24">
        <f>K65/K24</f>
        <v>123.25398636144701</v>
      </c>
      <c r="L70" s="12"/>
      <c r="M70" s="24">
        <f>M65/M24</f>
        <v>189.61449472008553</v>
      </c>
      <c r="N70" s="12"/>
      <c r="O70" s="24">
        <f>O65/O24</f>
        <v>22.488757540284148</v>
      </c>
      <c r="P70" s="12"/>
      <c r="Q70" s="24">
        <f>Q65/Q24</f>
        <v>254.56826929678905</v>
      </c>
      <c r="R70" s="12"/>
      <c r="S70" s="24">
        <f>S65/S24</f>
        <v>133.22079223091754</v>
      </c>
      <c r="T70" s="12"/>
      <c r="U70" s="24">
        <f>U65/U24</f>
        <v>407.41537469805775</v>
      </c>
      <c r="V70" s="12"/>
      <c r="W70" s="24">
        <f>W65/W24</f>
        <v>407.41537469805775</v>
      </c>
      <c r="X70" s="12"/>
      <c r="Y70" s="24">
        <f>Y65/Y24</f>
        <v>5769.5799092120342</v>
      </c>
      <c r="Z70" s="12"/>
      <c r="AA70" s="24">
        <f>AA65/AA24</f>
        <v>5769.5799092120342</v>
      </c>
      <c r="AB70" s="12"/>
      <c r="AC70" s="24"/>
      <c r="AD70" s="24"/>
      <c r="AE70" s="24">
        <f>AE65/AE24</f>
        <v>9.3787968140511442</v>
      </c>
      <c r="AF70" s="24"/>
      <c r="AG70" s="24"/>
      <c r="AH70" s="24"/>
      <c r="AI70" s="24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</row>
    <row r="71" spans="1:57" x14ac:dyDescent="0.2">
      <c r="A71" s="12"/>
      <c r="B71" s="40" t="s">
        <v>1132</v>
      </c>
      <c r="C71" s="25"/>
      <c r="D71" s="41" t="s">
        <v>999</v>
      </c>
      <c r="E71" s="25"/>
      <c r="F71" s="12"/>
      <c r="G71" s="24">
        <f>G70+G69</f>
        <v>1019.468402946417</v>
      </c>
      <c r="H71" s="12"/>
      <c r="I71" s="24">
        <f>I70+I69</f>
        <v>1563.2557769239363</v>
      </c>
      <c r="J71" s="12"/>
      <c r="K71" s="24">
        <f>K70+K69</f>
        <v>419.06355362891981</v>
      </c>
      <c r="L71" s="12"/>
      <c r="M71" s="24">
        <f>M70+M69</f>
        <v>644.68928204829081</v>
      </c>
      <c r="N71" s="12"/>
      <c r="O71" s="24">
        <f>O70+O69</f>
        <v>76.461775636966109</v>
      </c>
      <c r="P71" s="12"/>
      <c r="Q71" s="24">
        <f>Q70+Q69</f>
        <v>865.53211560908278</v>
      </c>
      <c r="R71" s="12"/>
      <c r="S71" s="24">
        <f>S70+S69</f>
        <v>452.95069358511967</v>
      </c>
      <c r="T71" s="12"/>
      <c r="U71" s="24">
        <f>U70+U69</f>
        <v>1385.2122739733963</v>
      </c>
      <c r="V71" s="12"/>
      <c r="W71" s="24">
        <f>W70+W69</f>
        <v>1385.2122739733963</v>
      </c>
      <c r="X71" s="12"/>
      <c r="Y71" s="24">
        <f>Y70+Y69</f>
        <v>19616.571691320918</v>
      </c>
      <c r="Z71" s="12"/>
      <c r="AA71" s="24">
        <f>AA70+AA69</f>
        <v>19616.571691320918</v>
      </c>
      <c r="AB71" s="12"/>
      <c r="AC71" s="24"/>
      <c r="AD71" s="24"/>
      <c r="AE71" s="24">
        <f>AE70+AE69</f>
        <v>31.887909167773891</v>
      </c>
      <c r="AF71" s="24"/>
      <c r="AG71" s="24"/>
      <c r="AH71" s="24"/>
      <c r="AI71" s="24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</row>
    <row r="72" spans="1:57" x14ac:dyDescent="0.2">
      <c r="A72" s="12"/>
      <c r="B72" s="40"/>
      <c r="C72" s="25"/>
      <c r="D72" s="41"/>
      <c r="E72" s="25"/>
      <c r="F72" s="12"/>
      <c r="G72" s="24"/>
      <c r="H72" s="12"/>
      <c r="I72" s="24"/>
      <c r="J72" s="12"/>
      <c r="K72" s="24"/>
      <c r="L72" s="12"/>
      <c r="M72" s="24"/>
      <c r="N72" s="12"/>
      <c r="O72" s="12"/>
      <c r="P72" s="12"/>
      <c r="Q72" s="12"/>
      <c r="R72" s="12"/>
      <c r="S72" s="12"/>
      <c r="T72" s="12"/>
      <c r="U72" s="24"/>
      <c r="V72" s="12"/>
      <c r="W72" s="24"/>
      <c r="X72" s="12"/>
      <c r="Y72" s="24"/>
      <c r="Z72" s="12"/>
      <c r="AA72" s="24"/>
      <c r="AB72" s="12"/>
      <c r="AC72" s="24"/>
      <c r="AD72" s="24"/>
      <c r="AE72" s="24"/>
      <c r="AF72" s="24"/>
      <c r="AG72" s="24"/>
      <c r="AH72" s="24"/>
      <c r="AI72" s="24"/>
      <c r="AJ72" s="12"/>
      <c r="AK72" s="24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</row>
    <row r="73" spans="1:57" x14ac:dyDescent="0.2">
      <c r="A73" s="12"/>
      <c r="B73" s="40" t="s">
        <v>920</v>
      </c>
      <c r="C73" s="25"/>
      <c r="D73" s="41" t="s">
        <v>943</v>
      </c>
      <c r="E73" s="25"/>
      <c r="F73" s="12"/>
      <c r="G73" s="87">
        <v>0.01</v>
      </c>
      <c r="H73" s="12"/>
      <c r="I73" s="87">
        <v>1.5E-3</v>
      </c>
      <c r="J73" s="12"/>
      <c r="K73" s="87">
        <v>1.5E-3</v>
      </c>
      <c r="L73" s="12"/>
      <c r="M73" s="87">
        <v>1E-3</v>
      </c>
      <c r="N73" s="12"/>
      <c r="O73" s="87">
        <v>0.05</v>
      </c>
      <c r="P73" s="12"/>
      <c r="Q73" s="87">
        <v>0.01</v>
      </c>
      <c r="R73" s="12"/>
      <c r="S73" s="87">
        <v>1.5E-3</v>
      </c>
      <c r="T73" s="12"/>
      <c r="U73" s="87">
        <v>0.02</v>
      </c>
      <c r="V73" s="12"/>
      <c r="W73" s="87">
        <v>0.02</v>
      </c>
      <c r="X73" s="12"/>
      <c r="Y73" s="87">
        <v>0.1</v>
      </c>
      <c r="Z73" s="12"/>
      <c r="AA73" s="87">
        <v>0.1</v>
      </c>
      <c r="AB73" s="12"/>
      <c r="AC73" s="29"/>
      <c r="AD73" s="97"/>
      <c r="AE73" s="87">
        <v>0.1</v>
      </c>
      <c r="AF73" s="97"/>
      <c r="AG73" s="97"/>
      <c r="AH73" s="97"/>
      <c r="AI73" s="97"/>
      <c r="AJ73" s="12"/>
      <c r="AK73" s="87">
        <v>0.1</v>
      </c>
      <c r="AL73" s="12"/>
      <c r="AM73" s="87">
        <v>0.1</v>
      </c>
      <c r="AN73" s="12"/>
      <c r="AO73" s="87">
        <v>0.1</v>
      </c>
      <c r="AP73" s="12"/>
      <c r="AQ73" s="12" t="s">
        <v>1041</v>
      </c>
      <c r="AR73" s="12"/>
      <c r="AS73" s="12" t="s">
        <v>1042</v>
      </c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</row>
    <row r="74" spans="1:57" x14ac:dyDescent="0.2">
      <c r="A74" s="12"/>
      <c r="B74" s="40" t="s">
        <v>939</v>
      </c>
      <c r="C74" s="25"/>
      <c r="D74" s="41"/>
      <c r="E74" s="25"/>
      <c r="F74" s="12"/>
      <c r="G74" s="16">
        <f>G73*G63/1000</f>
        <v>793.2446232419652</v>
      </c>
      <c r="H74" s="12"/>
      <c r="I74" s="16">
        <f>I73*I63/1000</f>
        <v>465.63809523809527</v>
      </c>
      <c r="J74" s="12"/>
      <c r="K74" s="16">
        <f>K73*K63/1000</f>
        <v>162.06666666666666</v>
      </c>
      <c r="L74" s="12"/>
      <c r="M74" s="16">
        <f>M73*M63/1000</f>
        <v>219.35483870967744</v>
      </c>
      <c r="N74" s="12"/>
      <c r="O74" s="16">
        <f>O73*O63/1000</f>
        <v>3196</v>
      </c>
      <c r="P74" s="12"/>
      <c r="Q74" s="16">
        <f>Q73*Q63/1000</f>
        <v>1035.4708994708997</v>
      </c>
      <c r="R74" s="12"/>
      <c r="S74" s="16">
        <f>S73*S63/1000</f>
        <v>192.4238095238095</v>
      </c>
      <c r="T74" s="12"/>
      <c r="U74" s="16">
        <f>U73*U63/1000</f>
        <v>827.34616506961265</v>
      </c>
      <c r="V74" s="12"/>
      <c r="W74" s="16">
        <f>W73*W63/1000</f>
        <v>831.67837701696294</v>
      </c>
      <c r="X74" s="12"/>
      <c r="Y74" s="16">
        <f>Y73*Y63/1000</f>
        <v>1401.6239316386816</v>
      </c>
      <c r="Z74" s="12"/>
      <c r="AA74" s="16">
        <f>AA73*AA63/1000</f>
        <v>1413.2362062534598</v>
      </c>
      <c r="AB74" s="12"/>
      <c r="AC74" s="16"/>
      <c r="AD74" s="16"/>
      <c r="AE74" s="16">
        <f>AE73*AE63/1000</f>
        <v>600</v>
      </c>
      <c r="AF74" s="16"/>
      <c r="AG74" s="16"/>
      <c r="AH74" s="16"/>
      <c r="AI74" s="16"/>
      <c r="AJ74" s="12"/>
      <c r="AK74" s="16">
        <f>AK73*AK63/1000</f>
        <v>0</v>
      </c>
      <c r="AL74" s="12"/>
      <c r="AM74" s="12"/>
      <c r="AN74" s="12"/>
      <c r="AO74" s="12"/>
      <c r="AP74" s="12"/>
      <c r="AQ74" s="12" t="s">
        <v>1070</v>
      </c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</row>
    <row r="75" spans="1:57" x14ac:dyDescent="0.2">
      <c r="A75" s="12"/>
      <c r="B75" s="40" t="s">
        <v>928</v>
      </c>
      <c r="C75" s="25"/>
      <c r="D75" s="41"/>
      <c r="E75" s="25"/>
      <c r="F75" s="12"/>
      <c r="G75" s="38">
        <v>0.03</v>
      </c>
      <c r="H75" s="12"/>
      <c r="I75" s="38">
        <v>0.03</v>
      </c>
      <c r="J75" s="12"/>
      <c r="K75" s="38">
        <v>0.03</v>
      </c>
      <c r="L75" s="12"/>
      <c r="M75" s="38">
        <v>0.03</v>
      </c>
      <c r="N75" s="12"/>
      <c r="O75" s="38">
        <v>0.03</v>
      </c>
      <c r="P75" s="12"/>
      <c r="Q75" s="38">
        <v>0.03</v>
      </c>
      <c r="R75" s="12"/>
      <c r="S75" s="38">
        <v>0.03</v>
      </c>
      <c r="T75" s="12"/>
      <c r="U75" s="38">
        <v>0.03</v>
      </c>
      <c r="V75" s="12"/>
      <c r="W75" s="38">
        <v>0.03</v>
      </c>
      <c r="X75" s="12"/>
      <c r="Y75" s="38">
        <v>0.03</v>
      </c>
      <c r="Z75" s="12"/>
      <c r="AA75" s="38">
        <v>0.03</v>
      </c>
      <c r="AB75" s="12"/>
      <c r="AC75" s="24"/>
      <c r="AD75" s="47"/>
      <c r="AE75" s="38">
        <v>0.03</v>
      </c>
      <c r="AF75" s="47"/>
      <c r="AG75" s="47"/>
      <c r="AH75" s="47"/>
      <c r="AI75" s="47"/>
      <c r="AJ75" s="12"/>
      <c r="AK75" s="38">
        <v>0.03</v>
      </c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</row>
    <row r="76" spans="1:57" x14ac:dyDescent="0.2">
      <c r="A76" s="12"/>
      <c r="B76" s="40" t="s">
        <v>929</v>
      </c>
      <c r="C76" s="25"/>
      <c r="D76" s="41" t="s">
        <v>999</v>
      </c>
      <c r="E76" s="25"/>
      <c r="F76" s="12"/>
      <c r="G76" s="24">
        <f>G75*G74</f>
        <v>23.797338697258954</v>
      </c>
      <c r="H76" s="12"/>
      <c r="I76" s="24">
        <f>I75*I74</f>
        <v>13.969142857142858</v>
      </c>
      <c r="J76" s="12"/>
      <c r="K76" s="24">
        <f>K75*K74</f>
        <v>4.8620000000000001</v>
      </c>
      <c r="L76" s="12"/>
      <c r="M76" s="24">
        <f>M75*M74</f>
        <v>6.580645161290323</v>
      </c>
      <c r="N76" s="12"/>
      <c r="O76" s="24">
        <f>O75*O74</f>
        <v>95.88</v>
      </c>
      <c r="P76" s="12"/>
      <c r="Q76" s="24">
        <f>Q75*Q74</f>
        <v>31.06412698412699</v>
      </c>
      <c r="R76" s="12"/>
      <c r="S76" s="24">
        <f>S75*S74</f>
        <v>5.7727142857142848</v>
      </c>
      <c r="T76" s="12"/>
      <c r="U76" s="24">
        <f>U75*U74</f>
        <v>24.820384952088379</v>
      </c>
      <c r="V76" s="12"/>
      <c r="W76" s="24">
        <f>W75*W74</f>
        <v>24.950351310508886</v>
      </c>
      <c r="X76" s="12"/>
      <c r="Y76" s="24">
        <f>Y75*Y74</f>
        <v>42.048717949160448</v>
      </c>
      <c r="Z76" s="12"/>
      <c r="AA76" s="24">
        <f>AA75*AA74</f>
        <v>42.39708618760379</v>
      </c>
      <c r="AB76" s="12"/>
      <c r="AC76" s="24"/>
      <c r="AD76" s="24"/>
      <c r="AE76" s="24">
        <f>AE75*AE74</f>
        <v>18</v>
      </c>
      <c r="AF76" s="24"/>
      <c r="AG76" s="24"/>
      <c r="AH76" s="24"/>
      <c r="AI76" s="24"/>
      <c r="AJ76" s="12"/>
      <c r="AK76" s="24">
        <f>AK75*AK74</f>
        <v>0</v>
      </c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</row>
    <row r="77" spans="1:57" x14ac:dyDescent="0.2">
      <c r="A77" s="12"/>
      <c r="B77" s="40"/>
      <c r="C77" s="25"/>
      <c r="D77" s="41"/>
      <c r="E77" s="25"/>
      <c r="F77" s="12"/>
      <c r="G77" s="29"/>
      <c r="H77" s="12"/>
      <c r="I77" s="29"/>
      <c r="J77" s="12"/>
      <c r="K77" s="29"/>
      <c r="L77" s="12"/>
      <c r="M77" s="29"/>
      <c r="N77" s="12"/>
      <c r="O77" s="12"/>
      <c r="P77" s="12"/>
      <c r="Q77" s="12"/>
      <c r="R77" s="12"/>
      <c r="S77" s="12"/>
      <c r="T77" s="12"/>
      <c r="U77" s="29"/>
      <c r="V77" s="12"/>
      <c r="W77" s="29"/>
      <c r="X77" s="12"/>
      <c r="Y77" s="29"/>
      <c r="Z77" s="12"/>
      <c r="AA77" s="29"/>
      <c r="AB77" s="12"/>
      <c r="AC77" s="29"/>
      <c r="AD77" s="29"/>
      <c r="AE77" s="29"/>
      <c r="AF77" s="29"/>
      <c r="AG77" s="29"/>
      <c r="AH77" s="29"/>
      <c r="AI77" s="29"/>
      <c r="AJ77" s="12"/>
      <c r="AK77" s="29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</row>
    <row r="78" spans="1:57" x14ac:dyDescent="0.2">
      <c r="A78" s="12"/>
      <c r="B78" s="40" t="s">
        <v>907</v>
      </c>
      <c r="C78" s="25"/>
      <c r="D78" s="41" t="s">
        <v>1202</v>
      </c>
      <c r="E78" s="44"/>
      <c r="F78" s="56"/>
      <c r="G78" s="98">
        <v>2.5000000000000001E-2</v>
      </c>
      <c r="H78" s="12"/>
      <c r="I78" s="98">
        <v>2.5000000000000001E-2</v>
      </c>
      <c r="J78" s="12"/>
      <c r="K78" s="98">
        <v>2.5000000000000001E-2</v>
      </c>
      <c r="L78" s="12"/>
      <c r="M78" s="98">
        <v>2.5000000000000001E-2</v>
      </c>
      <c r="N78" s="12"/>
      <c r="O78" s="98">
        <v>1.4999999999999999E-2</v>
      </c>
      <c r="P78" s="12"/>
      <c r="Q78" s="98">
        <v>2.5000000000000001E-2</v>
      </c>
      <c r="R78" s="12"/>
      <c r="S78" s="98">
        <v>2.5000000000000001E-2</v>
      </c>
      <c r="T78" s="12"/>
      <c r="U78" s="98">
        <v>2.5000000000000001E-2</v>
      </c>
      <c r="V78" s="12"/>
      <c r="W78" s="98">
        <v>2.5000000000000001E-2</v>
      </c>
      <c r="X78" s="12"/>
      <c r="Y78" s="98">
        <v>2.5000000000000001E-2</v>
      </c>
      <c r="Z78" s="12"/>
      <c r="AA78" s="98">
        <v>2.5000000000000001E-2</v>
      </c>
      <c r="AB78" s="12"/>
      <c r="AC78" s="96"/>
      <c r="AD78" s="99"/>
      <c r="AE78" s="98">
        <v>2.5000000000000001E-2</v>
      </c>
      <c r="AF78" s="99"/>
      <c r="AG78" s="99"/>
      <c r="AH78" s="99"/>
      <c r="AI78" s="99"/>
      <c r="AJ78" s="12"/>
      <c r="AK78" s="98">
        <v>1.4999999999999999E-2</v>
      </c>
      <c r="AL78" s="12"/>
      <c r="AM78" s="98">
        <v>1.4999999999999999E-2</v>
      </c>
      <c r="AN78" s="12"/>
      <c r="AO78" s="98">
        <v>1.4999999999999999E-2</v>
      </c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</row>
    <row r="79" spans="1:57" x14ac:dyDescent="0.2">
      <c r="A79" s="12"/>
      <c r="B79" s="40"/>
      <c r="C79" s="25"/>
      <c r="D79" s="41" t="s">
        <v>999</v>
      </c>
      <c r="E79" s="44"/>
      <c r="F79" s="56"/>
      <c r="G79" s="100">
        <f>G78*G65</f>
        <v>224.88273594406257</v>
      </c>
      <c r="H79" s="12"/>
      <c r="I79" s="100">
        <f>I78*I65</f>
        <v>344.83583314498594</v>
      </c>
      <c r="J79" s="12"/>
      <c r="K79" s="100">
        <f>K78*K65</f>
        <v>92.440489771085254</v>
      </c>
      <c r="L79" s="12"/>
      <c r="M79" s="100">
        <f>M78*M65</f>
        <v>142.21087104006415</v>
      </c>
      <c r="N79" s="12"/>
      <c r="O79" s="100">
        <f>O78*O65</f>
        <v>10.119940893127866</v>
      </c>
      <c r="P79" s="12"/>
      <c r="Q79" s="100">
        <f>Q78*Q65</f>
        <v>190.9262019725918</v>
      </c>
      <c r="R79" s="12"/>
      <c r="S79" s="100">
        <f>S78*S65</f>
        <v>99.915594173188168</v>
      </c>
      <c r="T79" s="12"/>
      <c r="U79" s="100">
        <f>U78*U65</f>
        <v>305.56153102354335</v>
      </c>
      <c r="V79" s="12"/>
      <c r="W79" s="100">
        <f>W78*W65</f>
        <v>305.56153102354335</v>
      </c>
      <c r="X79" s="12"/>
      <c r="Y79" s="100">
        <f>Y78*Y65</f>
        <v>4327.1849319090261</v>
      </c>
      <c r="Z79" s="12"/>
      <c r="AA79" s="100">
        <f>AA78*AA65</f>
        <v>4327.1849319090261</v>
      </c>
      <c r="AB79" s="12"/>
      <c r="AC79" s="100"/>
      <c r="AD79" s="100"/>
      <c r="AE79" s="100">
        <f>AE78*AE65</f>
        <v>7.0340976105383577</v>
      </c>
      <c r="AF79" s="100"/>
      <c r="AG79" s="100"/>
      <c r="AH79" s="100"/>
      <c r="AI79" s="100"/>
      <c r="AJ79" s="12"/>
      <c r="AK79" s="100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</row>
    <row r="80" spans="1:57" x14ac:dyDescent="0.2">
      <c r="A80" s="12"/>
      <c r="B80" s="40"/>
      <c r="C80" s="25"/>
      <c r="D80" s="41" t="s">
        <v>946</v>
      </c>
      <c r="E80" s="44"/>
      <c r="F80" s="56"/>
      <c r="G80" s="100">
        <f>G79*1000000/G63</f>
        <v>2.8349733405689417</v>
      </c>
      <c r="H80" s="12"/>
      <c r="I80" s="100">
        <f>I79*1000000/I63</f>
        <v>1.1108492947790085</v>
      </c>
      <c r="J80" s="12"/>
      <c r="K80" s="100">
        <f>K79*1000000/K63</f>
        <v>0.85557837097878164</v>
      </c>
      <c r="L80" s="12"/>
      <c r="M80" s="100">
        <f>M79*1000000/M63</f>
        <v>0.64831426503558653</v>
      </c>
      <c r="N80" s="12"/>
      <c r="O80" s="100">
        <f>O79*1000000/O63</f>
        <v>0.15832197892878389</v>
      </c>
      <c r="P80" s="12"/>
      <c r="Q80" s="100">
        <f>Q79*1000000/Q63</f>
        <v>1.8438586933746803</v>
      </c>
      <c r="R80" s="12"/>
      <c r="S80" s="100">
        <f>S79*1000000/S63</f>
        <v>0.77887134461516683</v>
      </c>
      <c r="T80" s="12"/>
      <c r="U80" s="100">
        <f>U79*1000000/U63</f>
        <v>7.3865461381049249</v>
      </c>
      <c r="V80" s="12"/>
      <c r="W80" s="100">
        <f>W79*1000000/W63</f>
        <v>7.3480696256531655</v>
      </c>
      <c r="X80" s="12"/>
      <c r="Y80" s="100">
        <f>Y79*1000000/Y63</f>
        <v>308.72653029332781</v>
      </c>
      <c r="Z80" s="12"/>
      <c r="AA80" s="100">
        <f>AA79*1000000/AA63</f>
        <v>306.18978715387919</v>
      </c>
      <c r="AB80" s="12"/>
      <c r="AC80" s="100"/>
      <c r="AD80" s="100"/>
      <c r="AE80" s="100">
        <f>AE79*1000000/AE63</f>
        <v>1.172349601756393</v>
      </c>
      <c r="AF80" s="100"/>
      <c r="AG80" s="100"/>
      <c r="AH80" s="100"/>
      <c r="AI80" s="100"/>
      <c r="AJ80" s="12"/>
      <c r="AK80" s="100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</row>
    <row r="81" spans="1:57" x14ac:dyDescent="0.2">
      <c r="A81" s="12"/>
      <c r="B81" s="40"/>
      <c r="C81" s="25"/>
      <c r="D81" s="41"/>
      <c r="E81" s="25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</row>
    <row r="82" spans="1:57" x14ac:dyDescent="0.2">
      <c r="A82" s="12"/>
      <c r="B82" s="40" t="s">
        <v>833</v>
      </c>
      <c r="C82" s="25"/>
      <c r="D82" s="41" t="s">
        <v>999</v>
      </c>
      <c r="E82" s="44"/>
      <c r="F82" s="56"/>
      <c r="G82" s="33">
        <f>G79+G76+G71</f>
        <v>1268.1484775877384</v>
      </c>
      <c r="H82" s="12"/>
      <c r="I82" s="33">
        <f>I79+I76+I71</f>
        <v>1922.0607529260651</v>
      </c>
      <c r="J82" s="12"/>
      <c r="K82" s="33">
        <f>K79+K76+K71</f>
        <v>516.36604340000508</v>
      </c>
      <c r="L82" s="12"/>
      <c r="M82" s="33">
        <f>M79+M76+M71</f>
        <v>793.48079824964532</v>
      </c>
      <c r="N82" s="12"/>
      <c r="O82" s="33">
        <f>O79+O76+O71</f>
        <v>182.46171653009395</v>
      </c>
      <c r="P82" s="12"/>
      <c r="Q82" s="33">
        <f>Q79+Q76+Q71</f>
        <v>1087.5224445658016</v>
      </c>
      <c r="R82" s="12"/>
      <c r="S82" s="33">
        <f>S79+S76+S71</f>
        <v>558.63900204402216</v>
      </c>
      <c r="T82" s="12"/>
      <c r="U82" s="33">
        <f>U79+U76+U71</f>
        <v>1715.5941899490281</v>
      </c>
      <c r="V82" s="12"/>
      <c r="W82" s="33">
        <f>W79+W76+W71</f>
        <v>1715.7241563074485</v>
      </c>
      <c r="X82" s="12"/>
      <c r="Y82" s="33">
        <f>Y79+Y76+Y71</f>
        <v>23985.805341179104</v>
      </c>
      <c r="Z82" s="12"/>
      <c r="AA82" s="33">
        <f>AA79+AA76+AA71</f>
        <v>23986.153709417547</v>
      </c>
      <c r="AB82" s="12"/>
      <c r="AC82" s="33"/>
      <c r="AD82" s="33"/>
      <c r="AE82" s="33">
        <f>AE79+AE76+AE71</f>
        <v>56.922006778312252</v>
      </c>
      <c r="AF82" s="33"/>
      <c r="AG82" s="33"/>
      <c r="AH82" s="33"/>
      <c r="AI82" s="33"/>
      <c r="AJ82" s="12"/>
      <c r="AK82" s="33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</row>
    <row r="83" spans="1:57" x14ac:dyDescent="0.2">
      <c r="A83" s="12"/>
      <c r="B83" s="40"/>
      <c r="C83" s="25"/>
      <c r="D83" s="41" t="s">
        <v>945</v>
      </c>
      <c r="E83" s="44"/>
      <c r="F83" s="56"/>
      <c r="G83" s="33">
        <f>G63/1000000</f>
        <v>79.324462324196517</v>
      </c>
      <c r="H83" s="12"/>
      <c r="I83" s="33">
        <f>I63/1000000</f>
        <v>310.42539682539683</v>
      </c>
      <c r="J83" s="12"/>
      <c r="K83" s="33">
        <f>K63/1000000</f>
        <v>108.04444444444444</v>
      </c>
      <c r="L83" s="12"/>
      <c r="M83" s="33">
        <f>M63/1000000</f>
        <v>219.35483870967744</v>
      </c>
      <c r="N83" s="12"/>
      <c r="O83" s="33">
        <f>O63/1000000</f>
        <v>63.92</v>
      </c>
      <c r="P83" s="12"/>
      <c r="Q83" s="33">
        <f>Q63/1000000</f>
        <v>103.54708994708996</v>
      </c>
      <c r="R83" s="12"/>
      <c r="S83" s="33">
        <f>S63/1000000</f>
        <v>128.28253968253966</v>
      </c>
      <c r="T83" s="12"/>
      <c r="U83" s="33">
        <f>U63/1000000</f>
        <v>41.367308253480637</v>
      </c>
      <c r="V83" s="12"/>
      <c r="W83" s="33">
        <f>W63/1000000</f>
        <v>41.583918850848143</v>
      </c>
      <c r="X83" s="12"/>
      <c r="Y83" s="33">
        <f>Y63/1000000</f>
        <v>14.016239316386816</v>
      </c>
      <c r="Z83" s="12"/>
      <c r="AA83" s="33">
        <f>AA63/1000000</f>
        <v>14.132362062534598</v>
      </c>
      <c r="AB83" s="12"/>
      <c r="AC83" s="33"/>
      <c r="AD83" s="33"/>
      <c r="AE83" s="33">
        <f>AE63/1000000</f>
        <v>6</v>
      </c>
      <c r="AF83" s="33"/>
      <c r="AG83" s="33"/>
      <c r="AH83" s="33"/>
      <c r="AI83" s="33"/>
      <c r="AJ83" s="12"/>
      <c r="AK83" s="33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</row>
    <row r="84" spans="1:57" x14ac:dyDescent="0.2">
      <c r="A84" s="12"/>
      <c r="B84" s="40"/>
      <c r="C84" s="25"/>
      <c r="D84" s="55" t="s">
        <v>946</v>
      </c>
      <c r="E84" s="113"/>
      <c r="F84" s="101"/>
      <c r="G84" s="24">
        <f>G82/G83</f>
        <v>15.986852484481476</v>
      </c>
      <c r="H84" s="12"/>
      <c r="I84" s="24">
        <f>I82/I83</f>
        <v>6.1916994311105142</v>
      </c>
      <c r="J84" s="12"/>
      <c r="K84" s="24">
        <f>K82/K83</f>
        <v>4.779200319415926</v>
      </c>
      <c r="L84" s="12"/>
      <c r="M84" s="24">
        <f>M82/M83</f>
        <v>3.6173389331969124</v>
      </c>
      <c r="N84" s="12"/>
      <c r="O84" s="24">
        <f>O82/O83</f>
        <v>2.8545324863907062</v>
      </c>
      <c r="P84" s="12"/>
      <c r="Q84" s="24">
        <f>Q82/Q83</f>
        <v>10.502684770006566</v>
      </c>
      <c r="R84" s="12"/>
      <c r="S84" s="24">
        <f>S82/S83</f>
        <v>4.3547547735372572</v>
      </c>
      <c r="T84" s="12"/>
      <c r="U84" s="24">
        <f>U82/U83</f>
        <v>41.472221964180576</v>
      </c>
      <c r="V84" s="12"/>
      <c r="W84" s="24">
        <f>W82/W83</f>
        <v>41.259318595280845</v>
      </c>
      <c r="X84" s="12"/>
      <c r="Y84" s="24">
        <f>Y82/Y83</f>
        <v>1711.2868009564136</v>
      </c>
      <c r="Z84" s="12"/>
      <c r="AA84" s="24">
        <f>AA82/AA83</f>
        <v>1697.2501555847982</v>
      </c>
      <c r="AB84" s="12"/>
      <c r="AC84" s="24"/>
      <c r="AD84" s="24"/>
      <c r="AE84" s="24">
        <f>AE82/AE83</f>
        <v>9.487001129718708</v>
      </c>
      <c r="AF84" s="24"/>
      <c r="AG84" s="24"/>
      <c r="AH84" s="24"/>
      <c r="AI84" s="24"/>
      <c r="AJ84" s="12"/>
      <c r="AK84" s="24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</row>
    <row r="85" spans="1:57" x14ac:dyDescent="0.2">
      <c r="A85" s="12"/>
      <c r="B85" s="40"/>
      <c r="C85" s="25"/>
      <c r="D85" s="41"/>
      <c r="E85" s="25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</row>
    <row r="86" spans="1:57" x14ac:dyDescent="0.2">
      <c r="A86" s="12"/>
      <c r="B86" s="40" t="s">
        <v>1195</v>
      </c>
      <c r="C86" s="25"/>
      <c r="D86" s="41" t="s">
        <v>984</v>
      </c>
      <c r="E86" s="25"/>
      <c r="F86" s="12"/>
      <c r="G86" s="50">
        <v>2.9999999999999997E-4</v>
      </c>
      <c r="H86" s="12"/>
      <c r="I86" s="50"/>
      <c r="J86" s="12"/>
      <c r="K86" s="50">
        <v>0</v>
      </c>
      <c r="L86" s="12"/>
      <c r="M86" s="50">
        <v>0</v>
      </c>
      <c r="N86" s="12"/>
      <c r="O86" s="50">
        <v>0</v>
      </c>
      <c r="P86" s="12"/>
      <c r="Q86" s="50">
        <v>2.9999999999999997E-4</v>
      </c>
      <c r="R86" s="12"/>
      <c r="S86" s="50">
        <v>0</v>
      </c>
      <c r="T86" s="12"/>
      <c r="U86" s="49">
        <v>5.0000000000000001E-4</v>
      </c>
      <c r="V86" s="12"/>
      <c r="W86" s="49">
        <v>5.0000000000000001E-4</v>
      </c>
      <c r="X86" s="12"/>
      <c r="Y86" s="23">
        <v>5.9999999999999995E-4</v>
      </c>
      <c r="Z86" s="12"/>
      <c r="AA86" s="23">
        <v>5.9999999999999995E-4</v>
      </c>
      <c r="AB86" s="12"/>
      <c r="AC86" s="36"/>
      <c r="AD86" s="61"/>
      <c r="AE86" s="23">
        <v>0</v>
      </c>
      <c r="AF86" s="61"/>
      <c r="AG86" s="61"/>
      <c r="AH86" s="61"/>
      <c r="AI86" s="61"/>
      <c r="AJ86" s="12"/>
      <c r="AK86" s="23">
        <v>0</v>
      </c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</row>
    <row r="87" spans="1:57" x14ac:dyDescent="0.2">
      <c r="A87" s="12"/>
      <c r="B87" s="40" t="s">
        <v>1288</v>
      </c>
      <c r="C87" s="25"/>
      <c r="D87" s="41" t="s">
        <v>980</v>
      </c>
      <c r="E87" s="25"/>
      <c r="F87" s="12"/>
      <c r="G87" s="85">
        <f>G14*MAX(0.07*G16,0.8)</f>
        <v>582172.16224308254</v>
      </c>
      <c r="H87" s="12"/>
      <c r="I87" s="85">
        <f>I14*MAX(0.07*I16,0.8)</f>
        <v>2050233.533347127</v>
      </c>
      <c r="J87" s="12"/>
      <c r="K87" s="85">
        <f>K14*MAX(0.07*K16,0.8)</f>
        <v>733825.26737872558</v>
      </c>
      <c r="L87" s="12"/>
      <c r="M87" s="85">
        <f>M14*MAX(0.07*M16,0.8)</f>
        <v>1489832.4850910287</v>
      </c>
      <c r="N87" s="12"/>
      <c r="O87" s="85">
        <f>O14*MAX(0.07*O16,0.8)</f>
        <v>369206.61132678925</v>
      </c>
      <c r="P87" s="12"/>
      <c r="Q87" s="85">
        <f>Q14*MAX(0.07*Q16,0.8)</f>
        <v>760578.23841560679</v>
      </c>
      <c r="R87" s="12"/>
      <c r="S87" s="85">
        <f>S14*MAX(0.07*S16,0.8)</f>
        <v>871280.05022938584</v>
      </c>
      <c r="T87" s="12"/>
      <c r="U87" s="85">
        <f>U14*MAX(0.07*U16,0.8)</f>
        <v>256275.5421262637</v>
      </c>
      <c r="V87" s="12"/>
      <c r="W87" s="85">
        <f>W14*MAX(0.07*W16,0.8)</f>
        <v>321537.23769809009</v>
      </c>
      <c r="X87" s="12"/>
      <c r="Y87" s="85">
        <f>Y14*MAX(0.07*Y16,0.8)</f>
        <v>86811.018747839829</v>
      </c>
      <c r="Z87" s="12"/>
      <c r="AA87" s="85">
        <f>AA14*MAX(0.07*AA16,0.8)</f>
        <v>109240.76213095756</v>
      </c>
      <c r="AB87" s="12"/>
      <c r="AC87" s="36"/>
      <c r="AD87" s="86"/>
      <c r="AE87" s="85"/>
      <c r="AF87" s="86"/>
      <c r="AG87" s="86"/>
      <c r="AH87" s="86"/>
      <c r="AI87" s="86"/>
      <c r="AJ87" s="12"/>
      <c r="AK87" s="85">
        <f>AK14*MAX(0.2*AK16,1)*2</f>
        <v>0</v>
      </c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</row>
    <row r="88" spans="1:57" x14ac:dyDescent="0.2">
      <c r="A88" s="12"/>
      <c r="B88" s="40" t="s">
        <v>1196</v>
      </c>
      <c r="C88" s="25"/>
      <c r="D88" s="41"/>
      <c r="E88" s="25"/>
      <c r="F88" s="12"/>
      <c r="G88" s="28">
        <f>G86*G87*365.25</f>
        <v>63791.514677785766</v>
      </c>
      <c r="H88" s="12"/>
      <c r="I88" s="28">
        <f>I86*I87*365.25</f>
        <v>0</v>
      </c>
      <c r="J88" s="12"/>
      <c r="K88" s="28">
        <f>K86*K87*365.25</f>
        <v>0</v>
      </c>
      <c r="L88" s="12"/>
      <c r="M88" s="28">
        <f>M86*M87*365.25</f>
        <v>0</v>
      </c>
      <c r="N88" s="12"/>
      <c r="O88" s="28">
        <f>O86*O87*365.25</f>
        <v>0</v>
      </c>
      <c r="P88" s="12"/>
      <c r="Q88" s="28">
        <f>Q86*Q87*365.25</f>
        <v>83340.360474390109</v>
      </c>
      <c r="R88" s="12"/>
      <c r="S88" s="28">
        <f>S86*S87*365.25</f>
        <v>0</v>
      </c>
      <c r="T88" s="12"/>
      <c r="U88" s="28">
        <f>U86*U87*365.25</f>
        <v>46802.320880808911</v>
      </c>
      <c r="V88" s="12"/>
      <c r="W88" s="28">
        <f>W86*W87*365.25</f>
        <v>58720.738034613707</v>
      </c>
      <c r="X88" s="12"/>
      <c r="Y88" s="28">
        <f>Y86*Y87*365.25</f>
        <v>19024.634758589098</v>
      </c>
      <c r="Z88" s="12"/>
      <c r="AA88" s="28">
        <f>AA86*AA87*365.25</f>
        <v>23940.113020999346</v>
      </c>
      <c r="AB88" s="12"/>
      <c r="AC88" s="12"/>
      <c r="AD88" s="28"/>
      <c r="AE88" s="28">
        <f>AE86*AE87*365.25</f>
        <v>0</v>
      </c>
      <c r="AF88" s="28"/>
      <c r="AG88" s="28"/>
      <c r="AH88" s="28"/>
      <c r="AI88" s="28"/>
      <c r="AJ88" s="12"/>
      <c r="AK88" s="28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</row>
    <row r="89" spans="1:57" x14ac:dyDescent="0.2">
      <c r="A89" s="12"/>
      <c r="B89" s="40"/>
      <c r="C89" s="25"/>
      <c r="D89" s="41"/>
      <c r="E89" s="25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</row>
    <row r="90" spans="1:57" x14ac:dyDescent="0.2">
      <c r="A90" s="12"/>
      <c r="B90" s="40" t="s">
        <v>1201</v>
      </c>
      <c r="C90" s="25"/>
      <c r="D90" s="41" t="s">
        <v>1018</v>
      </c>
      <c r="E90" s="25"/>
      <c r="F90" s="12"/>
      <c r="G90" s="104">
        <f>G63+G88</f>
        <v>79388253.83887431</v>
      </c>
      <c r="H90" s="12"/>
      <c r="I90" s="104">
        <f>I63+I88</f>
        <v>310425396.82539684</v>
      </c>
      <c r="J90" s="12"/>
      <c r="K90" s="104">
        <f>K63+K88</f>
        <v>108044444.44444443</v>
      </c>
      <c r="L90" s="12"/>
      <c r="M90" s="104">
        <f>M63+M88</f>
        <v>219354838.70967743</v>
      </c>
      <c r="N90" s="12"/>
      <c r="O90" s="104">
        <f>O63+O88</f>
        <v>63920000</v>
      </c>
      <c r="P90" s="12"/>
      <c r="Q90" s="104">
        <f>Q63+Q88</f>
        <v>103630430.30756435</v>
      </c>
      <c r="R90" s="12"/>
      <c r="S90" s="104">
        <f>S63+S88</f>
        <v>128282539.68253967</v>
      </c>
      <c r="T90" s="12"/>
      <c r="U90" s="104">
        <f>U63+U88</f>
        <v>41414110.574361444</v>
      </c>
      <c r="V90" s="12"/>
      <c r="W90" s="104">
        <f>W63+W88</f>
        <v>41642639.588882759</v>
      </c>
      <c r="X90" s="12"/>
      <c r="Y90" s="104">
        <f>Y63+Y88</f>
        <v>14035263.951145405</v>
      </c>
      <c r="Z90" s="12"/>
      <c r="AA90" s="104">
        <f>AA63+AA88</f>
        <v>14156302.175555598</v>
      </c>
      <c r="AB90" s="12"/>
      <c r="AC90" s="104"/>
      <c r="AD90" s="104"/>
      <c r="AE90" s="104">
        <f>AE63+AE88</f>
        <v>6000000</v>
      </c>
      <c r="AF90" s="104"/>
      <c r="AG90" s="104"/>
      <c r="AH90" s="104"/>
      <c r="AI90" s="104"/>
      <c r="AJ90" s="12"/>
      <c r="AK90" s="104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</row>
    <row r="91" spans="1:57" x14ac:dyDescent="0.2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</row>
    <row r="92" spans="1:57" x14ac:dyDescent="0.2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</row>
    <row r="93" spans="1:57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</row>
    <row r="94" spans="1:57" x14ac:dyDescent="0.2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</row>
    <row r="95" spans="1:57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</row>
    <row r="96" spans="1:57" x14ac:dyDescent="0.2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</row>
    <row r="97" spans="1:57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</row>
    <row r="98" spans="1:57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</row>
    <row r="99" spans="1:57" x14ac:dyDescent="0.2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</row>
    <row r="100" spans="1:57" x14ac:dyDescent="0.2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</row>
    <row r="101" spans="1:57" x14ac:dyDescent="0.2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</row>
    <row r="102" spans="1:57" x14ac:dyDescent="0.2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</row>
    <row r="103" spans="1:57" x14ac:dyDescent="0.2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</row>
    <row r="104" spans="1:57" x14ac:dyDescent="0.2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</row>
    <row r="105" spans="1:57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</row>
    <row r="106" spans="1:57" x14ac:dyDescent="0.2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</row>
    <row r="107" spans="1:57" x14ac:dyDescent="0.2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</row>
    <row r="108" spans="1:57" x14ac:dyDescent="0.2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</row>
    <row r="109" spans="1:57" x14ac:dyDescent="0.2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</row>
    <row r="110" spans="1:57" x14ac:dyDescent="0.2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</row>
    <row r="111" spans="1:57" x14ac:dyDescent="0.2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</row>
    <row r="112" spans="1:57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</row>
    <row r="113" spans="1:57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</row>
    <row r="114" spans="1:57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</row>
    <row r="115" spans="1:57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</row>
    <row r="116" spans="1:57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</row>
    <row r="117" spans="1:57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</row>
    <row r="118" spans="1:57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</row>
    <row r="119" spans="1:57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</row>
    <row r="120" spans="1:57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</row>
    <row r="121" spans="1:57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</row>
    <row r="122" spans="1:57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</row>
    <row r="123" spans="1:57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</row>
    <row r="124" spans="1:57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</row>
    <row r="125" spans="1:57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</row>
    <row r="126" spans="1:57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</row>
    <row r="127" spans="1:57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</row>
    <row r="128" spans="1:57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</row>
    <row r="129" spans="1:57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</row>
    <row r="130" spans="1:57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</row>
    <row r="131" spans="1:57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</row>
    <row r="132" spans="1:57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</row>
    <row r="133" spans="1:57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</row>
    <row r="134" spans="1:57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</row>
    <row r="135" spans="1:57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</row>
  </sheetData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17</vt:i4>
      </vt:variant>
      <vt:variant>
        <vt:lpstr>Benoemde bereiken</vt:lpstr>
      </vt:variant>
      <vt:variant>
        <vt:i4>247</vt:i4>
      </vt:variant>
    </vt:vector>
  </HeadingPairs>
  <TitlesOfParts>
    <vt:vector size="264" baseType="lpstr">
      <vt:lpstr>Overview</vt:lpstr>
      <vt:lpstr>Input</vt:lpstr>
      <vt:lpstr>Country_results_pivot</vt:lpstr>
      <vt:lpstr>Electricity</vt:lpstr>
      <vt:lpstr>HV_DC_Grid</vt:lpstr>
      <vt:lpstr>Pipeline</vt:lpstr>
      <vt:lpstr>Carriers</vt:lpstr>
      <vt:lpstr>Shipping</vt:lpstr>
      <vt:lpstr>Storage</vt:lpstr>
      <vt:lpstr>H2_retrieval</vt:lpstr>
      <vt:lpstr>Country_details</vt:lpstr>
      <vt:lpstr>Country_results</vt:lpstr>
      <vt:lpstr>Carrier_properties</vt:lpstr>
      <vt:lpstr>Sources</vt:lpstr>
      <vt:lpstr>Solar_data</vt:lpstr>
      <vt:lpstr>Onshore_wind_data</vt:lpstr>
      <vt:lpstr>Offshore_wind_data</vt:lpstr>
      <vt:lpstr>alk_el_e_demand</vt:lpstr>
      <vt:lpstr>alk_el_lifetime</vt:lpstr>
      <vt:lpstr>alk_el_opex</vt:lpstr>
      <vt:lpstr>bunker_choice</vt:lpstr>
      <vt:lpstr>bunker_price_gen</vt:lpstr>
      <vt:lpstr>bunker_price_ROT</vt:lpstr>
      <vt:lpstr>class_flh</vt:lpstr>
      <vt:lpstr>co2_density</vt:lpstr>
      <vt:lpstr>co2_liq_cost</vt:lpstr>
      <vt:lpstr>co2_liq_e_demand</vt:lpstr>
      <vt:lpstr>co2_short_st_e_demand</vt:lpstr>
      <vt:lpstr>co2_short_st_invest</vt:lpstr>
      <vt:lpstr>co2_short_st_lifetime</vt:lpstr>
      <vt:lpstr>co2_short_st_opex</vt:lpstr>
      <vt:lpstr>co2_st_e_demand</vt:lpstr>
      <vt:lpstr>co2_st_invest_lev</vt:lpstr>
      <vt:lpstr>co2_st_lifetime</vt:lpstr>
      <vt:lpstr>co2_st_nl_cost</vt:lpstr>
      <vt:lpstr>co2_st_opex_lev</vt:lpstr>
      <vt:lpstr>DAC_e_demand</vt:lpstr>
      <vt:lpstr>DAC_invest</vt:lpstr>
      <vt:lpstr>DAC_lifetime</vt:lpstr>
      <vt:lpstr>DAC_opex</vt:lpstr>
      <vt:lpstr>DAC_prod</vt:lpstr>
      <vt:lpstr>DBT_density</vt:lpstr>
      <vt:lpstr>DBT_e_demand</vt:lpstr>
      <vt:lpstr>DBT_e_density_lhv</vt:lpstr>
      <vt:lpstr>DBT_invest</vt:lpstr>
      <vt:lpstr>DBT_lifetime</vt:lpstr>
      <vt:lpstr>DBT_opex</vt:lpstr>
      <vt:lpstr>DBT_prod</vt:lpstr>
      <vt:lpstr>DBT_st_ab_losses</vt:lpstr>
      <vt:lpstr>DBT_st_e_demand</vt:lpstr>
      <vt:lpstr>DBT_st_invest</vt:lpstr>
      <vt:lpstr>DBT_st_lifetime</vt:lpstr>
      <vt:lpstr>DBT_st_nl_cost</vt:lpstr>
      <vt:lpstr>DBT_st_nl_demand</vt:lpstr>
      <vt:lpstr>DBT_st_opex</vt:lpstr>
      <vt:lpstr>Dme_density</vt:lpstr>
      <vt:lpstr>Dme_e_demand</vt:lpstr>
      <vt:lpstr>Dme_e_density_lhv</vt:lpstr>
      <vt:lpstr>Dme_invest</vt:lpstr>
      <vt:lpstr>Dme_lifetime</vt:lpstr>
      <vt:lpstr>Dme_opex</vt:lpstr>
      <vt:lpstr>Dme_prod</vt:lpstr>
      <vt:lpstr>Dme_st_ab_losses</vt:lpstr>
      <vt:lpstr>Dme_st_e_demand</vt:lpstr>
      <vt:lpstr>Dme_st_invest</vt:lpstr>
      <vt:lpstr>Dme_st_lifetime</vt:lpstr>
      <vt:lpstr>Dme_st_nl_cost</vt:lpstr>
      <vt:lpstr>Dme_st_nl_demand</vt:lpstr>
      <vt:lpstr>Dme_st_opex</vt:lpstr>
      <vt:lpstr>electricity_choice</vt:lpstr>
      <vt:lpstr>eurusd_rate</vt:lpstr>
      <vt:lpstr>FA_density</vt:lpstr>
      <vt:lpstr>FA_e_demand</vt:lpstr>
      <vt:lpstr>FA_e_density_lhv</vt:lpstr>
      <vt:lpstr>FA_invest</vt:lpstr>
      <vt:lpstr>FA_lifetime</vt:lpstr>
      <vt:lpstr>FA_opex</vt:lpstr>
      <vt:lpstr>FA_prod</vt:lpstr>
      <vt:lpstr>FA_st_ab_losses</vt:lpstr>
      <vt:lpstr>FA_st_e_demand</vt:lpstr>
      <vt:lpstr>FA_st_invest</vt:lpstr>
      <vt:lpstr>FA_st_lifetime</vt:lpstr>
      <vt:lpstr>FA_st_nl_cost</vt:lpstr>
      <vt:lpstr>FA_st_nl_demand</vt:lpstr>
      <vt:lpstr>FA_st_opex</vt:lpstr>
      <vt:lpstr>Fut_demand_pc</vt:lpstr>
      <vt:lpstr>gh2_short_st_lifetime</vt:lpstr>
      <vt:lpstr>gh2_st_lifetime</vt:lpstr>
      <vt:lpstr>gh2_st_nl_cost</vt:lpstr>
      <vt:lpstr>gh2_st_nl_demand</vt:lpstr>
      <vt:lpstr>h2_demand_e_lhv</vt:lpstr>
      <vt:lpstr>h2_demand_kt</vt:lpstr>
      <vt:lpstr>h2_e_density_lhv</vt:lpstr>
      <vt:lpstr>h2_regen_dme</vt:lpstr>
      <vt:lpstr>h2_regen_fa</vt:lpstr>
      <vt:lpstr>h2_regen_lng</vt:lpstr>
      <vt:lpstr>h2_regen_lohc</vt:lpstr>
      <vt:lpstr>h2_regen_meoh</vt:lpstr>
      <vt:lpstr>h2_regen_nabh4</vt:lpstr>
      <vt:lpstr>h2_regen_ome</vt:lpstr>
      <vt:lpstr>h2_short_st_e_demand</vt:lpstr>
      <vt:lpstr>h2_short_st_invest</vt:lpstr>
      <vt:lpstr>h2_short_st_opex</vt:lpstr>
      <vt:lpstr>hfo_e_density_lhv</vt:lpstr>
      <vt:lpstr>hv_dc_capacity_multiplier</vt:lpstr>
      <vt:lpstr>hv_dc_custom</vt:lpstr>
      <vt:lpstr>hv_dc_flh</vt:lpstr>
      <vt:lpstr>hv_dc_length_multiplier</vt:lpstr>
      <vt:lpstr>hv_dc_lifetime</vt:lpstr>
      <vt:lpstr>hv_dc_opex</vt:lpstr>
      <vt:lpstr>hv_dc_overhead_invest</vt:lpstr>
      <vt:lpstr>hv_dc_overhead_loss</vt:lpstr>
      <vt:lpstr>hv_dc_overhead_opex</vt:lpstr>
      <vt:lpstr>hv_dc_sea_invest</vt:lpstr>
      <vt:lpstr>hv_dc_sea_loss</vt:lpstr>
      <vt:lpstr>hv_dc_sea_opex</vt:lpstr>
      <vt:lpstr>hv_dc_station_invest</vt:lpstr>
      <vt:lpstr>hv_dc_station_loss</vt:lpstr>
      <vt:lpstr>hv_dc_station_number</vt:lpstr>
      <vt:lpstr>hv_dc_station_opex</vt:lpstr>
      <vt:lpstr>hv_dc_under_invest</vt:lpstr>
      <vt:lpstr>hv_dc_under_loss</vt:lpstr>
      <vt:lpstr>hv_dc_under_opex</vt:lpstr>
      <vt:lpstr>inland_transport</vt:lpstr>
      <vt:lpstr>inland_transport_to_port</vt:lpstr>
      <vt:lpstr>lh2_density</vt:lpstr>
      <vt:lpstr>lh2_e_demand</vt:lpstr>
      <vt:lpstr>lh2_e_density_lhv</vt:lpstr>
      <vt:lpstr>lh2_invest</vt:lpstr>
      <vt:lpstr>lh2_lifetime</vt:lpstr>
      <vt:lpstr>lh2_opex</vt:lpstr>
      <vt:lpstr>lh2_prod</vt:lpstr>
      <vt:lpstr>lh2_st_ab_losses</vt:lpstr>
      <vt:lpstr>lh2_st_e_demand</vt:lpstr>
      <vt:lpstr>lh2_st_invest</vt:lpstr>
      <vt:lpstr>lh2_st_lifetime</vt:lpstr>
      <vt:lpstr>lh2_st_nl_cost</vt:lpstr>
      <vt:lpstr>lh2_st_nl_demand</vt:lpstr>
      <vt:lpstr>lh2_st_opex</vt:lpstr>
      <vt:lpstr>lng_density</vt:lpstr>
      <vt:lpstr>lng_e_demand</vt:lpstr>
      <vt:lpstr>lng_e_density_lhv</vt:lpstr>
      <vt:lpstr>lng_invest</vt:lpstr>
      <vt:lpstr>lng_lifetime</vt:lpstr>
      <vt:lpstr>lng_opex</vt:lpstr>
      <vt:lpstr>lng_prod</vt:lpstr>
      <vt:lpstr>lng_st_ab_losses</vt:lpstr>
      <vt:lpstr>lng_st_e_demand</vt:lpstr>
      <vt:lpstr>lng_st_invest</vt:lpstr>
      <vt:lpstr>lng_st_lifetime</vt:lpstr>
      <vt:lpstr>lng_st_nl_cost</vt:lpstr>
      <vt:lpstr>lng_st_nl_demand</vt:lpstr>
      <vt:lpstr>lng_st_opex</vt:lpstr>
      <vt:lpstr>loaded_ship_speed</vt:lpstr>
      <vt:lpstr>meoh_density</vt:lpstr>
      <vt:lpstr>meoh_e_demand</vt:lpstr>
      <vt:lpstr>meoh_e_density_lhv</vt:lpstr>
      <vt:lpstr>meoh_invest</vt:lpstr>
      <vt:lpstr>meoh_lifetime</vt:lpstr>
      <vt:lpstr>meoh_opex</vt:lpstr>
      <vt:lpstr>meoh_prod</vt:lpstr>
      <vt:lpstr>meoh_st_ab_losses</vt:lpstr>
      <vt:lpstr>meoh_st_e_demand</vt:lpstr>
      <vt:lpstr>meoh_st_invest</vt:lpstr>
      <vt:lpstr>meoh_st_lifetime</vt:lpstr>
      <vt:lpstr>meoh_st_nl_cost</vt:lpstr>
      <vt:lpstr>meoh_st_nl_demand</vt:lpstr>
      <vt:lpstr>meoh_st_opex</vt:lpstr>
      <vt:lpstr>min_offshore_price_nl</vt:lpstr>
      <vt:lpstr>n2_e_demand</vt:lpstr>
      <vt:lpstr>n2_invest</vt:lpstr>
      <vt:lpstr>n2_lifetime</vt:lpstr>
      <vt:lpstr>n2_opex</vt:lpstr>
      <vt:lpstr>n2_prod</vt:lpstr>
      <vt:lpstr>n2_short_st_e_demand</vt:lpstr>
      <vt:lpstr>n2_short_st_invest</vt:lpstr>
      <vt:lpstr>n2_short_st_lifetime</vt:lpstr>
      <vt:lpstr>n2_short_st_opex</vt:lpstr>
      <vt:lpstr>nabh4_density</vt:lpstr>
      <vt:lpstr>nabh4_e_demand</vt:lpstr>
      <vt:lpstr>nabh4_e_density_lhv</vt:lpstr>
      <vt:lpstr>nabh4_invest</vt:lpstr>
      <vt:lpstr>nabh4_lifetime</vt:lpstr>
      <vt:lpstr>nabh4_opex</vt:lpstr>
      <vt:lpstr>nabh4_prod</vt:lpstr>
      <vt:lpstr>nabh4_st_ab_losses</vt:lpstr>
      <vt:lpstr>nabh4_st_e_demand</vt:lpstr>
      <vt:lpstr>nabh4_st_invest</vt:lpstr>
      <vt:lpstr>nabh4_st_lifetime</vt:lpstr>
      <vt:lpstr>nabh4_st_nl_cost</vt:lpstr>
      <vt:lpstr>nabh4_st_nl_demand</vt:lpstr>
      <vt:lpstr>nabh4_st_opex</vt:lpstr>
      <vt:lpstr>nh3_density</vt:lpstr>
      <vt:lpstr>nh3_e_demand</vt:lpstr>
      <vt:lpstr>nh3_e_density_lhv</vt:lpstr>
      <vt:lpstr>nh3_invest</vt:lpstr>
      <vt:lpstr>nh3_lifetime</vt:lpstr>
      <vt:lpstr>nh3_opex</vt:lpstr>
      <vt:lpstr>nh3_prod</vt:lpstr>
      <vt:lpstr>nh3_st_ab_losses</vt:lpstr>
      <vt:lpstr>nh3_st_e_demand</vt:lpstr>
      <vt:lpstr>nh3_st_invest</vt:lpstr>
      <vt:lpstr>nh3_st_lifetime</vt:lpstr>
      <vt:lpstr>nh3_st_nl_cost</vt:lpstr>
      <vt:lpstr>nh3_st_nl_demand</vt:lpstr>
      <vt:lpstr>nh3_st_opex</vt:lpstr>
      <vt:lpstr>nl_ammonia_price</vt:lpstr>
      <vt:lpstr>nl_dme_price</vt:lpstr>
      <vt:lpstr>nl_e_demand</vt:lpstr>
      <vt:lpstr>nl_fa_price</vt:lpstr>
      <vt:lpstr>nl_hydrogen_price</vt:lpstr>
      <vt:lpstr>nl_lng_price</vt:lpstr>
      <vt:lpstr>nl_meoh_price</vt:lpstr>
      <vt:lpstr>nl_min_offshore</vt:lpstr>
      <vt:lpstr>nl_min_offshore_price_nl</vt:lpstr>
      <vt:lpstr>nl_nh3_price</vt:lpstr>
      <vt:lpstr>nl_ome_price</vt:lpstr>
      <vt:lpstr>o2_st_lifetime</vt:lpstr>
      <vt:lpstr>offshore_invest</vt:lpstr>
      <vt:lpstr>offshore_lifetime</vt:lpstr>
      <vt:lpstr>offshore_opex</vt:lpstr>
      <vt:lpstr>ome_density</vt:lpstr>
      <vt:lpstr>ome_e_demand</vt:lpstr>
      <vt:lpstr>ome_e_density_lhv</vt:lpstr>
      <vt:lpstr>ome_invest</vt:lpstr>
      <vt:lpstr>ome_lifetime</vt:lpstr>
      <vt:lpstr>ome_opex</vt:lpstr>
      <vt:lpstr>ome_prod</vt:lpstr>
      <vt:lpstr>ome_st_ab_losses</vt:lpstr>
      <vt:lpstr>ome_st_e_demand</vt:lpstr>
      <vt:lpstr>ome_st_invest</vt:lpstr>
      <vt:lpstr>ome_st_lifetime</vt:lpstr>
      <vt:lpstr>ome_st_nl_cost</vt:lpstr>
      <vt:lpstr>ome_st_nl_demand</vt:lpstr>
      <vt:lpstr>ome_st_opex</vt:lpstr>
      <vt:lpstr>onshore_invest</vt:lpstr>
      <vt:lpstr>onshore_lifetime</vt:lpstr>
      <vt:lpstr>onshore_opex</vt:lpstr>
      <vt:lpstr>pem_el_e_demand</vt:lpstr>
      <vt:lpstr>pem_el_lifetime</vt:lpstr>
      <vt:lpstr>pem_el_opex</vt:lpstr>
      <vt:lpstr>pipeline_comp_lifetime</vt:lpstr>
      <vt:lpstr>pipeline_comp_opex</vt:lpstr>
      <vt:lpstr>pipeline_lifetime</vt:lpstr>
      <vt:lpstr>pipeline_opex</vt:lpstr>
      <vt:lpstr>ship_carriers</vt:lpstr>
      <vt:lpstr>ship_choice</vt:lpstr>
      <vt:lpstr>short_st_duration_hrs</vt:lpstr>
      <vt:lpstr>sng_e_demand</vt:lpstr>
      <vt:lpstr>sng_invest</vt:lpstr>
      <vt:lpstr>sng_lifetime</vt:lpstr>
      <vt:lpstr>sng_opex</vt:lpstr>
      <vt:lpstr>sng_prod</vt:lpstr>
      <vt:lpstr>solar_invest</vt:lpstr>
      <vt:lpstr>solar_lifetime</vt:lpstr>
      <vt:lpstr>solar_module_eff</vt:lpstr>
      <vt:lpstr>solar_opex</vt:lpstr>
      <vt:lpstr>storage_multiplier</vt:lpstr>
      <vt:lpstr>uniform_wacc</vt:lpstr>
      <vt:lpstr>unloaded_ship_speed</vt:lpstr>
      <vt:lpstr>wacc</vt:lpstr>
      <vt:lpstr>wacc_average</vt:lpstr>
      <vt:lpstr>wacc_nl</vt:lpstr>
      <vt:lpstr>wacc_rv_factor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 Terwel</dc:creator>
  <cp:lastModifiedBy>Hella</cp:lastModifiedBy>
  <dcterms:created xsi:type="dcterms:W3CDTF">2018-07-06T09:14:13Z</dcterms:created>
  <dcterms:modified xsi:type="dcterms:W3CDTF">2019-08-27T07:41:05Z</dcterms:modified>
</cp:coreProperties>
</file>